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activeX/activeX1.xml" ContentType="application/vnd.ms-office.activeX+xml"/>
  <Override PartName="/xl/activeX/activeX1.bin" ContentType="application/vnd.ms-office.activeX"/>
  <Override PartName="/xl/comments1.xml" ContentType="application/vnd.openxmlformats-officedocument.spreadsheetml.comments+xml"/>
  <Override PartName="/xl/drawings/drawing3.xml" ContentType="application/vnd.openxmlformats-officedocument.drawing+xml"/>
  <Override PartName="/xl/ctrlProps/ctrlProp1.xml" ContentType="application/vnd.ms-excel.controlproperties+xml"/>
  <Override PartName="/xl/drawings/drawing4.xml" ContentType="application/vnd.openxmlformats-officedocument.drawing+xml"/>
  <Override PartName="/xl/ctrlProps/ctrlProp2.xml" ContentType="application/vnd.ms-excel.controlproperties+xml"/>
  <Override PartName="/xl/drawings/drawing5.xml" ContentType="application/vnd.openxmlformats-officedocument.drawing+xml"/>
  <Override PartName="/xl/ctrlProps/ctrlProp3.xml" ContentType="application/vnd.ms-excel.controlproperties+xml"/>
  <Override PartName="/xl/drawings/drawing6.xml" ContentType="application/vnd.openxmlformats-officedocument.drawing+xml"/>
  <Override PartName="/xl/ctrlProps/ctrlProp4.xml" ContentType="application/vnd.ms-excel.controlproperties+xml"/>
  <Override PartName="/xl/drawings/drawing7.xml" ContentType="application/vnd.openxmlformats-officedocument.drawing+xml"/>
  <Override PartName="/xl/ctrlProps/ctrlProp5.xml" ContentType="application/vnd.ms-excel.controlproperties+xml"/>
  <Override PartName="/xl/drawings/drawing8.xml" ContentType="application/vnd.openxmlformats-officedocument.drawing+xml"/>
  <Override PartName="/xl/ctrlProps/ctrlProp6.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codeName="ThisWorkbook" defaultThemeVersion="124226"/>
  <mc:AlternateContent xmlns:mc="http://schemas.openxmlformats.org/markup-compatibility/2006">
    <mc:Choice Requires="x15">
      <x15ac:absPath xmlns:x15ac="http://schemas.microsoft.com/office/spreadsheetml/2010/11/ac" url="C:\Users\Jorge\OneDrive\Escritorio\"/>
    </mc:Choice>
  </mc:AlternateContent>
  <xr:revisionPtr revIDLastSave="0" documentId="13_ncr:1_{C9711C0D-CFBE-431F-B677-E8CFB9ABD788}" xr6:coauthVersionLast="47" xr6:coauthVersionMax="47" xr10:uidLastSave="{00000000-0000-0000-0000-000000000000}"/>
  <bookViews>
    <workbookView xWindow="8532" yWindow="1848" windowWidth="14508" windowHeight="10392" tabRatio="592" firstSheet="13" activeTab="13" xr2:uid="{00000000-000D-0000-FFFF-FFFF00000000}"/>
  </bookViews>
  <sheets>
    <sheet name="COASEGURP" sheetId="37" state="hidden" r:id="rId1"/>
    <sheet name="Hoja4" sheetId="39" r:id="rId2"/>
    <sheet name="DESGLOSE DE RECIBOS" sheetId="770" r:id="rId3"/>
    <sheet name="Ubicaciones total (2)" sheetId="38" r:id="rId4"/>
    <sheet name="COTIZACIÓN M.N." sheetId="26" state="hidden" r:id="rId5"/>
    <sheet name="HOJA PRIMER RIESGO" sheetId="31" r:id="rId6"/>
    <sheet name="Hoja Contable" sheetId="7" r:id="rId7"/>
    <sheet name="CANCELACION" sheetId="32" state="hidden" r:id="rId8"/>
    <sheet name="UB (1)" sheetId="41" r:id="rId9"/>
    <sheet name="TEV y FHM" sheetId="15" r:id="rId10"/>
    <sheet name="UB (2)" sheetId="42" r:id="rId11"/>
    <sheet name="TEV y FHM (2)" sheetId="48" r:id="rId12"/>
    <sheet name="UB (3)" sheetId="43" r:id="rId13"/>
    <sheet name="TEV y FHM (3)" sheetId="49" r:id="rId14"/>
    <sheet name="D TEV y FHM" sheetId="16" state="hidden" r:id="rId15"/>
    <sheet name="Aviones" sheetId="17" state="hidden" r:id="rId16"/>
    <sheet name="D Aviones" sheetId="18" state="hidden" r:id="rId17"/>
    <sheet name="Embarcaciones" sheetId="19" state="hidden" r:id="rId18"/>
    <sheet name="D Embarcaciones" sheetId="20" state="hidden" r:id="rId19"/>
    <sheet name="Transportes" sheetId="21" state="hidden" r:id="rId20"/>
    <sheet name="D Transporte" sheetId="22" state="hidden" r:id="rId21"/>
    <sheet name="Obra Civil - Montaje" sheetId="23" state="hidden" r:id="rId22"/>
    <sheet name="D Obra Civil" sheetId="24" state="hidden" r:id="rId23"/>
    <sheet name="Ramo Comercial" sheetId="1" state="hidden" r:id="rId24"/>
    <sheet name="RamoTec" sheetId="2" state="hidden" r:id="rId25"/>
    <sheet name="Hoja1" sheetId="10" state="hidden" r:id="rId26"/>
    <sheet name="Hoja3" sheetId="12" state="hidden" r:id="rId27"/>
    <sheet name="DesgloseRC" sheetId="25" state="hidden" r:id="rId28"/>
  </sheets>
  <definedNames>
    <definedName name="_xlnm._FilterDatabase" localSheetId="7" hidden="1">CANCELACION!$A$16:$P$412</definedName>
    <definedName name="_xlnm._FilterDatabase" localSheetId="6" hidden="1">'Hoja Contable'!$A$16:$P$412</definedName>
    <definedName name="_xlnm._FilterDatabase" localSheetId="5" hidden="1">'HOJA PRIMER RIESGO'!$A$16:$P$412</definedName>
    <definedName name="_xlnm._FilterDatabase" localSheetId="8" hidden="1">'UB (1)'!$A$16:$P$412</definedName>
    <definedName name="_xlnm._FilterDatabase" localSheetId="10" hidden="1">'UB (2)'!$A$16:$P$412</definedName>
    <definedName name="_xlnm._FilterDatabase" localSheetId="12" hidden="1">'UB (3)'!$A$16:$P$412</definedName>
    <definedName name="_xlnm._FilterDatabase" localSheetId="3" hidden="1">'Ubicaciones total (2)'!$A$1:$J$362</definedName>
    <definedName name="_xlnm.Print_Area" localSheetId="7">CANCELACION!$A$1:$O$430</definedName>
    <definedName name="_xlnm.Print_Area" localSheetId="4">'COTIZACIÓN M.N.'!$B$1:$G$540</definedName>
    <definedName name="_xlnm.Print_Area" localSheetId="6">'Hoja Contable'!$A$1:$O$421</definedName>
    <definedName name="_xlnm.Print_Area" localSheetId="5">'HOJA PRIMER RIESGO'!$A$1:$O$426</definedName>
    <definedName name="_xlnm.Print_Area" localSheetId="8">'UB (1)'!$A$1:$O$421</definedName>
    <definedName name="_xlnm.Print_Area" localSheetId="10">'UB (2)'!$A$1:$O$421</definedName>
    <definedName name="_xlnm.Print_Area" localSheetId="12">'UB (3)'!$A$1:$O$421</definedName>
    <definedName name="BI" localSheetId="3">#REF!</definedName>
    <definedName name="BI">#REF!</definedName>
    <definedName name="COBERTURAS" localSheetId="3">#REF!</definedName>
    <definedName name="COBERTURAS">#REF!</definedName>
    <definedName name="COBRC" localSheetId="3">#REF!</definedName>
    <definedName name="COBRC">#REF!</definedName>
    <definedName name="complejitos">#REF!</definedName>
    <definedName name="SUBLIMITES" localSheetId="3">#REF!</definedName>
    <definedName name="SUBLIMITES">#REF!</definedName>
    <definedName name="TC">#REF!</definedName>
    <definedName name="_xlnm.Print_Titles" localSheetId="7">CANCELACION!$16:$16</definedName>
    <definedName name="_xlnm.Print_Titles" localSheetId="6">'Hoja Contable'!$16:$16</definedName>
    <definedName name="_xlnm.Print_Titles" localSheetId="5">'HOJA PRIMER RIESGO'!$16:$16</definedName>
    <definedName name="_xlnm.Print_Titles" localSheetId="8">'UB (1)'!$16:$16</definedName>
    <definedName name="_xlnm.Print_Titles" localSheetId="10">'UB (2)'!$16:$16</definedName>
    <definedName name="_xlnm.Print_Titles" localSheetId="12">'UB (3)'!$16:$16</definedName>
    <definedName name="UBCINEMEX">'Ubicaciones total (2)'!$A$1:$M$368</definedName>
    <definedName name="UBIC">#REF!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G116" i="38" l="1"/>
  <c r="F60" i="43"/>
  <c r="F59" i="43"/>
  <c r="G26" i="43"/>
  <c r="G26" i="42"/>
  <c r="F60" i="42"/>
  <c r="F59" i="42"/>
  <c r="F60" i="41"/>
  <c r="F59" i="41"/>
  <c r="G26" i="7"/>
  <c r="G59" i="7" s="1"/>
  <c r="G60" i="7" s="1"/>
  <c r="F60" i="7"/>
  <c r="F59" i="7"/>
  <c r="F80" i="41" l="1"/>
  <c r="W207" i="7"/>
  <c r="W203" i="7"/>
  <c r="W187" i="7"/>
  <c r="W167" i="7"/>
  <c r="W130" i="7"/>
  <c r="W116" i="7"/>
  <c r="W112" i="7"/>
  <c r="W100" i="7"/>
  <c r="W95" i="7"/>
  <c r="W90" i="7"/>
  <c r="W75" i="7"/>
  <c r="W73" i="7"/>
  <c r="W71" i="7"/>
  <c r="W69" i="7"/>
  <c r="W67" i="7"/>
  <c r="W64" i="7"/>
  <c r="W61" i="7"/>
  <c r="W41" i="7"/>
  <c r="W38" i="7"/>
  <c r="W36" i="7"/>
  <c r="W34" i="7"/>
  <c r="W31" i="7"/>
  <c r="W28" i="7"/>
  <c r="F410" i="43" l="1"/>
  <c r="R409" i="43"/>
  <c r="M409" i="43"/>
  <c r="R408" i="43"/>
  <c r="M408" i="43"/>
  <c r="R407" i="43"/>
  <c r="M407" i="43"/>
  <c r="R406" i="43"/>
  <c r="M406" i="43"/>
  <c r="R403" i="43"/>
  <c r="M403" i="43"/>
  <c r="F401" i="43"/>
  <c r="R400" i="43"/>
  <c r="M400" i="43"/>
  <c r="R399" i="43"/>
  <c r="M399" i="43"/>
  <c r="R398" i="43"/>
  <c r="M398" i="43"/>
  <c r="R397" i="43"/>
  <c r="M397" i="43"/>
  <c r="R396" i="43"/>
  <c r="M396" i="43"/>
  <c r="F394" i="43"/>
  <c r="R393" i="43"/>
  <c r="M393" i="43"/>
  <c r="R392" i="43"/>
  <c r="M392" i="43"/>
  <c r="R391" i="43"/>
  <c r="M391" i="43"/>
  <c r="R390" i="43"/>
  <c r="M390" i="43"/>
  <c r="R389" i="43"/>
  <c r="M389" i="43"/>
  <c r="R388" i="43"/>
  <c r="M388" i="43"/>
  <c r="R387" i="43"/>
  <c r="M387" i="43"/>
  <c r="R386" i="43"/>
  <c r="M386" i="43"/>
  <c r="R385" i="43"/>
  <c r="M385" i="43"/>
  <c r="R384" i="43"/>
  <c r="M384" i="43"/>
  <c r="R383" i="43"/>
  <c r="M383" i="43"/>
  <c r="R382" i="43"/>
  <c r="M382" i="43"/>
  <c r="R381" i="43"/>
  <c r="M381" i="43"/>
  <c r="T379" i="43"/>
  <c r="U378" i="43"/>
  <c r="S378" i="43"/>
  <c r="R378" i="43"/>
  <c r="M378" i="43"/>
  <c r="R377" i="43"/>
  <c r="M377" i="43"/>
  <c r="R376" i="43"/>
  <c r="M376" i="43"/>
  <c r="R375" i="43"/>
  <c r="M375" i="43"/>
  <c r="R374" i="43"/>
  <c r="M374" i="43"/>
  <c r="R373" i="43"/>
  <c r="M373" i="43"/>
  <c r="R372" i="43"/>
  <c r="M372" i="43"/>
  <c r="R371" i="43"/>
  <c r="M371" i="43"/>
  <c r="T370" i="43"/>
  <c r="U376" i="43" s="1"/>
  <c r="R368" i="43"/>
  <c r="M368" i="43"/>
  <c r="F368" i="43"/>
  <c r="F369" i="43" s="1"/>
  <c r="R367" i="43"/>
  <c r="M367" i="43"/>
  <c r="R366" i="43"/>
  <c r="M366" i="43"/>
  <c r="R365" i="43"/>
  <c r="M365" i="43"/>
  <c r="R362" i="43"/>
  <c r="M362" i="43"/>
  <c r="R361" i="43"/>
  <c r="M361" i="43"/>
  <c r="R360" i="43"/>
  <c r="M360" i="43"/>
  <c r="R359" i="43"/>
  <c r="M359" i="43"/>
  <c r="R358" i="43"/>
  <c r="M358" i="43"/>
  <c r="R357" i="43"/>
  <c r="M357" i="43"/>
  <c r="R356" i="43"/>
  <c r="M356" i="43"/>
  <c r="R355" i="43"/>
  <c r="M355" i="43"/>
  <c r="R354" i="43"/>
  <c r="M354" i="43"/>
  <c r="R353" i="43"/>
  <c r="M353" i="43"/>
  <c r="R352" i="43"/>
  <c r="M352" i="43"/>
  <c r="F350" i="43"/>
  <c r="R349" i="43"/>
  <c r="M349" i="43"/>
  <c r="R348" i="43"/>
  <c r="M348" i="43"/>
  <c r="R347" i="43"/>
  <c r="M347" i="43"/>
  <c r="R346" i="43"/>
  <c r="M346" i="43"/>
  <c r="T343" i="43"/>
  <c r="R343" i="43"/>
  <c r="M343" i="43"/>
  <c r="R342" i="43"/>
  <c r="M342" i="43"/>
  <c r="R341" i="43"/>
  <c r="M341" i="43"/>
  <c r="R340" i="43"/>
  <c r="M340" i="43"/>
  <c r="R339" i="43"/>
  <c r="M339" i="43"/>
  <c r="R338" i="43"/>
  <c r="M338" i="43"/>
  <c r="T337" i="43"/>
  <c r="U340" i="43" s="1"/>
  <c r="T336" i="43"/>
  <c r="M335" i="43"/>
  <c r="M334" i="43"/>
  <c r="M333" i="43"/>
  <c r="M332" i="43"/>
  <c r="M331" i="43"/>
  <c r="T330" i="43"/>
  <c r="U332" i="43" s="1"/>
  <c r="R328" i="43"/>
  <c r="M328" i="43"/>
  <c r="R327" i="43"/>
  <c r="M327" i="43"/>
  <c r="R326" i="43"/>
  <c r="M326" i="43"/>
  <c r="R325" i="43"/>
  <c r="M325" i="43"/>
  <c r="R324" i="43"/>
  <c r="M324" i="43"/>
  <c r="R323" i="43"/>
  <c r="M323" i="43"/>
  <c r="R322" i="43"/>
  <c r="M322" i="43"/>
  <c r="R321" i="43"/>
  <c r="M321" i="43"/>
  <c r="R320" i="43"/>
  <c r="M320" i="43"/>
  <c r="R319" i="43"/>
  <c r="M319" i="43"/>
  <c r="R318" i="43"/>
  <c r="M318" i="43"/>
  <c r="R317" i="43"/>
  <c r="M317" i="43"/>
  <c r="R316" i="43"/>
  <c r="M316" i="43"/>
  <c r="R315" i="43"/>
  <c r="M315" i="43"/>
  <c r="R314" i="43"/>
  <c r="M314" i="43"/>
  <c r="R313" i="43"/>
  <c r="M313" i="43"/>
  <c r="R312" i="43"/>
  <c r="M312" i="43"/>
  <c r="R311" i="43"/>
  <c r="M311" i="43"/>
  <c r="M310" i="43"/>
  <c r="R309" i="43"/>
  <c r="M309" i="43"/>
  <c r="M308" i="43"/>
  <c r="R307" i="43"/>
  <c r="M307" i="43"/>
  <c r="M306" i="43"/>
  <c r="R305" i="43"/>
  <c r="M305" i="43"/>
  <c r="R304" i="43"/>
  <c r="M304" i="43"/>
  <c r="R303" i="43"/>
  <c r="M303" i="43"/>
  <c r="R302" i="43"/>
  <c r="M302" i="43"/>
  <c r="R301" i="43"/>
  <c r="M301" i="43"/>
  <c r="R300" i="43"/>
  <c r="M300" i="43"/>
  <c r="R299" i="43"/>
  <c r="M299" i="43"/>
  <c r="M298" i="43"/>
  <c r="R297" i="43"/>
  <c r="M297" i="43"/>
  <c r="R296" i="43"/>
  <c r="M296" i="43"/>
  <c r="R295" i="43"/>
  <c r="M295" i="43"/>
  <c r="R294" i="43"/>
  <c r="M294" i="43"/>
  <c r="R293" i="43"/>
  <c r="M293" i="43"/>
  <c r="R292" i="43"/>
  <c r="M292" i="43"/>
  <c r="R291" i="43"/>
  <c r="M291" i="43"/>
  <c r="M290" i="43"/>
  <c r="R289" i="43"/>
  <c r="M289" i="43"/>
  <c r="R288" i="43"/>
  <c r="M288" i="43"/>
  <c r="R287" i="43"/>
  <c r="M287" i="43"/>
  <c r="R286" i="43"/>
  <c r="M286" i="43"/>
  <c r="R285" i="43"/>
  <c r="M285" i="43"/>
  <c r="R284" i="43"/>
  <c r="M284" i="43"/>
  <c r="M281" i="43"/>
  <c r="M280" i="43"/>
  <c r="M279" i="43"/>
  <c r="M278" i="43"/>
  <c r="M275" i="43"/>
  <c r="M274" i="43"/>
  <c r="E271" i="43"/>
  <c r="S271" i="43" s="1"/>
  <c r="E270" i="43"/>
  <c r="U270" i="43" s="1"/>
  <c r="U269" i="43"/>
  <c r="S269" i="43"/>
  <c r="U268" i="43"/>
  <c r="S268" i="43"/>
  <c r="U267" i="43"/>
  <c r="S267" i="43"/>
  <c r="U266" i="43"/>
  <c r="S266" i="43"/>
  <c r="U265" i="43"/>
  <c r="S265" i="43"/>
  <c r="U264" i="43"/>
  <c r="S264" i="43"/>
  <c r="U263" i="43"/>
  <c r="S263" i="43"/>
  <c r="U262" i="43"/>
  <c r="S262" i="43"/>
  <c r="U261" i="43"/>
  <c r="S261" i="43"/>
  <c r="U260" i="43"/>
  <c r="S260" i="43"/>
  <c r="U259" i="43"/>
  <c r="S259" i="43"/>
  <c r="U258" i="43"/>
  <c r="S258" i="43"/>
  <c r="U257" i="43"/>
  <c r="S257" i="43"/>
  <c r="V256" i="43"/>
  <c r="G256" i="43" s="1"/>
  <c r="R256" i="43" s="1"/>
  <c r="U256" i="43"/>
  <c r="S256" i="43"/>
  <c r="U255" i="43"/>
  <c r="S255" i="43"/>
  <c r="U254" i="43"/>
  <c r="S254" i="43"/>
  <c r="U253" i="43"/>
  <c r="S253" i="43"/>
  <c r="U252" i="43"/>
  <c r="S252" i="43"/>
  <c r="U251" i="43"/>
  <c r="S251" i="43"/>
  <c r="V250" i="43"/>
  <c r="G250" i="43" s="1"/>
  <c r="R250" i="43" s="1"/>
  <c r="U250" i="43"/>
  <c r="S250" i="43"/>
  <c r="U249" i="43"/>
  <c r="S249" i="43"/>
  <c r="U248" i="43"/>
  <c r="S248" i="43"/>
  <c r="U247" i="43"/>
  <c r="S247" i="43"/>
  <c r="U246" i="43"/>
  <c r="S246" i="43"/>
  <c r="U245" i="43"/>
  <c r="S245" i="43"/>
  <c r="U244" i="43"/>
  <c r="S244" i="43"/>
  <c r="U243" i="43"/>
  <c r="S243" i="43"/>
  <c r="M241" i="43"/>
  <c r="M262" i="43" s="1"/>
  <c r="F241" i="43"/>
  <c r="T240" i="43"/>
  <c r="M239" i="43"/>
  <c r="M238" i="43"/>
  <c r="T237" i="43"/>
  <c r="R235" i="43"/>
  <c r="M235" i="43"/>
  <c r="F233" i="43"/>
  <c r="R232" i="43"/>
  <c r="M232" i="43"/>
  <c r="T230" i="43"/>
  <c r="R229" i="43"/>
  <c r="M229" i="43"/>
  <c r="M228" i="43"/>
  <c r="T227" i="43"/>
  <c r="U229" i="43" s="1"/>
  <c r="S225" i="43"/>
  <c r="R225" i="43"/>
  <c r="M225" i="43"/>
  <c r="F223" i="43"/>
  <c r="S222" i="43"/>
  <c r="R222" i="43"/>
  <c r="M222" i="43"/>
  <c r="T220" i="43"/>
  <c r="R219" i="43"/>
  <c r="M219" i="43"/>
  <c r="R218" i="43"/>
  <c r="M218" i="43"/>
  <c r="T217" i="43"/>
  <c r="F216" i="43"/>
  <c r="S215" i="43"/>
  <c r="F215" i="43" s="1"/>
  <c r="R215" i="43"/>
  <c r="M215" i="43"/>
  <c r="F213" i="43"/>
  <c r="S212" i="43"/>
  <c r="F212" i="43" s="1"/>
  <c r="R212" i="43"/>
  <c r="M212" i="43"/>
  <c r="T210" i="43"/>
  <c r="F210" i="43"/>
  <c r="S209" i="43"/>
  <c r="R209" i="43"/>
  <c r="M209" i="43"/>
  <c r="R208" i="43"/>
  <c r="M208" i="43"/>
  <c r="F206" i="43"/>
  <c r="S205" i="43"/>
  <c r="R205" i="43"/>
  <c r="M205" i="43"/>
  <c r="R204" i="43"/>
  <c r="M204" i="43"/>
  <c r="S201" i="43"/>
  <c r="R201" i="43"/>
  <c r="G201" i="43"/>
  <c r="S200" i="43"/>
  <c r="R200" i="43"/>
  <c r="S199" i="43"/>
  <c r="R199" i="43"/>
  <c r="R198" i="43"/>
  <c r="S197" i="43"/>
  <c r="R197" i="43"/>
  <c r="R196" i="43"/>
  <c r="S195" i="43"/>
  <c r="R195" i="43"/>
  <c r="R194" i="43"/>
  <c r="S193" i="43"/>
  <c r="R193" i="43"/>
  <c r="R192" i="43"/>
  <c r="S191" i="43"/>
  <c r="R191" i="43"/>
  <c r="M191" i="43"/>
  <c r="R190" i="43"/>
  <c r="F190" i="43"/>
  <c r="S189" i="43"/>
  <c r="R189" i="43"/>
  <c r="R188" i="43"/>
  <c r="M187" i="43"/>
  <c r="M201" i="43" s="1"/>
  <c r="F187" i="43"/>
  <c r="T186" i="43"/>
  <c r="R185" i="43"/>
  <c r="M185" i="43"/>
  <c r="E185" i="43"/>
  <c r="S185" i="43" s="1"/>
  <c r="U184" i="43"/>
  <c r="S184" i="43"/>
  <c r="F184" i="43" s="1"/>
  <c r="V184" i="43" s="1"/>
  <c r="G184" i="43" s="1"/>
  <c r="R184" i="43"/>
  <c r="M184" i="43"/>
  <c r="R181" i="43"/>
  <c r="M181" i="43"/>
  <c r="E181" i="43"/>
  <c r="S181" i="43" s="1"/>
  <c r="U180" i="43"/>
  <c r="S180" i="43"/>
  <c r="F180" i="43" s="1"/>
  <c r="R180" i="43"/>
  <c r="M180" i="43"/>
  <c r="R177" i="43"/>
  <c r="M177" i="43"/>
  <c r="E177" i="43"/>
  <c r="S177" i="43" s="1"/>
  <c r="U176" i="43"/>
  <c r="S176" i="43"/>
  <c r="F176" i="43" s="1"/>
  <c r="V176" i="43" s="1"/>
  <c r="G176" i="43" s="1"/>
  <c r="R176" i="43"/>
  <c r="M176" i="43"/>
  <c r="R175" i="43"/>
  <c r="M175" i="43"/>
  <c r="E175" i="43"/>
  <c r="U174" i="43"/>
  <c r="S174" i="43"/>
  <c r="F174" i="43" s="1"/>
  <c r="R174" i="43"/>
  <c r="M174" i="43"/>
  <c r="T173" i="43"/>
  <c r="T172" i="43"/>
  <c r="F172" i="43"/>
  <c r="S171" i="43"/>
  <c r="R171" i="43"/>
  <c r="M171" i="43"/>
  <c r="R170" i="43"/>
  <c r="M170" i="43"/>
  <c r="S169" i="43"/>
  <c r="R169" i="43"/>
  <c r="R168" i="43"/>
  <c r="M168" i="43"/>
  <c r="M169" i="43" s="1"/>
  <c r="F167" i="43"/>
  <c r="T166" i="43"/>
  <c r="S165" i="43"/>
  <c r="R165" i="43"/>
  <c r="M165" i="43"/>
  <c r="R164" i="43"/>
  <c r="M164" i="43"/>
  <c r="S163" i="43"/>
  <c r="R163" i="43"/>
  <c r="M163" i="43"/>
  <c r="R162" i="43"/>
  <c r="M162" i="43"/>
  <c r="G161" i="43"/>
  <c r="T161" i="43" s="1"/>
  <c r="F161" i="43"/>
  <c r="S159" i="43"/>
  <c r="R159" i="43"/>
  <c r="M159" i="43"/>
  <c r="F159" i="43"/>
  <c r="F160" i="43" s="1"/>
  <c r="F157" i="43"/>
  <c r="R156" i="43"/>
  <c r="M156" i="43"/>
  <c r="R153" i="43"/>
  <c r="M153" i="43"/>
  <c r="F153" i="43"/>
  <c r="F154" i="43" s="1"/>
  <c r="F155" i="43" s="1"/>
  <c r="F151" i="43"/>
  <c r="R150" i="43"/>
  <c r="M150" i="43"/>
  <c r="F148" i="43"/>
  <c r="S147" i="43"/>
  <c r="R147" i="43"/>
  <c r="M147" i="43"/>
  <c r="F145" i="43"/>
  <c r="S144" i="43"/>
  <c r="R144" i="43"/>
  <c r="M144" i="43"/>
  <c r="S143" i="43"/>
  <c r="R143" i="43"/>
  <c r="M143" i="43"/>
  <c r="S142" i="43"/>
  <c r="R142" i="43"/>
  <c r="M142" i="43"/>
  <c r="S141" i="43"/>
  <c r="R141" i="43"/>
  <c r="M141" i="43"/>
  <c r="S140" i="43"/>
  <c r="R140" i="43"/>
  <c r="M140" i="43"/>
  <c r="S139" i="43"/>
  <c r="R139" i="43"/>
  <c r="M139" i="43"/>
  <c r="F137" i="43"/>
  <c r="S136" i="43"/>
  <c r="R136" i="43"/>
  <c r="S135" i="43"/>
  <c r="R135" i="43"/>
  <c r="S134" i="43"/>
  <c r="R134" i="43"/>
  <c r="S133" i="43"/>
  <c r="R133" i="43"/>
  <c r="S132" i="43"/>
  <c r="R132" i="43"/>
  <c r="R131" i="43"/>
  <c r="M130" i="43"/>
  <c r="M135" i="43" s="1"/>
  <c r="F130" i="43"/>
  <c r="F131" i="43" s="1"/>
  <c r="F129" i="43"/>
  <c r="S128" i="43"/>
  <c r="R128" i="43"/>
  <c r="M128" i="43"/>
  <c r="T127" i="43"/>
  <c r="S127" i="43"/>
  <c r="R127" i="43"/>
  <c r="M127" i="43"/>
  <c r="V126" i="43"/>
  <c r="G126" i="43" s="1"/>
  <c r="U126" i="43"/>
  <c r="S126" i="43"/>
  <c r="R126" i="43"/>
  <c r="M126" i="43"/>
  <c r="V125" i="43"/>
  <c r="G125" i="43" s="1"/>
  <c r="U125" i="43"/>
  <c r="S125" i="43"/>
  <c r="R125" i="43"/>
  <c r="M125" i="43"/>
  <c r="V124" i="43"/>
  <c r="G124" i="43" s="1"/>
  <c r="U124" i="43"/>
  <c r="S124" i="43"/>
  <c r="F124" i="43" s="1"/>
  <c r="R124" i="43"/>
  <c r="M124" i="43"/>
  <c r="T123" i="43"/>
  <c r="F122" i="43"/>
  <c r="S121" i="43"/>
  <c r="R121" i="43"/>
  <c r="T120" i="43"/>
  <c r="S120" i="43"/>
  <c r="R120" i="43"/>
  <c r="I119" i="43"/>
  <c r="R119" i="43" s="1"/>
  <c r="I118" i="43"/>
  <c r="R118" i="43" s="1"/>
  <c r="R117" i="43"/>
  <c r="M116" i="43"/>
  <c r="M118" i="43" s="1"/>
  <c r="F116" i="43"/>
  <c r="R114" i="43"/>
  <c r="E114" i="43"/>
  <c r="F115" i="43" s="1"/>
  <c r="R113" i="43"/>
  <c r="M112" i="43"/>
  <c r="F112" i="43"/>
  <c r="R110" i="43"/>
  <c r="M110" i="43"/>
  <c r="G110" i="43"/>
  <c r="E110" i="43"/>
  <c r="S109" i="43"/>
  <c r="F109" i="43" s="1"/>
  <c r="R109" i="43"/>
  <c r="M109" i="43"/>
  <c r="R106" i="43"/>
  <c r="G106" i="43"/>
  <c r="E106" i="43"/>
  <c r="F107" i="43" s="1"/>
  <c r="S105" i="43"/>
  <c r="F105" i="43" s="1"/>
  <c r="R105" i="43"/>
  <c r="F103" i="43"/>
  <c r="S102" i="43"/>
  <c r="R102" i="43"/>
  <c r="M102" i="43"/>
  <c r="R101" i="43"/>
  <c r="M101" i="43"/>
  <c r="F100" i="43"/>
  <c r="F99" i="43"/>
  <c r="S98" i="43"/>
  <c r="R98" i="43"/>
  <c r="R97" i="43"/>
  <c r="R96" i="43"/>
  <c r="M95" i="43"/>
  <c r="M98" i="43" s="1"/>
  <c r="S94" i="43"/>
  <c r="R94" i="43"/>
  <c r="S93" i="43"/>
  <c r="R93" i="43"/>
  <c r="R92" i="43"/>
  <c r="R91" i="43"/>
  <c r="M90" i="43"/>
  <c r="M93" i="43" s="1"/>
  <c r="S89" i="43"/>
  <c r="R89" i="43"/>
  <c r="S88" i="43"/>
  <c r="R88" i="43"/>
  <c r="S87" i="43"/>
  <c r="R87" i="43"/>
  <c r="S86" i="43"/>
  <c r="R86" i="43"/>
  <c r="S85" i="43"/>
  <c r="R85" i="43"/>
  <c r="S84" i="43"/>
  <c r="R84" i="43"/>
  <c r="R83" i="43"/>
  <c r="S82" i="43"/>
  <c r="R82" i="43"/>
  <c r="R81" i="43"/>
  <c r="R80" i="43"/>
  <c r="S79" i="43"/>
  <c r="R79" i="43"/>
  <c r="R76" i="43"/>
  <c r="M75" i="43"/>
  <c r="M76" i="43" s="1"/>
  <c r="R74" i="43"/>
  <c r="M73" i="43"/>
  <c r="M74" i="43" s="1"/>
  <c r="R72" i="43"/>
  <c r="M71" i="43"/>
  <c r="M72" i="43" s="1"/>
  <c r="R70" i="43"/>
  <c r="M69" i="43"/>
  <c r="M70" i="43" s="1"/>
  <c r="R68" i="43"/>
  <c r="R66" i="43"/>
  <c r="M66" i="43"/>
  <c r="E66" i="43"/>
  <c r="R65" i="43"/>
  <c r="M65" i="43"/>
  <c r="R63" i="43"/>
  <c r="M63" i="43"/>
  <c r="E63" i="43"/>
  <c r="R62" i="43"/>
  <c r="R60" i="43"/>
  <c r="R59" i="43"/>
  <c r="R58" i="43"/>
  <c r="E58" i="43"/>
  <c r="R57" i="43"/>
  <c r="G57" i="43"/>
  <c r="G58" i="43" s="1"/>
  <c r="F57" i="43"/>
  <c r="R56" i="43"/>
  <c r="E56" i="43"/>
  <c r="R55" i="43"/>
  <c r="F55" i="43"/>
  <c r="F74" i="43" s="1"/>
  <c r="F76" i="43" s="1"/>
  <c r="R54" i="43"/>
  <c r="R53" i="43"/>
  <c r="G53" i="43"/>
  <c r="E53" i="43"/>
  <c r="R52" i="43"/>
  <c r="T51" i="43"/>
  <c r="R51" i="43"/>
  <c r="E51" i="43"/>
  <c r="S51" i="43" s="1"/>
  <c r="U50" i="43"/>
  <c r="S50" i="43"/>
  <c r="R50" i="43"/>
  <c r="R49" i="43"/>
  <c r="G49" i="43"/>
  <c r="E49" i="43"/>
  <c r="R48" i="43"/>
  <c r="R47" i="43"/>
  <c r="E47" i="43"/>
  <c r="R46" i="43"/>
  <c r="R45" i="43"/>
  <c r="E45" i="43"/>
  <c r="R44" i="43"/>
  <c r="R43" i="43"/>
  <c r="E43" i="43"/>
  <c r="R42" i="43"/>
  <c r="M41" i="43"/>
  <c r="M67" i="43" s="1"/>
  <c r="M68" i="43" s="1"/>
  <c r="R39" i="43"/>
  <c r="M38" i="43"/>
  <c r="M39" i="43" s="1"/>
  <c r="R37" i="43"/>
  <c r="M36" i="43"/>
  <c r="M37" i="43" s="1"/>
  <c r="R35" i="43"/>
  <c r="M35" i="43"/>
  <c r="R33" i="43"/>
  <c r="M33" i="43"/>
  <c r="E33" i="43"/>
  <c r="R32" i="43"/>
  <c r="M32" i="43"/>
  <c r="G32" i="43"/>
  <c r="G33" i="43" s="1"/>
  <c r="R30" i="43"/>
  <c r="M30" i="43"/>
  <c r="E30" i="43"/>
  <c r="R29" i="43"/>
  <c r="M29" i="43"/>
  <c r="G29" i="43"/>
  <c r="G30" i="43" s="1"/>
  <c r="R27" i="43"/>
  <c r="M27" i="43"/>
  <c r="R26" i="43"/>
  <c r="M26" i="43"/>
  <c r="G59" i="43"/>
  <c r="G60" i="43" s="1"/>
  <c r="R25" i="43"/>
  <c r="M25" i="43"/>
  <c r="G25" i="43"/>
  <c r="E25" i="43"/>
  <c r="R24" i="43"/>
  <c r="M24" i="43"/>
  <c r="T23" i="43"/>
  <c r="R23" i="43"/>
  <c r="M23" i="43"/>
  <c r="E23" i="43"/>
  <c r="R22" i="43"/>
  <c r="M22" i="43"/>
  <c r="R21" i="43"/>
  <c r="M21" i="43"/>
  <c r="E21" i="43"/>
  <c r="R20" i="43"/>
  <c r="M20" i="43"/>
  <c r="R19" i="43"/>
  <c r="M19" i="43"/>
  <c r="R18" i="43"/>
  <c r="M18" i="43"/>
  <c r="J15" i="43"/>
  <c r="O14" i="43"/>
  <c r="O13" i="43"/>
  <c r="O12" i="43"/>
  <c r="C56" i="43" s="1"/>
  <c r="M12" i="43"/>
  <c r="O11" i="43"/>
  <c r="M11" i="43"/>
  <c r="U9" i="43"/>
  <c r="K7" i="43"/>
  <c r="V1" i="43"/>
  <c r="U1" i="43"/>
  <c r="U7" i="43" s="1"/>
  <c r="T1" i="43"/>
  <c r="F410" i="42"/>
  <c r="R409" i="42"/>
  <c r="M409" i="42"/>
  <c r="R408" i="42"/>
  <c r="M408" i="42"/>
  <c r="R407" i="42"/>
  <c r="M407" i="42"/>
  <c r="R406" i="42"/>
  <c r="M406" i="42"/>
  <c r="R403" i="42"/>
  <c r="M403" i="42"/>
  <c r="F401" i="42"/>
  <c r="R400" i="42"/>
  <c r="M400" i="42"/>
  <c r="R399" i="42"/>
  <c r="M399" i="42"/>
  <c r="R398" i="42"/>
  <c r="M398" i="42"/>
  <c r="R397" i="42"/>
  <c r="M397" i="42"/>
  <c r="R396" i="42"/>
  <c r="M396" i="42"/>
  <c r="F394" i="42"/>
  <c r="R393" i="42"/>
  <c r="M393" i="42"/>
  <c r="R392" i="42"/>
  <c r="M392" i="42"/>
  <c r="R391" i="42"/>
  <c r="M391" i="42"/>
  <c r="R390" i="42"/>
  <c r="M390" i="42"/>
  <c r="R389" i="42"/>
  <c r="M389" i="42"/>
  <c r="R388" i="42"/>
  <c r="M388" i="42"/>
  <c r="R387" i="42"/>
  <c r="M387" i="42"/>
  <c r="R386" i="42"/>
  <c r="M386" i="42"/>
  <c r="R385" i="42"/>
  <c r="M385" i="42"/>
  <c r="R384" i="42"/>
  <c r="M384" i="42"/>
  <c r="R383" i="42"/>
  <c r="M383" i="42"/>
  <c r="R382" i="42"/>
  <c r="M382" i="42"/>
  <c r="R381" i="42"/>
  <c r="M381" i="42"/>
  <c r="T379" i="42"/>
  <c r="U378" i="42"/>
  <c r="S378" i="42"/>
  <c r="R378" i="42"/>
  <c r="M378" i="42"/>
  <c r="R377" i="42"/>
  <c r="M377" i="42"/>
  <c r="R376" i="42"/>
  <c r="M376" i="42"/>
  <c r="R375" i="42"/>
  <c r="M375" i="42"/>
  <c r="R374" i="42"/>
  <c r="M374" i="42"/>
  <c r="R373" i="42"/>
  <c r="M373" i="42"/>
  <c r="R372" i="42"/>
  <c r="M372" i="42"/>
  <c r="R371" i="42"/>
  <c r="M371" i="42"/>
  <c r="T370" i="42"/>
  <c r="U376" i="42" s="1"/>
  <c r="R368" i="42"/>
  <c r="M368" i="42"/>
  <c r="F368" i="42"/>
  <c r="F369" i="42" s="1"/>
  <c r="R367" i="42"/>
  <c r="M367" i="42"/>
  <c r="R366" i="42"/>
  <c r="M366" i="42"/>
  <c r="R365" i="42"/>
  <c r="M365" i="42"/>
  <c r="R362" i="42"/>
  <c r="M362" i="42"/>
  <c r="R361" i="42"/>
  <c r="M361" i="42"/>
  <c r="R360" i="42"/>
  <c r="M360" i="42"/>
  <c r="R359" i="42"/>
  <c r="M359" i="42"/>
  <c r="R358" i="42"/>
  <c r="M358" i="42"/>
  <c r="R357" i="42"/>
  <c r="M357" i="42"/>
  <c r="R356" i="42"/>
  <c r="M356" i="42"/>
  <c r="R355" i="42"/>
  <c r="M355" i="42"/>
  <c r="R354" i="42"/>
  <c r="M354" i="42"/>
  <c r="R353" i="42"/>
  <c r="M353" i="42"/>
  <c r="R352" i="42"/>
  <c r="M352" i="42"/>
  <c r="F350" i="42"/>
  <c r="R349" i="42"/>
  <c r="M349" i="42"/>
  <c r="R348" i="42"/>
  <c r="M348" i="42"/>
  <c r="R347" i="42"/>
  <c r="M347" i="42"/>
  <c r="R346" i="42"/>
  <c r="M346" i="42"/>
  <c r="T343" i="42"/>
  <c r="R343" i="42"/>
  <c r="M343" i="42"/>
  <c r="R342" i="42"/>
  <c r="M342" i="42"/>
  <c r="R341" i="42"/>
  <c r="M341" i="42"/>
  <c r="R340" i="42"/>
  <c r="M340" i="42"/>
  <c r="R339" i="42"/>
  <c r="M339" i="42"/>
  <c r="R338" i="42"/>
  <c r="M338" i="42"/>
  <c r="T337" i="42"/>
  <c r="U341" i="42" s="1"/>
  <c r="T336" i="42"/>
  <c r="M335" i="42"/>
  <c r="M334" i="42"/>
  <c r="M333" i="42"/>
  <c r="M332" i="42"/>
  <c r="M331" i="42"/>
  <c r="T330" i="42"/>
  <c r="R328" i="42"/>
  <c r="M328" i="42"/>
  <c r="R327" i="42"/>
  <c r="M327" i="42"/>
  <c r="R326" i="42"/>
  <c r="M326" i="42"/>
  <c r="R325" i="42"/>
  <c r="M325" i="42"/>
  <c r="R324" i="42"/>
  <c r="M324" i="42"/>
  <c r="R323" i="42"/>
  <c r="M323" i="42"/>
  <c r="R322" i="42"/>
  <c r="M322" i="42"/>
  <c r="R321" i="42"/>
  <c r="M321" i="42"/>
  <c r="R320" i="42"/>
  <c r="M320" i="42"/>
  <c r="R319" i="42"/>
  <c r="M319" i="42"/>
  <c r="R318" i="42"/>
  <c r="M318" i="42"/>
  <c r="R317" i="42"/>
  <c r="M317" i="42"/>
  <c r="R316" i="42"/>
  <c r="M316" i="42"/>
  <c r="R315" i="42"/>
  <c r="M315" i="42"/>
  <c r="R314" i="42"/>
  <c r="M314" i="42"/>
  <c r="R313" i="42"/>
  <c r="M313" i="42"/>
  <c r="R312" i="42"/>
  <c r="M312" i="42"/>
  <c r="R311" i="42"/>
  <c r="M311" i="42"/>
  <c r="M310" i="42"/>
  <c r="R309" i="42"/>
  <c r="M309" i="42"/>
  <c r="M308" i="42"/>
  <c r="R307" i="42"/>
  <c r="M307" i="42"/>
  <c r="M306" i="42"/>
  <c r="R305" i="42"/>
  <c r="M305" i="42"/>
  <c r="R304" i="42"/>
  <c r="M304" i="42"/>
  <c r="R303" i="42"/>
  <c r="M303" i="42"/>
  <c r="R302" i="42"/>
  <c r="M302" i="42"/>
  <c r="R301" i="42"/>
  <c r="M301" i="42"/>
  <c r="R300" i="42"/>
  <c r="M300" i="42"/>
  <c r="R299" i="42"/>
  <c r="M299" i="42"/>
  <c r="M298" i="42"/>
  <c r="R297" i="42"/>
  <c r="M297" i="42"/>
  <c r="R296" i="42"/>
  <c r="M296" i="42"/>
  <c r="R295" i="42"/>
  <c r="M295" i="42"/>
  <c r="R294" i="42"/>
  <c r="M294" i="42"/>
  <c r="R293" i="42"/>
  <c r="M293" i="42"/>
  <c r="R292" i="42"/>
  <c r="M292" i="42"/>
  <c r="R291" i="42"/>
  <c r="M291" i="42"/>
  <c r="M290" i="42"/>
  <c r="R289" i="42"/>
  <c r="M289" i="42"/>
  <c r="R288" i="42"/>
  <c r="M288" i="42"/>
  <c r="R287" i="42"/>
  <c r="M287" i="42"/>
  <c r="R286" i="42"/>
  <c r="M286" i="42"/>
  <c r="R285" i="42"/>
  <c r="M285" i="42"/>
  <c r="R284" i="42"/>
  <c r="M284" i="42"/>
  <c r="M281" i="42"/>
  <c r="M280" i="42"/>
  <c r="M279" i="42"/>
  <c r="M278" i="42"/>
  <c r="M275" i="42"/>
  <c r="M274" i="42"/>
  <c r="E271" i="42"/>
  <c r="S271" i="42" s="1"/>
  <c r="E270" i="42"/>
  <c r="U269" i="42"/>
  <c r="S269" i="42"/>
  <c r="U268" i="42"/>
  <c r="S268" i="42"/>
  <c r="U267" i="42"/>
  <c r="S267" i="42"/>
  <c r="U266" i="42"/>
  <c r="S266" i="42"/>
  <c r="U265" i="42"/>
  <c r="S265" i="42"/>
  <c r="U264" i="42"/>
  <c r="S264" i="42"/>
  <c r="U263" i="42"/>
  <c r="S263" i="42"/>
  <c r="U262" i="42"/>
  <c r="S262" i="42"/>
  <c r="U261" i="42"/>
  <c r="S261" i="42"/>
  <c r="U260" i="42"/>
  <c r="S260" i="42"/>
  <c r="U259" i="42"/>
  <c r="S259" i="42"/>
  <c r="U258" i="42"/>
  <c r="S258" i="42"/>
  <c r="U257" i="42"/>
  <c r="S257" i="42"/>
  <c r="V256" i="42"/>
  <c r="G256" i="42" s="1"/>
  <c r="R256" i="42" s="1"/>
  <c r="U256" i="42"/>
  <c r="S256" i="42"/>
  <c r="U255" i="42"/>
  <c r="S255" i="42"/>
  <c r="U254" i="42"/>
  <c r="S254" i="42"/>
  <c r="U253" i="42"/>
  <c r="S253" i="42"/>
  <c r="U252" i="42"/>
  <c r="S252" i="42"/>
  <c r="U251" i="42"/>
  <c r="S251" i="42"/>
  <c r="V250" i="42"/>
  <c r="G250" i="42" s="1"/>
  <c r="R250" i="42" s="1"/>
  <c r="U250" i="42"/>
  <c r="S250" i="42"/>
  <c r="U249" i="42"/>
  <c r="S249" i="42"/>
  <c r="U248" i="42"/>
  <c r="S248" i="42"/>
  <c r="U247" i="42"/>
  <c r="S247" i="42"/>
  <c r="U246" i="42"/>
  <c r="S246" i="42"/>
  <c r="U245" i="42"/>
  <c r="S245" i="42"/>
  <c r="U244" i="42"/>
  <c r="S244" i="42"/>
  <c r="U243" i="42"/>
  <c r="S243" i="42"/>
  <c r="M241" i="42"/>
  <c r="M256" i="42" s="1"/>
  <c r="F241" i="42"/>
  <c r="T240" i="42"/>
  <c r="M239" i="42"/>
  <c r="M238" i="42"/>
  <c r="T237" i="42"/>
  <c r="U239" i="42" s="1"/>
  <c r="R235" i="42"/>
  <c r="M235" i="42"/>
  <c r="F233" i="42"/>
  <c r="R232" i="42"/>
  <c r="M232" i="42"/>
  <c r="T230" i="42"/>
  <c r="R229" i="42"/>
  <c r="M229" i="42"/>
  <c r="M228" i="42"/>
  <c r="T227" i="42"/>
  <c r="U228" i="42" s="1"/>
  <c r="S225" i="42"/>
  <c r="R225" i="42"/>
  <c r="M225" i="42"/>
  <c r="F223" i="42"/>
  <c r="S222" i="42"/>
  <c r="R222" i="42"/>
  <c r="M222" i="42"/>
  <c r="T220" i="42"/>
  <c r="R219" i="42"/>
  <c r="M219" i="42"/>
  <c r="R218" i="42"/>
  <c r="M218" i="42"/>
  <c r="T217" i="42"/>
  <c r="U219" i="42" s="1"/>
  <c r="S215" i="42"/>
  <c r="F215" i="42" s="1"/>
  <c r="R215" i="42"/>
  <c r="M215" i="42"/>
  <c r="F213" i="42"/>
  <c r="S212" i="42"/>
  <c r="F212" i="42" s="1"/>
  <c r="R212" i="42"/>
  <c r="M212" i="42"/>
  <c r="T210" i="42"/>
  <c r="F210" i="42"/>
  <c r="S209" i="42"/>
  <c r="R209" i="42"/>
  <c r="M209" i="42"/>
  <c r="R208" i="42"/>
  <c r="M208" i="42"/>
  <c r="F206" i="42"/>
  <c r="S205" i="42"/>
  <c r="R205" i="42"/>
  <c r="M205" i="42"/>
  <c r="R204" i="42"/>
  <c r="M204" i="42"/>
  <c r="S201" i="42"/>
  <c r="R201" i="42"/>
  <c r="G201" i="42"/>
  <c r="S200" i="42"/>
  <c r="R200" i="42"/>
  <c r="S199" i="42"/>
  <c r="R199" i="42"/>
  <c r="R198" i="42"/>
  <c r="S197" i="42"/>
  <c r="R197" i="42"/>
  <c r="R196" i="42"/>
  <c r="S195" i="42"/>
  <c r="R195" i="42"/>
  <c r="R194" i="42"/>
  <c r="S193" i="42"/>
  <c r="R193" i="42"/>
  <c r="R192" i="42"/>
  <c r="S191" i="42"/>
  <c r="R191" i="42"/>
  <c r="M191" i="42"/>
  <c r="R190" i="42"/>
  <c r="F190" i="42"/>
  <c r="S189" i="42"/>
  <c r="R189" i="42"/>
  <c r="R188" i="42"/>
  <c r="M187" i="42"/>
  <c r="M200" i="42" s="1"/>
  <c r="F187" i="42"/>
  <c r="T186" i="42"/>
  <c r="R185" i="42"/>
  <c r="M185" i="42"/>
  <c r="E185" i="42"/>
  <c r="S185" i="42" s="1"/>
  <c r="U184" i="42"/>
  <c r="S184" i="42"/>
  <c r="F184" i="42" s="1"/>
  <c r="V184" i="42" s="1"/>
  <c r="G184" i="42" s="1"/>
  <c r="R184" i="42"/>
  <c r="M184" i="42"/>
  <c r="R181" i="42"/>
  <c r="M181" i="42"/>
  <c r="E181" i="42"/>
  <c r="S181" i="42" s="1"/>
  <c r="U180" i="42"/>
  <c r="S180" i="42"/>
  <c r="F180" i="42" s="1"/>
  <c r="V180" i="42" s="1"/>
  <c r="G180" i="42" s="1"/>
  <c r="R180" i="42"/>
  <c r="M180" i="42"/>
  <c r="R177" i="42"/>
  <c r="M177" i="42"/>
  <c r="E177" i="42"/>
  <c r="S177" i="42" s="1"/>
  <c r="U176" i="42"/>
  <c r="S176" i="42"/>
  <c r="F176" i="42" s="1"/>
  <c r="V176" i="42" s="1"/>
  <c r="G176" i="42" s="1"/>
  <c r="R176" i="42"/>
  <c r="M176" i="42"/>
  <c r="R175" i="42"/>
  <c r="M175" i="42"/>
  <c r="E175" i="42"/>
  <c r="S175" i="42" s="1"/>
  <c r="U174" i="42"/>
  <c r="S174" i="42"/>
  <c r="F174" i="42" s="1"/>
  <c r="R174" i="42"/>
  <c r="M174" i="42"/>
  <c r="T173" i="42"/>
  <c r="T172" i="42"/>
  <c r="S171" i="42"/>
  <c r="R171" i="42"/>
  <c r="M171" i="42"/>
  <c r="R170" i="42"/>
  <c r="M170" i="42"/>
  <c r="S169" i="42"/>
  <c r="R169" i="42"/>
  <c r="R168" i="42"/>
  <c r="M168" i="42"/>
  <c r="M169" i="42" s="1"/>
  <c r="F167" i="42"/>
  <c r="T166" i="42"/>
  <c r="S165" i="42"/>
  <c r="R165" i="42"/>
  <c r="M165" i="42"/>
  <c r="R164" i="42"/>
  <c r="M164" i="42"/>
  <c r="S163" i="42"/>
  <c r="R163" i="42"/>
  <c r="M163" i="42"/>
  <c r="R162" i="42"/>
  <c r="M162" i="42"/>
  <c r="G161" i="42"/>
  <c r="T161" i="42" s="1"/>
  <c r="U162" i="42" s="1"/>
  <c r="F161" i="42"/>
  <c r="S159" i="42"/>
  <c r="R159" i="42"/>
  <c r="M159" i="42"/>
  <c r="F159" i="42"/>
  <c r="F160" i="42" s="1"/>
  <c r="F157" i="42"/>
  <c r="R156" i="42"/>
  <c r="M156" i="42"/>
  <c r="R153" i="42"/>
  <c r="M153" i="42"/>
  <c r="F153" i="42"/>
  <c r="F154" i="42" s="1"/>
  <c r="F155" i="42" s="1"/>
  <c r="F151" i="42"/>
  <c r="R150" i="42"/>
  <c r="M150" i="42"/>
  <c r="F148" i="42"/>
  <c r="S147" i="42"/>
  <c r="R147" i="42"/>
  <c r="M147" i="42"/>
  <c r="F145" i="42"/>
  <c r="S144" i="42"/>
  <c r="R144" i="42"/>
  <c r="M144" i="42"/>
  <c r="S143" i="42"/>
  <c r="R143" i="42"/>
  <c r="M143" i="42"/>
  <c r="S142" i="42"/>
  <c r="R142" i="42"/>
  <c r="M142" i="42"/>
  <c r="S141" i="42"/>
  <c r="R141" i="42"/>
  <c r="M141" i="42"/>
  <c r="S140" i="42"/>
  <c r="R140" i="42"/>
  <c r="M140" i="42"/>
  <c r="S139" i="42"/>
  <c r="R139" i="42"/>
  <c r="M139" i="42"/>
  <c r="S136" i="42"/>
  <c r="R136" i="42"/>
  <c r="S135" i="42"/>
  <c r="R135" i="42"/>
  <c r="S134" i="42"/>
  <c r="R134" i="42"/>
  <c r="S133" i="42"/>
  <c r="R133" i="42"/>
  <c r="S132" i="42"/>
  <c r="R132" i="42"/>
  <c r="R131" i="42"/>
  <c r="M130" i="42"/>
  <c r="F130" i="42"/>
  <c r="F131" i="42" s="1"/>
  <c r="F137" i="42" s="1"/>
  <c r="F129" i="42"/>
  <c r="S128" i="42"/>
  <c r="R128" i="42"/>
  <c r="M128" i="42"/>
  <c r="T127" i="42"/>
  <c r="S127" i="42"/>
  <c r="R127" i="42"/>
  <c r="M127" i="42"/>
  <c r="V126" i="42"/>
  <c r="G126" i="42" s="1"/>
  <c r="U126" i="42"/>
  <c r="S126" i="42"/>
  <c r="R126" i="42"/>
  <c r="M126" i="42"/>
  <c r="V125" i="42"/>
  <c r="G125" i="42" s="1"/>
  <c r="U125" i="42"/>
  <c r="S125" i="42"/>
  <c r="R125" i="42"/>
  <c r="M125" i="42"/>
  <c r="V124" i="42"/>
  <c r="U124" i="42"/>
  <c r="S124" i="42"/>
  <c r="F124" i="42" s="1"/>
  <c r="R124" i="42"/>
  <c r="M124" i="42"/>
  <c r="T123" i="42"/>
  <c r="S121" i="42"/>
  <c r="R121" i="42"/>
  <c r="T120" i="42"/>
  <c r="S120" i="42"/>
  <c r="R120" i="42"/>
  <c r="I119" i="42"/>
  <c r="R119" i="42" s="1"/>
  <c r="I118" i="42"/>
  <c r="R117" i="42"/>
  <c r="M116" i="42"/>
  <c r="M121" i="42" s="1"/>
  <c r="F116" i="42"/>
  <c r="R114" i="42"/>
  <c r="E114" i="42"/>
  <c r="R113" i="42"/>
  <c r="M112" i="42"/>
  <c r="F112" i="42"/>
  <c r="R110" i="42"/>
  <c r="M110" i="42"/>
  <c r="G110" i="42"/>
  <c r="E110" i="42"/>
  <c r="S110" i="42" s="1"/>
  <c r="S109" i="42"/>
  <c r="F109" i="42" s="1"/>
  <c r="R109" i="42"/>
  <c r="M109" i="42"/>
  <c r="R106" i="42"/>
  <c r="G106" i="42"/>
  <c r="E106" i="42"/>
  <c r="F107" i="42" s="1"/>
  <c r="S105" i="42"/>
  <c r="F105" i="42" s="1"/>
  <c r="R105" i="42"/>
  <c r="S102" i="42"/>
  <c r="R102" i="42"/>
  <c r="M102" i="42"/>
  <c r="R101" i="42"/>
  <c r="M101" i="42"/>
  <c r="F100" i="42"/>
  <c r="F99" i="42"/>
  <c r="S98" i="42"/>
  <c r="R98" i="42"/>
  <c r="R97" i="42"/>
  <c r="R96" i="42"/>
  <c r="M95" i="42"/>
  <c r="M97" i="42" s="1"/>
  <c r="S94" i="42"/>
  <c r="R94" i="42"/>
  <c r="S93" i="42"/>
  <c r="R93" i="42"/>
  <c r="R92" i="42"/>
  <c r="R91" i="42"/>
  <c r="M90" i="42"/>
  <c r="M94" i="42" s="1"/>
  <c r="S89" i="42"/>
  <c r="R89" i="42"/>
  <c r="S88" i="42"/>
  <c r="R88" i="42"/>
  <c r="S87" i="42"/>
  <c r="R87" i="42"/>
  <c r="S86" i="42"/>
  <c r="R86" i="42"/>
  <c r="S85" i="42"/>
  <c r="R85" i="42"/>
  <c r="S84" i="42"/>
  <c r="R84" i="42"/>
  <c r="R83" i="42"/>
  <c r="S82" i="42"/>
  <c r="R82" i="42"/>
  <c r="R81" i="42"/>
  <c r="R80" i="42"/>
  <c r="S79" i="42"/>
  <c r="R79" i="42"/>
  <c r="R76" i="42"/>
  <c r="M75" i="42"/>
  <c r="M76" i="42" s="1"/>
  <c r="R74" i="42"/>
  <c r="M73" i="42"/>
  <c r="M74" i="42" s="1"/>
  <c r="R72" i="42"/>
  <c r="M71" i="42"/>
  <c r="M72" i="42" s="1"/>
  <c r="R70" i="42"/>
  <c r="M69" i="42"/>
  <c r="M70" i="42" s="1"/>
  <c r="R68" i="42"/>
  <c r="R66" i="42"/>
  <c r="M66" i="42"/>
  <c r="E66" i="42"/>
  <c r="R65" i="42"/>
  <c r="M65" i="42"/>
  <c r="R63" i="42"/>
  <c r="M63" i="42"/>
  <c r="E63" i="42"/>
  <c r="R62" i="42"/>
  <c r="R60" i="42"/>
  <c r="R59" i="42"/>
  <c r="R58" i="42"/>
  <c r="E58" i="42"/>
  <c r="R57" i="42"/>
  <c r="G57" i="42"/>
  <c r="G58" i="42" s="1"/>
  <c r="F57" i="42"/>
  <c r="R56" i="42"/>
  <c r="E56" i="42"/>
  <c r="R55" i="42"/>
  <c r="F55" i="42"/>
  <c r="F74" i="42" s="1"/>
  <c r="F76" i="42" s="1"/>
  <c r="R54" i="42"/>
  <c r="R53" i="42"/>
  <c r="G53" i="42"/>
  <c r="E53" i="42"/>
  <c r="R52" i="42"/>
  <c r="T51" i="42"/>
  <c r="R51" i="42"/>
  <c r="E51" i="42"/>
  <c r="S51" i="42" s="1"/>
  <c r="U50" i="42"/>
  <c r="S50" i="42"/>
  <c r="R50" i="42"/>
  <c r="R49" i="42"/>
  <c r="G49" i="42"/>
  <c r="E49" i="42"/>
  <c r="R48" i="42"/>
  <c r="R47" i="42"/>
  <c r="E47" i="42"/>
  <c r="R46" i="42"/>
  <c r="R45" i="42"/>
  <c r="E45" i="42"/>
  <c r="R44" i="42"/>
  <c r="R43" i="42"/>
  <c r="E43" i="42"/>
  <c r="R42" i="42"/>
  <c r="M41" i="42"/>
  <c r="M46" i="42" s="1"/>
  <c r="R39" i="42"/>
  <c r="M38" i="42"/>
  <c r="M39" i="42" s="1"/>
  <c r="R37" i="42"/>
  <c r="M36" i="42"/>
  <c r="M37" i="42" s="1"/>
  <c r="R35" i="42"/>
  <c r="M35" i="42"/>
  <c r="R33" i="42"/>
  <c r="M33" i="42"/>
  <c r="E33" i="42"/>
  <c r="R32" i="42"/>
  <c r="M32" i="42"/>
  <c r="G32" i="42"/>
  <c r="G33" i="42" s="1"/>
  <c r="R30" i="42"/>
  <c r="M30" i="42"/>
  <c r="E30" i="42"/>
  <c r="R29" i="42"/>
  <c r="M29" i="42"/>
  <c r="G29" i="42"/>
  <c r="G30" i="42" s="1"/>
  <c r="R27" i="42"/>
  <c r="M27" i="42"/>
  <c r="R26" i="42"/>
  <c r="M26" i="42"/>
  <c r="G59" i="42"/>
  <c r="G60" i="42" s="1"/>
  <c r="R25" i="42"/>
  <c r="M25" i="42"/>
  <c r="G25" i="42"/>
  <c r="E25" i="42"/>
  <c r="R24" i="42"/>
  <c r="M24" i="42"/>
  <c r="T23" i="42"/>
  <c r="R23" i="42"/>
  <c r="M23" i="42"/>
  <c r="E23" i="42"/>
  <c r="R22" i="42"/>
  <c r="M22" i="42"/>
  <c r="R21" i="42"/>
  <c r="M21" i="42"/>
  <c r="E21" i="42"/>
  <c r="R20" i="42"/>
  <c r="M20" i="42"/>
  <c r="R19" i="42"/>
  <c r="M19" i="42"/>
  <c r="R18" i="42"/>
  <c r="M18" i="42"/>
  <c r="J15" i="42"/>
  <c r="O14" i="42"/>
  <c r="O13" i="42"/>
  <c r="O12" i="42"/>
  <c r="C43" i="42" s="1"/>
  <c r="M12" i="42"/>
  <c r="O11" i="42"/>
  <c r="M11" i="42"/>
  <c r="U9" i="42"/>
  <c r="K7" i="42"/>
  <c r="V1" i="42"/>
  <c r="U1" i="42"/>
  <c r="U7" i="42" s="1"/>
  <c r="T1" i="42"/>
  <c r="C11" i="7"/>
  <c r="C11" i="31"/>
  <c r="F41" i="41"/>
  <c r="F17" i="41"/>
  <c r="G3" i="38"/>
  <c r="G4" i="38"/>
  <c r="G5" i="38"/>
  <c r="G6" i="38"/>
  <c r="G7" i="38"/>
  <c r="G8" i="38"/>
  <c r="G9" i="38"/>
  <c r="G10" i="38"/>
  <c r="G11" i="38"/>
  <c r="G12" i="38"/>
  <c r="G13" i="38"/>
  <c r="G14" i="38"/>
  <c r="G15" i="38"/>
  <c r="G16" i="38"/>
  <c r="G17" i="38"/>
  <c r="G18" i="38"/>
  <c r="G19" i="38"/>
  <c r="G20" i="38"/>
  <c r="G21" i="38"/>
  <c r="G22" i="38"/>
  <c r="G23" i="38"/>
  <c r="G24" i="38"/>
  <c r="G25" i="38"/>
  <c r="G26" i="38"/>
  <c r="G27" i="38"/>
  <c r="G28" i="38"/>
  <c r="G29" i="38"/>
  <c r="G30" i="38"/>
  <c r="G31" i="38"/>
  <c r="G32" i="38"/>
  <c r="G33" i="38"/>
  <c r="G34" i="38"/>
  <c r="G35" i="38"/>
  <c r="G36" i="38"/>
  <c r="G37" i="38"/>
  <c r="G38" i="38"/>
  <c r="G39" i="38"/>
  <c r="G40" i="38"/>
  <c r="G41" i="38"/>
  <c r="G42" i="38"/>
  <c r="G43" i="38"/>
  <c r="G44" i="38"/>
  <c r="G45" i="38"/>
  <c r="G46" i="38"/>
  <c r="G47" i="38"/>
  <c r="G48" i="38"/>
  <c r="G49" i="38"/>
  <c r="G50" i="38"/>
  <c r="G51" i="38"/>
  <c r="G52" i="38"/>
  <c r="G53" i="38"/>
  <c r="G54" i="38"/>
  <c r="G55" i="38"/>
  <c r="G56" i="38"/>
  <c r="G57" i="38"/>
  <c r="G58" i="38"/>
  <c r="G59" i="38"/>
  <c r="G60" i="38"/>
  <c r="G61" i="38"/>
  <c r="G62" i="38"/>
  <c r="G63" i="38"/>
  <c r="G64" i="38"/>
  <c r="G65" i="38"/>
  <c r="G66" i="38"/>
  <c r="G67" i="38"/>
  <c r="G68" i="38"/>
  <c r="G69" i="38"/>
  <c r="G70" i="38"/>
  <c r="G71" i="38"/>
  <c r="G72" i="38"/>
  <c r="G73" i="38"/>
  <c r="G74" i="38"/>
  <c r="G75" i="38"/>
  <c r="G76" i="38"/>
  <c r="G77" i="38"/>
  <c r="G78" i="38"/>
  <c r="G79" i="38"/>
  <c r="G80" i="38"/>
  <c r="G81" i="38"/>
  <c r="G82" i="38"/>
  <c r="G83" i="38"/>
  <c r="G84" i="38"/>
  <c r="G85" i="38"/>
  <c r="G86" i="38"/>
  <c r="G87" i="38"/>
  <c r="G88" i="38"/>
  <c r="G89" i="38"/>
  <c r="G90" i="38"/>
  <c r="G91" i="38"/>
  <c r="G92" i="38"/>
  <c r="G93" i="38"/>
  <c r="G94" i="38"/>
  <c r="G95" i="38"/>
  <c r="G96" i="38"/>
  <c r="G97" i="38"/>
  <c r="G98" i="38"/>
  <c r="G99" i="38"/>
  <c r="G100" i="38"/>
  <c r="G101" i="38"/>
  <c r="G102" i="38"/>
  <c r="G103" i="38"/>
  <c r="G104" i="38"/>
  <c r="G105" i="38"/>
  <c r="G106" i="38"/>
  <c r="G107" i="38"/>
  <c r="G108" i="38"/>
  <c r="G109" i="38"/>
  <c r="G110" i="38"/>
  <c r="G111" i="38"/>
  <c r="G112" i="38"/>
  <c r="G113" i="38"/>
  <c r="G114" i="38"/>
  <c r="G115" i="38"/>
  <c r="G117" i="38"/>
  <c r="G118" i="38"/>
  <c r="G119" i="38"/>
  <c r="G120" i="38"/>
  <c r="G121" i="38"/>
  <c r="G122" i="38"/>
  <c r="G123" i="38"/>
  <c r="G124" i="38"/>
  <c r="G125" i="38"/>
  <c r="G126" i="38"/>
  <c r="G127" i="38"/>
  <c r="G128" i="38"/>
  <c r="G129" i="38"/>
  <c r="G130" i="38"/>
  <c r="G131" i="38"/>
  <c r="G132" i="38"/>
  <c r="G133" i="38"/>
  <c r="G134" i="38"/>
  <c r="G135" i="38"/>
  <c r="G136" i="38"/>
  <c r="G137" i="38"/>
  <c r="G138" i="38"/>
  <c r="G139" i="38"/>
  <c r="G140" i="38"/>
  <c r="G141" i="38"/>
  <c r="G142" i="38"/>
  <c r="G143" i="38"/>
  <c r="G144" i="38"/>
  <c r="G145" i="38"/>
  <c r="G146" i="38"/>
  <c r="G147" i="38"/>
  <c r="G148" i="38"/>
  <c r="G149" i="38"/>
  <c r="G150" i="38"/>
  <c r="G151" i="38"/>
  <c r="G152" i="38"/>
  <c r="G153" i="38"/>
  <c r="G154" i="38"/>
  <c r="G155" i="38"/>
  <c r="G156" i="38"/>
  <c r="G157" i="38"/>
  <c r="G158" i="38"/>
  <c r="G159" i="38"/>
  <c r="G160" i="38"/>
  <c r="G161" i="38"/>
  <c r="G162" i="38"/>
  <c r="G163" i="38"/>
  <c r="G164" i="38"/>
  <c r="G165" i="38"/>
  <c r="G166" i="38"/>
  <c r="G167" i="38"/>
  <c r="G168" i="38"/>
  <c r="G169" i="38"/>
  <c r="G170" i="38"/>
  <c r="G171" i="38"/>
  <c r="G172" i="38"/>
  <c r="G173" i="38"/>
  <c r="G174" i="38"/>
  <c r="G175" i="38"/>
  <c r="G176" i="38"/>
  <c r="G177" i="38"/>
  <c r="G178" i="38"/>
  <c r="G179" i="38"/>
  <c r="G180" i="38"/>
  <c r="G181" i="38"/>
  <c r="G182" i="38"/>
  <c r="G183" i="38"/>
  <c r="G184" i="38"/>
  <c r="G185" i="38"/>
  <c r="G186" i="38"/>
  <c r="G187" i="38"/>
  <c r="G188" i="38"/>
  <c r="G189" i="38"/>
  <c r="G190" i="38"/>
  <c r="G191" i="38"/>
  <c r="G192" i="38"/>
  <c r="G193" i="38"/>
  <c r="G194" i="38"/>
  <c r="G195" i="38"/>
  <c r="G196" i="38"/>
  <c r="G197" i="38"/>
  <c r="G198" i="38"/>
  <c r="G199" i="38"/>
  <c r="G200" i="38"/>
  <c r="G201" i="38"/>
  <c r="G202" i="38"/>
  <c r="G203" i="38"/>
  <c r="G204" i="38"/>
  <c r="G205" i="38"/>
  <c r="G206" i="38"/>
  <c r="G207" i="38"/>
  <c r="G208" i="38"/>
  <c r="G209" i="38"/>
  <c r="G210" i="38"/>
  <c r="G211" i="38"/>
  <c r="G212" i="38"/>
  <c r="G213" i="38"/>
  <c r="G214" i="38"/>
  <c r="G215" i="38"/>
  <c r="G216" i="38"/>
  <c r="G217" i="38"/>
  <c r="G218" i="38"/>
  <c r="G219" i="38"/>
  <c r="G220" i="38"/>
  <c r="G221" i="38"/>
  <c r="G222" i="38"/>
  <c r="G223" i="38"/>
  <c r="G224" i="38"/>
  <c r="G225" i="38"/>
  <c r="G226" i="38"/>
  <c r="G227" i="38"/>
  <c r="G228" i="38"/>
  <c r="G229" i="38"/>
  <c r="G230" i="38"/>
  <c r="G231" i="38"/>
  <c r="G232" i="38"/>
  <c r="G233" i="38"/>
  <c r="G234" i="38"/>
  <c r="G235" i="38"/>
  <c r="G236" i="38"/>
  <c r="G237" i="38"/>
  <c r="G238" i="38"/>
  <c r="G239" i="38"/>
  <c r="G240" i="38"/>
  <c r="G241" i="38"/>
  <c r="G242" i="38"/>
  <c r="G243" i="38"/>
  <c r="G244" i="38"/>
  <c r="G245" i="38"/>
  <c r="G246" i="38"/>
  <c r="G247" i="38"/>
  <c r="G248" i="38"/>
  <c r="G249" i="38"/>
  <c r="G250" i="38"/>
  <c r="G251" i="38"/>
  <c r="G252" i="38"/>
  <c r="G253" i="38"/>
  <c r="G254" i="38"/>
  <c r="G255" i="38"/>
  <c r="G256" i="38"/>
  <c r="G257" i="38"/>
  <c r="G258" i="38"/>
  <c r="G259" i="38"/>
  <c r="G260" i="38"/>
  <c r="G261" i="38"/>
  <c r="G262" i="38"/>
  <c r="G263" i="38"/>
  <c r="G264" i="38"/>
  <c r="G265" i="38"/>
  <c r="G266" i="38"/>
  <c r="G267" i="38"/>
  <c r="G268" i="38"/>
  <c r="G269" i="38"/>
  <c r="G270" i="38"/>
  <c r="G271" i="38"/>
  <c r="G272" i="38"/>
  <c r="G273" i="38"/>
  <c r="G274" i="38"/>
  <c r="G275" i="38"/>
  <c r="G276" i="38"/>
  <c r="G277" i="38"/>
  <c r="G278" i="38"/>
  <c r="G279" i="38"/>
  <c r="G280" i="38"/>
  <c r="G281" i="38"/>
  <c r="G282" i="38"/>
  <c r="G283" i="38"/>
  <c r="G284" i="38"/>
  <c r="G285" i="38"/>
  <c r="G286" i="38"/>
  <c r="G287" i="38"/>
  <c r="G288" i="38"/>
  <c r="G289" i="38"/>
  <c r="G290" i="38"/>
  <c r="G291" i="38"/>
  <c r="G292" i="38"/>
  <c r="G293" i="38"/>
  <c r="G294" i="38"/>
  <c r="G295" i="38"/>
  <c r="G296" i="38"/>
  <c r="G297" i="38"/>
  <c r="G298" i="38"/>
  <c r="G299" i="38"/>
  <c r="G300" i="38"/>
  <c r="G301" i="38"/>
  <c r="G302" i="38"/>
  <c r="G303" i="38"/>
  <c r="G304" i="38"/>
  <c r="G305" i="38"/>
  <c r="G306" i="38"/>
  <c r="G307" i="38"/>
  <c r="G308" i="38"/>
  <c r="G309" i="38"/>
  <c r="G310" i="38"/>
  <c r="G311" i="38"/>
  <c r="G312" i="38"/>
  <c r="G313" i="38"/>
  <c r="G314" i="38"/>
  <c r="G315" i="38"/>
  <c r="G316" i="38"/>
  <c r="G317" i="38"/>
  <c r="G318" i="38"/>
  <c r="G319" i="38"/>
  <c r="G320" i="38"/>
  <c r="G321" i="38"/>
  <c r="G322" i="38"/>
  <c r="G323" i="38"/>
  <c r="G324" i="38"/>
  <c r="G325" i="38"/>
  <c r="G326" i="38"/>
  <c r="G327" i="38"/>
  <c r="G328" i="38"/>
  <c r="G329" i="38"/>
  <c r="G330" i="38"/>
  <c r="G331" i="38"/>
  <c r="G332" i="38"/>
  <c r="G333" i="38"/>
  <c r="G334" i="38"/>
  <c r="G335" i="38"/>
  <c r="G336" i="38"/>
  <c r="G337" i="38"/>
  <c r="G338" i="38"/>
  <c r="G339" i="38"/>
  <c r="G340" i="38"/>
  <c r="G341" i="38"/>
  <c r="G342" i="38"/>
  <c r="G343" i="38"/>
  <c r="G344" i="38"/>
  <c r="G345" i="38"/>
  <c r="G346" i="38"/>
  <c r="G347" i="38"/>
  <c r="G348" i="38"/>
  <c r="G349" i="38"/>
  <c r="G350" i="38"/>
  <c r="G351" i="38"/>
  <c r="G352" i="38"/>
  <c r="G353" i="38"/>
  <c r="G354" i="38"/>
  <c r="G355" i="38"/>
  <c r="G356" i="38"/>
  <c r="G357" i="38"/>
  <c r="G358" i="38"/>
  <c r="G359" i="38"/>
  <c r="G360" i="38"/>
  <c r="G361" i="38"/>
  <c r="G362" i="38"/>
  <c r="G363" i="38"/>
  <c r="G364" i="38"/>
  <c r="G365" i="38"/>
  <c r="G366" i="38"/>
  <c r="G367" i="38"/>
  <c r="G2" i="38"/>
  <c r="C11" i="41" s="1"/>
  <c r="F410" i="41"/>
  <c r="R409" i="41"/>
  <c r="M409" i="41"/>
  <c r="R408" i="41"/>
  <c r="M408" i="41"/>
  <c r="R407" i="41"/>
  <c r="M407" i="41"/>
  <c r="R406" i="41"/>
  <c r="M406" i="41"/>
  <c r="R403" i="41"/>
  <c r="M403" i="41"/>
  <c r="F401" i="41"/>
  <c r="R400" i="41"/>
  <c r="M400" i="41"/>
  <c r="R399" i="41"/>
  <c r="M399" i="41"/>
  <c r="R398" i="41"/>
  <c r="M398" i="41"/>
  <c r="R397" i="41"/>
  <c r="M397" i="41"/>
  <c r="R396" i="41"/>
  <c r="M396" i="41"/>
  <c r="F394" i="41"/>
  <c r="R393" i="41"/>
  <c r="M393" i="41"/>
  <c r="R392" i="41"/>
  <c r="M392" i="41"/>
  <c r="R391" i="41"/>
  <c r="M391" i="41"/>
  <c r="R390" i="41"/>
  <c r="M390" i="41"/>
  <c r="R389" i="41"/>
  <c r="M389" i="41"/>
  <c r="R388" i="41"/>
  <c r="M388" i="41"/>
  <c r="R387" i="41"/>
  <c r="M387" i="41"/>
  <c r="R386" i="41"/>
  <c r="M386" i="41"/>
  <c r="R385" i="41"/>
  <c r="M385" i="41"/>
  <c r="R384" i="41"/>
  <c r="M384" i="41"/>
  <c r="R383" i="41"/>
  <c r="M383" i="41"/>
  <c r="R382" i="41"/>
  <c r="M382" i="41"/>
  <c r="R381" i="41"/>
  <c r="M381" i="41"/>
  <c r="T379" i="41"/>
  <c r="U378" i="41"/>
  <c r="S378" i="41"/>
  <c r="R378" i="41"/>
  <c r="M378" i="41"/>
  <c r="R377" i="41"/>
  <c r="M377" i="41"/>
  <c r="R376" i="41"/>
  <c r="M376" i="41"/>
  <c r="R375" i="41"/>
  <c r="M375" i="41"/>
  <c r="R374" i="41"/>
  <c r="M374" i="41"/>
  <c r="R373" i="41"/>
  <c r="M373" i="41"/>
  <c r="R372" i="41"/>
  <c r="M372" i="41"/>
  <c r="R371" i="41"/>
  <c r="M371" i="41"/>
  <c r="T370" i="41"/>
  <c r="U376" i="41" s="1"/>
  <c r="R368" i="41"/>
  <c r="M368" i="41"/>
  <c r="F368" i="41"/>
  <c r="F369" i="41" s="1"/>
  <c r="R367" i="41"/>
  <c r="M367" i="41"/>
  <c r="R366" i="41"/>
  <c r="M366" i="41"/>
  <c r="R365" i="41"/>
  <c r="M365" i="41"/>
  <c r="R362" i="41"/>
  <c r="M362" i="41"/>
  <c r="R361" i="41"/>
  <c r="M361" i="41"/>
  <c r="R360" i="41"/>
  <c r="M360" i="41"/>
  <c r="R359" i="41"/>
  <c r="M359" i="41"/>
  <c r="R358" i="41"/>
  <c r="M358" i="41"/>
  <c r="R357" i="41"/>
  <c r="M357" i="41"/>
  <c r="R356" i="41"/>
  <c r="M356" i="41"/>
  <c r="R355" i="41"/>
  <c r="M355" i="41"/>
  <c r="R354" i="41"/>
  <c r="M354" i="41"/>
  <c r="R353" i="41"/>
  <c r="M353" i="41"/>
  <c r="R352" i="41"/>
  <c r="M352" i="41"/>
  <c r="F350" i="41"/>
  <c r="R349" i="41"/>
  <c r="M349" i="41"/>
  <c r="R348" i="41"/>
  <c r="M348" i="41"/>
  <c r="R347" i="41"/>
  <c r="M347" i="41"/>
  <c r="R346" i="41"/>
  <c r="M346" i="41"/>
  <c r="T343" i="41"/>
  <c r="R343" i="41"/>
  <c r="M343" i="41"/>
  <c r="R342" i="41"/>
  <c r="M342" i="41"/>
  <c r="R341" i="41"/>
  <c r="M341" i="41"/>
  <c r="R340" i="41"/>
  <c r="M340" i="41"/>
  <c r="R339" i="41"/>
  <c r="M339" i="41"/>
  <c r="R338" i="41"/>
  <c r="M338" i="41"/>
  <c r="T337" i="41"/>
  <c r="U338" i="41" s="1"/>
  <c r="T336" i="41"/>
  <c r="M335" i="41"/>
  <c r="M334" i="41"/>
  <c r="M333" i="41"/>
  <c r="M332" i="41"/>
  <c r="M331" i="41"/>
  <c r="T330" i="41"/>
  <c r="U335" i="41" s="1"/>
  <c r="R328" i="41"/>
  <c r="M328" i="41"/>
  <c r="R327" i="41"/>
  <c r="M327" i="41"/>
  <c r="R326" i="41"/>
  <c r="M326" i="41"/>
  <c r="R325" i="41"/>
  <c r="M325" i="41"/>
  <c r="R324" i="41"/>
  <c r="M324" i="41"/>
  <c r="R323" i="41"/>
  <c r="M323" i="41"/>
  <c r="R322" i="41"/>
  <c r="M322" i="41"/>
  <c r="R321" i="41"/>
  <c r="M321" i="41"/>
  <c r="R320" i="41"/>
  <c r="M320" i="41"/>
  <c r="R319" i="41"/>
  <c r="M319" i="41"/>
  <c r="R318" i="41"/>
  <c r="M318" i="41"/>
  <c r="R317" i="41"/>
  <c r="M317" i="41"/>
  <c r="R316" i="41"/>
  <c r="M316" i="41"/>
  <c r="R315" i="41"/>
  <c r="M315" i="41"/>
  <c r="R314" i="41"/>
  <c r="M314" i="41"/>
  <c r="R313" i="41"/>
  <c r="M313" i="41"/>
  <c r="R312" i="41"/>
  <c r="M312" i="41"/>
  <c r="R311" i="41"/>
  <c r="M311" i="41"/>
  <c r="M310" i="41"/>
  <c r="R309" i="41"/>
  <c r="M309" i="41"/>
  <c r="M308" i="41"/>
  <c r="R307" i="41"/>
  <c r="M307" i="41"/>
  <c r="M306" i="41"/>
  <c r="R305" i="41"/>
  <c r="M305" i="41"/>
  <c r="R304" i="41"/>
  <c r="M304" i="41"/>
  <c r="R303" i="41"/>
  <c r="M303" i="41"/>
  <c r="R302" i="41"/>
  <c r="M302" i="41"/>
  <c r="R301" i="41"/>
  <c r="M301" i="41"/>
  <c r="R300" i="41"/>
  <c r="M300" i="41"/>
  <c r="R299" i="41"/>
  <c r="M299" i="41"/>
  <c r="M298" i="41"/>
  <c r="R297" i="41"/>
  <c r="M297" i="41"/>
  <c r="R296" i="41"/>
  <c r="M296" i="41"/>
  <c r="R295" i="41"/>
  <c r="M295" i="41"/>
  <c r="R294" i="41"/>
  <c r="M294" i="41"/>
  <c r="R293" i="41"/>
  <c r="M293" i="41"/>
  <c r="R292" i="41"/>
  <c r="M292" i="41"/>
  <c r="R291" i="41"/>
  <c r="M291" i="41"/>
  <c r="M290" i="41"/>
  <c r="R289" i="41"/>
  <c r="M289" i="41"/>
  <c r="R288" i="41"/>
  <c r="M288" i="41"/>
  <c r="R287" i="41"/>
  <c r="M287" i="41"/>
  <c r="R286" i="41"/>
  <c r="M286" i="41"/>
  <c r="R285" i="41"/>
  <c r="M285" i="41"/>
  <c r="R284" i="41"/>
  <c r="M284" i="41"/>
  <c r="M281" i="41"/>
  <c r="M280" i="41"/>
  <c r="M279" i="41"/>
  <c r="M278" i="41"/>
  <c r="M275" i="41"/>
  <c r="M274" i="41"/>
  <c r="E271" i="41"/>
  <c r="U271" i="41" s="1"/>
  <c r="E270" i="41"/>
  <c r="U269" i="41"/>
  <c r="S269" i="41"/>
  <c r="U268" i="41"/>
  <c r="S268" i="41"/>
  <c r="U267" i="41"/>
  <c r="S267" i="41"/>
  <c r="U266" i="41"/>
  <c r="S266" i="41"/>
  <c r="U265" i="41"/>
  <c r="S265" i="41"/>
  <c r="U264" i="41"/>
  <c r="S264" i="41"/>
  <c r="U263" i="41"/>
  <c r="S263" i="41"/>
  <c r="U262" i="41"/>
  <c r="S262" i="41"/>
  <c r="U261" i="41"/>
  <c r="S261" i="41"/>
  <c r="U260" i="41"/>
  <c r="S260" i="41"/>
  <c r="U259" i="41"/>
  <c r="S259" i="41"/>
  <c r="U258" i="41"/>
  <c r="S258" i="41"/>
  <c r="U257" i="41"/>
  <c r="S257" i="41"/>
  <c r="V256" i="41"/>
  <c r="G256" i="41" s="1"/>
  <c r="R256" i="41" s="1"/>
  <c r="U256" i="41"/>
  <c r="S256" i="41"/>
  <c r="U255" i="41"/>
  <c r="S255" i="41"/>
  <c r="U254" i="41"/>
  <c r="S254" i="41"/>
  <c r="U253" i="41"/>
  <c r="S253" i="41"/>
  <c r="U252" i="41"/>
  <c r="S252" i="41"/>
  <c r="U251" i="41"/>
  <c r="S251" i="41"/>
  <c r="V250" i="41"/>
  <c r="G250" i="41" s="1"/>
  <c r="R250" i="41" s="1"/>
  <c r="U250" i="41"/>
  <c r="S250" i="41"/>
  <c r="U249" i="41"/>
  <c r="S249" i="41"/>
  <c r="U248" i="41"/>
  <c r="S248" i="41"/>
  <c r="U247" i="41"/>
  <c r="S247" i="41"/>
  <c r="U246" i="41"/>
  <c r="S246" i="41"/>
  <c r="U245" i="41"/>
  <c r="S245" i="41"/>
  <c r="U244" i="41"/>
  <c r="S244" i="41"/>
  <c r="U243" i="41"/>
  <c r="S243" i="41"/>
  <c r="M241" i="41"/>
  <c r="M256" i="41" s="1"/>
  <c r="F241" i="41"/>
  <c r="T240" i="41"/>
  <c r="M239" i="41"/>
  <c r="M238" i="41"/>
  <c r="T237" i="41"/>
  <c r="U239" i="41" s="1"/>
  <c r="R235" i="41"/>
  <c r="M235" i="41"/>
  <c r="F233" i="41"/>
  <c r="R232" i="41"/>
  <c r="M232" i="41"/>
  <c r="T230" i="41"/>
  <c r="R229" i="41"/>
  <c r="M229" i="41"/>
  <c r="M228" i="41"/>
  <c r="T227" i="41"/>
  <c r="U229" i="41" s="1"/>
  <c r="S225" i="41"/>
  <c r="R225" i="41"/>
  <c r="M225" i="41"/>
  <c r="F223" i="41"/>
  <c r="S222" i="41"/>
  <c r="R222" i="41"/>
  <c r="M222" i="41"/>
  <c r="T220" i="41"/>
  <c r="R219" i="41"/>
  <c r="M219" i="41"/>
  <c r="R218" i="41"/>
  <c r="M218" i="41"/>
  <c r="T217" i="41"/>
  <c r="S215" i="41"/>
  <c r="F215" i="41" s="1"/>
  <c r="R215" i="41"/>
  <c r="M215" i="41"/>
  <c r="F213" i="41"/>
  <c r="S212" i="41"/>
  <c r="F212" i="41" s="1"/>
  <c r="R212" i="41"/>
  <c r="M212" i="41"/>
  <c r="T210" i="41"/>
  <c r="F210" i="41"/>
  <c r="S209" i="41"/>
  <c r="R209" i="41"/>
  <c r="M209" i="41"/>
  <c r="R208" i="41"/>
  <c r="M208" i="41"/>
  <c r="F206" i="41"/>
  <c r="S205" i="41"/>
  <c r="R205" i="41"/>
  <c r="M205" i="41"/>
  <c r="R204" i="41"/>
  <c r="M204" i="41"/>
  <c r="S201" i="41"/>
  <c r="R201" i="41"/>
  <c r="G201" i="41"/>
  <c r="S200" i="41"/>
  <c r="R200" i="41"/>
  <c r="S199" i="41"/>
  <c r="R199" i="41"/>
  <c r="R198" i="41"/>
  <c r="S197" i="41"/>
  <c r="R197" i="41"/>
  <c r="R196" i="41"/>
  <c r="S195" i="41"/>
  <c r="R195" i="41"/>
  <c r="R194" i="41"/>
  <c r="S193" i="41"/>
  <c r="R193" i="41"/>
  <c r="R192" i="41"/>
  <c r="S191" i="41"/>
  <c r="R191" i="41"/>
  <c r="M191" i="41"/>
  <c r="R190" i="41"/>
  <c r="F190" i="41"/>
  <c r="S189" i="41"/>
  <c r="R189" i="41"/>
  <c r="R188" i="41"/>
  <c r="M187" i="41"/>
  <c r="M196" i="41" s="1"/>
  <c r="M197" i="41" s="1"/>
  <c r="F187" i="41"/>
  <c r="T186" i="41"/>
  <c r="R185" i="41"/>
  <c r="M185" i="41"/>
  <c r="E185" i="41"/>
  <c r="S185" i="41" s="1"/>
  <c r="U184" i="41"/>
  <c r="S184" i="41"/>
  <c r="F184" i="41" s="1"/>
  <c r="R184" i="41"/>
  <c r="M184" i="41"/>
  <c r="R181" i="41"/>
  <c r="M181" i="41"/>
  <c r="E181" i="41"/>
  <c r="S181" i="41" s="1"/>
  <c r="U180" i="41"/>
  <c r="S180" i="41"/>
  <c r="F180" i="41" s="1"/>
  <c r="R180" i="41"/>
  <c r="M180" i="41"/>
  <c r="R177" i="41"/>
  <c r="M177" i="41"/>
  <c r="E177" i="41"/>
  <c r="S177" i="41" s="1"/>
  <c r="U176" i="41"/>
  <c r="S176" i="41"/>
  <c r="F176" i="41" s="1"/>
  <c r="R176" i="41"/>
  <c r="M176" i="41"/>
  <c r="R175" i="41"/>
  <c r="M175" i="41"/>
  <c r="E175" i="41"/>
  <c r="U174" i="41"/>
  <c r="S174" i="41"/>
  <c r="F174" i="41" s="1"/>
  <c r="R174" i="41"/>
  <c r="M174" i="41"/>
  <c r="T173" i="41"/>
  <c r="T172" i="41"/>
  <c r="S171" i="41"/>
  <c r="R171" i="41"/>
  <c r="M171" i="41"/>
  <c r="R170" i="41"/>
  <c r="M170" i="41"/>
  <c r="S169" i="41"/>
  <c r="R169" i="41"/>
  <c r="R168" i="41"/>
  <c r="M168" i="41"/>
  <c r="M169" i="41" s="1"/>
  <c r="F167" i="41"/>
  <c r="T166" i="41"/>
  <c r="S165" i="41"/>
  <c r="R165" i="41"/>
  <c r="M165" i="41"/>
  <c r="R164" i="41"/>
  <c r="M164" i="41"/>
  <c r="S163" i="41"/>
  <c r="R163" i="41"/>
  <c r="M163" i="41"/>
  <c r="R162" i="41"/>
  <c r="M162" i="41"/>
  <c r="G161" i="41"/>
  <c r="T161" i="41" s="1"/>
  <c r="F161" i="41"/>
  <c r="S159" i="41"/>
  <c r="R159" i="41"/>
  <c r="M159" i="41"/>
  <c r="F159" i="41"/>
  <c r="F160" i="41" s="1"/>
  <c r="F157" i="41"/>
  <c r="R156" i="41"/>
  <c r="M156" i="41"/>
  <c r="R153" i="41"/>
  <c r="M153" i="41"/>
  <c r="F153" i="41"/>
  <c r="F154" i="41" s="1"/>
  <c r="F155" i="41" s="1"/>
  <c r="F151" i="41"/>
  <c r="R150" i="41"/>
  <c r="M150" i="41"/>
  <c r="F148" i="41"/>
  <c r="S147" i="41"/>
  <c r="R147" i="41"/>
  <c r="M147" i="41"/>
  <c r="F145" i="41"/>
  <c r="S144" i="41"/>
  <c r="R144" i="41"/>
  <c r="M144" i="41"/>
  <c r="S143" i="41"/>
  <c r="R143" i="41"/>
  <c r="M143" i="41"/>
  <c r="S142" i="41"/>
  <c r="R142" i="41"/>
  <c r="M142" i="41"/>
  <c r="S141" i="41"/>
  <c r="R141" i="41"/>
  <c r="M141" i="41"/>
  <c r="S140" i="41"/>
  <c r="R140" i="41"/>
  <c r="M140" i="41"/>
  <c r="S139" i="41"/>
  <c r="R139" i="41"/>
  <c r="M139" i="41"/>
  <c r="S136" i="41"/>
  <c r="R136" i="41"/>
  <c r="S135" i="41"/>
  <c r="R135" i="41"/>
  <c r="S134" i="41"/>
  <c r="R134" i="41"/>
  <c r="S133" i="41"/>
  <c r="R133" i="41"/>
  <c r="S132" i="41"/>
  <c r="R132" i="41"/>
  <c r="R131" i="41"/>
  <c r="M130" i="41"/>
  <c r="M135" i="41" s="1"/>
  <c r="F130" i="41"/>
  <c r="F131" i="41" s="1"/>
  <c r="F137" i="41" s="1"/>
  <c r="F129" i="41"/>
  <c r="S128" i="41"/>
  <c r="R128" i="41"/>
  <c r="M128" i="41"/>
  <c r="T127" i="41"/>
  <c r="S127" i="41"/>
  <c r="R127" i="41"/>
  <c r="M127" i="41"/>
  <c r="V126" i="41"/>
  <c r="G126" i="41" s="1"/>
  <c r="U126" i="41"/>
  <c r="S126" i="41"/>
  <c r="R126" i="41"/>
  <c r="M126" i="41"/>
  <c r="V125" i="41"/>
  <c r="G125" i="41" s="1"/>
  <c r="U125" i="41"/>
  <c r="S125" i="41"/>
  <c r="R125" i="41"/>
  <c r="M125" i="41"/>
  <c r="V124" i="41"/>
  <c r="G124" i="41" s="1"/>
  <c r="U124" i="41"/>
  <c r="S124" i="41"/>
  <c r="F124" i="41" s="1"/>
  <c r="R124" i="41"/>
  <c r="M124" i="41"/>
  <c r="T123" i="41"/>
  <c r="S121" i="41"/>
  <c r="R121" i="41"/>
  <c r="T120" i="41"/>
  <c r="S120" i="41"/>
  <c r="R120" i="41"/>
  <c r="I119" i="41"/>
  <c r="R119" i="41" s="1"/>
  <c r="I118" i="41"/>
  <c r="R118" i="41" s="1"/>
  <c r="R117" i="41"/>
  <c r="M116" i="41"/>
  <c r="M117" i="41" s="1"/>
  <c r="F116" i="41"/>
  <c r="R114" i="41"/>
  <c r="E114" i="41"/>
  <c r="R113" i="41"/>
  <c r="M112" i="41"/>
  <c r="M113" i="41" s="1"/>
  <c r="F112" i="41"/>
  <c r="R110" i="41"/>
  <c r="M110" i="41"/>
  <c r="G110" i="41"/>
  <c r="E110" i="41"/>
  <c r="S110" i="41" s="1"/>
  <c r="S109" i="41"/>
  <c r="F109" i="41" s="1"/>
  <c r="R109" i="41"/>
  <c r="M109" i="41"/>
  <c r="R106" i="41"/>
  <c r="G106" i="41"/>
  <c r="E106" i="41"/>
  <c r="S106" i="41" s="1"/>
  <c r="S105" i="41"/>
  <c r="F105" i="41" s="1"/>
  <c r="R105" i="41"/>
  <c r="S102" i="41"/>
  <c r="R102" i="41"/>
  <c r="M102" i="41"/>
  <c r="R101" i="41"/>
  <c r="M101" i="41"/>
  <c r="F100" i="41"/>
  <c r="F99" i="41"/>
  <c r="S98" i="41"/>
  <c r="R98" i="41"/>
  <c r="R97" i="41"/>
  <c r="R96" i="41"/>
  <c r="M95" i="41"/>
  <c r="M98" i="41" s="1"/>
  <c r="S94" i="41"/>
  <c r="R94" i="41"/>
  <c r="S93" i="41"/>
  <c r="R93" i="41"/>
  <c r="R92" i="41"/>
  <c r="R91" i="41"/>
  <c r="M90" i="41"/>
  <c r="M93" i="41" s="1"/>
  <c r="S89" i="41"/>
  <c r="R89" i="41"/>
  <c r="S88" i="41"/>
  <c r="R88" i="41"/>
  <c r="S87" i="41"/>
  <c r="R87" i="41"/>
  <c r="S86" i="41"/>
  <c r="R86" i="41"/>
  <c r="S85" i="41"/>
  <c r="R85" i="41"/>
  <c r="S84" i="41"/>
  <c r="R84" i="41"/>
  <c r="R83" i="41"/>
  <c r="S82" i="41"/>
  <c r="R82" i="41"/>
  <c r="R81" i="41"/>
  <c r="R80" i="41"/>
  <c r="S79" i="41"/>
  <c r="R79" i="41"/>
  <c r="R76" i="41"/>
  <c r="M75" i="41"/>
  <c r="M76" i="41" s="1"/>
  <c r="R74" i="41"/>
  <c r="M73" i="41"/>
  <c r="M74" i="41" s="1"/>
  <c r="R72" i="41"/>
  <c r="M71" i="41"/>
  <c r="M72" i="41" s="1"/>
  <c r="R70" i="41"/>
  <c r="M69" i="41"/>
  <c r="M70" i="41" s="1"/>
  <c r="R68" i="41"/>
  <c r="R66" i="41"/>
  <c r="M66" i="41"/>
  <c r="E66" i="41"/>
  <c r="R65" i="41"/>
  <c r="M65" i="41"/>
  <c r="R63" i="41"/>
  <c r="M63" i="41"/>
  <c r="E63" i="41"/>
  <c r="R62" i="41"/>
  <c r="R60" i="41"/>
  <c r="R59" i="41"/>
  <c r="R58" i="41"/>
  <c r="E58" i="41"/>
  <c r="R57" i="41"/>
  <c r="G57" i="41"/>
  <c r="G58" i="41" s="1"/>
  <c r="F57" i="41"/>
  <c r="R56" i="41"/>
  <c r="E56" i="41"/>
  <c r="R55" i="41"/>
  <c r="F55" i="41"/>
  <c r="F74" i="41" s="1"/>
  <c r="F76" i="41" s="1"/>
  <c r="R54" i="41"/>
  <c r="R53" i="41"/>
  <c r="G53" i="41"/>
  <c r="E53" i="41"/>
  <c r="R52" i="41"/>
  <c r="T51" i="41"/>
  <c r="R51" i="41"/>
  <c r="E51" i="41"/>
  <c r="S51" i="41" s="1"/>
  <c r="U50" i="41"/>
  <c r="S50" i="41"/>
  <c r="R50" i="41"/>
  <c r="R49" i="41"/>
  <c r="G49" i="41"/>
  <c r="E49" i="41"/>
  <c r="R48" i="41"/>
  <c r="R47" i="41"/>
  <c r="E47" i="41"/>
  <c r="R46" i="41"/>
  <c r="R45" i="41"/>
  <c r="E45" i="41"/>
  <c r="R44" i="41"/>
  <c r="R43" i="41"/>
  <c r="E43" i="41"/>
  <c r="R42" i="41"/>
  <c r="M41" i="41"/>
  <c r="M46" i="41" s="1"/>
  <c r="R39" i="41"/>
  <c r="M38" i="41"/>
  <c r="M39" i="41" s="1"/>
  <c r="R37" i="41"/>
  <c r="M36" i="41"/>
  <c r="M37" i="41" s="1"/>
  <c r="R35" i="41"/>
  <c r="M35" i="41"/>
  <c r="R33" i="41"/>
  <c r="M33" i="41"/>
  <c r="E33" i="41"/>
  <c r="R32" i="41"/>
  <c r="M32" i="41"/>
  <c r="G32" i="41"/>
  <c r="G33" i="41" s="1"/>
  <c r="R30" i="41"/>
  <c r="M30" i="41"/>
  <c r="E30" i="41"/>
  <c r="R29" i="41"/>
  <c r="M29" i="41"/>
  <c r="G29" i="41"/>
  <c r="G30" i="41" s="1"/>
  <c r="R27" i="41"/>
  <c r="M27" i="41"/>
  <c r="R26" i="41"/>
  <c r="M26" i="41"/>
  <c r="G26" i="41"/>
  <c r="G27" i="41" s="1"/>
  <c r="R25" i="41"/>
  <c r="M25" i="41"/>
  <c r="G25" i="41"/>
  <c r="E25" i="41"/>
  <c r="R24" i="41"/>
  <c r="M24" i="41"/>
  <c r="T23" i="41"/>
  <c r="R23" i="41"/>
  <c r="M23" i="41"/>
  <c r="E23" i="41"/>
  <c r="R22" i="41"/>
  <c r="M22" i="41"/>
  <c r="R21" i="41"/>
  <c r="M21" i="41"/>
  <c r="E21" i="41"/>
  <c r="R20" i="41"/>
  <c r="M20" i="41"/>
  <c r="R19" i="41"/>
  <c r="M19" i="41"/>
  <c r="R18" i="41"/>
  <c r="M18" i="41"/>
  <c r="J15" i="41"/>
  <c r="O14" i="41"/>
  <c r="O13" i="41"/>
  <c r="O12" i="41"/>
  <c r="C53" i="41" s="1"/>
  <c r="M12" i="41"/>
  <c r="O11" i="41"/>
  <c r="M11" i="41"/>
  <c r="U9" i="41"/>
  <c r="K7" i="41"/>
  <c r="V1" i="41"/>
  <c r="U1" i="41"/>
  <c r="U7" i="41" s="1"/>
  <c r="T1" i="41"/>
  <c r="H16" i="39"/>
  <c r="H9" i="39"/>
  <c r="H3" i="39"/>
  <c r="M41" i="7"/>
  <c r="M116" i="7"/>
  <c r="M112" i="7"/>
  <c r="M187" i="7"/>
  <c r="M130" i="7"/>
  <c r="E43" i="26"/>
  <c r="G112" i="7"/>
  <c r="G113" i="7" s="1"/>
  <c r="F112" i="7"/>
  <c r="F265" i="43" l="1"/>
  <c r="V265" i="43" s="1"/>
  <c r="G265" i="43" s="1"/>
  <c r="R265" i="43" s="1"/>
  <c r="U371" i="42"/>
  <c r="F77" i="41"/>
  <c r="H200" i="41"/>
  <c r="J200" i="41" s="1"/>
  <c r="I3" i="39"/>
  <c r="S106" i="43"/>
  <c r="F106" i="43" s="1"/>
  <c r="H106" i="43" s="1"/>
  <c r="H81" i="42"/>
  <c r="J81" i="42" s="1"/>
  <c r="K81" i="42" s="1"/>
  <c r="L81" i="42" s="1"/>
  <c r="F260" i="41"/>
  <c r="V260" i="41" s="1"/>
  <c r="G260" i="41" s="1"/>
  <c r="R260" i="41" s="1"/>
  <c r="F247" i="42"/>
  <c r="V247" i="42" s="1"/>
  <c r="G247" i="42" s="1"/>
  <c r="R247" i="42" s="1"/>
  <c r="U238" i="42"/>
  <c r="U240" i="42" s="1"/>
  <c r="F272" i="43"/>
  <c r="U186" i="42"/>
  <c r="F186" i="43"/>
  <c r="U228" i="43"/>
  <c r="U230" i="43" s="1"/>
  <c r="M242" i="41"/>
  <c r="U331" i="41"/>
  <c r="F111" i="42"/>
  <c r="M192" i="43"/>
  <c r="M193" i="43" s="1"/>
  <c r="S270" i="43"/>
  <c r="F270" i="43" s="1"/>
  <c r="V270" i="43" s="1"/>
  <c r="G270" i="43" s="1"/>
  <c r="H58" i="43"/>
  <c r="J58" i="43" s="1"/>
  <c r="K58" i="43" s="1"/>
  <c r="L58" i="43" s="1"/>
  <c r="U373" i="41"/>
  <c r="G91" i="41"/>
  <c r="U373" i="42"/>
  <c r="M45" i="41"/>
  <c r="U332" i="41"/>
  <c r="U371" i="41"/>
  <c r="U338" i="43"/>
  <c r="U341" i="43"/>
  <c r="U127" i="41"/>
  <c r="U342" i="41"/>
  <c r="U374" i="41"/>
  <c r="U127" i="42"/>
  <c r="U271" i="43"/>
  <c r="U374" i="43"/>
  <c r="C30" i="41"/>
  <c r="V127" i="41"/>
  <c r="U339" i="41"/>
  <c r="V127" i="42"/>
  <c r="U374" i="42"/>
  <c r="F246" i="41"/>
  <c r="V246" i="41" s="1"/>
  <c r="G246" i="41" s="1"/>
  <c r="R246" i="41" s="1"/>
  <c r="U372" i="41"/>
  <c r="U218" i="42"/>
  <c r="U220" i="42" s="1"/>
  <c r="G27" i="43"/>
  <c r="U127" i="43"/>
  <c r="U339" i="43"/>
  <c r="U342" i="43"/>
  <c r="U271" i="42"/>
  <c r="U372" i="42"/>
  <c r="U228" i="41"/>
  <c r="U230" i="41" s="1"/>
  <c r="H24" i="42"/>
  <c r="J24" i="42" s="1"/>
  <c r="K24" i="42" s="1"/>
  <c r="F247" i="41"/>
  <c r="V247" i="41" s="1"/>
  <c r="G247" i="41" s="1"/>
  <c r="R247" i="41" s="1"/>
  <c r="F77" i="42"/>
  <c r="U373" i="43"/>
  <c r="C19" i="41"/>
  <c r="C33" i="41"/>
  <c r="M48" i="41"/>
  <c r="C110" i="41"/>
  <c r="F111" i="41"/>
  <c r="M114" i="41"/>
  <c r="M260" i="41"/>
  <c r="G124" i="42"/>
  <c r="H124" i="42" s="1"/>
  <c r="M245" i="42"/>
  <c r="M96" i="43"/>
  <c r="F245" i="43"/>
  <c r="V245" i="43" s="1"/>
  <c r="G245" i="43" s="1"/>
  <c r="R245" i="43" s="1"/>
  <c r="F248" i="43"/>
  <c r="V248" i="43" s="1"/>
  <c r="G248" i="43" s="1"/>
  <c r="R248" i="43" s="1"/>
  <c r="F251" i="43"/>
  <c r="V251" i="43" s="1"/>
  <c r="G251" i="43" s="1"/>
  <c r="R251" i="43" s="1"/>
  <c r="F263" i="43"/>
  <c r="V263" i="43" s="1"/>
  <c r="G263" i="43" s="1"/>
  <c r="H24" i="41"/>
  <c r="N24" i="41" s="1"/>
  <c r="O24" i="41" s="1"/>
  <c r="C47" i="41"/>
  <c r="M60" i="41"/>
  <c r="M97" i="41"/>
  <c r="M120" i="41"/>
  <c r="H135" i="41"/>
  <c r="J135" i="41" s="1"/>
  <c r="K135" i="41" s="1"/>
  <c r="L135" i="41" s="1"/>
  <c r="F257" i="41"/>
  <c r="V257" i="41" s="1"/>
  <c r="G257" i="41" s="1"/>
  <c r="R257" i="41" s="1"/>
  <c r="M265" i="41"/>
  <c r="M251" i="42"/>
  <c r="M44" i="43"/>
  <c r="M47" i="43"/>
  <c r="M50" i="43"/>
  <c r="M55" i="43"/>
  <c r="M57" i="43"/>
  <c r="M60" i="43"/>
  <c r="M133" i="43"/>
  <c r="F247" i="43"/>
  <c r="V247" i="43" s="1"/>
  <c r="G247" i="43" s="1"/>
  <c r="R247" i="43" s="1"/>
  <c r="F261" i="43"/>
  <c r="V261" i="43" s="1"/>
  <c r="G261" i="43" s="1"/>
  <c r="M263" i="43"/>
  <c r="C45" i="41"/>
  <c r="M58" i="41"/>
  <c r="M94" i="41"/>
  <c r="M133" i="41"/>
  <c r="F34" i="41"/>
  <c r="F37" i="41" s="1"/>
  <c r="C23" i="42"/>
  <c r="M253" i="42"/>
  <c r="M259" i="42"/>
  <c r="F267" i="43"/>
  <c r="V267" i="43" s="1"/>
  <c r="G267" i="43" s="1"/>
  <c r="C43" i="41"/>
  <c r="M51" i="41"/>
  <c r="M54" i="41"/>
  <c r="M56" i="41"/>
  <c r="M67" i="41"/>
  <c r="M68" i="41" s="1"/>
  <c r="H85" i="41"/>
  <c r="J85" i="41" s="1"/>
  <c r="K85" i="41" s="1"/>
  <c r="L85" i="41" s="1"/>
  <c r="F107" i="41"/>
  <c r="M118" i="41"/>
  <c r="M198" i="41"/>
  <c r="M199" i="41" s="1"/>
  <c r="M249" i="41"/>
  <c r="H408" i="41"/>
  <c r="N408" i="41" s="1"/>
  <c r="O408" i="41" s="1"/>
  <c r="F67" i="41"/>
  <c r="F70" i="41" s="1"/>
  <c r="C21" i="42"/>
  <c r="M93" i="42"/>
  <c r="M98" i="42"/>
  <c r="M263" i="42"/>
  <c r="M42" i="43"/>
  <c r="M48" i="43"/>
  <c r="F260" i="43"/>
  <c r="V260" i="43" s="1"/>
  <c r="G260" i="43" s="1"/>
  <c r="R260" i="43" s="1"/>
  <c r="U371" i="43"/>
  <c r="M47" i="41"/>
  <c r="M49" i="41"/>
  <c r="M131" i="41"/>
  <c r="M136" i="41"/>
  <c r="F245" i="41"/>
  <c r="V245" i="41" s="1"/>
  <c r="G245" i="41" s="1"/>
  <c r="R245" i="41" s="1"/>
  <c r="M251" i="41"/>
  <c r="M259" i="41"/>
  <c r="M268" i="41"/>
  <c r="G91" i="42"/>
  <c r="M194" i="42"/>
  <c r="M195" i="42" s="1"/>
  <c r="M242" i="42"/>
  <c r="M244" i="42"/>
  <c r="M250" i="42"/>
  <c r="C21" i="43"/>
  <c r="M45" i="43"/>
  <c r="M78" i="43"/>
  <c r="M83" i="43" s="1"/>
  <c r="F244" i="43"/>
  <c r="V244" i="43" s="1"/>
  <c r="G244" i="43" s="1"/>
  <c r="F266" i="43"/>
  <c r="V266" i="43" s="1"/>
  <c r="G266" i="43" s="1"/>
  <c r="R266" i="43" s="1"/>
  <c r="F269" i="43"/>
  <c r="V269" i="43" s="1"/>
  <c r="G269" i="43" s="1"/>
  <c r="R269" i="43" s="1"/>
  <c r="C66" i="41"/>
  <c r="M78" i="41"/>
  <c r="M134" i="41"/>
  <c r="C165" i="41"/>
  <c r="U186" i="41"/>
  <c r="M264" i="41"/>
  <c r="F266" i="41"/>
  <c r="V266" i="41" s="1"/>
  <c r="G266" i="41" s="1"/>
  <c r="R266" i="41" s="1"/>
  <c r="M58" i="42"/>
  <c r="M91" i="42"/>
  <c r="M96" i="42"/>
  <c r="U164" i="42"/>
  <c r="U166" i="42" s="1"/>
  <c r="C43" i="43"/>
  <c r="F77" i="43"/>
  <c r="M54" i="43"/>
  <c r="M56" i="43"/>
  <c r="G91" i="43"/>
  <c r="U186" i="43"/>
  <c r="M200" i="43"/>
  <c r="F246" i="43"/>
  <c r="V246" i="43" s="1"/>
  <c r="G246" i="43" s="1"/>
  <c r="R246" i="43" s="1"/>
  <c r="F257" i="43"/>
  <c r="V257" i="43" s="1"/>
  <c r="G257" i="43" s="1"/>
  <c r="R257" i="43" s="1"/>
  <c r="F259" i="43"/>
  <c r="V259" i="43" s="1"/>
  <c r="G259" i="43" s="1"/>
  <c r="R259" i="43" s="1"/>
  <c r="F273" i="43"/>
  <c r="M43" i="41"/>
  <c r="M50" i="41"/>
  <c r="H52" i="41"/>
  <c r="J52" i="41" s="1"/>
  <c r="K52" i="41" s="1"/>
  <c r="L52" i="41" s="1"/>
  <c r="M59" i="41"/>
  <c r="M119" i="41"/>
  <c r="M121" i="41"/>
  <c r="M132" i="41"/>
  <c r="C171" i="41"/>
  <c r="F248" i="41"/>
  <c r="V248" i="41" s="1"/>
  <c r="G248" i="41" s="1"/>
  <c r="R248" i="41" s="1"/>
  <c r="F258" i="41"/>
  <c r="V258" i="41" s="1"/>
  <c r="G258" i="41" s="1"/>
  <c r="R258" i="41" s="1"/>
  <c r="M254" i="42"/>
  <c r="M260" i="42"/>
  <c r="M271" i="42"/>
  <c r="M46" i="43"/>
  <c r="M51" i="43"/>
  <c r="M59" i="43"/>
  <c r="M249" i="43"/>
  <c r="H48" i="41"/>
  <c r="J48" i="41" s="1"/>
  <c r="K48" i="41" s="1"/>
  <c r="M55" i="41"/>
  <c r="M57" i="41"/>
  <c r="H93" i="41"/>
  <c r="N93" i="41" s="1"/>
  <c r="O93" i="41" s="1"/>
  <c r="M96" i="41"/>
  <c r="M188" i="41"/>
  <c r="M189" i="41" s="1"/>
  <c r="M250" i="41"/>
  <c r="M249" i="42"/>
  <c r="M262" i="42"/>
  <c r="M264" i="42"/>
  <c r="M269" i="42"/>
  <c r="M43" i="43"/>
  <c r="M49" i="43"/>
  <c r="S175" i="43"/>
  <c r="F175" i="43" s="1"/>
  <c r="F252" i="43"/>
  <c r="V252" i="43" s="1"/>
  <c r="G252" i="43" s="1"/>
  <c r="R252" i="43" s="1"/>
  <c r="F254" i="43"/>
  <c r="V254" i="43" s="1"/>
  <c r="G254" i="43" s="1"/>
  <c r="R254" i="43" s="1"/>
  <c r="F268" i="43"/>
  <c r="V268" i="43" s="1"/>
  <c r="G268" i="43" s="1"/>
  <c r="F271" i="43"/>
  <c r="V271" i="43" s="1"/>
  <c r="G271" i="43" s="1"/>
  <c r="R271" i="43" s="1"/>
  <c r="F277" i="43"/>
  <c r="U372" i="43"/>
  <c r="C33" i="43"/>
  <c r="H353" i="43"/>
  <c r="H400" i="43"/>
  <c r="H398" i="43"/>
  <c r="H396" i="43"/>
  <c r="H367" i="43"/>
  <c r="H365" i="43"/>
  <c r="H409" i="43"/>
  <c r="H407" i="43"/>
  <c r="H393" i="43"/>
  <c r="H391" i="43"/>
  <c r="H389" i="43"/>
  <c r="H387" i="43"/>
  <c r="H385" i="43"/>
  <c r="H383" i="43"/>
  <c r="H381" i="43"/>
  <c r="H375" i="43"/>
  <c r="H362" i="43"/>
  <c r="H360" i="43"/>
  <c r="H352" i="43"/>
  <c r="H368" i="43"/>
  <c r="H366" i="43"/>
  <c r="H377" i="43"/>
  <c r="H327" i="43"/>
  <c r="H319" i="43"/>
  <c r="H311" i="43"/>
  <c r="H304" i="43"/>
  <c r="H349" i="43"/>
  <c r="H338" i="43"/>
  <c r="H322" i="43"/>
  <c r="H314" i="43"/>
  <c r="H406" i="43"/>
  <c r="H399" i="43"/>
  <c r="H361" i="43"/>
  <c r="H358" i="43"/>
  <c r="H341" i="43"/>
  <c r="H323" i="43"/>
  <c r="H315" i="43"/>
  <c r="H356" i="43"/>
  <c r="H342" i="43"/>
  <c r="H326" i="43"/>
  <c r="H317" i="43"/>
  <c r="H309" i="43"/>
  <c r="H307" i="43"/>
  <c r="H302" i="43"/>
  <c r="H295" i="43"/>
  <c r="H288" i="43"/>
  <c r="H388" i="43"/>
  <c r="H397" i="43"/>
  <c r="H359" i="43"/>
  <c r="H324" i="43"/>
  <c r="H300" i="43"/>
  <c r="H293" i="43"/>
  <c r="H286" i="43"/>
  <c r="H390" i="43"/>
  <c r="H382" i="43"/>
  <c r="H347" i="43"/>
  <c r="H346" i="43"/>
  <c r="H313" i="43"/>
  <c r="H312" i="43"/>
  <c r="H357" i="43"/>
  <c r="H348" i="43"/>
  <c r="H321" i="43"/>
  <c r="H320" i="43"/>
  <c r="H303" i="43"/>
  <c r="H291" i="43"/>
  <c r="H408" i="43"/>
  <c r="H392" i="43"/>
  <c r="H384" i="43"/>
  <c r="H343" i="43"/>
  <c r="H340" i="43"/>
  <c r="H328" i="43"/>
  <c r="H301" i="43"/>
  <c r="H294" i="43"/>
  <c r="H316" i="43"/>
  <c r="H305" i="43"/>
  <c r="H386" i="43"/>
  <c r="H325" i="43"/>
  <c r="H299" i="43"/>
  <c r="H339" i="43"/>
  <c r="H355" i="43"/>
  <c r="H289" i="43"/>
  <c r="H285" i="43"/>
  <c r="H250" i="43"/>
  <c r="H292" i="43"/>
  <c r="H256" i="43"/>
  <c r="H297" i="43"/>
  <c r="H284" i="43"/>
  <c r="H235" i="43"/>
  <c r="H232" i="43"/>
  <c r="H176" i="43"/>
  <c r="H156" i="43"/>
  <c r="H318" i="43"/>
  <c r="H287" i="43"/>
  <c r="H184" i="43"/>
  <c r="H153" i="43"/>
  <c r="H143" i="43"/>
  <c r="H141" i="43"/>
  <c r="H139" i="43"/>
  <c r="H159" i="43"/>
  <c r="H147" i="43"/>
  <c r="H200" i="43"/>
  <c r="H144" i="43"/>
  <c r="H142" i="43"/>
  <c r="H140" i="43"/>
  <c r="H135" i="43"/>
  <c r="H133" i="43"/>
  <c r="H121" i="43"/>
  <c r="H215" i="43"/>
  <c r="H296" i="43"/>
  <c r="H212" i="43"/>
  <c r="H150" i="43"/>
  <c r="H127" i="43"/>
  <c r="H124" i="43"/>
  <c r="H79" i="43"/>
  <c r="H132" i="43"/>
  <c r="H87" i="43"/>
  <c r="H120" i="43"/>
  <c r="H94" i="43"/>
  <c r="H86" i="43"/>
  <c r="H82" i="43"/>
  <c r="H136" i="43"/>
  <c r="H93" i="43"/>
  <c r="H128" i="43"/>
  <c r="H85" i="43"/>
  <c r="H81" i="43"/>
  <c r="H84" i="43"/>
  <c r="H54" i="43"/>
  <c r="H134" i="43"/>
  <c r="H89" i="43"/>
  <c r="H109" i="43"/>
  <c r="H105" i="43"/>
  <c r="H98" i="43"/>
  <c r="H88" i="43"/>
  <c r="H24" i="43"/>
  <c r="H48" i="43"/>
  <c r="F125" i="43"/>
  <c r="H125" i="43" s="1"/>
  <c r="F126" i="43"/>
  <c r="H126" i="43" s="1"/>
  <c r="C19" i="43"/>
  <c r="C30" i="43"/>
  <c r="C45" i="43"/>
  <c r="C53" i="43"/>
  <c r="C47" i="43"/>
  <c r="H52" i="43"/>
  <c r="C197" i="43"/>
  <c r="C181" i="43"/>
  <c r="C189" i="43"/>
  <c r="C169" i="43"/>
  <c r="C199" i="43"/>
  <c r="F191" i="43"/>
  <c r="C165" i="43"/>
  <c r="C163" i="43"/>
  <c r="C205" i="43"/>
  <c r="F201" i="43"/>
  <c r="H201" i="43" s="1"/>
  <c r="C195" i="43"/>
  <c r="C193" i="43"/>
  <c r="C185" i="43"/>
  <c r="C191" i="43"/>
  <c r="C171" i="43"/>
  <c r="C209" i="43"/>
  <c r="C201" i="43"/>
  <c r="C177" i="43"/>
  <c r="C175" i="43"/>
  <c r="C66" i="43"/>
  <c r="C106" i="43"/>
  <c r="C102" i="43"/>
  <c r="C114" i="43"/>
  <c r="C63" i="43"/>
  <c r="C110" i="43"/>
  <c r="C51" i="43"/>
  <c r="C49" i="43"/>
  <c r="C58" i="43"/>
  <c r="C23" i="43"/>
  <c r="C25" i="43"/>
  <c r="M58" i="43"/>
  <c r="M136" i="43"/>
  <c r="M134" i="43"/>
  <c r="M132" i="43"/>
  <c r="M131" i="43"/>
  <c r="M94" i="43"/>
  <c r="M114" i="43"/>
  <c r="M113" i="43"/>
  <c r="M120" i="43"/>
  <c r="V127" i="43"/>
  <c r="M52" i="43"/>
  <c r="M53" i="43"/>
  <c r="M91" i="43"/>
  <c r="M97" i="43"/>
  <c r="F111" i="43"/>
  <c r="S110" i="43"/>
  <c r="F110" i="43" s="1"/>
  <c r="H110" i="43" s="1"/>
  <c r="M121" i="43"/>
  <c r="M117" i="43"/>
  <c r="U164" i="43"/>
  <c r="U162" i="43"/>
  <c r="F181" i="43"/>
  <c r="H181" i="43" s="1"/>
  <c r="V180" i="43"/>
  <c r="G180" i="43" s="1"/>
  <c r="H180" i="43" s="1"/>
  <c r="M92" i="43"/>
  <c r="M119" i="43"/>
  <c r="F177" i="43"/>
  <c r="H177" i="43" s="1"/>
  <c r="M188" i="43"/>
  <c r="M189" i="43" s="1"/>
  <c r="M190" i="43"/>
  <c r="M196" i="43"/>
  <c r="M197" i="43" s="1"/>
  <c r="F185" i="43"/>
  <c r="U219" i="43"/>
  <c r="U218" i="43"/>
  <c r="M194" i="43"/>
  <c r="M195" i="43" s="1"/>
  <c r="M198" i="43"/>
  <c r="M199" i="43" s="1"/>
  <c r="U239" i="43"/>
  <c r="U238" i="43"/>
  <c r="M242" i="43"/>
  <c r="M268" i="43"/>
  <c r="U335" i="43"/>
  <c r="U331" i="43"/>
  <c r="U334" i="43"/>
  <c r="U333" i="43"/>
  <c r="M250" i="43"/>
  <c r="M244" i="43"/>
  <c r="M248" i="43"/>
  <c r="M253" i="43"/>
  <c r="M269" i="43"/>
  <c r="M259" i="43"/>
  <c r="M261" i="43"/>
  <c r="M247" i="43"/>
  <c r="M265" i="43"/>
  <c r="M267" i="43"/>
  <c r="M257" i="43"/>
  <c r="M266" i="43"/>
  <c r="M258" i="43"/>
  <c r="M264" i="43"/>
  <c r="M256" i="43"/>
  <c r="M255" i="43"/>
  <c r="M271" i="43"/>
  <c r="M254" i="43"/>
  <c r="M251" i="43"/>
  <c r="M245" i="43"/>
  <c r="M252" i="43"/>
  <c r="M243" i="43"/>
  <c r="M246" i="43"/>
  <c r="M260" i="43"/>
  <c r="M270" i="43"/>
  <c r="F249" i="43"/>
  <c r="V249" i="43" s="1"/>
  <c r="G249" i="43" s="1"/>
  <c r="R249" i="43" s="1"/>
  <c r="F264" i="43"/>
  <c r="V264" i="43" s="1"/>
  <c r="G264" i="43" s="1"/>
  <c r="R264" i="43" s="1"/>
  <c r="F255" i="43"/>
  <c r="F283" i="43"/>
  <c r="F262" i="43"/>
  <c r="V262" i="43" s="1"/>
  <c r="G262" i="43" s="1"/>
  <c r="R262" i="43" s="1"/>
  <c r="F253" i="43"/>
  <c r="V253" i="43" s="1"/>
  <c r="G253" i="43" s="1"/>
  <c r="R253" i="43" s="1"/>
  <c r="F243" i="43"/>
  <c r="F258" i="43"/>
  <c r="V258" i="43" s="1"/>
  <c r="G258" i="43" s="1"/>
  <c r="R258" i="43" s="1"/>
  <c r="C19" i="42"/>
  <c r="C45" i="42"/>
  <c r="M52" i="42"/>
  <c r="S106" i="42"/>
  <c r="F106" i="42" s="1"/>
  <c r="H400" i="42"/>
  <c r="H398" i="42"/>
  <c r="H396" i="42"/>
  <c r="H367" i="42"/>
  <c r="H365" i="42"/>
  <c r="H348" i="42"/>
  <c r="H346" i="42"/>
  <c r="H409" i="42"/>
  <c r="H407" i="42"/>
  <c r="H393" i="42"/>
  <c r="H391" i="42"/>
  <c r="H389" i="42"/>
  <c r="H387" i="42"/>
  <c r="H385" i="42"/>
  <c r="H383" i="42"/>
  <c r="H381" i="42"/>
  <c r="H368" i="42"/>
  <c r="H349" i="42"/>
  <c r="H399" i="42"/>
  <c r="H397" i="42"/>
  <c r="H366" i="42"/>
  <c r="H375" i="42"/>
  <c r="H357" i="42"/>
  <c r="H352" i="42"/>
  <c r="H339" i="42"/>
  <c r="H325" i="42"/>
  <c r="H317" i="42"/>
  <c r="H406" i="42"/>
  <c r="H392" i="42"/>
  <c r="H388" i="42"/>
  <c r="H384" i="42"/>
  <c r="H360" i="42"/>
  <c r="H377" i="42"/>
  <c r="H359" i="42"/>
  <c r="H408" i="42"/>
  <c r="H382" i="42"/>
  <c r="H386" i="42"/>
  <c r="H342" i="42"/>
  <c r="H338" i="42"/>
  <c r="H318" i="42"/>
  <c r="H314" i="42"/>
  <c r="H299" i="42"/>
  <c r="H390" i="42"/>
  <c r="H324" i="42"/>
  <c r="H315" i="42"/>
  <c r="H300" i="42"/>
  <c r="H293" i="42"/>
  <c r="H340" i="42"/>
  <c r="H327" i="42"/>
  <c r="H307" i="42"/>
  <c r="H303" i="42"/>
  <c r="H296" i="42"/>
  <c r="H361" i="42"/>
  <c r="H353" i="42"/>
  <c r="H323" i="42"/>
  <c r="H321" i="42"/>
  <c r="H319" i="42"/>
  <c r="H313" i="42"/>
  <c r="H309" i="42"/>
  <c r="H355" i="42"/>
  <c r="H294" i="42"/>
  <c r="H356" i="42"/>
  <c r="H291" i="42"/>
  <c r="H284" i="42"/>
  <c r="H322" i="42"/>
  <c r="H287" i="42"/>
  <c r="H328" i="42"/>
  <c r="H326" i="42"/>
  <c r="H305" i="42"/>
  <c r="H302" i="42"/>
  <c r="H297" i="42"/>
  <c r="H362" i="42"/>
  <c r="H316" i="42"/>
  <c r="H343" i="42"/>
  <c r="H341" i="42"/>
  <c r="H312" i="42"/>
  <c r="H295" i="42"/>
  <c r="H288" i="42"/>
  <c r="H285" i="42"/>
  <c r="H256" i="42"/>
  <c r="H301" i="42"/>
  <c r="H292" i="42"/>
  <c r="H289" i="42"/>
  <c r="H286" i="42"/>
  <c r="H347" i="42"/>
  <c r="H304" i="42"/>
  <c r="H184" i="42"/>
  <c r="H358" i="42"/>
  <c r="H311" i="42"/>
  <c r="H320" i="42"/>
  <c r="H235" i="42"/>
  <c r="H215" i="42"/>
  <c r="H212" i="42"/>
  <c r="H153" i="42"/>
  <c r="H143" i="42"/>
  <c r="H141" i="42"/>
  <c r="H176" i="42"/>
  <c r="H136" i="42"/>
  <c r="H232" i="42"/>
  <c r="H147" i="42"/>
  <c r="H250" i="42"/>
  <c r="H139" i="42"/>
  <c r="H135" i="42"/>
  <c r="H133" i="42"/>
  <c r="H150" i="42"/>
  <c r="H200" i="42"/>
  <c r="H58" i="42"/>
  <c r="H159" i="42"/>
  <c r="H156" i="42"/>
  <c r="H98" i="42"/>
  <c r="H93" i="42"/>
  <c r="H88" i="42"/>
  <c r="H86" i="42"/>
  <c r="H84" i="42"/>
  <c r="H79" i="42"/>
  <c r="H134" i="42"/>
  <c r="H132" i="42"/>
  <c r="H142" i="42"/>
  <c r="H140" i="42"/>
  <c r="H127" i="42"/>
  <c r="H82" i="42"/>
  <c r="H180" i="42"/>
  <c r="H144" i="42"/>
  <c r="H120" i="42"/>
  <c r="H94" i="42"/>
  <c r="H89" i="42"/>
  <c r="H87" i="42"/>
  <c r="H85" i="42"/>
  <c r="H48" i="42"/>
  <c r="C30" i="42"/>
  <c r="C49" i="42"/>
  <c r="M54" i="42"/>
  <c r="H109" i="42"/>
  <c r="F110" i="42"/>
  <c r="H110" i="42" s="1"/>
  <c r="H121" i="42"/>
  <c r="F126" i="42"/>
  <c r="H126" i="42" s="1"/>
  <c r="F125" i="42"/>
  <c r="H125" i="42" s="1"/>
  <c r="C33" i="42"/>
  <c r="M44" i="42"/>
  <c r="C47" i="42"/>
  <c r="M53" i="42"/>
  <c r="M59" i="42"/>
  <c r="H105" i="42"/>
  <c r="C51" i="42"/>
  <c r="C66" i="42"/>
  <c r="H128" i="42"/>
  <c r="G27" i="42"/>
  <c r="M119" i="42"/>
  <c r="M118" i="42"/>
  <c r="M120" i="42"/>
  <c r="M117" i="42"/>
  <c r="M135" i="42"/>
  <c r="M134" i="42"/>
  <c r="M132" i="42"/>
  <c r="M136" i="42"/>
  <c r="M133" i="42"/>
  <c r="M131" i="42"/>
  <c r="C209" i="42"/>
  <c r="C195" i="42"/>
  <c r="C189" i="42"/>
  <c r="C205" i="42"/>
  <c r="F191" i="42"/>
  <c r="C177" i="42"/>
  <c r="C175" i="42"/>
  <c r="F201" i="42"/>
  <c r="H201" i="42" s="1"/>
  <c r="C191" i="42"/>
  <c r="C169" i="42"/>
  <c r="C163" i="42"/>
  <c r="C201" i="42"/>
  <c r="C197" i="42"/>
  <c r="C199" i="42"/>
  <c r="C193" i="42"/>
  <c r="C185" i="42"/>
  <c r="C171" i="42"/>
  <c r="C110" i="42"/>
  <c r="C106" i="42"/>
  <c r="C102" i="42"/>
  <c r="C63" i="42"/>
  <c r="C114" i="42"/>
  <c r="C56" i="42"/>
  <c r="F181" i="42"/>
  <c r="H181" i="42" s="1"/>
  <c r="C53" i="42"/>
  <c r="C181" i="42"/>
  <c r="F177" i="42"/>
  <c r="H177" i="42" s="1"/>
  <c r="F175" i="42"/>
  <c r="C165" i="42"/>
  <c r="C25" i="42"/>
  <c r="M60" i="42"/>
  <c r="M55" i="42"/>
  <c r="M56" i="42"/>
  <c r="M51" i="42"/>
  <c r="M49" i="42"/>
  <c r="M48" i="42"/>
  <c r="M57" i="42"/>
  <c r="M50" i="42"/>
  <c r="M78" i="42"/>
  <c r="M47" i="42"/>
  <c r="M45" i="42"/>
  <c r="M43" i="42"/>
  <c r="M42" i="42"/>
  <c r="H52" i="42"/>
  <c r="M67" i="42"/>
  <c r="M68" i="42" s="1"/>
  <c r="R118" i="42"/>
  <c r="H54" i="42"/>
  <c r="C58" i="42"/>
  <c r="M114" i="42"/>
  <c r="M113" i="42"/>
  <c r="M92" i="42"/>
  <c r="M192" i="42"/>
  <c r="M193" i="42" s="1"/>
  <c r="M198" i="42"/>
  <c r="M199" i="42" s="1"/>
  <c r="M188" i="42"/>
  <c r="M189" i="42" s="1"/>
  <c r="M190" i="42"/>
  <c r="M201" i="42"/>
  <c r="M196" i="42"/>
  <c r="M197" i="42" s="1"/>
  <c r="U229" i="42"/>
  <c r="U230" i="42" s="1"/>
  <c r="F186" i="42"/>
  <c r="F269" i="42"/>
  <c r="V269" i="42" s="1"/>
  <c r="G269" i="42" s="1"/>
  <c r="R269" i="42" s="1"/>
  <c r="F271" i="42"/>
  <c r="V271" i="42" s="1"/>
  <c r="G271" i="42" s="1"/>
  <c r="R271" i="42" s="1"/>
  <c r="F265" i="42"/>
  <c r="V265" i="42" s="1"/>
  <c r="G265" i="42" s="1"/>
  <c r="R265" i="42" s="1"/>
  <c r="F261" i="42"/>
  <c r="V261" i="42" s="1"/>
  <c r="G261" i="42" s="1"/>
  <c r="R261" i="42" s="1"/>
  <c r="F268" i="42"/>
  <c r="V268" i="42" s="1"/>
  <c r="G268" i="42" s="1"/>
  <c r="R268" i="42" s="1"/>
  <c r="F260" i="42"/>
  <c r="V260" i="42" s="1"/>
  <c r="G260" i="42" s="1"/>
  <c r="R260" i="42" s="1"/>
  <c r="F251" i="42"/>
  <c r="V251" i="42" s="1"/>
  <c r="G251" i="42" s="1"/>
  <c r="R251" i="42" s="1"/>
  <c r="F266" i="42"/>
  <c r="F259" i="42"/>
  <c r="F249" i="42"/>
  <c r="F273" i="42"/>
  <c r="F258" i="42"/>
  <c r="V258" i="42" s="1"/>
  <c r="G258" i="42" s="1"/>
  <c r="R258" i="42" s="1"/>
  <c r="F248" i="42"/>
  <c r="V248" i="42" s="1"/>
  <c r="G248" i="42" s="1"/>
  <c r="R248" i="42" s="1"/>
  <c r="F264" i="42"/>
  <c r="V264" i="42" s="1"/>
  <c r="G264" i="42" s="1"/>
  <c r="R264" i="42" s="1"/>
  <c r="F255" i="42"/>
  <c r="V255" i="42" s="1"/>
  <c r="G255" i="42" s="1"/>
  <c r="R255" i="42" s="1"/>
  <c r="F246" i="42"/>
  <c r="V246" i="42" s="1"/>
  <c r="G246" i="42" s="1"/>
  <c r="R246" i="42" s="1"/>
  <c r="F283" i="42"/>
  <c r="F267" i="42"/>
  <c r="V267" i="42" s="1"/>
  <c r="G267" i="42" s="1"/>
  <c r="R267" i="42" s="1"/>
  <c r="F263" i="42"/>
  <c r="V263" i="42" s="1"/>
  <c r="G263" i="42" s="1"/>
  <c r="R263" i="42" s="1"/>
  <c r="F254" i="42"/>
  <c r="V254" i="42" s="1"/>
  <c r="G254" i="42" s="1"/>
  <c r="R254" i="42" s="1"/>
  <c r="F245" i="42"/>
  <c r="V245" i="42" s="1"/>
  <c r="G245" i="42" s="1"/>
  <c r="R245" i="42" s="1"/>
  <c r="F277" i="42"/>
  <c r="F262" i="42"/>
  <c r="V262" i="42" s="1"/>
  <c r="G262" i="42" s="1"/>
  <c r="R262" i="42" s="1"/>
  <c r="F253" i="42"/>
  <c r="V253" i="42" s="1"/>
  <c r="G253" i="42" s="1"/>
  <c r="R253" i="42" s="1"/>
  <c r="F244" i="42"/>
  <c r="V244" i="42" s="1"/>
  <c r="G244" i="42" s="1"/>
  <c r="R244" i="42" s="1"/>
  <c r="F185" i="42"/>
  <c r="H185" i="42" s="1"/>
  <c r="F243" i="42"/>
  <c r="V243" i="42" s="1"/>
  <c r="G243" i="42" s="1"/>
  <c r="R243" i="42" s="1"/>
  <c r="F252" i="42"/>
  <c r="V252" i="42" s="1"/>
  <c r="G252" i="42" s="1"/>
  <c r="R252" i="42" s="1"/>
  <c r="F257" i="42"/>
  <c r="V257" i="42" s="1"/>
  <c r="G257" i="42" s="1"/>
  <c r="R257" i="42" s="1"/>
  <c r="M246" i="42"/>
  <c r="M255" i="42"/>
  <c r="M270" i="42"/>
  <c r="M267" i="42"/>
  <c r="M266" i="42"/>
  <c r="M247" i="42"/>
  <c r="M257" i="42"/>
  <c r="M268" i="42"/>
  <c r="M248" i="42"/>
  <c r="M258" i="42"/>
  <c r="M243" i="42"/>
  <c r="M252" i="42"/>
  <c r="M261" i="42"/>
  <c r="M265" i="42"/>
  <c r="U270" i="42"/>
  <c r="F272" i="42"/>
  <c r="S270" i="42"/>
  <c r="F270" i="42" s="1"/>
  <c r="V270" i="42" s="1"/>
  <c r="G270" i="42" s="1"/>
  <c r="R270" i="42" s="1"/>
  <c r="U342" i="42"/>
  <c r="U338" i="42"/>
  <c r="U339" i="42"/>
  <c r="U340" i="42"/>
  <c r="U335" i="42"/>
  <c r="U334" i="42"/>
  <c r="U333" i="42"/>
  <c r="U332" i="42"/>
  <c r="U331" i="42"/>
  <c r="F91" i="41"/>
  <c r="F96" i="41"/>
  <c r="F22" i="41"/>
  <c r="F46" i="41"/>
  <c r="C58" i="41"/>
  <c r="C102" i="41"/>
  <c r="C114" i="41"/>
  <c r="H124" i="41"/>
  <c r="C25" i="41"/>
  <c r="G59" i="41"/>
  <c r="G60" i="41" s="1"/>
  <c r="F106" i="41"/>
  <c r="F126" i="41"/>
  <c r="H126" i="41" s="1"/>
  <c r="F125" i="41"/>
  <c r="H125" i="41" s="1"/>
  <c r="C191" i="41"/>
  <c r="C185" i="41"/>
  <c r="C209" i="41"/>
  <c r="C195" i="41"/>
  <c r="C197" i="41"/>
  <c r="C181" i="41"/>
  <c r="C199" i="41"/>
  <c r="C205" i="41"/>
  <c r="F191" i="41"/>
  <c r="C175" i="41"/>
  <c r="C177" i="41"/>
  <c r="F201" i="41"/>
  <c r="H201" i="41" s="1"/>
  <c r="C193" i="41"/>
  <c r="C163" i="41"/>
  <c r="C169" i="41"/>
  <c r="C201" i="41"/>
  <c r="C189" i="41"/>
  <c r="C21" i="41"/>
  <c r="C23" i="41"/>
  <c r="C49" i="41"/>
  <c r="C51" i="41"/>
  <c r="M52" i="41"/>
  <c r="M53" i="41"/>
  <c r="H54" i="41"/>
  <c r="H86" i="41"/>
  <c r="M92" i="41"/>
  <c r="H98" i="41"/>
  <c r="C106" i="41"/>
  <c r="C56" i="41"/>
  <c r="H79" i="41"/>
  <c r="H81" i="41"/>
  <c r="M91" i="41"/>
  <c r="H353" i="41"/>
  <c r="H400" i="41"/>
  <c r="H398" i="41"/>
  <c r="H396" i="41"/>
  <c r="H367" i="41"/>
  <c r="H365" i="41"/>
  <c r="H409" i="41"/>
  <c r="H407" i="41"/>
  <c r="H393" i="41"/>
  <c r="H391" i="41"/>
  <c r="H389" i="41"/>
  <c r="H387" i="41"/>
  <c r="H385" i="41"/>
  <c r="H383" i="41"/>
  <c r="H381" i="41"/>
  <c r="H375" i="41"/>
  <c r="H362" i="41"/>
  <c r="H360" i="41"/>
  <c r="H358" i="41"/>
  <c r="H356" i="41"/>
  <c r="H368" i="41"/>
  <c r="H349" i="41"/>
  <c r="H361" i="41"/>
  <c r="H346" i="41"/>
  <c r="H339" i="41"/>
  <c r="H325" i="41"/>
  <c r="H317" i="41"/>
  <c r="H399" i="41"/>
  <c r="H388" i="41"/>
  <c r="H352" i="41"/>
  <c r="H340" i="41"/>
  <c r="H328" i="41"/>
  <c r="H320" i="41"/>
  <c r="H312" i="41"/>
  <c r="H382" i="41"/>
  <c r="H355" i="41"/>
  <c r="H341" i="41"/>
  <c r="H323" i="41"/>
  <c r="H315" i="41"/>
  <c r="H392" i="41"/>
  <c r="H342" i="41"/>
  <c r="H326" i="41"/>
  <c r="H318" i="41"/>
  <c r="H386" i="41"/>
  <c r="H377" i="41"/>
  <c r="H357" i="41"/>
  <c r="H348" i="41"/>
  <c r="H343" i="41"/>
  <c r="H321" i="41"/>
  <c r="H313" i="41"/>
  <c r="H406" i="41"/>
  <c r="H390" i="41"/>
  <c r="H359" i="41"/>
  <c r="H347" i="41"/>
  <c r="H327" i="41"/>
  <c r="H319" i="41"/>
  <c r="H311" i="41"/>
  <c r="H384" i="41"/>
  <c r="H338" i="41"/>
  <c r="H322" i="41"/>
  <c r="H314" i="41"/>
  <c r="H324" i="41"/>
  <c r="H307" i="41"/>
  <c r="H303" i="41"/>
  <c r="H296" i="41"/>
  <c r="H289" i="41"/>
  <c r="H309" i="41"/>
  <c r="H291" i="41"/>
  <c r="H284" i="41"/>
  <c r="H301" i="41"/>
  <c r="H294" i="41"/>
  <c r="H287" i="41"/>
  <c r="H366" i="41"/>
  <c r="H316" i="41"/>
  <c r="H304" i="41"/>
  <c r="H297" i="41"/>
  <c r="H299" i="41"/>
  <c r="H292" i="41"/>
  <c r="H285" i="41"/>
  <c r="H302" i="41"/>
  <c r="H295" i="41"/>
  <c r="H288" i="41"/>
  <c r="H305" i="41"/>
  <c r="H300" i="41"/>
  <c r="H235" i="41"/>
  <c r="H293" i="41"/>
  <c r="H250" i="41"/>
  <c r="H397" i="41"/>
  <c r="H232" i="41"/>
  <c r="H256" i="41"/>
  <c r="H147" i="41"/>
  <c r="H286" i="41"/>
  <c r="H159" i="41"/>
  <c r="H144" i="41"/>
  <c r="H142" i="41"/>
  <c r="H140" i="41"/>
  <c r="H156" i="41"/>
  <c r="H215" i="41"/>
  <c r="H212" i="41"/>
  <c r="H134" i="41"/>
  <c r="H132" i="41"/>
  <c r="H109" i="41"/>
  <c r="H105" i="41"/>
  <c r="H127" i="41"/>
  <c r="H82" i="41"/>
  <c r="H136" i="41"/>
  <c r="H128" i="41"/>
  <c r="H143" i="41"/>
  <c r="H120" i="41"/>
  <c r="H94" i="41"/>
  <c r="H89" i="41"/>
  <c r="H141" i="41"/>
  <c r="H133" i="41"/>
  <c r="H121" i="41"/>
  <c r="H58" i="41"/>
  <c r="C63" i="41"/>
  <c r="H84" i="41"/>
  <c r="H87" i="41"/>
  <c r="H139" i="41"/>
  <c r="U162" i="41"/>
  <c r="U164" i="41"/>
  <c r="H153" i="41"/>
  <c r="M42" i="41"/>
  <c r="M44" i="41"/>
  <c r="H88" i="41"/>
  <c r="F110" i="41"/>
  <c r="H110" i="41" s="1"/>
  <c r="H150" i="41"/>
  <c r="F177" i="41"/>
  <c r="V176" i="41"/>
  <c r="G176" i="41" s="1"/>
  <c r="H176" i="41" s="1"/>
  <c r="F185" i="41"/>
  <c r="V184" i="41"/>
  <c r="G184" i="41" s="1"/>
  <c r="H184" i="41" s="1"/>
  <c r="M200" i="41"/>
  <c r="M192" i="41"/>
  <c r="M193" i="41" s="1"/>
  <c r="M194" i="41"/>
  <c r="M195" i="41" s="1"/>
  <c r="F181" i="41"/>
  <c r="H181" i="41" s="1"/>
  <c r="F186" i="41"/>
  <c r="S175" i="41"/>
  <c r="F175" i="41" s="1"/>
  <c r="V180" i="41"/>
  <c r="G180" i="41" s="1"/>
  <c r="H180" i="41" s="1"/>
  <c r="M190" i="41"/>
  <c r="M201" i="41"/>
  <c r="S270" i="41"/>
  <c r="F270" i="41" s="1"/>
  <c r="V270" i="41" s="1"/>
  <c r="G270" i="41" s="1"/>
  <c r="F272" i="41"/>
  <c r="U270" i="41"/>
  <c r="U219" i="41"/>
  <c r="U218" i="41"/>
  <c r="M243" i="41"/>
  <c r="F249" i="41"/>
  <c r="V249" i="41" s="1"/>
  <c r="G249" i="41" s="1"/>
  <c r="R249" i="41" s="1"/>
  <c r="M252" i="41"/>
  <c r="F259" i="41"/>
  <c r="V259" i="41" s="1"/>
  <c r="G259" i="41" s="1"/>
  <c r="R259" i="41" s="1"/>
  <c r="M261" i="41"/>
  <c r="M263" i="41"/>
  <c r="F277" i="41"/>
  <c r="M244" i="41"/>
  <c r="F251" i="41"/>
  <c r="V251" i="41" s="1"/>
  <c r="G251" i="41" s="1"/>
  <c r="R251" i="41" s="1"/>
  <c r="M253" i="41"/>
  <c r="M262" i="41"/>
  <c r="U238" i="41"/>
  <c r="U240" i="41" s="1"/>
  <c r="F283" i="41"/>
  <c r="F267" i="41"/>
  <c r="V267" i="41" s="1"/>
  <c r="G267" i="41" s="1"/>
  <c r="R267" i="41" s="1"/>
  <c r="F265" i="41"/>
  <c r="V265" i="41" s="1"/>
  <c r="G265" i="41" s="1"/>
  <c r="R265" i="41" s="1"/>
  <c r="F273" i="41"/>
  <c r="F269" i="41"/>
  <c r="V269" i="41" s="1"/>
  <c r="G269" i="41" s="1"/>
  <c r="R269" i="41" s="1"/>
  <c r="F243" i="41"/>
  <c r="M245" i="41"/>
  <c r="F252" i="41"/>
  <c r="V252" i="41" s="1"/>
  <c r="G252" i="41" s="1"/>
  <c r="R252" i="41" s="1"/>
  <c r="M254" i="41"/>
  <c r="F261" i="41"/>
  <c r="V261" i="41" s="1"/>
  <c r="G261" i="41" s="1"/>
  <c r="R261" i="41" s="1"/>
  <c r="F264" i="41"/>
  <c r="V264" i="41" s="1"/>
  <c r="G264" i="41" s="1"/>
  <c r="R264" i="41" s="1"/>
  <c r="F244" i="41"/>
  <c r="V244" i="41" s="1"/>
  <c r="G244" i="41" s="1"/>
  <c r="R244" i="41" s="1"/>
  <c r="M246" i="41"/>
  <c r="F253" i="41"/>
  <c r="V253" i="41" s="1"/>
  <c r="G253" i="41" s="1"/>
  <c r="R253" i="41" s="1"/>
  <c r="M255" i="41"/>
  <c r="F262" i="41"/>
  <c r="V262" i="41" s="1"/>
  <c r="G262" i="41" s="1"/>
  <c r="R262" i="41" s="1"/>
  <c r="F263" i="41"/>
  <c r="V263" i="41" s="1"/>
  <c r="G263" i="41" s="1"/>
  <c r="R263" i="41" s="1"/>
  <c r="M269" i="41"/>
  <c r="M267" i="41"/>
  <c r="M266" i="41"/>
  <c r="M271" i="41"/>
  <c r="M270" i="41"/>
  <c r="M247" i="41"/>
  <c r="F254" i="41"/>
  <c r="V254" i="41" s="1"/>
  <c r="G254" i="41" s="1"/>
  <c r="R254" i="41" s="1"/>
  <c r="M257" i="41"/>
  <c r="M248" i="41"/>
  <c r="F255" i="41"/>
  <c r="V255" i="41" s="1"/>
  <c r="G255" i="41" s="1"/>
  <c r="R255" i="41" s="1"/>
  <c r="M258" i="41"/>
  <c r="F268" i="41"/>
  <c r="V268" i="41" s="1"/>
  <c r="G268" i="41" s="1"/>
  <c r="R268" i="41" s="1"/>
  <c r="S271" i="41"/>
  <c r="F271" i="41" s="1"/>
  <c r="V271" i="41" s="1"/>
  <c r="G271" i="41" s="1"/>
  <c r="U341" i="41"/>
  <c r="U340" i="41"/>
  <c r="U333" i="41"/>
  <c r="U334" i="41"/>
  <c r="K367" i="38"/>
  <c r="J367" i="38"/>
  <c r="K366" i="38"/>
  <c r="D42" i="26" s="1"/>
  <c r="J366" i="38"/>
  <c r="I366" i="38"/>
  <c r="D33" i="26" s="1"/>
  <c r="H366" i="38"/>
  <c r="H367" i="38" s="1"/>
  <c r="A344" i="38"/>
  <c r="A345" i="38" s="1"/>
  <c r="A346" i="38" s="1"/>
  <c r="A347" i="38" s="1"/>
  <c r="A348" i="38" s="1"/>
  <c r="A349" i="38" s="1"/>
  <c r="A350" i="38" s="1"/>
  <c r="A351" i="38" s="1"/>
  <c r="A352" i="38" s="1"/>
  <c r="A353" i="38" s="1"/>
  <c r="A354" i="38" s="1"/>
  <c r="A355" i="38" s="1"/>
  <c r="A356" i="38" s="1"/>
  <c r="A357" i="38" s="1"/>
  <c r="A358" i="38" s="1"/>
  <c r="A359" i="38" s="1"/>
  <c r="A360" i="38" s="1"/>
  <c r="A361" i="38" s="1"/>
  <c r="A362" i="38" s="1"/>
  <c r="A363" i="38" s="1"/>
  <c r="A364" i="38" s="1"/>
  <c r="A338" i="38"/>
  <c r="A339" i="38" s="1"/>
  <c r="A340" i="38" s="1"/>
  <c r="A341" i="38" s="1"/>
  <c r="A342" i="38" s="1"/>
  <c r="A336" i="38"/>
  <c r="A315" i="38"/>
  <c r="A316" i="38" s="1"/>
  <c r="A317" i="38" s="1"/>
  <c r="A318" i="38" s="1"/>
  <c r="A319" i="38" s="1"/>
  <c r="A320" i="38" s="1"/>
  <c r="A321" i="38" s="1"/>
  <c r="A322" i="38" s="1"/>
  <c r="A323" i="38" s="1"/>
  <c r="A324" i="38" s="1"/>
  <c r="A325" i="38" s="1"/>
  <c r="A326" i="38" s="1"/>
  <c r="A327" i="38" s="1"/>
  <c r="A328" i="38" s="1"/>
  <c r="A329" i="38" s="1"/>
  <c r="A330" i="38" s="1"/>
  <c r="A331" i="38" s="1"/>
  <c r="A332" i="38" s="1"/>
  <c r="A333" i="38" s="1"/>
  <c r="A334" i="38" s="1"/>
  <c r="A3" i="38"/>
  <c r="H265" i="43" l="1"/>
  <c r="N265" i="43" s="1"/>
  <c r="O265" i="43" s="1"/>
  <c r="F80" i="42"/>
  <c r="N200" i="41"/>
  <c r="O200" i="41" s="1"/>
  <c r="H252" i="43"/>
  <c r="J252" i="43" s="1"/>
  <c r="K252" i="43" s="1"/>
  <c r="L252" i="43" s="1"/>
  <c r="H247" i="41"/>
  <c r="H245" i="41"/>
  <c r="N245" i="41" s="1"/>
  <c r="O245" i="41" s="1"/>
  <c r="H259" i="43"/>
  <c r="H258" i="41"/>
  <c r="J258" i="41" s="1"/>
  <c r="N24" i="42"/>
  <c r="O24" i="42" s="1"/>
  <c r="H247" i="42"/>
  <c r="J247" i="42" s="1"/>
  <c r="K247" i="42" s="1"/>
  <c r="L247" i="42" s="1"/>
  <c r="N58" i="43"/>
  <c r="O58" i="43" s="1"/>
  <c r="M86" i="43"/>
  <c r="N86" i="43" s="1"/>
  <c r="O86" i="43" s="1"/>
  <c r="M84" i="43"/>
  <c r="N84" i="43" s="1"/>
  <c r="O84" i="43" s="1"/>
  <c r="M79" i="43"/>
  <c r="N79" i="43" s="1"/>
  <c r="M87" i="43"/>
  <c r="N87" i="43" s="1"/>
  <c r="O87" i="43" s="1"/>
  <c r="M81" i="43"/>
  <c r="N81" i="43" s="1"/>
  <c r="O81" i="43" s="1"/>
  <c r="M88" i="43"/>
  <c r="N88" i="43" s="1"/>
  <c r="O88" i="43" s="1"/>
  <c r="M80" i="43"/>
  <c r="M89" i="43"/>
  <c r="N89" i="43" s="1"/>
  <c r="O89" i="43" s="1"/>
  <c r="M82" i="43"/>
  <c r="N82" i="43" s="1"/>
  <c r="O82" i="43" s="1"/>
  <c r="M85" i="43"/>
  <c r="N85" i="43" s="1"/>
  <c r="O85" i="43" s="1"/>
  <c r="R267" i="43"/>
  <c r="H267" i="43"/>
  <c r="J267" i="43" s="1"/>
  <c r="K267" i="43" s="1"/>
  <c r="L267" i="43" s="1"/>
  <c r="R261" i="43"/>
  <c r="H261" i="43"/>
  <c r="J261" i="43" s="1"/>
  <c r="K261" i="43" s="1"/>
  <c r="H257" i="43"/>
  <c r="N257" i="43" s="1"/>
  <c r="O257" i="43" s="1"/>
  <c r="H248" i="41"/>
  <c r="J248" i="41" s="1"/>
  <c r="K248" i="41" s="1"/>
  <c r="H271" i="43"/>
  <c r="N271" i="43" s="1"/>
  <c r="O271" i="43" s="1"/>
  <c r="H251" i="43"/>
  <c r="J251" i="43" s="1"/>
  <c r="K251" i="43" s="1"/>
  <c r="H266" i="41"/>
  <c r="J266" i="41" s="1"/>
  <c r="K266" i="41" s="1"/>
  <c r="L266" i="41" s="1"/>
  <c r="H260" i="43"/>
  <c r="N260" i="43" s="1"/>
  <c r="O260" i="43" s="1"/>
  <c r="R268" i="43"/>
  <c r="H268" i="43"/>
  <c r="N268" i="43" s="1"/>
  <c r="O268" i="43" s="1"/>
  <c r="M84" i="41"/>
  <c r="N84" i="41" s="1"/>
  <c r="O84" i="41" s="1"/>
  <c r="M83" i="41"/>
  <c r="R270" i="43"/>
  <c r="H270" i="43"/>
  <c r="J270" i="43" s="1"/>
  <c r="K270" i="43" s="1"/>
  <c r="H269" i="43"/>
  <c r="J269" i="43" s="1"/>
  <c r="K269" i="43" s="1"/>
  <c r="N135" i="41"/>
  <c r="O135" i="41" s="1"/>
  <c r="H246" i="43"/>
  <c r="J246" i="43" s="1"/>
  <c r="K246" i="43" s="1"/>
  <c r="L246" i="43" s="1"/>
  <c r="J24" i="41"/>
  <c r="K24" i="41" s="1"/>
  <c r="L24" i="41" s="1"/>
  <c r="J408" i="41"/>
  <c r="K408" i="41" s="1"/>
  <c r="N52" i="41"/>
  <c r="O52" i="41" s="1"/>
  <c r="H247" i="43"/>
  <c r="N247" i="43" s="1"/>
  <c r="O247" i="43" s="1"/>
  <c r="H246" i="41"/>
  <c r="N246" i="41" s="1"/>
  <c r="O246" i="41" s="1"/>
  <c r="R263" i="43"/>
  <c r="H263" i="43"/>
  <c r="J263" i="43" s="1"/>
  <c r="K263" i="43" s="1"/>
  <c r="L263" i="43" s="1"/>
  <c r="R244" i="43"/>
  <c r="H244" i="43"/>
  <c r="N244" i="43" s="1"/>
  <c r="O244" i="43" s="1"/>
  <c r="U343" i="41"/>
  <c r="U379" i="43"/>
  <c r="N48" i="41"/>
  <c r="O48" i="41" s="1"/>
  <c r="U379" i="42"/>
  <c r="H260" i="41"/>
  <c r="J260" i="41" s="1"/>
  <c r="K260" i="41" s="1"/>
  <c r="J93" i="41"/>
  <c r="K93" i="41" s="1"/>
  <c r="H248" i="43"/>
  <c r="J248" i="43" s="1"/>
  <c r="K248" i="43" s="1"/>
  <c r="L248" i="43" s="1"/>
  <c r="U343" i="43"/>
  <c r="M82" i="41"/>
  <c r="N82" i="41" s="1"/>
  <c r="O82" i="41" s="1"/>
  <c r="H254" i="43"/>
  <c r="N254" i="43" s="1"/>
  <c r="O254" i="43" s="1"/>
  <c r="M85" i="41"/>
  <c r="N85" i="41" s="1"/>
  <c r="O85" i="41" s="1"/>
  <c r="M79" i="41"/>
  <c r="N79" i="41" s="1"/>
  <c r="M88" i="41"/>
  <c r="N88" i="41" s="1"/>
  <c r="O88" i="41" s="1"/>
  <c r="M81" i="41"/>
  <c r="N81" i="41" s="1"/>
  <c r="O81" i="41" s="1"/>
  <c r="H257" i="41"/>
  <c r="H266" i="43"/>
  <c r="J266" i="43" s="1"/>
  <c r="M89" i="41"/>
  <c r="N89" i="41" s="1"/>
  <c r="O89" i="41" s="1"/>
  <c r="F39" i="41"/>
  <c r="U336" i="41"/>
  <c r="U220" i="43"/>
  <c r="U379" i="41"/>
  <c r="H255" i="42"/>
  <c r="J255" i="42" s="1"/>
  <c r="H263" i="42"/>
  <c r="N263" i="42" s="1"/>
  <c r="O263" i="42" s="1"/>
  <c r="H261" i="41"/>
  <c r="N261" i="41" s="1"/>
  <c r="O261" i="41" s="1"/>
  <c r="H261" i="42"/>
  <c r="N261" i="42" s="1"/>
  <c r="O261" i="42" s="1"/>
  <c r="L24" i="42"/>
  <c r="A4" i="38"/>
  <c r="C11" i="42"/>
  <c r="F41" i="42"/>
  <c r="F17" i="42"/>
  <c r="H265" i="42"/>
  <c r="N265" i="42" s="1"/>
  <c r="O265" i="42" s="1"/>
  <c r="H255" i="41"/>
  <c r="J255" i="41" s="1"/>
  <c r="K255" i="41" s="1"/>
  <c r="L255" i="41" s="1"/>
  <c r="H263" i="41"/>
  <c r="J263" i="41" s="1"/>
  <c r="K263" i="41" s="1"/>
  <c r="U343" i="42"/>
  <c r="H269" i="42"/>
  <c r="J269" i="42" s="1"/>
  <c r="K269" i="42" s="1"/>
  <c r="M80" i="41"/>
  <c r="M86" i="41"/>
  <c r="N86" i="41" s="1"/>
  <c r="O86" i="41" s="1"/>
  <c r="M87" i="41"/>
  <c r="N87" i="41" s="1"/>
  <c r="O87" i="41" s="1"/>
  <c r="H182" i="43"/>
  <c r="N180" i="43"/>
  <c r="J180" i="43"/>
  <c r="J110" i="43"/>
  <c r="K110" i="43" s="1"/>
  <c r="N110" i="43"/>
  <c r="O110" i="43" s="1"/>
  <c r="N181" i="43"/>
  <c r="O181" i="43" s="1"/>
  <c r="J181" i="43"/>
  <c r="K181" i="43" s="1"/>
  <c r="L181" i="43" s="1"/>
  <c r="J126" i="43"/>
  <c r="K126" i="43" s="1"/>
  <c r="N126" i="43"/>
  <c r="O126" i="43" s="1"/>
  <c r="J125" i="43"/>
  <c r="K125" i="43" s="1"/>
  <c r="N125" i="43"/>
  <c r="O125" i="43" s="1"/>
  <c r="N177" i="43"/>
  <c r="O177" i="43" s="1"/>
  <c r="J177" i="43"/>
  <c r="K177" i="43" s="1"/>
  <c r="L177" i="43" s="1"/>
  <c r="N106" i="43"/>
  <c r="O106" i="43" s="1"/>
  <c r="J106" i="43"/>
  <c r="U166" i="43"/>
  <c r="J52" i="43"/>
  <c r="K52" i="43" s="1"/>
  <c r="N52" i="43"/>
  <c r="O52" i="43" s="1"/>
  <c r="N24" i="43"/>
  <c r="O24" i="43" s="1"/>
  <c r="J24" i="43"/>
  <c r="K24" i="43" s="1"/>
  <c r="J88" i="43"/>
  <c r="N134" i="43"/>
  <c r="O134" i="43" s="1"/>
  <c r="J134" i="43"/>
  <c r="K134" i="43" s="1"/>
  <c r="J84" i="43"/>
  <c r="J128" i="43"/>
  <c r="K128" i="43" s="1"/>
  <c r="N128" i="43"/>
  <c r="O128" i="43" s="1"/>
  <c r="N94" i="43"/>
  <c r="O94" i="43" s="1"/>
  <c r="J94" i="43"/>
  <c r="N150" i="43"/>
  <c r="H151" i="43"/>
  <c r="J150" i="43"/>
  <c r="J151" i="43" s="1"/>
  <c r="H185" i="43"/>
  <c r="N287" i="43"/>
  <c r="O287" i="43" s="1"/>
  <c r="J287" i="43"/>
  <c r="K287" i="43" s="1"/>
  <c r="N292" i="43"/>
  <c r="O292" i="43" s="1"/>
  <c r="J292" i="43"/>
  <c r="K292" i="43" s="1"/>
  <c r="N355" i="43"/>
  <c r="O355" i="43" s="1"/>
  <c r="J355" i="43"/>
  <c r="H262" i="43"/>
  <c r="N294" i="43"/>
  <c r="O294" i="43" s="1"/>
  <c r="J294" i="43"/>
  <c r="N392" i="43"/>
  <c r="O392" i="43" s="1"/>
  <c r="J392" i="43"/>
  <c r="K392" i="43" s="1"/>
  <c r="N312" i="43"/>
  <c r="O312" i="43" s="1"/>
  <c r="J312" i="43"/>
  <c r="K312" i="43" s="1"/>
  <c r="N300" i="43"/>
  <c r="O300" i="43" s="1"/>
  <c r="J300" i="43"/>
  <c r="K300" i="43" s="1"/>
  <c r="N302" i="43"/>
  <c r="O302" i="43" s="1"/>
  <c r="J302" i="43"/>
  <c r="J323" i="43"/>
  <c r="N323" i="43"/>
  <c r="O323" i="43" s="1"/>
  <c r="J387" i="43"/>
  <c r="N387" i="43"/>
  <c r="O387" i="43" s="1"/>
  <c r="J396" i="43"/>
  <c r="H401" i="43"/>
  <c r="N396" i="43"/>
  <c r="J353" i="43"/>
  <c r="N353" i="43"/>
  <c r="O353" i="43" s="1"/>
  <c r="J98" i="43"/>
  <c r="N98" i="43"/>
  <c r="O98" i="43" s="1"/>
  <c r="J93" i="43"/>
  <c r="N93" i="43"/>
  <c r="O93" i="43" s="1"/>
  <c r="H148" i="43"/>
  <c r="N147" i="43"/>
  <c r="J147" i="43"/>
  <c r="J148" i="43" s="1"/>
  <c r="H264" i="43"/>
  <c r="H249" i="43"/>
  <c r="N301" i="43"/>
  <c r="O301" i="43" s="1"/>
  <c r="J301" i="43"/>
  <c r="N408" i="43"/>
  <c r="O408" i="43" s="1"/>
  <c r="J408" i="43"/>
  <c r="K408" i="43" s="1"/>
  <c r="L408" i="43" s="1"/>
  <c r="N313" i="43"/>
  <c r="O313" i="43" s="1"/>
  <c r="J313" i="43"/>
  <c r="N324" i="43"/>
  <c r="O324" i="43" s="1"/>
  <c r="J324" i="43"/>
  <c r="K324" i="43" s="1"/>
  <c r="L324" i="43" s="1"/>
  <c r="N307" i="43"/>
  <c r="O307" i="43" s="1"/>
  <c r="J307" i="43"/>
  <c r="K307" i="43" s="1"/>
  <c r="L307" i="43" s="1"/>
  <c r="N341" i="43"/>
  <c r="O341" i="43" s="1"/>
  <c r="J341" i="43"/>
  <c r="K341" i="43" s="1"/>
  <c r="L341" i="43" s="1"/>
  <c r="N311" i="43"/>
  <c r="O311" i="43" s="1"/>
  <c r="J311" i="43"/>
  <c r="K311" i="43" s="1"/>
  <c r="L311" i="43" s="1"/>
  <c r="N352" i="43"/>
  <c r="J352" i="43"/>
  <c r="K352" i="43" s="1"/>
  <c r="J389" i="43"/>
  <c r="K389" i="43" s="1"/>
  <c r="N389" i="43"/>
  <c r="O389" i="43" s="1"/>
  <c r="J398" i="43"/>
  <c r="N398" i="43"/>
  <c r="O398" i="43" s="1"/>
  <c r="V255" i="43"/>
  <c r="G255" i="43" s="1"/>
  <c r="N105" i="43"/>
  <c r="H107" i="43"/>
  <c r="J105" i="43"/>
  <c r="N120" i="43"/>
  <c r="O120" i="43" s="1"/>
  <c r="J120" i="43"/>
  <c r="K120" i="43" s="1"/>
  <c r="H216" i="43"/>
  <c r="N215" i="43"/>
  <c r="J215" i="43"/>
  <c r="J216" i="43" s="1"/>
  <c r="H160" i="43"/>
  <c r="J159" i="43"/>
  <c r="J160" i="43" s="1"/>
  <c r="N159" i="43"/>
  <c r="H154" i="43"/>
  <c r="J153" i="43"/>
  <c r="J154" i="43" s="1"/>
  <c r="N153" i="43"/>
  <c r="H236" i="43"/>
  <c r="N235" i="43"/>
  <c r="J235" i="43"/>
  <c r="J236" i="43" s="1"/>
  <c r="J250" i="43"/>
  <c r="N250" i="43"/>
  <c r="O250" i="43" s="1"/>
  <c r="N299" i="43"/>
  <c r="O299" i="43" s="1"/>
  <c r="J299" i="43"/>
  <c r="K299" i="43" s="1"/>
  <c r="J291" i="43"/>
  <c r="K291" i="43" s="1"/>
  <c r="N291" i="43"/>
  <c r="O291" i="43" s="1"/>
  <c r="H350" i="43"/>
  <c r="J346" i="43"/>
  <c r="K346" i="43" s="1"/>
  <c r="N346" i="43"/>
  <c r="J359" i="43"/>
  <c r="N359" i="43"/>
  <c r="O359" i="43" s="1"/>
  <c r="N309" i="43"/>
  <c r="O309" i="43" s="1"/>
  <c r="J309" i="43"/>
  <c r="K309" i="43" s="1"/>
  <c r="N358" i="43"/>
  <c r="O358" i="43" s="1"/>
  <c r="J358" i="43"/>
  <c r="K358" i="43" s="1"/>
  <c r="L358" i="43" s="1"/>
  <c r="J319" i="43"/>
  <c r="N319" i="43"/>
  <c r="O319" i="43" s="1"/>
  <c r="J360" i="43"/>
  <c r="K360" i="43" s="1"/>
  <c r="L360" i="43" s="1"/>
  <c r="N360" i="43"/>
  <c r="O360" i="43" s="1"/>
  <c r="J391" i="43"/>
  <c r="K391" i="43" s="1"/>
  <c r="L391" i="43" s="1"/>
  <c r="N391" i="43"/>
  <c r="O391" i="43" s="1"/>
  <c r="J400" i="43"/>
  <c r="N400" i="43"/>
  <c r="O400" i="43" s="1"/>
  <c r="N109" i="43"/>
  <c r="J109" i="43"/>
  <c r="H111" i="43"/>
  <c r="N54" i="43"/>
  <c r="O54" i="43" s="1"/>
  <c r="J54" i="43"/>
  <c r="N136" i="43"/>
  <c r="O136" i="43" s="1"/>
  <c r="J136" i="43"/>
  <c r="K136" i="43" s="1"/>
  <c r="L136" i="43" s="1"/>
  <c r="J79" i="43"/>
  <c r="K79" i="43" s="1"/>
  <c r="N140" i="43"/>
  <c r="O140" i="43" s="1"/>
  <c r="J140" i="43"/>
  <c r="K140" i="43" s="1"/>
  <c r="L140" i="43" s="1"/>
  <c r="H145" i="43"/>
  <c r="J139" i="43"/>
  <c r="K139" i="43" s="1"/>
  <c r="N139" i="43"/>
  <c r="N184" i="43"/>
  <c r="J184" i="43"/>
  <c r="K184" i="43" s="1"/>
  <c r="N176" i="43"/>
  <c r="O176" i="43" s="1"/>
  <c r="J176" i="43"/>
  <c r="K176" i="43" s="1"/>
  <c r="H245" i="43"/>
  <c r="H258" i="43"/>
  <c r="J325" i="43"/>
  <c r="K325" i="43" s="1"/>
  <c r="N325" i="43"/>
  <c r="O325" i="43" s="1"/>
  <c r="N303" i="43"/>
  <c r="O303" i="43" s="1"/>
  <c r="J303" i="43"/>
  <c r="N347" i="43"/>
  <c r="O347" i="43" s="1"/>
  <c r="J347" i="43"/>
  <c r="K347" i="43" s="1"/>
  <c r="L347" i="43" s="1"/>
  <c r="N397" i="43"/>
  <c r="O397" i="43" s="1"/>
  <c r="J397" i="43"/>
  <c r="K397" i="43" s="1"/>
  <c r="L397" i="43" s="1"/>
  <c r="J317" i="43"/>
  <c r="K317" i="43" s="1"/>
  <c r="N317" i="43"/>
  <c r="O317" i="43" s="1"/>
  <c r="N361" i="43"/>
  <c r="O361" i="43" s="1"/>
  <c r="J361" i="43"/>
  <c r="N327" i="43"/>
  <c r="O327" i="43" s="1"/>
  <c r="J327" i="43"/>
  <c r="J362" i="43"/>
  <c r="N362" i="43"/>
  <c r="O362" i="43" s="1"/>
  <c r="J393" i="43"/>
  <c r="N393" i="43"/>
  <c r="O393" i="43" s="1"/>
  <c r="U240" i="43"/>
  <c r="J81" i="43"/>
  <c r="J87" i="43"/>
  <c r="K87" i="43" s="1"/>
  <c r="L87" i="43" s="1"/>
  <c r="J212" i="43"/>
  <c r="J213" i="43" s="1"/>
  <c r="N212" i="43"/>
  <c r="H213" i="43"/>
  <c r="N121" i="43"/>
  <c r="O121" i="43" s="1"/>
  <c r="J121" i="43"/>
  <c r="K121" i="43" s="1"/>
  <c r="L121" i="43" s="1"/>
  <c r="N142" i="43"/>
  <c r="O142" i="43" s="1"/>
  <c r="J142" i="43"/>
  <c r="J141" i="43"/>
  <c r="N141" i="43"/>
  <c r="O141" i="43" s="1"/>
  <c r="J232" i="43"/>
  <c r="J233" i="43" s="1"/>
  <c r="H233" i="43"/>
  <c r="N232" i="43"/>
  <c r="N386" i="43"/>
  <c r="O386" i="43" s="1"/>
  <c r="J386" i="43"/>
  <c r="K386" i="43" s="1"/>
  <c r="L386" i="43" s="1"/>
  <c r="N328" i="43"/>
  <c r="O328" i="43" s="1"/>
  <c r="J328" i="43"/>
  <c r="J320" i="43"/>
  <c r="K320" i="43" s="1"/>
  <c r="L320" i="43" s="1"/>
  <c r="N320" i="43"/>
  <c r="O320" i="43" s="1"/>
  <c r="N382" i="43"/>
  <c r="O382" i="43" s="1"/>
  <c r="J382" i="43"/>
  <c r="K382" i="43" s="1"/>
  <c r="N388" i="43"/>
  <c r="O388" i="43" s="1"/>
  <c r="J388" i="43"/>
  <c r="K388" i="43" s="1"/>
  <c r="L388" i="43" s="1"/>
  <c r="N326" i="43"/>
  <c r="O326" i="43" s="1"/>
  <c r="J326" i="43"/>
  <c r="N399" i="43"/>
  <c r="O399" i="43" s="1"/>
  <c r="J399" i="43"/>
  <c r="K399" i="43" s="1"/>
  <c r="L399" i="43" s="1"/>
  <c r="J375" i="43"/>
  <c r="N375" i="43"/>
  <c r="O375" i="43" s="1"/>
  <c r="J407" i="43"/>
  <c r="K407" i="43" s="1"/>
  <c r="L407" i="43" s="1"/>
  <c r="N407" i="43"/>
  <c r="O407" i="43" s="1"/>
  <c r="J89" i="43"/>
  <c r="J85" i="43"/>
  <c r="J144" i="43"/>
  <c r="K144" i="43" s="1"/>
  <c r="N144" i="43"/>
  <c r="O144" i="43" s="1"/>
  <c r="J143" i="43"/>
  <c r="K143" i="43" s="1"/>
  <c r="L143" i="43" s="1"/>
  <c r="N143" i="43"/>
  <c r="O143" i="43" s="1"/>
  <c r="N201" i="43"/>
  <c r="O201" i="43" s="1"/>
  <c r="J201" i="43"/>
  <c r="N318" i="43"/>
  <c r="O318" i="43" s="1"/>
  <c r="J318" i="43"/>
  <c r="K318" i="43" s="1"/>
  <c r="N256" i="43"/>
  <c r="O256" i="43" s="1"/>
  <c r="J256" i="43"/>
  <c r="K256" i="43" s="1"/>
  <c r="L256" i="43" s="1"/>
  <c r="N305" i="43"/>
  <c r="O305" i="43" s="1"/>
  <c r="J305" i="43"/>
  <c r="N340" i="43"/>
  <c r="O340" i="43" s="1"/>
  <c r="J340" i="43"/>
  <c r="K340" i="43" s="1"/>
  <c r="N321" i="43"/>
  <c r="O321" i="43" s="1"/>
  <c r="J321" i="43"/>
  <c r="K321" i="43" s="1"/>
  <c r="L321" i="43" s="1"/>
  <c r="N390" i="43"/>
  <c r="O390" i="43" s="1"/>
  <c r="J390" i="43"/>
  <c r="K390" i="43" s="1"/>
  <c r="J288" i="43"/>
  <c r="K288" i="43" s="1"/>
  <c r="L288" i="43" s="1"/>
  <c r="N288" i="43"/>
  <c r="O288" i="43" s="1"/>
  <c r="N342" i="43"/>
  <c r="O342" i="43" s="1"/>
  <c r="J342" i="43"/>
  <c r="N406" i="43"/>
  <c r="H410" i="43"/>
  <c r="J406" i="43"/>
  <c r="J338" i="43"/>
  <c r="K338" i="43" s="1"/>
  <c r="L338" i="43" s="1"/>
  <c r="N338" i="43"/>
  <c r="H344" i="43"/>
  <c r="N377" i="43"/>
  <c r="O377" i="43" s="1"/>
  <c r="J377" i="43"/>
  <c r="J381" i="43"/>
  <c r="K381" i="43" s="1"/>
  <c r="H394" i="43"/>
  <c r="N381" i="43"/>
  <c r="J409" i="43"/>
  <c r="N409" i="43"/>
  <c r="O409" i="43" s="1"/>
  <c r="V243" i="43"/>
  <c r="G243" i="43" s="1"/>
  <c r="U336" i="43"/>
  <c r="J48" i="43"/>
  <c r="K48" i="43" s="1"/>
  <c r="L48" i="43" s="1"/>
  <c r="N48" i="43"/>
  <c r="O48" i="43" s="1"/>
  <c r="J82" i="43"/>
  <c r="J124" i="43"/>
  <c r="K124" i="43" s="1"/>
  <c r="L124" i="43" s="1"/>
  <c r="H129" i="43"/>
  <c r="N124" i="43"/>
  <c r="J296" i="43"/>
  <c r="N296" i="43"/>
  <c r="O296" i="43" s="1"/>
  <c r="N133" i="43"/>
  <c r="O133" i="43" s="1"/>
  <c r="J133" i="43"/>
  <c r="K133" i="43" s="1"/>
  <c r="N156" i="43"/>
  <c r="H157" i="43"/>
  <c r="J156" i="43"/>
  <c r="J157" i="43" s="1"/>
  <c r="J284" i="43"/>
  <c r="K284" i="43" s="1"/>
  <c r="N284" i="43"/>
  <c r="N285" i="43"/>
  <c r="O285" i="43" s="1"/>
  <c r="J285" i="43"/>
  <c r="K285" i="43" s="1"/>
  <c r="L285" i="43" s="1"/>
  <c r="J339" i="43"/>
  <c r="K339" i="43" s="1"/>
  <c r="L339" i="43" s="1"/>
  <c r="N339" i="43"/>
  <c r="O339" i="43" s="1"/>
  <c r="J316" i="43"/>
  <c r="K316" i="43" s="1"/>
  <c r="L316" i="43" s="1"/>
  <c r="N316" i="43"/>
  <c r="O316" i="43" s="1"/>
  <c r="N343" i="43"/>
  <c r="O343" i="43" s="1"/>
  <c r="J343" i="43"/>
  <c r="K343" i="43" s="1"/>
  <c r="J348" i="43"/>
  <c r="K348" i="43" s="1"/>
  <c r="L348" i="43" s="1"/>
  <c r="N348" i="43"/>
  <c r="O348" i="43" s="1"/>
  <c r="J286" i="43"/>
  <c r="K286" i="43" s="1"/>
  <c r="L286" i="43" s="1"/>
  <c r="N286" i="43"/>
  <c r="O286" i="43" s="1"/>
  <c r="N295" i="43"/>
  <c r="O295" i="43" s="1"/>
  <c r="J295" i="43"/>
  <c r="N356" i="43"/>
  <c r="O356" i="43" s="1"/>
  <c r="J356" i="43"/>
  <c r="J314" i="43"/>
  <c r="K314" i="43" s="1"/>
  <c r="L314" i="43" s="1"/>
  <c r="N314" i="43"/>
  <c r="O314" i="43" s="1"/>
  <c r="N349" i="43"/>
  <c r="O349" i="43" s="1"/>
  <c r="J349" i="43"/>
  <c r="K349" i="43" s="1"/>
  <c r="L349" i="43" s="1"/>
  <c r="N366" i="43"/>
  <c r="O366" i="43" s="1"/>
  <c r="J366" i="43"/>
  <c r="K366" i="43" s="1"/>
  <c r="J383" i="43"/>
  <c r="K383" i="43" s="1"/>
  <c r="L383" i="43" s="1"/>
  <c r="N383" i="43"/>
  <c r="O383" i="43" s="1"/>
  <c r="H369" i="43"/>
  <c r="N365" i="43"/>
  <c r="J365" i="43"/>
  <c r="K365" i="43" s="1"/>
  <c r="J86" i="43"/>
  <c r="K86" i="43" s="1"/>
  <c r="L86" i="43" s="1"/>
  <c r="J132" i="43"/>
  <c r="K132" i="43" s="1"/>
  <c r="N132" i="43"/>
  <c r="O132" i="43" s="1"/>
  <c r="N127" i="43"/>
  <c r="O127" i="43" s="1"/>
  <c r="J127" i="43"/>
  <c r="K127" i="43" s="1"/>
  <c r="L127" i="43" s="1"/>
  <c r="N135" i="43"/>
  <c r="O135" i="43" s="1"/>
  <c r="J135" i="43"/>
  <c r="K135" i="43" s="1"/>
  <c r="L135" i="43" s="1"/>
  <c r="J200" i="43"/>
  <c r="N200" i="43"/>
  <c r="O200" i="43" s="1"/>
  <c r="J297" i="43"/>
  <c r="N297" i="43"/>
  <c r="O297" i="43" s="1"/>
  <c r="J289" i="43"/>
  <c r="K289" i="43" s="1"/>
  <c r="L289" i="43" s="1"/>
  <c r="N289" i="43"/>
  <c r="O289" i="43" s="1"/>
  <c r="H253" i="43"/>
  <c r="N384" i="43"/>
  <c r="O384" i="43" s="1"/>
  <c r="J384" i="43"/>
  <c r="N357" i="43"/>
  <c r="O357" i="43" s="1"/>
  <c r="J357" i="43"/>
  <c r="K357" i="43" s="1"/>
  <c r="L357" i="43" s="1"/>
  <c r="N293" i="43"/>
  <c r="O293" i="43" s="1"/>
  <c r="J293" i="43"/>
  <c r="K293" i="43" s="1"/>
  <c r="J315" i="43"/>
  <c r="K315" i="43" s="1"/>
  <c r="L315" i="43" s="1"/>
  <c r="N315" i="43"/>
  <c r="O315" i="43" s="1"/>
  <c r="J322" i="43"/>
  <c r="K322" i="43" s="1"/>
  <c r="N322" i="43"/>
  <c r="O322" i="43" s="1"/>
  <c r="N304" i="43"/>
  <c r="O304" i="43" s="1"/>
  <c r="J304" i="43"/>
  <c r="N368" i="43"/>
  <c r="O368" i="43" s="1"/>
  <c r="J368" i="43"/>
  <c r="J385" i="43"/>
  <c r="N385" i="43"/>
  <c r="O385" i="43" s="1"/>
  <c r="J367" i="43"/>
  <c r="K367" i="43" s="1"/>
  <c r="L367" i="43" s="1"/>
  <c r="N367" i="43"/>
  <c r="O367" i="43" s="1"/>
  <c r="N181" i="42"/>
  <c r="O181" i="42" s="1"/>
  <c r="J181" i="42"/>
  <c r="K181" i="42" s="1"/>
  <c r="J201" i="42"/>
  <c r="K201" i="42" s="1"/>
  <c r="N201" i="42"/>
  <c r="O201" i="42" s="1"/>
  <c r="J125" i="42"/>
  <c r="K125" i="42" s="1"/>
  <c r="L125" i="42" s="1"/>
  <c r="N125" i="42"/>
  <c r="O125" i="42" s="1"/>
  <c r="N185" i="42"/>
  <c r="O185" i="42" s="1"/>
  <c r="J185" i="42"/>
  <c r="K185" i="42" s="1"/>
  <c r="L185" i="42" s="1"/>
  <c r="N177" i="42"/>
  <c r="O177" i="42" s="1"/>
  <c r="J177" i="42"/>
  <c r="N52" i="42"/>
  <c r="O52" i="42" s="1"/>
  <c r="J52" i="42"/>
  <c r="K52" i="42" s="1"/>
  <c r="J105" i="42"/>
  <c r="N105" i="42"/>
  <c r="N48" i="42"/>
  <c r="O48" i="42" s="1"/>
  <c r="J48" i="42"/>
  <c r="K48" i="42" s="1"/>
  <c r="J89" i="42"/>
  <c r="K89" i="42" s="1"/>
  <c r="H106" i="42"/>
  <c r="H107" i="42" s="1"/>
  <c r="J88" i="42"/>
  <c r="K88" i="42" s="1"/>
  <c r="H254" i="42"/>
  <c r="N133" i="42"/>
  <c r="O133" i="42" s="1"/>
  <c r="J133" i="42"/>
  <c r="K133" i="42" s="1"/>
  <c r="N250" i="42"/>
  <c r="O250" i="42" s="1"/>
  <c r="J250" i="42"/>
  <c r="K250" i="42" s="1"/>
  <c r="H260" i="42"/>
  <c r="J311" i="42"/>
  <c r="N311" i="42"/>
  <c r="O311" i="42" s="1"/>
  <c r="H262" i="42"/>
  <c r="J286" i="42"/>
  <c r="K286" i="42" s="1"/>
  <c r="L286" i="42" s="1"/>
  <c r="N286" i="42"/>
  <c r="O286" i="42" s="1"/>
  <c r="J256" i="42"/>
  <c r="N256" i="42"/>
  <c r="O256" i="42" s="1"/>
  <c r="H258" i="42"/>
  <c r="N297" i="42"/>
  <c r="O297" i="42" s="1"/>
  <c r="J297" i="42"/>
  <c r="K297" i="42" s="1"/>
  <c r="L297" i="42" s="1"/>
  <c r="J287" i="42"/>
  <c r="K287" i="42" s="1"/>
  <c r="N287" i="42"/>
  <c r="O287" i="42" s="1"/>
  <c r="N321" i="42"/>
  <c r="O321" i="42" s="1"/>
  <c r="J321" i="42"/>
  <c r="K321" i="42" s="1"/>
  <c r="L321" i="42" s="1"/>
  <c r="N327" i="42"/>
  <c r="O327" i="42" s="1"/>
  <c r="J327" i="42"/>
  <c r="K327" i="42" s="1"/>
  <c r="L327" i="42" s="1"/>
  <c r="N390" i="42"/>
  <c r="O390" i="42" s="1"/>
  <c r="J390" i="42"/>
  <c r="K390" i="42" s="1"/>
  <c r="L390" i="42" s="1"/>
  <c r="N342" i="42"/>
  <c r="O342" i="42" s="1"/>
  <c r="J342" i="42"/>
  <c r="K342" i="42" s="1"/>
  <c r="L342" i="42" s="1"/>
  <c r="N339" i="42"/>
  <c r="O339" i="42" s="1"/>
  <c r="J339" i="42"/>
  <c r="K339" i="42" s="1"/>
  <c r="L339" i="42" s="1"/>
  <c r="N349" i="42"/>
  <c r="O349" i="42" s="1"/>
  <c r="J349" i="42"/>
  <c r="K349" i="42" s="1"/>
  <c r="L349" i="42" s="1"/>
  <c r="J391" i="42"/>
  <c r="K391" i="42" s="1"/>
  <c r="N391" i="42"/>
  <c r="O391" i="42" s="1"/>
  <c r="J396" i="42"/>
  <c r="H401" i="42"/>
  <c r="N396" i="42"/>
  <c r="J109" i="42"/>
  <c r="K109" i="42" s="1"/>
  <c r="H111" i="42"/>
  <c r="N109" i="42"/>
  <c r="N127" i="42"/>
  <c r="O127" i="42" s="1"/>
  <c r="J127" i="42"/>
  <c r="J93" i="42"/>
  <c r="K93" i="42" s="1"/>
  <c r="L93" i="42" s="1"/>
  <c r="N93" i="42"/>
  <c r="O93" i="42" s="1"/>
  <c r="N58" i="42"/>
  <c r="O58" i="42" s="1"/>
  <c r="J58" i="42"/>
  <c r="N135" i="42"/>
  <c r="O135" i="42" s="1"/>
  <c r="J135" i="42"/>
  <c r="N147" i="42"/>
  <c r="J147" i="42"/>
  <c r="J148" i="42" s="1"/>
  <c r="H148" i="42"/>
  <c r="N141" i="42"/>
  <c r="O141" i="42" s="1"/>
  <c r="J141" i="42"/>
  <c r="K141" i="42" s="1"/>
  <c r="L141" i="42" s="1"/>
  <c r="J320" i="42"/>
  <c r="K320" i="42" s="1"/>
  <c r="N320" i="42"/>
  <c r="O320" i="42" s="1"/>
  <c r="J358" i="42"/>
  <c r="K358" i="42" s="1"/>
  <c r="L358" i="42" s="1"/>
  <c r="N358" i="42"/>
  <c r="O358" i="42" s="1"/>
  <c r="N289" i="42"/>
  <c r="O289" i="42" s="1"/>
  <c r="J289" i="42"/>
  <c r="K289" i="42" s="1"/>
  <c r="L289" i="42" s="1"/>
  <c r="N316" i="42"/>
  <c r="O316" i="42" s="1"/>
  <c r="J316" i="42"/>
  <c r="K316" i="42" s="1"/>
  <c r="L316" i="42" s="1"/>
  <c r="J302" i="42"/>
  <c r="K302" i="42" s="1"/>
  <c r="L302" i="42" s="1"/>
  <c r="N302" i="42"/>
  <c r="O302" i="42" s="1"/>
  <c r="H267" i="42"/>
  <c r="J323" i="42"/>
  <c r="K323" i="42" s="1"/>
  <c r="L323" i="42" s="1"/>
  <c r="N323" i="42"/>
  <c r="O323" i="42" s="1"/>
  <c r="N299" i="42"/>
  <c r="O299" i="42" s="1"/>
  <c r="J299" i="42"/>
  <c r="N386" i="42"/>
  <c r="O386" i="42" s="1"/>
  <c r="J386" i="42"/>
  <c r="K386" i="42" s="1"/>
  <c r="L386" i="42" s="1"/>
  <c r="N352" i="42"/>
  <c r="J352" i="42"/>
  <c r="K352" i="42" s="1"/>
  <c r="L352" i="42" s="1"/>
  <c r="J368" i="42"/>
  <c r="K368" i="42" s="1"/>
  <c r="N368" i="42"/>
  <c r="O368" i="42" s="1"/>
  <c r="J393" i="42"/>
  <c r="K393" i="42" s="1"/>
  <c r="L393" i="42" s="1"/>
  <c r="N393" i="42"/>
  <c r="O393" i="42" s="1"/>
  <c r="J398" i="42"/>
  <c r="K398" i="42" s="1"/>
  <c r="L398" i="42" s="1"/>
  <c r="N398" i="42"/>
  <c r="O398" i="42" s="1"/>
  <c r="U336" i="42"/>
  <c r="N94" i="42"/>
  <c r="O94" i="42" s="1"/>
  <c r="J94" i="42"/>
  <c r="K94" i="42" s="1"/>
  <c r="N140" i="42"/>
  <c r="O140" i="42" s="1"/>
  <c r="J140" i="42"/>
  <c r="K140" i="42" s="1"/>
  <c r="J98" i="42"/>
  <c r="K98" i="42" s="1"/>
  <c r="L98" i="42" s="1"/>
  <c r="N98" i="42"/>
  <c r="O98" i="42" s="1"/>
  <c r="N139" i="42"/>
  <c r="H145" i="42"/>
  <c r="J139" i="42"/>
  <c r="K139" i="42" s="1"/>
  <c r="N143" i="42"/>
  <c r="O143" i="42" s="1"/>
  <c r="J143" i="42"/>
  <c r="K143" i="42" s="1"/>
  <c r="L143" i="42" s="1"/>
  <c r="H216" i="42"/>
  <c r="N215" i="42"/>
  <c r="J215" i="42"/>
  <c r="J216" i="42" s="1"/>
  <c r="H186" i="42"/>
  <c r="N184" i="42"/>
  <c r="J184" i="42"/>
  <c r="J292" i="42"/>
  <c r="N292" i="42"/>
  <c r="O292" i="42" s="1"/>
  <c r="H271" i="42"/>
  <c r="H257" i="42"/>
  <c r="J362" i="42"/>
  <c r="K362" i="42" s="1"/>
  <c r="N362" i="42"/>
  <c r="O362" i="42" s="1"/>
  <c r="N305" i="42"/>
  <c r="O305" i="42" s="1"/>
  <c r="J305" i="42"/>
  <c r="K305" i="42" s="1"/>
  <c r="J322" i="42"/>
  <c r="K322" i="42" s="1"/>
  <c r="N322" i="42"/>
  <c r="O322" i="42" s="1"/>
  <c r="J353" i="42"/>
  <c r="K353" i="42" s="1"/>
  <c r="L353" i="42" s="1"/>
  <c r="N353" i="42"/>
  <c r="O353" i="42" s="1"/>
  <c r="N314" i="42"/>
  <c r="O314" i="42" s="1"/>
  <c r="J314" i="42"/>
  <c r="K314" i="42" s="1"/>
  <c r="N382" i="42"/>
  <c r="O382" i="42" s="1"/>
  <c r="J382" i="42"/>
  <c r="K382" i="42" s="1"/>
  <c r="L382" i="42" s="1"/>
  <c r="N384" i="42"/>
  <c r="O384" i="42" s="1"/>
  <c r="J384" i="42"/>
  <c r="K384" i="42" s="1"/>
  <c r="L384" i="42" s="1"/>
  <c r="N357" i="42"/>
  <c r="O357" i="42" s="1"/>
  <c r="J357" i="42"/>
  <c r="K357" i="42" s="1"/>
  <c r="L357" i="42" s="1"/>
  <c r="J407" i="42"/>
  <c r="K407" i="42" s="1"/>
  <c r="L407" i="42" s="1"/>
  <c r="N407" i="42"/>
  <c r="O407" i="42" s="1"/>
  <c r="J400" i="42"/>
  <c r="N400" i="42"/>
  <c r="O400" i="42" s="1"/>
  <c r="J180" i="42"/>
  <c r="H182" i="42"/>
  <c r="N180" i="42"/>
  <c r="J142" i="42"/>
  <c r="N142" i="42"/>
  <c r="O142" i="42" s="1"/>
  <c r="H129" i="42"/>
  <c r="J124" i="42"/>
  <c r="K124" i="42" s="1"/>
  <c r="L124" i="42" s="1"/>
  <c r="N124" i="42"/>
  <c r="N200" i="42"/>
  <c r="O200" i="42" s="1"/>
  <c r="J200" i="42"/>
  <c r="H154" i="42"/>
  <c r="N153" i="42"/>
  <c r="J153" i="42"/>
  <c r="J154" i="42" s="1"/>
  <c r="N304" i="42"/>
  <c r="O304" i="42" s="1"/>
  <c r="J304" i="42"/>
  <c r="K304" i="42" s="1"/>
  <c r="L304" i="42" s="1"/>
  <c r="J301" i="42"/>
  <c r="N301" i="42"/>
  <c r="O301" i="42" s="1"/>
  <c r="J285" i="42"/>
  <c r="N285" i="42"/>
  <c r="O285" i="42" s="1"/>
  <c r="J326" i="42"/>
  <c r="N326" i="42"/>
  <c r="O326" i="42" s="1"/>
  <c r="N294" i="42"/>
  <c r="O294" i="42" s="1"/>
  <c r="J294" i="42"/>
  <c r="K294" i="42" s="1"/>
  <c r="L294" i="42" s="1"/>
  <c r="N361" i="42"/>
  <c r="O361" i="42" s="1"/>
  <c r="J361" i="42"/>
  <c r="K361" i="42" s="1"/>
  <c r="J340" i="42"/>
  <c r="K340" i="42" s="1"/>
  <c r="N340" i="42"/>
  <c r="O340" i="42" s="1"/>
  <c r="N318" i="42"/>
  <c r="O318" i="42" s="1"/>
  <c r="J318" i="42"/>
  <c r="N408" i="42"/>
  <c r="O408" i="42" s="1"/>
  <c r="J408" i="42"/>
  <c r="K408" i="42" s="1"/>
  <c r="N388" i="42"/>
  <c r="O388" i="42" s="1"/>
  <c r="J388" i="42"/>
  <c r="K388" i="42" s="1"/>
  <c r="J375" i="42"/>
  <c r="K375" i="42" s="1"/>
  <c r="L375" i="42" s="1"/>
  <c r="N375" i="42"/>
  <c r="O375" i="42" s="1"/>
  <c r="J381" i="42"/>
  <c r="H394" i="42"/>
  <c r="N381" i="42"/>
  <c r="J409" i="42"/>
  <c r="K409" i="42" s="1"/>
  <c r="N409" i="42"/>
  <c r="O409" i="42" s="1"/>
  <c r="F103" i="42"/>
  <c r="J82" i="42"/>
  <c r="J347" i="42"/>
  <c r="K347" i="42" s="1"/>
  <c r="L347" i="42" s="1"/>
  <c r="N347" i="42"/>
  <c r="O347" i="42" s="1"/>
  <c r="N288" i="42"/>
  <c r="O288" i="42" s="1"/>
  <c r="J288" i="42"/>
  <c r="K288" i="42" s="1"/>
  <c r="L288" i="42" s="1"/>
  <c r="N312" i="42"/>
  <c r="O312" i="42" s="1"/>
  <c r="J312" i="42"/>
  <c r="J328" i="42"/>
  <c r="K328" i="42" s="1"/>
  <c r="L328" i="42" s="1"/>
  <c r="N328" i="42"/>
  <c r="O328" i="42" s="1"/>
  <c r="J284" i="42"/>
  <c r="K284" i="42" s="1"/>
  <c r="N284" i="42"/>
  <c r="N355" i="42"/>
  <c r="O355" i="42" s="1"/>
  <c r="J355" i="42"/>
  <c r="J296" i="42"/>
  <c r="K296" i="42" s="1"/>
  <c r="N296" i="42"/>
  <c r="O296" i="42" s="1"/>
  <c r="N293" i="42"/>
  <c r="O293" i="42" s="1"/>
  <c r="J293" i="42"/>
  <c r="K293" i="42" s="1"/>
  <c r="L293" i="42" s="1"/>
  <c r="N392" i="42"/>
  <c r="O392" i="42" s="1"/>
  <c r="J392" i="42"/>
  <c r="K392" i="42" s="1"/>
  <c r="L392" i="42" s="1"/>
  <c r="J383" i="42"/>
  <c r="K383" i="42" s="1"/>
  <c r="L383" i="42" s="1"/>
  <c r="N383" i="42"/>
  <c r="O383" i="42" s="1"/>
  <c r="N346" i="42"/>
  <c r="J346" i="42"/>
  <c r="K346" i="42" s="1"/>
  <c r="H350" i="42"/>
  <c r="N128" i="42"/>
  <c r="O128" i="42" s="1"/>
  <c r="J128" i="42"/>
  <c r="N121" i="42"/>
  <c r="O121" i="42" s="1"/>
  <c r="J121" i="42"/>
  <c r="K121" i="42" s="1"/>
  <c r="N120" i="42"/>
  <c r="O120" i="42" s="1"/>
  <c r="J120" i="42"/>
  <c r="K120" i="42" s="1"/>
  <c r="J132" i="42"/>
  <c r="N132" i="42"/>
  <c r="O132" i="42" s="1"/>
  <c r="J79" i="42"/>
  <c r="K79" i="42" s="1"/>
  <c r="J126" i="42"/>
  <c r="N126" i="42"/>
  <c r="O126" i="42" s="1"/>
  <c r="J150" i="42"/>
  <c r="J151" i="42" s="1"/>
  <c r="H151" i="42"/>
  <c r="N150" i="42"/>
  <c r="H245" i="42"/>
  <c r="J232" i="42"/>
  <c r="J233" i="42" s="1"/>
  <c r="H233" i="42"/>
  <c r="N232" i="42"/>
  <c r="N212" i="42"/>
  <c r="H213" i="42"/>
  <c r="J212" i="42"/>
  <c r="J213" i="42" s="1"/>
  <c r="H236" i="42"/>
  <c r="N235" i="42"/>
  <c r="J235" i="42"/>
  <c r="J236" i="42" s="1"/>
  <c r="H243" i="42"/>
  <c r="J295" i="42"/>
  <c r="N295" i="42"/>
  <c r="O295" i="42" s="1"/>
  <c r="N341" i="42"/>
  <c r="O341" i="42" s="1"/>
  <c r="J341" i="42"/>
  <c r="K341" i="42" s="1"/>
  <c r="L341" i="42" s="1"/>
  <c r="H268" i="42"/>
  <c r="N291" i="42"/>
  <c r="O291" i="42" s="1"/>
  <c r="J291" i="42"/>
  <c r="N309" i="42"/>
  <c r="O309" i="42" s="1"/>
  <c r="J309" i="42"/>
  <c r="K309" i="42" s="1"/>
  <c r="L309" i="42" s="1"/>
  <c r="J303" i="42"/>
  <c r="K303" i="42" s="1"/>
  <c r="L303" i="42" s="1"/>
  <c r="N303" i="42"/>
  <c r="O303" i="42" s="1"/>
  <c r="J300" i="42"/>
  <c r="K300" i="42" s="1"/>
  <c r="N300" i="42"/>
  <c r="O300" i="42" s="1"/>
  <c r="N359" i="42"/>
  <c r="O359" i="42" s="1"/>
  <c r="J359" i="42"/>
  <c r="K359" i="42" s="1"/>
  <c r="N406" i="42"/>
  <c r="H410" i="42"/>
  <c r="J406" i="42"/>
  <c r="K406" i="42" s="1"/>
  <c r="L406" i="42" s="1"/>
  <c r="J366" i="42"/>
  <c r="K366" i="42" s="1"/>
  <c r="N366" i="42"/>
  <c r="O366" i="42" s="1"/>
  <c r="J385" i="42"/>
  <c r="K385" i="42" s="1"/>
  <c r="N385" i="42"/>
  <c r="O385" i="42" s="1"/>
  <c r="N348" i="42"/>
  <c r="O348" i="42" s="1"/>
  <c r="J348" i="42"/>
  <c r="K348" i="42" s="1"/>
  <c r="V249" i="42"/>
  <c r="G249" i="42" s="1"/>
  <c r="V259" i="42"/>
  <c r="G259" i="42" s="1"/>
  <c r="J54" i="42"/>
  <c r="K54" i="42" s="1"/>
  <c r="N54" i="42"/>
  <c r="O54" i="42" s="1"/>
  <c r="J110" i="42"/>
  <c r="K110" i="42" s="1"/>
  <c r="L110" i="42" s="1"/>
  <c r="N110" i="42"/>
  <c r="O110" i="42" s="1"/>
  <c r="J85" i="42"/>
  <c r="K85" i="42" s="1"/>
  <c r="J144" i="42"/>
  <c r="N144" i="42"/>
  <c r="O144" i="42" s="1"/>
  <c r="J134" i="42"/>
  <c r="N134" i="42"/>
  <c r="O134" i="42" s="1"/>
  <c r="J84" i="42"/>
  <c r="K84" i="42" s="1"/>
  <c r="L84" i="42" s="1"/>
  <c r="H157" i="42"/>
  <c r="N156" i="42"/>
  <c r="J156" i="42"/>
  <c r="J157" i="42" s="1"/>
  <c r="N136" i="42"/>
  <c r="O136" i="42" s="1"/>
  <c r="J136" i="42"/>
  <c r="K136" i="42" s="1"/>
  <c r="L136" i="42" s="1"/>
  <c r="H252" i="42"/>
  <c r="H244" i="42"/>
  <c r="H264" i="42"/>
  <c r="H246" i="42"/>
  <c r="J343" i="42"/>
  <c r="K343" i="42" s="1"/>
  <c r="L343" i="42" s="1"/>
  <c r="N343" i="42"/>
  <c r="O343" i="42" s="1"/>
  <c r="N313" i="42"/>
  <c r="O313" i="42" s="1"/>
  <c r="J313" i="42"/>
  <c r="K313" i="42" s="1"/>
  <c r="L313" i="42" s="1"/>
  <c r="J315" i="42"/>
  <c r="K315" i="42" s="1"/>
  <c r="L315" i="42" s="1"/>
  <c r="N315" i="42"/>
  <c r="O315" i="42" s="1"/>
  <c r="N377" i="42"/>
  <c r="O377" i="42" s="1"/>
  <c r="J377" i="42"/>
  <c r="K377" i="42" s="1"/>
  <c r="L377" i="42" s="1"/>
  <c r="J317" i="42"/>
  <c r="N317" i="42"/>
  <c r="O317" i="42" s="1"/>
  <c r="N397" i="42"/>
  <c r="O397" i="42" s="1"/>
  <c r="J397" i="42"/>
  <c r="K397" i="42" s="1"/>
  <c r="J387" i="42"/>
  <c r="K387" i="42" s="1"/>
  <c r="L387" i="42" s="1"/>
  <c r="N387" i="42"/>
  <c r="O387" i="42" s="1"/>
  <c r="N365" i="42"/>
  <c r="J365" i="42"/>
  <c r="H369" i="42"/>
  <c r="V266" i="42"/>
  <c r="G266" i="42" s="1"/>
  <c r="M89" i="42"/>
  <c r="N89" i="42" s="1"/>
  <c r="O89" i="42" s="1"/>
  <c r="M87" i="42"/>
  <c r="N87" i="42" s="1"/>
  <c r="O87" i="42" s="1"/>
  <c r="M85" i="42"/>
  <c r="N85" i="42" s="1"/>
  <c r="O85" i="42" s="1"/>
  <c r="M83" i="42"/>
  <c r="M81" i="42"/>
  <c r="N81" i="42" s="1"/>
  <c r="O81" i="42" s="1"/>
  <c r="M88" i="42"/>
  <c r="N88" i="42" s="1"/>
  <c r="O88" i="42" s="1"/>
  <c r="M86" i="42"/>
  <c r="N86" i="42" s="1"/>
  <c r="O86" i="42" s="1"/>
  <c r="M84" i="42"/>
  <c r="N84" i="42" s="1"/>
  <c r="O84" i="42" s="1"/>
  <c r="M79" i="42"/>
  <c r="N79" i="42" s="1"/>
  <c r="M80" i="42"/>
  <c r="M82" i="42"/>
  <c r="N82" i="42" s="1"/>
  <c r="O82" i="42" s="1"/>
  <c r="J87" i="42"/>
  <c r="K87" i="42" s="1"/>
  <c r="J86" i="42"/>
  <c r="K86" i="42" s="1"/>
  <c r="L86" i="42" s="1"/>
  <c r="J159" i="42"/>
  <c r="J160" i="42" s="1"/>
  <c r="N159" i="42"/>
  <c r="H160" i="42"/>
  <c r="N176" i="42"/>
  <c r="O176" i="42" s="1"/>
  <c r="J176" i="42"/>
  <c r="K176" i="42" s="1"/>
  <c r="H251" i="42"/>
  <c r="H253" i="42"/>
  <c r="H248" i="42"/>
  <c r="H270" i="42"/>
  <c r="J356" i="42"/>
  <c r="K356" i="42" s="1"/>
  <c r="N356" i="42"/>
  <c r="O356" i="42" s="1"/>
  <c r="N319" i="42"/>
  <c r="O319" i="42" s="1"/>
  <c r="J319" i="42"/>
  <c r="K319" i="42" s="1"/>
  <c r="L319" i="42" s="1"/>
  <c r="J307" i="42"/>
  <c r="N307" i="42"/>
  <c r="O307" i="42" s="1"/>
  <c r="N324" i="42"/>
  <c r="O324" i="42" s="1"/>
  <c r="J324" i="42"/>
  <c r="K324" i="42" s="1"/>
  <c r="H344" i="42"/>
  <c r="N338" i="42"/>
  <c r="J338" i="42"/>
  <c r="J360" i="42"/>
  <c r="K360" i="42" s="1"/>
  <c r="L360" i="42" s="1"/>
  <c r="N360" i="42"/>
  <c r="O360" i="42" s="1"/>
  <c r="J325" i="42"/>
  <c r="K325" i="42" s="1"/>
  <c r="N325" i="42"/>
  <c r="O325" i="42" s="1"/>
  <c r="N399" i="42"/>
  <c r="O399" i="42" s="1"/>
  <c r="J399" i="42"/>
  <c r="K399" i="42" s="1"/>
  <c r="J389" i="42"/>
  <c r="K389" i="42" s="1"/>
  <c r="L389" i="42" s="1"/>
  <c r="N389" i="42"/>
  <c r="O389" i="42" s="1"/>
  <c r="N367" i="42"/>
  <c r="O367" i="42" s="1"/>
  <c r="J367" i="42"/>
  <c r="L48" i="41"/>
  <c r="F65" i="41"/>
  <c r="F50" i="41"/>
  <c r="F51" i="41" s="1"/>
  <c r="V50" i="41"/>
  <c r="G50" i="41" s="1"/>
  <c r="D24" i="26"/>
  <c r="H182" i="41"/>
  <c r="N180" i="41"/>
  <c r="J180" i="41"/>
  <c r="R271" i="41"/>
  <c r="H271" i="41"/>
  <c r="N184" i="41"/>
  <c r="J184" i="41"/>
  <c r="K184" i="41" s="1"/>
  <c r="R270" i="41"/>
  <c r="H270" i="41"/>
  <c r="N125" i="41"/>
  <c r="O125" i="41" s="1"/>
  <c r="J125" i="41"/>
  <c r="N110" i="41"/>
  <c r="O110" i="41" s="1"/>
  <c r="J110" i="41"/>
  <c r="J176" i="41"/>
  <c r="K176" i="41" s="1"/>
  <c r="N176" i="41"/>
  <c r="O176" i="41" s="1"/>
  <c r="K200" i="41"/>
  <c r="L200" i="41" s="1"/>
  <c r="J121" i="41"/>
  <c r="N121" i="41"/>
  <c r="O121" i="41" s="1"/>
  <c r="J235" i="41"/>
  <c r="J236" i="41" s="1"/>
  <c r="H236" i="41"/>
  <c r="N235" i="41"/>
  <c r="J291" i="41"/>
  <c r="N291" i="41"/>
  <c r="O291" i="41" s="1"/>
  <c r="N399" i="41"/>
  <c r="O399" i="41" s="1"/>
  <c r="J399" i="41"/>
  <c r="K399" i="41" s="1"/>
  <c r="V243" i="41"/>
  <c r="G243" i="41" s="1"/>
  <c r="J128" i="41"/>
  <c r="K128" i="41" s="1"/>
  <c r="L128" i="41" s="1"/>
  <c r="N128" i="41"/>
  <c r="O128" i="41" s="1"/>
  <c r="H106" i="41"/>
  <c r="H107" i="41" s="1"/>
  <c r="H216" i="41"/>
  <c r="N215" i="41"/>
  <c r="J215" i="41"/>
  <c r="J216" i="41" s="1"/>
  <c r="J159" i="41"/>
  <c r="J160" i="41" s="1"/>
  <c r="H160" i="41"/>
  <c r="N159" i="41"/>
  <c r="H249" i="41"/>
  <c r="H244" i="41"/>
  <c r="N288" i="41"/>
  <c r="O288" i="41" s="1"/>
  <c r="J288" i="41"/>
  <c r="K288" i="41" s="1"/>
  <c r="L288" i="41" s="1"/>
  <c r="J299" i="41"/>
  <c r="K299" i="41" s="1"/>
  <c r="L299" i="41" s="1"/>
  <c r="N299" i="41"/>
  <c r="O299" i="41" s="1"/>
  <c r="J309" i="41"/>
  <c r="N309" i="41"/>
  <c r="O309" i="41" s="1"/>
  <c r="N324" i="41"/>
  <c r="O324" i="41" s="1"/>
  <c r="J324" i="41"/>
  <c r="K324" i="41" s="1"/>
  <c r="L324" i="41" s="1"/>
  <c r="N338" i="41"/>
  <c r="H344" i="41"/>
  <c r="J338" i="41"/>
  <c r="K338" i="41" s="1"/>
  <c r="L338" i="41" s="1"/>
  <c r="N406" i="41"/>
  <c r="H410" i="41"/>
  <c r="J406" i="41"/>
  <c r="J318" i="41"/>
  <c r="N318" i="41"/>
  <c r="O318" i="41" s="1"/>
  <c r="N382" i="41"/>
  <c r="O382" i="41" s="1"/>
  <c r="J382" i="41"/>
  <c r="K382" i="41" s="1"/>
  <c r="N317" i="41"/>
  <c r="O317" i="41" s="1"/>
  <c r="J317" i="41"/>
  <c r="K317" i="41" s="1"/>
  <c r="L317" i="41" s="1"/>
  <c r="J385" i="41"/>
  <c r="N385" i="41"/>
  <c r="O385" i="41" s="1"/>
  <c r="N367" i="41"/>
  <c r="O367" i="41" s="1"/>
  <c r="J367" i="41"/>
  <c r="K367" i="41" s="1"/>
  <c r="N98" i="41"/>
  <c r="O98" i="41" s="1"/>
  <c r="J98" i="41"/>
  <c r="J54" i="41"/>
  <c r="K54" i="41" s="1"/>
  <c r="L54" i="41" s="1"/>
  <c r="N54" i="41"/>
  <c r="O54" i="41" s="1"/>
  <c r="N181" i="41"/>
  <c r="O181" i="41" s="1"/>
  <c r="J181" i="41"/>
  <c r="J292" i="41"/>
  <c r="N292" i="41"/>
  <c r="O292" i="41" s="1"/>
  <c r="J383" i="41"/>
  <c r="K383" i="41" s="1"/>
  <c r="L383" i="41" s="1"/>
  <c r="N383" i="41"/>
  <c r="O383" i="41" s="1"/>
  <c r="N124" i="41"/>
  <c r="H129" i="41"/>
  <c r="J124" i="41"/>
  <c r="K124" i="41" s="1"/>
  <c r="N150" i="41"/>
  <c r="J150" i="41"/>
  <c r="J151" i="41" s="1"/>
  <c r="H151" i="41"/>
  <c r="J133" i="41"/>
  <c r="K133" i="41" s="1"/>
  <c r="L133" i="41" s="1"/>
  <c r="N133" i="41"/>
  <c r="O133" i="41" s="1"/>
  <c r="N136" i="41"/>
  <c r="O136" i="41" s="1"/>
  <c r="J136" i="41"/>
  <c r="K136" i="41" s="1"/>
  <c r="L136" i="41" s="1"/>
  <c r="J127" i="41"/>
  <c r="K127" i="41" s="1"/>
  <c r="N127" i="41"/>
  <c r="O127" i="41" s="1"/>
  <c r="H185" i="41"/>
  <c r="H177" i="41"/>
  <c r="J250" i="41"/>
  <c r="N250" i="41"/>
  <c r="O250" i="41" s="1"/>
  <c r="H251" i="41"/>
  <c r="H253" i="41"/>
  <c r="N295" i="41"/>
  <c r="O295" i="41" s="1"/>
  <c r="J295" i="41"/>
  <c r="K295" i="41" s="1"/>
  <c r="L295" i="41" s="1"/>
  <c r="J287" i="41"/>
  <c r="K287" i="41" s="1"/>
  <c r="N287" i="41"/>
  <c r="O287" i="41" s="1"/>
  <c r="J314" i="41"/>
  <c r="K314" i="41" s="1"/>
  <c r="N314" i="41"/>
  <c r="O314" i="41" s="1"/>
  <c r="N384" i="41"/>
  <c r="O384" i="41" s="1"/>
  <c r="J384" i="41"/>
  <c r="K384" i="41" s="1"/>
  <c r="J313" i="41"/>
  <c r="K313" i="41" s="1"/>
  <c r="N313" i="41"/>
  <c r="O313" i="41" s="1"/>
  <c r="J326" i="41"/>
  <c r="K326" i="41" s="1"/>
  <c r="L326" i="41" s="1"/>
  <c r="N326" i="41"/>
  <c r="O326" i="41" s="1"/>
  <c r="N312" i="41"/>
  <c r="O312" i="41" s="1"/>
  <c r="J312" i="41"/>
  <c r="K312" i="41" s="1"/>
  <c r="L312" i="41" s="1"/>
  <c r="N325" i="41"/>
  <c r="O325" i="41" s="1"/>
  <c r="J325" i="41"/>
  <c r="J356" i="41"/>
  <c r="N356" i="41"/>
  <c r="O356" i="41" s="1"/>
  <c r="J387" i="41"/>
  <c r="K387" i="41" s="1"/>
  <c r="L387" i="41" s="1"/>
  <c r="N387" i="41"/>
  <c r="O387" i="41" s="1"/>
  <c r="J396" i="41"/>
  <c r="H401" i="41"/>
  <c r="N396" i="41"/>
  <c r="N353" i="41"/>
  <c r="O353" i="41" s="1"/>
  <c r="J353" i="41"/>
  <c r="H154" i="41"/>
  <c r="N153" i="41"/>
  <c r="J153" i="41"/>
  <c r="J154" i="41" s="1"/>
  <c r="H268" i="41"/>
  <c r="N390" i="41"/>
  <c r="O390" i="41" s="1"/>
  <c r="J390" i="41"/>
  <c r="K390" i="41" s="1"/>
  <c r="U220" i="41"/>
  <c r="U166" i="41"/>
  <c r="N141" i="41"/>
  <c r="O141" i="41" s="1"/>
  <c r="J141" i="41"/>
  <c r="J120" i="41"/>
  <c r="K120" i="41" s="1"/>
  <c r="L120" i="41" s="1"/>
  <c r="N120" i="41"/>
  <c r="O120" i="41" s="1"/>
  <c r="N105" i="41"/>
  <c r="J105" i="41"/>
  <c r="N156" i="41"/>
  <c r="H157" i="41"/>
  <c r="J156" i="41"/>
  <c r="J157" i="41" s="1"/>
  <c r="H259" i="41"/>
  <c r="H262" i="41"/>
  <c r="J297" i="41"/>
  <c r="K297" i="41" s="1"/>
  <c r="L297" i="41" s="1"/>
  <c r="N297" i="41"/>
  <c r="O297" i="41" s="1"/>
  <c r="N322" i="41"/>
  <c r="O322" i="41" s="1"/>
  <c r="J322" i="41"/>
  <c r="K322" i="41" s="1"/>
  <c r="L322" i="41" s="1"/>
  <c r="N311" i="41"/>
  <c r="O311" i="41" s="1"/>
  <c r="J311" i="41"/>
  <c r="J321" i="41"/>
  <c r="N321" i="41"/>
  <c r="O321" i="41" s="1"/>
  <c r="J342" i="41"/>
  <c r="K342" i="41" s="1"/>
  <c r="L342" i="41" s="1"/>
  <c r="N342" i="41"/>
  <c r="O342" i="41" s="1"/>
  <c r="J320" i="41"/>
  <c r="K320" i="41" s="1"/>
  <c r="N320" i="41"/>
  <c r="O320" i="41" s="1"/>
  <c r="N339" i="41"/>
  <c r="O339" i="41" s="1"/>
  <c r="J339" i="41"/>
  <c r="K339" i="41" s="1"/>
  <c r="L339" i="41" s="1"/>
  <c r="J358" i="41"/>
  <c r="K358" i="41" s="1"/>
  <c r="L358" i="41" s="1"/>
  <c r="N358" i="41"/>
  <c r="O358" i="41" s="1"/>
  <c r="J389" i="41"/>
  <c r="K389" i="41" s="1"/>
  <c r="L389" i="41" s="1"/>
  <c r="N389" i="41"/>
  <c r="O389" i="41" s="1"/>
  <c r="J398" i="41"/>
  <c r="K398" i="41" s="1"/>
  <c r="L398" i="41" s="1"/>
  <c r="N398" i="41"/>
  <c r="O398" i="41" s="1"/>
  <c r="J86" i="41"/>
  <c r="K86" i="41" s="1"/>
  <c r="L86" i="41" s="1"/>
  <c r="J84" i="41"/>
  <c r="K84" i="41" s="1"/>
  <c r="N201" i="41"/>
  <c r="O201" i="41" s="1"/>
  <c r="J201" i="41"/>
  <c r="K201" i="41" s="1"/>
  <c r="L201" i="41" s="1"/>
  <c r="N397" i="41"/>
  <c r="O397" i="41" s="1"/>
  <c r="J397" i="41"/>
  <c r="K397" i="41" s="1"/>
  <c r="L397" i="41" s="1"/>
  <c r="N307" i="41"/>
  <c r="O307" i="41" s="1"/>
  <c r="J307" i="41"/>
  <c r="K307" i="41" s="1"/>
  <c r="L307" i="41" s="1"/>
  <c r="H369" i="41"/>
  <c r="N365" i="41"/>
  <c r="J365" i="41"/>
  <c r="K365" i="41" s="1"/>
  <c r="N139" i="41"/>
  <c r="H145" i="41"/>
  <c r="J139" i="41"/>
  <c r="K139" i="41" s="1"/>
  <c r="L139" i="41" s="1"/>
  <c r="J58" i="41"/>
  <c r="N58" i="41"/>
  <c r="O58" i="41" s="1"/>
  <c r="N143" i="41"/>
  <c r="O143" i="41" s="1"/>
  <c r="J143" i="41"/>
  <c r="K143" i="41" s="1"/>
  <c r="H111" i="41"/>
  <c r="N109" i="41"/>
  <c r="J109" i="41"/>
  <c r="J232" i="41"/>
  <c r="J233" i="41" s="1"/>
  <c r="N232" i="41"/>
  <c r="H233" i="41"/>
  <c r="H265" i="41"/>
  <c r="H264" i="41"/>
  <c r="N300" i="41"/>
  <c r="O300" i="41" s="1"/>
  <c r="J300" i="41"/>
  <c r="K300" i="41" s="1"/>
  <c r="L300" i="41" s="1"/>
  <c r="N302" i="41"/>
  <c r="O302" i="41" s="1"/>
  <c r="J302" i="41"/>
  <c r="K302" i="41" s="1"/>
  <c r="L302" i="41" s="1"/>
  <c r="J304" i="41"/>
  <c r="N304" i="41"/>
  <c r="O304" i="41" s="1"/>
  <c r="J294" i="41"/>
  <c r="N294" i="41"/>
  <c r="O294" i="41" s="1"/>
  <c r="N289" i="41"/>
  <c r="O289" i="41" s="1"/>
  <c r="J289" i="41"/>
  <c r="K289" i="41" s="1"/>
  <c r="L289" i="41" s="1"/>
  <c r="N319" i="41"/>
  <c r="O319" i="41" s="1"/>
  <c r="J319" i="41"/>
  <c r="K319" i="41" s="1"/>
  <c r="L319" i="41" s="1"/>
  <c r="J343" i="41"/>
  <c r="N343" i="41"/>
  <c r="O343" i="41" s="1"/>
  <c r="N392" i="41"/>
  <c r="O392" i="41" s="1"/>
  <c r="J392" i="41"/>
  <c r="K392" i="41" s="1"/>
  <c r="J328" i="41"/>
  <c r="N328" i="41"/>
  <c r="O328" i="41" s="1"/>
  <c r="H350" i="41"/>
  <c r="N346" i="41"/>
  <c r="J346" i="41"/>
  <c r="K346" i="41" s="1"/>
  <c r="J360" i="41"/>
  <c r="N360" i="41"/>
  <c r="O360" i="41" s="1"/>
  <c r="J391" i="41"/>
  <c r="K391" i="41" s="1"/>
  <c r="L391" i="41" s="1"/>
  <c r="N391" i="41"/>
  <c r="O391" i="41" s="1"/>
  <c r="J400" i="41"/>
  <c r="K400" i="41" s="1"/>
  <c r="N400" i="41"/>
  <c r="O400" i="41" s="1"/>
  <c r="H148" i="41"/>
  <c r="N147" i="41"/>
  <c r="J147" i="41"/>
  <c r="J148" i="41" s="1"/>
  <c r="H267" i="41"/>
  <c r="N386" i="41"/>
  <c r="O386" i="41" s="1"/>
  <c r="J386" i="41"/>
  <c r="K386" i="41" s="1"/>
  <c r="L386" i="41" s="1"/>
  <c r="N126" i="41"/>
  <c r="O126" i="41" s="1"/>
  <c r="J126" i="41"/>
  <c r="J89" i="41"/>
  <c r="J82" i="41"/>
  <c r="K82" i="41" s="1"/>
  <c r="L82" i="41" s="1"/>
  <c r="N256" i="41"/>
  <c r="O256" i="41" s="1"/>
  <c r="J256" i="41"/>
  <c r="K256" i="41" s="1"/>
  <c r="L256" i="41" s="1"/>
  <c r="N293" i="41"/>
  <c r="O293" i="41" s="1"/>
  <c r="J293" i="41"/>
  <c r="K293" i="41" s="1"/>
  <c r="L293" i="41" s="1"/>
  <c r="H269" i="41"/>
  <c r="J301" i="41"/>
  <c r="N301" i="41"/>
  <c r="O301" i="41" s="1"/>
  <c r="N296" i="41"/>
  <c r="O296" i="41" s="1"/>
  <c r="J296" i="41"/>
  <c r="N327" i="41"/>
  <c r="O327" i="41" s="1"/>
  <c r="J327" i="41"/>
  <c r="K327" i="41" s="1"/>
  <c r="L327" i="41" s="1"/>
  <c r="N348" i="41"/>
  <c r="O348" i="41" s="1"/>
  <c r="J348" i="41"/>
  <c r="K348" i="41" s="1"/>
  <c r="L348" i="41" s="1"/>
  <c r="J315" i="41"/>
  <c r="K315" i="41" s="1"/>
  <c r="L315" i="41" s="1"/>
  <c r="N315" i="41"/>
  <c r="O315" i="41" s="1"/>
  <c r="J340" i="41"/>
  <c r="N340" i="41"/>
  <c r="O340" i="41" s="1"/>
  <c r="N361" i="41"/>
  <c r="O361" i="41" s="1"/>
  <c r="J361" i="41"/>
  <c r="K361" i="41" s="1"/>
  <c r="J362" i="41"/>
  <c r="N362" i="41"/>
  <c r="O362" i="41" s="1"/>
  <c r="J393" i="41"/>
  <c r="K393" i="41" s="1"/>
  <c r="L393" i="41" s="1"/>
  <c r="N393" i="41"/>
  <c r="O393" i="41" s="1"/>
  <c r="J81" i="41"/>
  <c r="K81" i="41" s="1"/>
  <c r="J144" i="41"/>
  <c r="N144" i="41"/>
  <c r="O144" i="41" s="1"/>
  <c r="N355" i="41"/>
  <c r="O355" i="41" s="1"/>
  <c r="J355" i="41"/>
  <c r="K355" i="41" s="1"/>
  <c r="L355" i="41" s="1"/>
  <c r="N132" i="41"/>
  <c r="O132" i="41" s="1"/>
  <c r="J132" i="41"/>
  <c r="K132" i="41" s="1"/>
  <c r="L132" i="41" s="1"/>
  <c r="J212" i="41"/>
  <c r="J213" i="41" s="1"/>
  <c r="N212" i="41"/>
  <c r="H213" i="41"/>
  <c r="J140" i="41"/>
  <c r="N140" i="41"/>
  <c r="O140" i="41" s="1"/>
  <c r="H254" i="41"/>
  <c r="H252" i="41"/>
  <c r="N305" i="41"/>
  <c r="O305" i="41" s="1"/>
  <c r="J305" i="41"/>
  <c r="K305" i="41" s="1"/>
  <c r="L305" i="41" s="1"/>
  <c r="N316" i="41"/>
  <c r="O316" i="41" s="1"/>
  <c r="J316" i="41"/>
  <c r="N303" i="41"/>
  <c r="O303" i="41" s="1"/>
  <c r="J303" i="41"/>
  <c r="K303" i="41" s="1"/>
  <c r="L303" i="41" s="1"/>
  <c r="J347" i="41"/>
  <c r="N347" i="41"/>
  <c r="O347" i="41" s="1"/>
  <c r="N357" i="41"/>
  <c r="O357" i="41" s="1"/>
  <c r="J357" i="41"/>
  <c r="K357" i="41" s="1"/>
  <c r="J323" i="41"/>
  <c r="K323" i="41" s="1"/>
  <c r="N323" i="41"/>
  <c r="O323" i="41" s="1"/>
  <c r="J352" i="41"/>
  <c r="K352" i="41" s="1"/>
  <c r="N352" i="41"/>
  <c r="N349" i="41"/>
  <c r="O349" i="41" s="1"/>
  <c r="J349" i="41"/>
  <c r="J375" i="41"/>
  <c r="K375" i="41" s="1"/>
  <c r="L375" i="41" s="1"/>
  <c r="N375" i="41"/>
  <c r="O375" i="41" s="1"/>
  <c r="J407" i="41"/>
  <c r="N407" i="41"/>
  <c r="O407" i="41" s="1"/>
  <c r="J79" i="41"/>
  <c r="J88" i="41"/>
  <c r="K88" i="41" s="1"/>
  <c r="J87" i="41"/>
  <c r="K87" i="41" s="1"/>
  <c r="L87" i="41" s="1"/>
  <c r="J94" i="41"/>
  <c r="K94" i="41" s="1"/>
  <c r="N94" i="41"/>
  <c r="O94" i="41" s="1"/>
  <c r="N134" i="41"/>
  <c r="O134" i="41" s="1"/>
  <c r="J134" i="41"/>
  <c r="K134" i="41" s="1"/>
  <c r="L134" i="41" s="1"/>
  <c r="J142" i="41"/>
  <c r="N142" i="41"/>
  <c r="O142" i="41" s="1"/>
  <c r="N286" i="41"/>
  <c r="O286" i="41" s="1"/>
  <c r="J286" i="41"/>
  <c r="K286" i="41" s="1"/>
  <c r="L286" i="41" s="1"/>
  <c r="J285" i="41"/>
  <c r="N285" i="41"/>
  <c r="O285" i="41" s="1"/>
  <c r="J366" i="41"/>
  <c r="N366" i="41"/>
  <c r="O366" i="41" s="1"/>
  <c r="J284" i="41"/>
  <c r="N284" i="41"/>
  <c r="N359" i="41"/>
  <c r="O359" i="41" s="1"/>
  <c r="J359" i="41"/>
  <c r="K359" i="41" s="1"/>
  <c r="L359" i="41" s="1"/>
  <c r="N377" i="41"/>
  <c r="O377" i="41" s="1"/>
  <c r="J377" i="41"/>
  <c r="J341" i="41"/>
  <c r="K341" i="41" s="1"/>
  <c r="N341" i="41"/>
  <c r="O341" i="41" s="1"/>
  <c r="N388" i="41"/>
  <c r="O388" i="41" s="1"/>
  <c r="J388" i="41"/>
  <c r="K388" i="41" s="1"/>
  <c r="L388" i="41" s="1"/>
  <c r="N368" i="41"/>
  <c r="O368" i="41" s="1"/>
  <c r="J368" i="41"/>
  <c r="K368" i="41" s="1"/>
  <c r="L368" i="41" s="1"/>
  <c r="J381" i="41"/>
  <c r="K381" i="41" s="1"/>
  <c r="H394" i="41"/>
  <c r="N381" i="41"/>
  <c r="J409" i="41"/>
  <c r="N409" i="41"/>
  <c r="O409" i="41" s="1"/>
  <c r="I411" i="32"/>
  <c r="F80" i="32"/>
  <c r="F59" i="32"/>
  <c r="F57" i="32"/>
  <c r="F55" i="32"/>
  <c r="F41" i="32"/>
  <c r="F65" i="32" s="1"/>
  <c r="F26" i="32"/>
  <c r="F410" i="32"/>
  <c r="R409" i="32"/>
  <c r="M409" i="32"/>
  <c r="R408" i="32"/>
  <c r="M408" i="32"/>
  <c r="R407" i="32"/>
  <c r="M407" i="32"/>
  <c r="R406" i="32"/>
  <c r="M406" i="32"/>
  <c r="R403" i="32"/>
  <c r="M403" i="32"/>
  <c r="F401" i="32"/>
  <c r="R400" i="32"/>
  <c r="M400" i="32"/>
  <c r="R399" i="32"/>
  <c r="M399" i="32"/>
  <c r="R398" i="32"/>
  <c r="M398" i="32"/>
  <c r="R397" i="32"/>
  <c r="M397" i="32"/>
  <c r="R396" i="32"/>
  <c r="M396" i="32"/>
  <c r="F394" i="32"/>
  <c r="R393" i="32"/>
  <c r="M393" i="32"/>
  <c r="R392" i="32"/>
  <c r="M392" i="32"/>
  <c r="R391" i="32"/>
  <c r="M391" i="32"/>
  <c r="R390" i="32"/>
  <c r="M390" i="32"/>
  <c r="R389" i="32"/>
  <c r="M389" i="32"/>
  <c r="R388" i="32"/>
  <c r="M388" i="32"/>
  <c r="R387" i="32"/>
  <c r="M387" i="32"/>
  <c r="R386" i="32"/>
  <c r="M386" i="32"/>
  <c r="R385" i="32"/>
  <c r="M385" i="32"/>
  <c r="R384" i="32"/>
  <c r="M384" i="32"/>
  <c r="R383" i="32"/>
  <c r="M383" i="32"/>
  <c r="R382" i="32"/>
  <c r="M382" i="32"/>
  <c r="R381" i="32"/>
  <c r="M381" i="32"/>
  <c r="T379" i="32"/>
  <c r="U378" i="32"/>
  <c r="S378" i="32"/>
  <c r="R378" i="32"/>
  <c r="M378" i="32"/>
  <c r="R377" i="32"/>
  <c r="M377" i="32"/>
  <c r="R376" i="32"/>
  <c r="M376" i="32"/>
  <c r="R375" i="32"/>
  <c r="M375" i="32"/>
  <c r="R374" i="32"/>
  <c r="M374" i="32"/>
  <c r="R373" i="32"/>
  <c r="M373" i="32"/>
  <c r="R372" i="32"/>
  <c r="M372" i="32"/>
  <c r="R371" i="32"/>
  <c r="M371" i="32"/>
  <c r="T370" i="32"/>
  <c r="U374" i="32" s="1"/>
  <c r="R368" i="32"/>
  <c r="M368" i="32"/>
  <c r="F368" i="32"/>
  <c r="F369" i="32" s="1"/>
  <c r="R367" i="32"/>
  <c r="M367" i="32"/>
  <c r="R366" i="32"/>
  <c r="M366" i="32"/>
  <c r="R365" i="32"/>
  <c r="M365" i="32"/>
  <c r="R362" i="32"/>
  <c r="M362" i="32"/>
  <c r="R361" i="32"/>
  <c r="M361" i="32"/>
  <c r="R360" i="32"/>
  <c r="M360" i="32"/>
  <c r="R359" i="32"/>
  <c r="M359" i="32"/>
  <c r="R358" i="32"/>
  <c r="M358" i="32"/>
  <c r="R357" i="32"/>
  <c r="M357" i="32"/>
  <c r="R356" i="32"/>
  <c r="M356" i="32"/>
  <c r="R355" i="32"/>
  <c r="M355" i="32"/>
  <c r="R354" i="32"/>
  <c r="M354" i="32"/>
  <c r="R353" i="32"/>
  <c r="M353" i="32"/>
  <c r="R352" i="32"/>
  <c r="M352" i="32"/>
  <c r="F350" i="32"/>
  <c r="R349" i="32"/>
  <c r="M349" i="32"/>
  <c r="R348" i="32"/>
  <c r="M348" i="32"/>
  <c r="R347" i="32"/>
  <c r="M347" i="32"/>
  <c r="R346" i="32"/>
  <c r="M346" i="32"/>
  <c r="T343" i="32"/>
  <c r="R343" i="32"/>
  <c r="M343" i="32"/>
  <c r="R342" i="32"/>
  <c r="M342" i="32"/>
  <c r="R341" i="32"/>
  <c r="M341" i="32"/>
  <c r="R340" i="32"/>
  <c r="M340" i="32"/>
  <c r="R339" i="32"/>
  <c r="M339" i="32"/>
  <c r="R338" i="32"/>
  <c r="M338" i="32"/>
  <c r="T337" i="32"/>
  <c r="U338" i="32" s="1"/>
  <c r="T336" i="32"/>
  <c r="M335" i="32"/>
  <c r="M334" i="32"/>
  <c r="M333" i="32"/>
  <c r="M332" i="32"/>
  <c r="M331" i="32"/>
  <c r="T330" i="32"/>
  <c r="U334" i="32" s="1"/>
  <c r="R328" i="32"/>
  <c r="M328" i="32"/>
  <c r="R327" i="32"/>
  <c r="M327" i="32"/>
  <c r="R326" i="32"/>
  <c r="M326" i="32"/>
  <c r="R325" i="32"/>
  <c r="M325" i="32"/>
  <c r="R324" i="32"/>
  <c r="M324" i="32"/>
  <c r="R323" i="32"/>
  <c r="M323" i="32"/>
  <c r="R322" i="32"/>
  <c r="M322" i="32"/>
  <c r="R321" i="32"/>
  <c r="M321" i="32"/>
  <c r="R320" i="32"/>
  <c r="M320" i="32"/>
  <c r="R319" i="32"/>
  <c r="M319" i="32"/>
  <c r="R318" i="32"/>
  <c r="M318" i="32"/>
  <c r="R317" i="32"/>
  <c r="M317" i="32"/>
  <c r="R316" i="32"/>
  <c r="M316" i="32"/>
  <c r="R315" i="32"/>
  <c r="M315" i="32"/>
  <c r="R314" i="32"/>
  <c r="M314" i="32"/>
  <c r="R313" i="32"/>
  <c r="M313" i="32"/>
  <c r="R312" i="32"/>
  <c r="M312" i="32"/>
  <c r="R311" i="32"/>
  <c r="M311" i="32"/>
  <c r="M310" i="32"/>
  <c r="R309" i="32"/>
  <c r="M309" i="32"/>
  <c r="M308" i="32"/>
  <c r="R307" i="32"/>
  <c r="M307" i="32"/>
  <c r="M306" i="32"/>
  <c r="R305" i="32"/>
  <c r="M305" i="32"/>
  <c r="R304" i="32"/>
  <c r="M304" i="32"/>
  <c r="R303" i="32"/>
  <c r="M303" i="32"/>
  <c r="R302" i="32"/>
  <c r="M302" i="32"/>
  <c r="R301" i="32"/>
  <c r="M301" i="32"/>
  <c r="R300" i="32"/>
  <c r="M300" i="32"/>
  <c r="R299" i="32"/>
  <c r="M299" i="32"/>
  <c r="M298" i="32"/>
  <c r="R297" i="32"/>
  <c r="M297" i="32"/>
  <c r="R296" i="32"/>
  <c r="M296" i="32"/>
  <c r="R295" i="32"/>
  <c r="M295" i="32"/>
  <c r="R294" i="32"/>
  <c r="M294" i="32"/>
  <c r="R293" i="32"/>
  <c r="M293" i="32"/>
  <c r="R292" i="32"/>
  <c r="M292" i="32"/>
  <c r="R291" i="32"/>
  <c r="M291" i="32"/>
  <c r="M290" i="32"/>
  <c r="R289" i="32"/>
  <c r="M289" i="32"/>
  <c r="R288" i="32"/>
  <c r="M288" i="32"/>
  <c r="R287" i="32"/>
  <c r="M287" i="32"/>
  <c r="R286" i="32"/>
  <c r="M286" i="32"/>
  <c r="R285" i="32"/>
  <c r="M285" i="32"/>
  <c r="R284" i="32"/>
  <c r="M284" i="32"/>
  <c r="M281" i="32"/>
  <c r="M280" i="32"/>
  <c r="M279" i="32"/>
  <c r="M278" i="32"/>
  <c r="M275" i="32"/>
  <c r="M274" i="32"/>
  <c r="E271" i="32"/>
  <c r="E270" i="32"/>
  <c r="U269" i="32"/>
  <c r="S269" i="32"/>
  <c r="U268" i="32"/>
  <c r="S268" i="32"/>
  <c r="U267" i="32"/>
  <c r="S267" i="32"/>
  <c r="U266" i="32"/>
  <c r="S266" i="32"/>
  <c r="U265" i="32"/>
  <c r="S265" i="32"/>
  <c r="U264" i="32"/>
  <c r="S264" i="32"/>
  <c r="U263" i="32"/>
  <c r="S263" i="32"/>
  <c r="U262" i="32"/>
  <c r="S262" i="32"/>
  <c r="U261" i="32"/>
  <c r="S261" i="32"/>
  <c r="U260" i="32"/>
  <c r="S260" i="32"/>
  <c r="U259" i="32"/>
  <c r="S259" i="32"/>
  <c r="U258" i="32"/>
  <c r="S258" i="32"/>
  <c r="U257" i="32"/>
  <c r="S257" i="32"/>
  <c r="V256" i="32"/>
  <c r="G256" i="32" s="1"/>
  <c r="R256" i="32" s="1"/>
  <c r="U256" i="32"/>
  <c r="S256" i="32"/>
  <c r="U255" i="32"/>
  <c r="S255" i="32"/>
  <c r="U254" i="32"/>
  <c r="S254" i="32"/>
  <c r="U253" i="32"/>
  <c r="S253" i="32"/>
  <c r="U252" i="32"/>
  <c r="S252" i="32"/>
  <c r="U251" i="32"/>
  <c r="S251" i="32"/>
  <c r="V250" i="32"/>
  <c r="G250" i="32" s="1"/>
  <c r="R250" i="32" s="1"/>
  <c r="U250" i="32"/>
  <c r="S250" i="32"/>
  <c r="U249" i="32"/>
  <c r="S249" i="32"/>
  <c r="U248" i="32"/>
  <c r="S248" i="32"/>
  <c r="U247" i="32"/>
  <c r="S247" i="32"/>
  <c r="U246" i="32"/>
  <c r="S246" i="32"/>
  <c r="U245" i="32"/>
  <c r="S245" i="32"/>
  <c r="U244" i="32"/>
  <c r="S244" i="32"/>
  <c r="U243" i="32"/>
  <c r="S243" i="32"/>
  <c r="M241" i="32"/>
  <c r="F241" i="32"/>
  <c r="T240" i="32"/>
  <c r="M239" i="32"/>
  <c r="M238" i="32"/>
  <c r="T237" i="32"/>
  <c r="U239" i="32" s="1"/>
  <c r="R235" i="32"/>
  <c r="M235" i="32"/>
  <c r="F233" i="32"/>
  <c r="R232" i="32"/>
  <c r="M232" i="32"/>
  <c r="T230" i="32"/>
  <c r="R229" i="32"/>
  <c r="M229" i="32"/>
  <c r="M228" i="32"/>
  <c r="T227" i="32"/>
  <c r="S225" i="32"/>
  <c r="R225" i="32"/>
  <c r="M225" i="32"/>
  <c r="F223" i="32"/>
  <c r="S222" i="32"/>
  <c r="R222" i="32"/>
  <c r="M222" i="32"/>
  <c r="T220" i="32"/>
  <c r="R219" i="32"/>
  <c r="M219" i="32"/>
  <c r="R218" i="32"/>
  <c r="M218" i="32"/>
  <c r="T217" i="32"/>
  <c r="U219" i="32" s="1"/>
  <c r="S215" i="32"/>
  <c r="F215" i="32" s="1"/>
  <c r="R215" i="32"/>
  <c r="M215" i="32"/>
  <c r="F213" i="32"/>
  <c r="S212" i="32"/>
  <c r="F212" i="32" s="1"/>
  <c r="R212" i="32"/>
  <c r="M212" i="32"/>
  <c r="T210" i="32"/>
  <c r="F210" i="32"/>
  <c r="S209" i="32"/>
  <c r="R209" i="32"/>
  <c r="M209" i="32"/>
  <c r="R208" i="32"/>
  <c r="M208" i="32"/>
  <c r="F206" i="32"/>
  <c r="S205" i="32"/>
  <c r="R205" i="32"/>
  <c r="M205" i="32"/>
  <c r="R204" i="32"/>
  <c r="M204" i="32"/>
  <c r="S201" i="32"/>
  <c r="R201" i="32"/>
  <c r="M201" i="32"/>
  <c r="G201" i="32"/>
  <c r="S200" i="32"/>
  <c r="R200" i="32"/>
  <c r="M200" i="32"/>
  <c r="S199" i="32"/>
  <c r="R199" i="32"/>
  <c r="R198" i="32"/>
  <c r="M198" i="32"/>
  <c r="M199" i="32" s="1"/>
  <c r="S197" i="32"/>
  <c r="R197" i="32"/>
  <c r="R196" i="32"/>
  <c r="M196" i="32"/>
  <c r="M197" i="32" s="1"/>
  <c r="S195" i="32"/>
  <c r="R195" i="32"/>
  <c r="R194" i="32"/>
  <c r="M194" i="32"/>
  <c r="M195" i="32" s="1"/>
  <c r="S193" i="32"/>
  <c r="R193" i="32"/>
  <c r="R192" i="32"/>
  <c r="M192" i="32"/>
  <c r="M193" i="32" s="1"/>
  <c r="S191" i="32"/>
  <c r="R191" i="32"/>
  <c r="M191" i="32"/>
  <c r="R190" i="32"/>
  <c r="M190" i="32"/>
  <c r="G190" i="32"/>
  <c r="G191" i="32" s="1"/>
  <c r="F190" i="32"/>
  <c r="S189" i="32"/>
  <c r="R189" i="32"/>
  <c r="R188" i="32"/>
  <c r="M188" i="32"/>
  <c r="M189" i="32" s="1"/>
  <c r="G187" i="32"/>
  <c r="G208" i="32" s="1"/>
  <c r="G209" i="32" s="1"/>
  <c r="F187" i="32"/>
  <c r="T186" i="32"/>
  <c r="R185" i="32"/>
  <c r="M185" i="32"/>
  <c r="E185" i="32"/>
  <c r="S185" i="32" s="1"/>
  <c r="U184" i="32"/>
  <c r="S184" i="32"/>
  <c r="F184" i="32" s="1"/>
  <c r="R184" i="32"/>
  <c r="M184" i="32"/>
  <c r="R181" i="32"/>
  <c r="M181" i="32"/>
  <c r="E181" i="32"/>
  <c r="S181" i="32" s="1"/>
  <c r="U180" i="32"/>
  <c r="S180" i="32"/>
  <c r="F180" i="32" s="1"/>
  <c r="R180" i="32"/>
  <c r="M180" i="32"/>
  <c r="R177" i="32"/>
  <c r="M177" i="32"/>
  <c r="E177" i="32"/>
  <c r="S177" i="32" s="1"/>
  <c r="U176" i="32"/>
  <c r="S176" i="32"/>
  <c r="F176" i="32" s="1"/>
  <c r="R176" i="32"/>
  <c r="M176" i="32"/>
  <c r="R175" i="32"/>
  <c r="M175" i="32"/>
  <c r="E175" i="32"/>
  <c r="S175" i="32" s="1"/>
  <c r="U174" i="32"/>
  <c r="S174" i="32"/>
  <c r="F174" i="32" s="1"/>
  <c r="R174" i="32"/>
  <c r="M174" i="32"/>
  <c r="T173" i="32"/>
  <c r="T172" i="32"/>
  <c r="S171" i="32"/>
  <c r="R171" i="32"/>
  <c r="M171" i="32"/>
  <c r="R170" i="32"/>
  <c r="M170" i="32"/>
  <c r="S169" i="32"/>
  <c r="R169" i="32"/>
  <c r="R168" i="32"/>
  <c r="M168" i="32"/>
  <c r="M169" i="32" s="1"/>
  <c r="G167" i="32"/>
  <c r="T167" i="32" s="1"/>
  <c r="F167" i="32"/>
  <c r="T166" i="32"/>
  <c r="S165" i="32"/>
  <c r="R165" i="32"/>
  <c r="M165" i="32"/>
  <c r="R164" i="32"/>
  <c r="M164" i="32"/>
  <c r="S163" i="32"/>
  <c r="R163" i="32"/>
  <c r="M163" i="32"/>
  <c r="R162" i="32"/>
  <c r="M162" i="32"/>
  <c r="G161" i="32"/>
  <c r="T161" i="32" s="1"/>
  <c r="F161" i="32"/>
  <c r="S159" i="32"/>
  <c r="R159" i="32"/>
  <c r="M159" i="32"/>
  <c r="F159" i="32"/>
  <c r="F160" i="32" s="1"/>
  <c r="F157" i="32"/>
  <c r="R156" i="32"/>
  <c r="M156" i="32"/>
  <c r="R153" i="32"/>
  <c r="M153" i="32"/>
  <c r="F153" i="32"/>
  <c r="F154" i="32" s="1"/>
  <c r="F155" i="32" s="1"/>
  <c r="F151" i="32"/>
  <c r="R150" i="32"/>
  <c r="M150" i="32"/>
  <c r="F148" i="32"/>
  <c r="S147" i="32"/>
  <c r="R147" i="32"/>
  <c r="M147" i="32"/>
  <c r="F145" i="32"/>
  <c r="S144" i="32"/>
  <c r="R144" i="32"/>
  <c r="M144" i="32"/>
  <c r="S143" i="32"/>
  <c r="R143" i="32"/>
  <c r="M143" i="32"/>
  <c r="S142" i="32"/>
  <c r="R142" i="32"/>
  <c r="M142" i="32"/>
  <c r="S141" i="32"/>
  <c r="R141" i="32"/>
  <c r="M141" i="32"/>
  <c r="S140" i="32"/>
  <c r="R140" i="32"/>
  <c r="M140" i="32"/>
  <c r="S139" i="32"/>
  <c r="R139" i="32"/>
  <c r="M139" i="32"/>
  <c r="S136" i="32"/>
  <c r="R136" i="32"/>
  <c r="M136" i="32"/>
  <c r="S135" i="32"/>
  <c r="R135" i="32"/>
  <c r="M135" i="32"/>
  <c r="S134" i="32"/>
  <c r="R134" i="32"/>
  <c r="M134" i="32"/>
  <c r="S133" i="32"/>
  <c r="R133" i="32"/>
  <c r="M133" i="32"/>
  <c r="S132" i="32"/>
  <c r="R132" i="32"/>
  <c r="M132" i="32"/>
  <c r="R131" i="32"/>
  <c r="M131" i="32"/>
  <c r="G130" i="32"/>
  <c r="G131" i="32" s="1"/>
  <c r="F130" i="32"/>
  <c r="F131" i="32" s="1"/>
  <c r="F137" i="32" s="1"/>
  <c r="F129" i="32"/>
  <c r="S128" i="32"/>
  <c r="R128" i="32"/>
  <c r="M128" i="32"/>
  <c r="T127" i="32"/>
  <c r="S127" i="32"/>
  <c r="R127" i="32"/>
  <c r="M127" i="32"/>
  <c r="V126" i="32"/>
  <c r="G126" i="32" s="1"/>
  <c r="U126" i="32"/>
  <c r="S126" i="32"/>
  <c r="R126" i="32"/>
  <c r="M126" i="32"/>
  <c r="V125" i="32"/>
  <c r="G125" i="32" s="1"/>
  <c r="U125" i="32"/>
  <c r="S125" i="32"/>
  <c r="R125" i="32"/>
  <c r="M125" i="32"/>
  <c r="V124" i="32"/>
  <c r="U124" i="32"/>
  <c r="S124" i="32"/>
  <c r="F124" i="32" s="1"/>
  <c r="R124" i="32"/>
  <c r="M124" i="32"/>
  <c r="T123" i="32"/>
  <c r="S121" i="32"/>
  <c r="R121" i="32"/>
  <c r="M121" i="32"/>
  <c r="T120" i="32"/>
  <c r="S120" i="32"/>
  <c r="R120" i="32"/>
  <c r="M120" i="32"/>
  <c r="M119" i="32"/>
  <c r="I119" i="32"/>
  <c r="R119" i="32" s="1"/>
  <c r="M118" i="32"/>
  <c r="I118" i="32"/>
  <c r="R118" i="32" s="1"/>
  <c r="R117" i="32"/>
  <c r="M117" i="32"/>
  <c r="G116" i="32"/>
  <c r="T116" i="32" s="1"/>
  <c r="F116" i="32"/>
  <c r="R114" i="32"/>
  <c r="M114" i="32"/>
  <c r="G114" i="32"/>
  <c r="E114" i="32"/>
  <c r="F115" i="32" s="1"/>
  <c r="S113" i="32"/>
  <c r="F113" i="32" s="1"/>
  <c r="R113" i="32"/>
  <c r="M113" i="32"/>
  <c r="R110" i="32"/>
  <c r="M110" i="32"/>
  <c r="G110" i="32"/>
  <c r="E110" i="32"/>
  <c r="F111" i="32" s="1"/>
  <c r="S109" i="32"/>
  <c r="F109" i="32" s="1"/>
  <c r="R109" i="32"/>
  <c r="M109" i="32"/>
  <c r="R106" i="32"/>
  <c r="G106" i="32"/>
  <c r="E106" i="32"/>
  <c r="S106" i="32" s="1"/>
  <c r="S105" i="32"/>
  <c r="F105" i="32" s="1"/>
  <c r="R105" i="32"/>
  <c r="S102" i="32"/>
  <c r="R102" i="32"/>
  <c r="M102" i="32"/>
  <c r="R101" i="32"/>
  <c r="M101" i="32"/>
  <c r="G100" i="32"/>
  <c r="G101" i="32" s="1"/>
  <c r="G102" i="32" s="1"/>
  <c r="F100" i="32"/>
  <c r="F99" i="32"/>
  <c r="S98" i="32"/>
  <c r="R98" i="32"/>
  <c r="R97" i="32"/>
  <c r="R96" i="32"/>
  <c r="M95" i="32"/>
  <c r="M98" i="32" s="1"/>
  <c r="S94" i="32"/>
  <c r="R94" i="32"/>
  <c r="S93" i="32"/>
  <c r="R93" i="32"/>
  <c r="R92" i="32"/>
  <c r="R91" i="32"/>
  <c r="M90" i="32"/>
  <c r="M94" i="32" s="1"/>
  <c r="S89" i="32"/>
  <c r="R89" i="32"/>
  <c r="S88" i="32"/>
  <c r="R88" i="32"/>
  <c r="S87" i="32"/>
  <c r="R87" i="32"/>
  <c r="S86" i="32"/>
  <c r="R86" i="32"/>
  <c r="S85" i="32"/>
  <c r="R85" i="32"/>
  <c r="S84" i="32"/>
  <c r="R84" i="32"/>
  <c r="R83" i="32"/>
  <c r="S82" i="32"/>
  <c r="R82" i="32"/>
  <c r="R81" i="32"/>
  <c r="R80" i="32"/>
  <c r="S79" i="32"/>
  <c r="R79" i="32"/>
  <c r="M78" i="32"/>
  <c r="M89" i="32" s="1"/>
  <c r="R76" i="32"/>
  <c r="M75" i="32"/>
  <c r="M76" i="32" s="1"/>
  <c r="R74" i="32"/>
  <c r="M73" i="32"/>
  <c r="M74" i="32" s="1"/>
  <c r="R72" i="32"/>
  <c r="M71" i="32"/>
  <c r="M72" i="32" s="1"/>
  <c r="R70" i="32"/>
  <c r="M69" i="32"/>
  <c r="M70" i="32" s="1"/>
  <c r="R68" i="32"/>
  <c r="M67" i="32"/>
  <c r="M68" i="32" s="1"/>
  <c r="R66" i="32"/>
  <c r="M66" i="32"/>
  <c r="E66" i="32"/>
  <c r="R65" i="32"/>
  <c r="M65" i="32"/>
  <c r="R63" i="32"/>
  <c r="M63" i="32"/>
  <c r="E63" i="32"/>
  <c r="R62" i="32"/>
  <c r="R60" i="32"/>
  <c r="M60" i="32"/>
  <c r="R59" i="32"/>
  <c r="M59" i="32"/>
  <c r="R58" i="32"/>
  <c r="M58" i="32"/>
  <c r="E58" i="32"/>
  <c r="R57" i="32"/>
  <c r="M57" i="32"/>
  <c r="G57" i="32"/>
  <c r="G58" i="32" s="1"/>
  <c r="R56" i="32"/>
  <c r="M56" i="32"/>
  <c r="E56" i="32"/>
  <c r="R55" i="32"/>
  <c r="M55" i="32"/>
  <c r="R54" i="32"/>
  <c r="M54" i="32"/>
  <c r="R53" i="32"/>
  <c r="M53" i="32"/>
  <c r="G53" i="32"/>
  <c r="E53" i="32"/>
  <c r="R52" i="32"/>
  <c r="M52" i="32"/>
  <c r="T51" i="32"/>
  <c r="R51" i="32"/>
  <c r="M51" i="32"/>
  <c r="E51" i="32"/>
  <c r="S51" i="32" s="1"/>
  <c r="U50" i="32"/>
  <c r="S50" i="32"/>
  <c r="R50" i="32"/>
  <c r="M50" i="32"/>
  <c r="R49" i="32"/>
  <c r="M49" i="32"/>
  <c r="G49" i="32"/>
  <c r="E49" i="32"/>
  <c r="R48" i="32"/>
  <c r="M48" i="32"/>
  <c r="R47" i="32"/>
  <c r="M47" i="32"/>
  <c r="E47" i="32"/>
  <c r="R46" i="32"/>
  <c r="M46" i="32"/>
  <c r="R45" i="32"/>
  <c r="M45" i="32"/>
  <c r="E45" i="32"/>
  <c r="R44" i="32"/>
  <c r="M44" i="32"/>
  <c r="R43" i="32"/>
  <c r="M43" i="32"/>
  <c r="E43" i="32"/>
  <c r="R42" i="32"/>
  <c r="M42" i="32"/>
  <c r="R39" i="32"/>
  <c r="M38" i="32"/>
  <c r="M39" i="32" s="1"/>
  <c r="R37" i="32"/>
  <c r="M36" i="32"/>
  <c r="M37" i="32" s="1"/>
  <c r="R35" i="32"/>
  <c r="M35" i="32"/>
  <c r="R33" i="32"/>
  <c r="M33" i="32"/>
  <c r="E33" i="32"/>
  <c r="R32" i="32"/>
  <c r="M32" i="32"/>
  <c r="G32" i="32"/>
  <c r="G33" i="32" s="1"/>
  <c r="R30" i="32"/>
  <c r="M30" i="32"/>
  <c r="E30" i="32"/>
  <c r="R29" i="32"/>
  <c r="M29" i="32"/>
  <c r="G29" i="32"/>
  <c r="G30" i="32" s="1"/>
  <c r="R27" i="32"/>
  <c r="M27" i="32"/>
  <c r="R26" i="32"/>
  <c r="M26" i="32"/>
  <c r="G26" i="32"/>
  <c r="G27" i="32" s="1"/>
  <c r="R25" i="32"/>
  <c r="M25" i="32"/>
  <c r="G25" i="32"/>
  <c r="E25" i="32"/>
  <c r="R24" i="32"/>
  <c r="M24" i="32"/>
  <c r="T23" i="32"/>
  <c r="R23" i="32"/>
  <c r="M23" i="32"/>
  <c r="E23" i="32"/>
  <c r="R22" i="32"/>
  <c r="M22" i="32"/>
  <c r="R21" i="32"/>
  <c r="M21" i="32"/>
  <c r="E21" i="32"/>
  <c r="R20" i="32"/>
  <c r="M20" i="32"/>
  <c r="R19" i="32"/>
  <c r="M19" i="32"/>
  <c r="R18" i="32"/>
  <c r="M18" i="32"/>
  <c r="J15" i="32"/>
  <c r="O14" i="32"/>
  <c r="O13" i="32"/>
  <c r="O12" i="32"/>
  <c r="C53" i="32" s="1"/>
  <c r="M12" i="32"/>
  <c r="O11" i="32"/>
  <c r="M11" i="32"/>
  <c r="U9" i="32"/>
  <c r="K7" i="32"/>
  <c r="V1" i="32"/>
  <c r="U1" i="32"/>
  <c r="U7" i="32" s="1"/>
  <c r="T1" i="32"/>
  <c r="J265" i="43" l="1"/>
  <c r="K265" i="43" s="1"/>
  <c r="L265" i="43" s="1"/>
  <c r="F80" i="43"/>
  <c r="F96" i="43" s="1"/>
  <c r="N247" i="42"/>
  <c r="O247" i="42" s="1"/>
  <c r="N247" i="41"/>
  <c r="O247" i="41" s="1"/>
  <c r="J247" i="41"/>
  <c r="K247" i="41" s="1"/>
  <c r="L247" i="41" s="1"/>
  <c r="N270" i="43"/>
  <c r="O270" i="43" s="1"/>
  <c r="N248" i="43"/>
  <c r="O248" i="43" s="1"/>
  <c r="N258" i="41"/>
  <c r="O258" i="41" s="1"/>
  <c r="N266" i="41"/>
  <c r="O266" i="41" s="1"/>
  <c r="J244" i="43"/>
  <c r="K244" i="43" s="1"/>
  <c r="J271" i="43"/>
  <c r="K271" i="43" s="1"/>
  <c r="L271" i="43" s="1"/>
  <c r="N259" i="43"/>
  <c r="O259" i="43" s="1"/>
  <c r="J259" i="43"/>
  <c r="K259" i="43" s="1"/>
  <c r="L259" i="43" s="1"/>
  <c r="J257" i="43"/>
  <c r="K257" i="43" s="1"/>
  <c r="L257" i="43" s="1"/>
  <c r="N261" i="43"/>
  <c r="O261" i="43" s="1"/>
  <c r="J245" i="41"/>
  <c r="K245" i="41" s="1"/>
  <c r="L245" i="41" s="1"/>
  <c r="N263" i="43"/>
  <c r="O263" i="43" s="1"/>
  <c r="N252" i="43"/>
  <c r="O252" i="43" s="1"/>
  <c r="N248" i="41"/>
  <c r="O248" i="41" s="1"/>
  <c r="N267" i="43"/>
  <c r="O267" i="43" s="1"/>
  <c r="L408" i="41"/>
  <c r="N251" i="43"/>
  <c r="O251" i="43" s="1"/>
  <c r="N260" i="41"/>
  <c r="O260" i="41" s="1"/>
  <c r="J246" i="41"/>
  <c r="K246" i="41" s="1"/>
  <c r="L246" i="41" s="1"/>
  <c r="J260" i="43"/>
  <c r="K260" i="43" s="1"/>
  <c r="L260" i="43" s="1"/>
  <c r="N246" i="43"/>
  <c r="O246" i="43" s="1"/>
  <c r="N255" i="41"/>
  <c r="O255" i="41" s="1"/>
  <c r="J261" i="42"/>
  <c r="K261" i="42" s="1"/>
  <c r="L261" i="42" s="1"/>
  <c r="N269" i="43"/>
  <c r="O269" i="43" s="1"/>
  <c r="L93" i="41"/>
  <c r="J268" i="43"/>
  <c r="K268" i="43" s="1"/>
  <c r="J263" i="42"/>
  <c r="K263" i="42" s="1"/>
  <c r="L263" i="42" s="1"/>
  <c r="N255" i="42"/>
  <c r="O255" i="42" s="1"/>
  <c r="N263" i="41"/>
  <c r="O263" i="41" s="1"/>
  <c r="J247" i="43"/>
  <c r="K247" i="43" s="1"/>
  <c r="J254" i="43"/>
  <c r="K254" i="43" s="1"/>
  <c r="L254" i="43" s="1"/>
  <c r="J265" i="42"/>
  <c r="K265" i="42" s="1"/>
  <c r="N266" i="43"/>
  <c r="O266" i="43" s="1"/>
  <c r="J261" i="41"/>
  <c r="K261" i="41" s="1"/>
  <c r="L261" i="41" s="1"/>
  <c r="J257" i="41"/>
  <c r="K257" i="41" s="1"/>
  <c r="L257" i="41" s="1"/>
  <c r="N257" i="41"/>
  <c r="O257" i="41" s="1"/>
  <c r="J182" i="42"/>
  <c r="F41" i="43"/>
  <c r="F65" i="43" s="1"/>
  <c r="C11" i="43"/>
  <c r="F17" i="43"/>
  <c r="V22" i="43" s="1"/>
  <c r="G22" i="43" s="1"/>
  <c r="J186" i="42"/>
  <c r="J107" i="43"/>
  <c r="N269" i="42"/>
  <c r="O269" i="42" s="1"/>
  <c r="A5" i="38"/>
  <c r="K156" i="42"/>
  <c r="K157" i="42" s="1"/>
  <c r="V127" i="32"/>
  <c r="K156" i="43"/>
  <c r="K157" i="43" s="1"/>
  <c r="K361" i="43"/>
  <c r="L361" i="43" s="1"/>
  <c r="L324" i="42"/>
  <c r="L381" i="43"/>
  <c r="J111" i="41"/>
  <c r="K377" i="43"/>
  <c r="L377" i="43" s="1"/>
  <c r="K342" i="43"/>
  <c r="L342" i="43" s="1"/>
  <c r="K212" i="42"/>
  <c r="K213" i="42" s="1"/>
  <c r="L299" i="43"/>
  <c r="K159" i="42"/>
  <c r="K160" i="42" s="1"/>
  <c r="K409" i="43"/>
  <c r="L409" i="43" s="1"/>
  <c r="K81" i="43"/>
  <c r="L81" i="43" s="1"/>
  <c r="H87" i="32"/>
  <c r="J87" i="32" s="1"/>
  <c r="J344" i="42"/>
  <c r="L397" i="42"/>
  <c r="K235" i="42"/>
  <c r="K236" i="42" s="1"/>
  <c r="K296" i="43"/>
  <c r="L296" i="43" s="1"/>
  <c r="L382" i="43"/>
  <c r="J111" i="43"/>
  <c r="L389" i="43"/>
  <c r="U376" i="32"/>
  <c r="L143" i="41"/>
  <c r="L399" i="42"/>
  <c r="K385" i="43"/>
  <c r="L385" i="43" s="1"/>
  <c r="L322" i="43"/>
  <c r="K328" i="43"/>
  <c r="L328" i="43" s="1"/>
  <c r="K142" i="43"/>
  <c r="L142" i="43" s="1"/>
  <c r="K301" i="43"/>
  <c r="L301" i="43" s="1"/>
  <c r="K150" i="43"/>
  <c r="K151" i="43" s="1"/>
  <c r="L125" i="43"/>
  <c r="U373" i="32"/>
  <c r="K292" i="41"/>
  <c r="L292" i="41" s="1"/>
  <c r="K312" i="42"/>
  <c r="L312" i="42" s="1"/>
  <c r="L89" i="42"/>
  <c r="L201" i="42"/>
  <c r="K85" i="43"/>
  <c r="L85" i="43" s="1"/>
  <c r="K313" i="43"/>
  <c r="L313" i="43" s="1"/>
  <c r="L110" i="43"/>
  <c r="K215" i="41"/>
  <c r="K216" i="41" s="1"/>
  <c r="L325" i="42"/>
  <c r="L85" i="42"/>
  <c r="K200" i="42"/>
  <c r="L200" i="42" s="1"/>
  <c r="L181" i="42"/>
  <c r="J410" i="43"/>
  <c r="K375" i="43"/>
  <c r="L375" i="43" s="1"/>
  <c r="K327" i="43"/>
  <c r="L327" i="43" s="1"/>
  <c r="K54" i="43"/>
  <c r="L54" i="43" s="1"/>
  <c r="K400" i="43"/>
  <c r="L400" i="43" s="1"/>
  <c r="K215" i="43"/>
  <c r="K216" i="43" s="1"/>
  <c r="L287" i="43"/>
  <c r="L24" i="43"/>
  <c r="K212" i="41"/>
  <c r="K213" i="41" s="1"/>
  <c r="K147" i="41"/>
  <c r="K148" i="41" s="1"/>
  <c r="K232" i="41"/>
  <c r="K233" i="41" s="1"/>
  <c r="L87" i="42"/>
  <c r="L340" i="42"/>
  <c r="L362" i="42"/>
  <c r="L133" i="42"/>
  <c r="L132" i="43"/>
  <c r="K201" i="43"/>
  <c r="L201" i="43" s="1"/>
  <c r="K303" i="43"/>
  <c r="L303" i="43" s="1"/>
  <c r="K319" i="43"/>
  <c r="L319" i="43" s="1"/>
  <c r="K153" i="43"/>
  <c r="K154" i="43" s="1"/>
  <c r="K387" i="43"/>
  <c r="L387" i="43" s="1"/>
  <c r="U371" i="32"/>
  <c r="L81" i="41"/>
  <c r="L121" i="42"/>
  <c r="K215" i="42"/>
  <c r="K216" i="42" s="1"/>
  <c r="L48" i="42"/>
  <c r="K297" i="43"/>
  <c r="L297" i="43" s="1"/>
  <c r="K266" i="43"/>
  <c r="L266" i="43" s="1"/>
  <c r="K406" i="43"/>
  <c r="K359" i="43"/>
  <c r="L359" i="43" s="1"/>
  <c r="K398" i="43"/>
  <c r="L398" i="43" s="1"/>
  <c r="K353" i="43"/>
  <c r="L353" i="43" s="1"/>
  <c r="K94" i="43"/>
  <c r="L94" i="43" s="1"/>
  <c r="L134" i="43"/>
  <c r="K407" i="41"/>
  <c r="L407" i="41" s="1"/>
  <c r="L366" i="42"/>
  <c r="L361" i="42"/>
  <c r="K89" i="43"/>
  <c r="L89" i="43" s="1"/>
  <c r="U127" i="32"/>
  <c r="L314" i="42"/>
  <c r="L305" i="42"/>
  <c r="L52" i="42"/>
  <c r="L390" i="43"/>
  <c r="K393" i="43"/>
  <c r="L393" i="43" s="1"/>
  <c r="L261" i="43"/>
  <c r="K159" i="43"/>
  <c r="K323" i="43"/>
  <c r="L323" i="43" s="1"/>
  <c r="L52" i="43"/>
  <c r="L126" i="43"/>
  <c r="U186" i="32"/>
  <c r="K355" i="42"/>
  <c r="L355" i="42" s="1"/>
  <c r="L320" i="42"/>
  <c r="L270" i="43"/>
  <c r="L133" i="43"/>
  <c r="L144" i="43"/>
  <c r="L184" i="43"/>
  <c r="L309" i="43"/>
  <c r="J350" i="43"/>
  <c r="L392" i="43"/>
  <c r="L128" i="43"/>
  <c r="F50" i="42"/>
  <c r="F51" i="42" s="1"/>
  <c r="F65" i="42"/>
  <c r="V50" i="42"/>
  <c r="G50" i="42" s="1"/>
  <c r="F67" i="42"/>
  <c r="F70" i="42" s="1"/>
  <c r="F46" i="42"/>
  <c r="F96" i="42"/>
  <c r="F91" i="42"/>
  <c r="V18" i="42"/>
  <c r="V20" i="42"/>
  <c r="G20" i="42" s="1"/>
  <c r="F32" i="42"/>
  <c r="V22" i="42"/>
  <c r="G22" i="42" s="1"/>
  <c r="F34" i="42"/>
  <c r="F22" i="42"/>
  <c r="L352" i="43"/>
  <c r="L365" i="43"/>
  <c r="L366" i="43"/>
  <c r="K295" i="43"/>
  <c r="L295" i="43" s="1"/>
  <c r="J129" i="43"/>
  <c r="L340" i="43"/>
  <c r="L318" i="43"/>
  <c r="K326" i="43"/>
  <c r="L326" i="43" s="1"/>
  <c r="L269" i="43"/>
  <c r="K141" i="43"/>
  <c r="K362" i="43"/>
  <c r="L362" i="43" s="1"/>
  <c r="N258" i="43"/>
  <c r="O258" i="43" s="1"/>
  <c r="J258" i="43"/>
  <c r="K258" i="43" s="1"/>
  <c r="L176" i="43"/>
  <c r="O109" i="43"/>
  <c r="O111" i="43" s="1"/>
  <c r="N111" i="43"/>
  <c r="N350" i="43"/>
  <c r="O346" i="43"/>
  <c r="O350" i="43" s="1"/>
  <c r="K250" i="43"/>
  <c r="L250" i="43" s="1"/>
  <c r="K235" i="43"/>
  <c r="K236" i="43" s="1"/>
  <c r="K105" i="43"/>
  <c r="J249" i="43"/>
  <c r="K249" i="43" s="1"/>
  <c r="L249" i="43" s="1"/>
  <c r="N249" i="43"/>
  <c r="O249" i="43" s="1"/>
  <c r="K93" i="43"/>
  <c r="L93" i="43" s="1"/>
  <c r="L312" i="43"/>
  <c r="L292" i="43"/>
  <c r="K84" i="43"/>
  <c r="L84" i="43" s="1"/>
  <c r="K88" i="43"/>
  <c r="L88" i="43" s="1"/>
  <c r="K304" i="43"/>
  <c r="L304" i="43" s="1"/>
  <c r="J245" i="43"/>
  <c r="N245" i="43"/>
  <c r="O245" i="43" s="1"/>
  <c r="O184" i="43"/>
  <c r="O79" i="43"/>
  <c r="K109" i="43"/>
  <c r="K111" i="43" s="1"/>
  <c r="L120" i="43"/>
  <c r="O105" i="43"/>
  <c r="O107" i="43" s="1"/>
  <c r="N107" i="43"/>
  <c r="O147" i="43"/>
  <c r="O148" i="43" s="1"/>
  <c r="N148" i="43"/>
  <c r="L300" i="43"/>
  <c r="N262" i="43"/>
  <c r="O262" i="43" s="1"/>
  <c r="J262" i="43"/>
  <c r="K262" i="43" s="1"/>
  <c r="L262" i="43" s="1"/>
  <c r="O180" i="43"/>
  <c r="O182" i="43" s="1"/>
  <c r="N182" i="43"/>
  <c r="R243" i="43"/>
  <c r="H243" i="43"/>
  <c r="N394" i="43"/>
  <c r="O381" i="43"/>
  <c r="O394" i="43" s="1"/>
  <c r="K350" i="43"/>
  <c r="N151" i="43"/>
  <c r="O150" i="43"/>
  <c r="O151" i="43" s="1"/>
  <c r="K368" i="43"/>
  <c r="L368" i="43" s="1"/>
  <c r="L293" i="43"/>
  <c r="K384" i="43"/>
  <c r="K200" i="43"/>
  <c r="L200" i="43" s="1"/>
  <c r="K356" i="43"/>
  <c r="L356" i="43" s="1"/>
  <c r="L343" i="43"/>
  <c r="K82" i="43"/>
  <c r="L82" i="43" s="1"/>
  <c r="K305" i="43"/>
  <c r="L305" i="43" s="1"/>
  <c r="N236" i="43"/>
  <c r="O235" i="43"/>
  <c r="O236" i="43" s="1"/>
  <c r="O159" i="43"/>
  <c r="O160" i="43" s="1"/>
  <c r="N160" i="43"/>
  <c r="N216" i="43"/>
  <c r="O215" i="43"/>
  <c r="O216" i="43" s="1"/>
  <c r="K355" i="43"/>
  <c r="K106" i="43"/>
  <c r="L106" i="43" s="1"/>
  <c r="O156" i="43"/>
  <c r="O157" i="43" s="1"/>
  <c r="N157" i="43"/>
  <c r="J394" i="43"/>
  <c r="O406" i="43"/>
  <c r="O410" i="43" s="1"/>
  <c r="N410" i="43"/>
  <c r="N233" i="43"/>
  <c r="O232" i="43"/>
  <c r="O233" i="43" s="1"/>
  <c r="K212" i="43"/>
  <c r="L317" i="43"/>
  <c r="N145" i="43"/>
  <c r="O139" i="43"/>
  <c r="O145" i="43" s="1"/>
  <c r="L79" i="43"/>
  <c r="L251" i="43"/>
  <c r="K98" i="43"/>
  <c r="L98" i="43" s="1"/>
  <c r="N401" i="43"/>
  <c r="O396" i="43"/>
  <c r="O401" i="43" s="1"/>
  <c r="J369" i="43"/>
  <c r="K129" i="43"/>
  <c r="L325" i="43"/>
  <c r="J145" i="43"/>
  <c r="L291" i="43"/>
  <c r="N264" i="43"/>
  <c r="O264" i="43" s="1"/>
  <c r="J264" i="43"/>
  <c r="K264" i="43" s="1"/>
  <c r="K302" i="43"/>
  <c r="L302" i="43" s="1"/>
  <c r="K294" i="43"/>
  <c r="L294" i="43" s="1"/>
  <c r="J253" i="43"/>
  <c r="K253" i="43" s="1"/>
  <c r="L253" i="43" s="1"/>
  <c r="N253" i="43"/>
  <c r="O253" i="43" s="1"/>
  <c r="O284" i="43"/>
  <c r="O124" i="43"/>
  <c r="O129" i="43" s="1"/>
  <c r="N129" i="43"/>
  <c r="N344" i="43"/>
  <c r="O338" i="43"/>
  <c r="O344" i="43" s="1"/>
  <c r="N154" i="43"/>
  <c r="O153" i="43"/>
  <c r="O154" i="43" s="1"/>
  <c r="R255" i="43"/>
  <c r="H255" i="43"/>
  <c r="J401" i="43"/>
  <c r="J185" i="43"/>
  <c r="J186" i="43" s="1"/>
  <c r="N185" i="43"/>
  <c r="O185" i="43" s="1"/>
  <c r="J182" i="43"/>
  <c r="N369" i="43"/>
  <c r="O365" i="43"/>
  <c r="O369" i="43" s="1"/>
  <c r="L284" i="43"/>
  <c r="J344" i="43"/>
  <c r="K232" i="43"/>
  <c r="K233" i="43" s="1"/>
  <c r="N213" i="43"/>
  <c r="O212" i="43"/>
  <c r="O213" i="43" s="1"/>
  <c r="H186" i="43"/>
  <c r="L139" i="43"/>
  <c r="L346" i="43"/>
  <c r="L350" i="43" s="1"/>
  <c r="O352" i="43"/>
  <c r="K147" i="43"/>
  <c r="K148" i="43" s="1"/>
  <c r="K396" i="43"/>
  <c r="K180" i="43"/>
  <c r="K182" i="43" s="1"/>
  <c r="O79" i="42"/>
  <c r="K338" i="42"/>
  <c r="K344" i="42" s="1"/>
  <c r="L356" i="42"/>
  <c r="N253" i="42"/>
  <c r="O253" i="42" s="1"/>
  <c r="J253" i="42"/>
  <c r="L176" i="42"/>
  <c r="L54" i="42"/>
  <c r="L348" i="42"/>
  <c r="L359" i="42"/>
  <c r="L300" i="42"/>
  <c r="K232" i="42"/>
  <c r="O346" i="42"/>
  <c r="O350" i="42" s="1"/>
  <c r="N350" i="42"/>
  <c r="L296" i="42"/>
  <c r="N394" i="42"/>
  <c r="O381" i="42"/>
  <c r="O394" i="42" s="1"/>
  <c r="L388" i="42"/>
  <c r="K318" i="42"/>
  <c r="L318" i="42" s="1"/>
  <c r="N271" i="42"/>
  <c r="O271" i="42" s="1"/>
  <c r="J271" i="42"/>
  <c r="K271" i="42" s="1"/>
  <c r="L271" i="42" s="1"/>
  <c r="N145" i="42"/>
  <c r="O139" i="42"/>
  <c r="O145" i="42" s="1"/>
  <c r="L140" i="42"/>
  <c r="L368" i="42"/>
  <c r="L269" i="42"/>
  <c r="N401" i="42"/>
  <c r="O396" i="42"/>
  <c r="O401" i="42" s="1"/>
  <c r="L287" i="42"/>
  <c r="N262" i="42"/>
  <c r="O262" i="42" s="1"/>
  <c r="J262" i="42"/>
  <c r="L250" i="42"/>
  <c r="L88" i="42"/>
  <c r="F122" i="42"/>
  <c r="K177" i="42"/>
  <c r="L177" i="42" s="1"/>
  <c r="K367" i="42"/>
  <c r="L367" i="42" s="1"/>
  <c r="N270" i="42"/>
  <c r="O270" i="42" s="1"/>
  <c r="J270" i="42"/>
  <c r="K270" i="42" s="1"/>
  <c r="L270" i="42" s="1"/>
  <c r="N160" i="42"/>
  <c r="O159" i="42"/>
  <c r="O160" i="42" s="1"/>
  <c r="R249" i="42"/>
  <c r="H249" i="42"/>
  <c r="K291" i="42"/>
  <c r="L291" i="42" s="1"/>
  <c r="K295" i="42"/>
  <c r="L295" i="42" s="1"/>
  <c r="N243" i="42"/>
  <c r="O243" i="42" s="1"/>
  <c r="J243" i="42"/>
  <c r="K243" i="42" s="1"/>
  <c r="N213" i="42"/>
  <c r="O212" i="42"/>
  <c r="O213" i="42" s="1"/>
  <c r="J245" i="42"/>
  <c r="N245" i="42"/>
  <c r="O245" i="42" s="1"/>
  <c r="K126" i="42"/>
  <c r="L126" i="42" s="1"/>
  <c r="L284" i="42"/>
  <c r="J394" i="42"/>
  <c r="K326" i="42"/>
  <c r="L326" i="42" s="1"/>
  <c r="K301" i="42"/>
  <c r="L301" i="42" s="1"/>
  <c r="K153" i="42"/>
  <c r="K154" i="42" s="1"/>
  <c r="L94" i="42"/>
  <c r="O147" i="42"/>
  <c r="O148" i="42" s="1"/>
  <c r="N148" i="42"/>
  <c r="K58" i="42"/>
  <c r="L58" i="42" s="1"/>
  <c r="K127" i="42"/>
  <c r="N111" i="42"/>
  <c r="O109" i="42"/>
  <c r="O111" i="42" s="1"/>
  <c r="J401" i="42"/>
  <c r="K256" i="42"/>
  <c r="L256" i="42" s="1"/>
  <c r="O105" i="42"/>
  <c r="F172" i="42"/>
  <c r="N248" i="42"/>
  <c r="O248" i="42" s="1"/>
  <c r="J248" i="42"/>
  <c r="J369" i="42"/>
  <c r="J246" i="42"/>
  <c r="K246" i="42" s="1"/>
  <c r="L246" i="42" s="1"/>
  <c r="N246" i="42"/>
  <c r="O246" i="42" s="1"/>
  <c r="L385" i="42"/>
  <c r="K132" i="42"/>
  <c r="L132" i="42" s="1"/>
  <c r="K128" i="42"/>
  <c r="L128" i="42" s="1"/>
  <c r="L409" i="42"/>
  <c r="K381" i="42"/>
  <c r="K394" i="42" s="1"/>
  <c r="N129" i="42"/>
  <c r="O124" i="42"/>
  <c r="O129" i="42" s="1"/>
  <c r="K142" i="42"/>
  <c r="L142" i="42" s="1"/>
  <c r="O180" i="42"/>
  <c r="O182" i="42" s="1"/>
  <c r="N182" i="42"/>
  <c r="L322" i="42"/>
  <c r="K292" i="42"/>
  <c r="L292" i="42" s="1"/>
  <c r="K299" i="42"/>
  <c r="L299" i="42" s="1"/>
  <c r="N267" i="42"/>
  <c r="O267" i="42" s="1"/>
  <c r="J267" i="42"/>
  <c r="K147" i="42"/>
  <c r="K148" i="42" s="1"/>
  <c r="L391" i="42"/>
  <c r="K311" i="42"/>
  <c r="L311" i="42" s="1"/>
  <c r="N106" i="42"/>
  <c r="O106" i="42" s="1"/>
  <c r="J106" i="42"/>
  <c r="K365" i="42"/>
  <c r="J264" i="42"/>
  <c r="N264" i="42"/>
  <c r="O264" i="42" s="1"/>
  <c r="K144" i="42"/>
  <c r="L144" i="42" s="1"/>
  <c r="J410" i="42"/>
  <c r="N151" i="42"/>
  <c r="O150" i="42"/>
  <c r="O151" i="42" s="1"/>
  <c r="L408" i="42"/>
  <c r="N154" i="42"/>
  <c r="O153" i="42"/>
  <c r="O154" i="42" s="1"/>
  <c r="J129" i="42"/>
  <c r="J145" i="42"/>
  <c r="O352" i="42"/>
  <c r="J111" i="42"/>
  <c r="K105" i="42"/>
  <c r="N369" i="42"/>
  <c r="O365" i="42"/>
  <c r="O369" i="42" s="1"/>
  <c r="N244" i="42"/>
  <c r="O244" i="42" s="1"/>
  <c r="J244" i="42"/>
  <c r="N268" i="42"/>
  <c r="O268" i="42" s="1"/>
  <c r="J268" i="42"/>
  <c r="K268" i="42" s="1"/>
  <c r="L268" i="42" s="1"/>
  <c r="O232" i="42"/>
  <c r="O233" i="42" s="1"/>
  <c r="N233" i="42"/>
  <c r="K350" i="42"/>
  <c r="F115" i="42"/>
  <c r="K111" i="42"/>
  <c r="N260" i="42"/>
  <c r="O260" i="42" s="1"/>
  <c r="J260" i="42"/>
  <c r="N251" i="42"/>
  <c r="O251" i="42" s="1"/>
  <c r="J251" i="42"/>
  <c r="K251" i="42" s="1"/>
  <c r="L251" i="42" s="1"/>
  <c r="N344" i="42"/>
  <c r="O338" i="42"/>
  <c r="O344" i="42" s="1"/>
  <c r="K307" i="42"/>
  <c r="L307" i="42" s="1"/>
  <c r="K255" i="42"/>
  <c r="L255" i="42" s="1"/>
  <c r="R266" i="42"/>
  <c r="H266" i="42"/>
  <c r="K317" i="42"/>
  <c r="L317" i="42" s="1"/>
  <c r="N252" i="42"/>
  <c r="O252" i="42" s="1"/>
  <c r="J252" i="42"/>
  <c r="K252" i="42" s="1"/>
  <c r="L252" i="42" s="1"/>
  <c r="O156" i="42"/>
  <c r="O157" i="42" s="1"/>
  <c r="N157" i="42"/>
  <c r="K134" i="42"/>
  <c r="L134" i="42" s="1"/>
  <c r="R259" i="42"/>
  <c r="H259" i="42"/>
  <c r="K410" i="42"/>
  <c r="N236" i="42"/>
  <c r="O235" i="42"/>
  <c r="O236" i="42" s="1"/>
  <c r="L79" i="42"/>
  <c r="L120" i="42"/>
  <c r="L346" i="42"/>
  <c r="K82" i="42"/>
  <c r="L82" i="42" s="1"/>
  <c r="K285" i="42"/>
  <c r="L285" i="42" s="1"/>
  <c r="K180" i="42"/>
  <c r="K182" i="42" s="1"/>
  <c r="K400" i="42"/>
  <c r="L400" i="42" s="1"/>
  <c r="K184" i="42"/>
  <c r="N216" i="42"/>
  <c r="O215" i="42"/>
  <c r="O216" i="42" s="1"/>
  <c r="L139" i="42"/>
  <c r="K135" i="42"/>
  <c r="L135" i="42" s="1"/>
  <c r="L109" i="42"/>
  <c r="L111" i="42" s="1"/>
  <c r="F216" i="42"/>
  <c r="J254" i="42"/>
  <c r="N254" i="42"/>
  <c r="O254" i="42" s="1"/>
  <c r="O406" i="42"/>
  <c r="O410" i="42" s="1"/>
  <c r="N410" i="42"/>
  <c r="K150" i="42"/>
  <c r="K151" i="42" s="1"/>
  <c r="J350" i="42"/>
  <c r="O284" i="42"/>
  <c r="J257" i="42"/>
  <c r="K257" i="42" s="1"/>
  <c r="L257" i="42" s="1"/>
  <c r="N257" i="42"/>
  <c r="O257" i="42" s="1"/>
  <c r="O184" i="42"/>
  <c r="O186" i="42" s="1"/>
  <c r="N186" i="42"/>
  <c r="K396" i="42"/>
  <c r="J258" i="42"/>
  <c r="K258" i="42" s="1"/>
  <c r="L258" i="42" s="1"/>
  <c r="N258" i="42"/>
  <c r="O258" i="42" s="1"/>
  <c r="K409" i="41"/>
  <c r="L409" i="41" s="1"/>
  <c r="L88" i="41"/>
  <c r="L392" i="41"/>
  <c r="K321" i="41"/>
  <c r="L321" i="41" s="1"/>
  <c r="L399" i="41"/>
  <c r="K126" i="41"/>
  <c r="L126" i="41" s="1"/>
  <c r="K296" i="41"/>
  <c r="L296" i="41" s="1"/>
  <c r="K328" i="41"/>
  <c r="L328" i="41" s="1"/>
  <c r="L320" i="41"/>
  <c r="K142" i="41"/>
  <c r="L142" i="41" s="1"/>
  <c r="L357" i="41"/>
  <c r="K316" i="41"/>
  <c r="L316" i="41" s="1"/>
  <c r="K141" i="41"/>
  <c r="L141" i="41" s="1"/>
  <c r="L263" i="41"/>
  <c r="K153" i="41"/>
  <c r="K154" i="41" s="1"/>
  <c r="K325" i="41"/>
  <c r="L325" i="41" s="1"/>
  <c r="L176" i="41"/>
  <c r="L361" i="41"/>
  <c r="K377" i="41"/>
  <c r="L377" i="41" s="1"/>
  <c r="J401" i="41"/>
  <c r="L384" i="41"/>
  <c r="K150" i="41"/>
  <c r="K151" i="41" s="1"/>
  <c r="V18" i="41"/>
  <c r="G18" i="41" s="1"/>
  <c r="D58" i="26"/>
  <c r="F17" i="32"/>
  <c r="F32" i="32" s="1"/>
  <c r="H32" i="32" s="1"/>
  <c r="G51" i="41"/>
  <c r="H51" i="41" s="1"/>
  <c r="N51" i="41" s="1"/>
  <c r="O51" i="41" s="1"/>
  <c r="H50" i="41"/>
  <c r="O284" i="41"/>
  <c r="K285" i="41"/>
  <c r="L285" i="41" s="1"/>
  <c r="K396" i="41"/>
  <c r="K401" i="41" s="1"/>
  <c r="L313" i="41"/>
  <c r="L314" i="41"/>
  <c r="O150" i="41"/>
  <c r="O151" i="41" s="1"/>
  <c r="N151" i="41"/>
  <c r="L94" i="41"/>
  <c r="K349" i="41"/>
  <c r="L349" i="41" s="1"/>
  <c r="K347" i="41"/>
  <c r="L347" i="41" s="1"/>
  <c r="J252" i="41"/>
  <c r="K252" i="41" s="1"/>
  <c r="L252" i="41" s="1"/>
  <c r="N252" i="41"/>
  <c r="O252" i="41" s="1"/>
  <c r="K340" i="41"/>
  <c r="L340" i="41" s="1"/>
  <c r="J269" i="41"/>
  <c r="K269" i="41" s="1"/>
  <c r="L269" i="41" s="1"/>
  <c r="N269" i="41"/>
  <c r="O269" i="41" s="1"/>
  <c r="L248" i="41"/>
  <c r="K89" i="41"/>
  <c r="L89" i="41" s="1"/>
  <c r="O147" i="41"/>
  <c r="O148" i="41" s="1"/>
  <c r="N148" i="41"/>
  <c r="L400" i="41"/>
  <c r="K360" i="41"/>
  <c r="L360" i="41" s="1"/>
  <c r="K294" i="41"/>
  <c r="L294" i="41" s="1"/>
  <c r="N233" i="41"/>
  <c r="O232" i="41"/>
  <c r="O233" i="41" s="1"/>
  <c r="J145" i="41"/>
  <c r="L365" i="41"/>
  <c r="L84" i="41"/>
  <c r="L260" i="41"/>
  <c r="O156" i="41"/>
  <c r="O157" i="41" s="1"/>
  <c r="N157" i="41"/>
  <c r="K353" i="41"/>
  <c r="L287" i="41"/>
  <c r="N253" i="41"/>
  <c r="O253" i="41" s="1"/>
  <c r="J253" i="41"/>
  <c r="K253" i="41" s="1"/>
  <c r="L127" i="41"/>
  <c r="K318" i="41"/>
  <c r="L318" i="41" s="1"/>
  <c r="J344" i="41"/>
  <c r="K309" i="41"/>
  <c r="L309" i="41" s="1"/>
  <c r="K159" i="41"/>
  <c r="K291" i="41"/>
  <c r="L291" i="41" s="1"/>
  <c r="K235" i="41"/>
  <c r="K236" i="41" s="1"/>
  <c r="L184" i="41"/>
  <c r="N271" i="41"/>
  <c r="O271" i="41" s="1"/>
  <c r="J271" i="41"/>
  <c r="L367" i="41"/>
  <c r="L341" i="41"/>
  <c r="K366" i="41"/>
  <c r="K369" i="41" s="1"/>
  <c r="L323" i="41"/>
  <c r="K362" i="41"/>
  <c r="L362" i="41" s="1"/>
  <c r="O109" i="41"/>
  <c r="O111" i="41" s="1"/>
  <c r="N111" i="41"/>
  <c r="O365" i="41"/>
  <c r="O369" i="41" s="1"/>
  <c r="N369" i="41"/>
  <c r="K156" i="41"/>
  <c r="K157" i="41" s="1"/>
  <c r="J251" i="41"/>
  <c r="K251" i="41" s="1"/>
  <c r="N251" i="41"/>
  <c r="O251" i="41" s="1"/>
  <c r="J129" i="41"/>
  <c r="N160" i="41"/>
  <c r="O159" i="41"/>
  <c r="O160" i="41" s="1"/>
  <c r="O184" i="41"/>
  <c r="K301" i="41"/>
  <c r="L301" i="41" s="1"/>
  <c r="N254" i="41"/>
  <c r="O254" i="41" s="1"/>
  <c r="J254" i="41"/>
  <c r="K254" i="41" s="1"/>
  <c r="N213" i="41"/>
  <c r="O212" i="41"/>
  <c r="O213" i="41" s="1"/>
  <c r="N268" i="41"/>
  <c r="O268" i="41" s="1"/>
  <c r="J268" i="41"/>
  <c r="K268" i="41" s="1"/>
  <c r="L268" i="41" s="1"/>
  <c r="J177" i="41"/>
  <c r="K177" i="41" s="1"/>
  <c r="N177" i="41"/>
  <c r="O177" i="41" s="1"/>
  <c r="R243" i="41"/>
  <c r="H243" i="41"/>
  <c r="O346" i="41"/>
  <c r="O350" i="41" s="1"/>
  <c r="N350" i="41"/>
  <c r="N394" i="41"/>
  <c r="O381" i="41"/>
  <c r="O394" i="41" s="1"/>
  <c r="O352" i="41"/>
  <c r="K140" i="41"/>
  <c r="L140" i="41" s="1"/>
  <c r="K343" i="41"/>
  <c r="L343" i="41" s="1"/>
  <c r="K304" i="41"/>
  <c r="L304" i="41" s="1"/>
  <c r="K58" i="41"/>
  <c r="L58" i="41" s="1"/>
  <c r="N145" i="41"/>
  <c r="O139" i="41"/>
  <c r="O145" i="41" s="1"/>
  <c r="K105" i="41"/>
  <c r="L105" i="41" s="1"/>
  <c r="L390" i="41"/>
  <c r="N154" i="41"/>
  <c r="O153" i="41"/>
  <c r="O154" i="41" s="1"/>
  <c r="J185" i="41"/>
  <c r="J186" i="41" s="1"/>
  <c r="N185" i="41"/>
  <c r="O185" i="41" s="1"/>
  <c r="K98" i="41"/>
  <c r="L98" i="41" s="1"/>
  <c r="L382" i="41"/>
  <c r="J410" i="41"/>
  <c r="N344" i="41"/>
  <c r="O338" i="41"/>
  <c r="O344" i="41" s="1"/>
  <c r="N216" i="41"/>
  <c r="O215" i="41"/>
  <c r="O216" i="41" s="1"/>
  <c r="K121" i="41"/>
  <c r="L121" i="41" s="1"/>
  <c r="K125" i="41"/>
  <c r="L125" i="41" s="1"/>
  <c r="N270" i="41"/>
  <c r="O270" i="41" s="1"/>
  <c r="J270" i="41"/>
  <c r="J182" i="41"/>
  <c r="K109" i="41"/>
  <c r="J369" i="41"/>
  <c r="O79" i="41"/>
  <c r="K284" i="41"/>
  <c r="L352" i="41"/>
  <c r="K258" i="41"/>
  <c r="L258" i="41" s="1"/>
  <c r="K144" i="41"/>
  <c r="L144" i="41" s="1"/>
  <c r="J267" i="41"/>
  <c r="K267" i="41" s="1"/>
  <c r="L267" i="41" s="1"/>
  <c r="N267" i="41"/>
  <c r="O267" i="41" s="1"/>
  <c r="J350" i="41"/>
  <c r="K311" i="41"/>
  <c r="L311" i="41" s="1"/>
  <c r="J259" i="41"/>
  <c r="N259" i="41"/>
  <c r="O259" i="41" s="1"/>
  <c r="N401" i="41"/>
  <c r="O396" i="41"/>
  <c r="O401" i="41" s="1"/>
  <c r="K356" i="41"/>
  <c r="L356" i="41" s="1"/>
  <c r="K250" i="41"/>
  <c r="L250" i="41" s="1"/>
  <c r="L124" i="41"/>
  <c r="K181" i="41"/>
  <c r="L181" i="41" s="1"/>
  <c r="K385" i="41"/>
  <c r="L385" i="41" s="1"/>
  <c r="N244" i="41"/>
  <c r="O244" i="41" s="1"/>
  <c r="J244" i="41"/>
  <c r="K244" i="41" s="1"/>
  <c r="L244" i="41" s="1"/>
  <c r="K110" i="41"/>
  <c r="L110" i="41" s="1"/>
  <c r="K180" i="41"/>
  <c r="J265" i="41"/>
  <c r="N265" i="41"/>
  <c r="O265" i="41" s="1"/>
  <c r="O406" i="41"/>
  <c r="O410" i="41" s="1"/>
  <c r="N410" i="41"/>
  <c r="L381" i="41"/>
  <c r="N262" i="41"/>
  <c r="O262" i="41" s="1"/>
  <c r="J262" i="41"/>
  <c r="K262" i="41" s="1"/>
  <c r="L262" i="41" s="1"/>
  <c r="O105" i="41"/>
  <c r="J394" i="41"/>
  <c r="K79" i="41"/>
  <c r="L346" i="41"/>
  <c r="J264" i="41"/>
  <c r="K264" i="41" s="1"/>
  <c r="N264" i="41"/>
  <c r="O264" i="41" s="1"/>
  <c r="N129" i="41"/>
  <c r="O124" i="41"/>
  <c r="O129" i="41" s="1"/>
  <c r="K406" i="41"/>
  <c r="J249" i="41"/>
  <c r="K249" i="41" s="1"/>
  <c r="L249" i="41" s="1"/>
  <c r="N249" i="41"/>
  <c r="O249" i="41" s="1"/>
  <c r="J106" i="41"/>
  <c r="J107" i="41" s="1"/>
  <c r="N106" i="41"/>
  <c r="O106" i="41" s="1"/>
  <c r="N236" i="41"/>
  <c r="O235" i="41"/>
  <c r="O236" i="41" s="1"/>
  <c r="H186" i="41"/>
  <c r="O180" i="41"/>
  <c r="O182" i="41" s="1"/>
  <c r="N182" i="41"/>
  <c r="T187" i="32"/>
  <c r="U198" i="32" s="1"/>
  <c r="V198" i="32" s="1"/>
  <c r="G198" i="32" s="1"/>
  <c r="G199" i="32" s="1"/>
  <c r="F126" i="32"/>
  <c r="H126" i="32" s="1"/>
  <c r="F107" i="32"/>
  <c r="U335" i="32"/>
  <c r="U333" i="32"/>
  <c r="U331" i="32"/>
  <c r="S110" i="32"/>
  <c r="F110" i="32" s="1"/>
  <c r="H110" i="32" s="1"/>
  <c r="G124" i="32"/>
  <c r="H124" i="32" s="1"/>
  <c r="S271" i="32"/>
  <c r="F271" i="32" s="1"/>
  <c r="V271" i="32" s="1"/>
  <c r="G271" i="32" s="1"/>
  <c r="R271" i="32" s="1"/>
  <c r="U271" i="32"/>
  <c r="F244" i="32"/>
  <c r="V244" i="32" s="1"/>
  <c r="G244" i="32" s="1"/>
  <c r="R244" i="32" s="1"/>
  <c r="F245" i="32"/>
  <c r="V245" i="32" s="1"/>
  <c r="G245" i="32" s="1"/>
  <c r="R245" i="32" s="1"/>
  <c r="F249" i="32"/>
  <c r="V249" i="32" s="1"/>
  <c r="G249" i="32" s="1"/>
  <c r="R249" i="32" s="1"/>
  <c r="F254" i="32"/>
  <c r="V254" i="32" s="1"/>
  <c r="G254" i="32" s="1"/>
  <c r="R254" i="32" s="1"/>
  <c r="U340" i="32"/>
  <c r="U339" i="32"/>
  <c r="U342" i="32"/>
  <c r="C19" i="32"/>
  <c r="F259" i="32"/>
  <c r="V259" i="32" s="1"/>
  <c r="G259" i="32" s="1"/>
  <c r="R259" i="32" s="1"/>
  <c r="U270" i="32"/>
  <c r="S270" i="32"/>
  <c r="F270" i="32" s="1"/>
  <c r="V270" i="32" s="1"/>
  <c r="G270" i="32" s="1"/>
  <c r="R270" i="32" s="1"/>
  <c r="U332" i="32"/>
  <c r="U372" i="32"/>
  <c r="C21" i="32"/>
  <c r="C23" i="32"/>
  <c r="H24" i="32"/>
  <c r="C30" i="32"/>
  <c r="H48" i="32"/>
  <c r="F50" i="32"/>
  <c r="F51" i="32" s="1"/>
  <c r="C56" i="32"/>
  <c r="H76" i="32"/>
  <c r="F77" i="32"/>
  <c r="M80" i="32"/>
  <c r="M82" i="32"/>
  <c r="M83" i="32"/>
  <c r="H86" i="32"/>
  <c r="M87" i="32"/>
  <c r="U119" i="32"/>
  <c r="V119" i="32" s="1"/>
  <c r="G119" i="32" s="1"/>
  <c r="U118" i="32"/>
  <c r="V118" i="32" s="1"/>
  <c r="G118" i="32" s="1"/>
  <c r="U117" i="32"/>
  <c r="C33" i="32"/>
  <c r="C58" i="32"/>
  <c r="H58" i="32"/>
  <c r="C63" i="32"/>
  <c r="M79" i="32"/>
  <c r="H82" i="32"/>
  <c r="M84" i="32"/>
  <c r="M88" i="32"/>
  <c r="U162" i="32"/>
  <c r="U164" i="32"/>
  <c r="H406" i="32"/>
  <c r="H399" i="32"/>
  <c r="H391" i="32"/>
  <c r="H387" i="32"/>
  <c r="H383" i="32"/>
  <c r="H368" i="32"/>
  <c r="H409" i="32"/>
  <c r="H398" i="32"/>
  <c r="H390" i="32"/>
  <c r="H386" i="32"/>
  <c r="H382" i="32"/>
  <c r="H388" i="32"/>
  <c r="H367" i="32"/>
  <c r="H365" i="32"/>
  <c r="H407" i="32"/>
  <c r="H396" i="32"/>
  <c r="H389" i="32"/>
  <c r="H381" i="32"/>
  <c r="H377" i="32"/>
  <c r="H362" i="32"/>
  <c r="H361" i="32"/>
  <c r="H360" i="32"/>
  <c r="H359" i="32"/>
  <c r="H358" i="32"/>
  <c r="H357" i="32"/>
  <c r="H356" i="32"/>
  <c r="H355" i="32"/>
  <c r="H408" i="32"/>
  <c r="H397" i="32"/>
  <c r="H392" i="32"/>
  <c r="H384" i="32"/>
  <c r="H375" i="32"/>
  <c r="H400" i="32"/>
  <c r="H385" i="32"/>
  <c r="H353" i="32"/>
  <c r="H347" i="32"/>
  <c r="H341" i="32"/>
  <c r="H327" i="32"/>
  <c r="H323" i="32"/>
  <c r="H319" i="32"/>
  <c r="H315" i="32"/>
  <c r="H311" i="32"/>
  <c r="H304" i="32"/>
  <c r="H300" i="32"/>
  <c r="H393" i="32"/>
  <c r="H349" i="32"/>
  <c r="H342" i="32"/>
  <c r="H338" i="32"/>
  <c r="H326" i="32"/>
  <c r="H322" i="32"/>
  <c r="H318" i="32"/>
  <c r="H314" i="32"/>
  <c r="H352" i="32"/>
  <c r="H346" i="32"/>
  <c r="H343" i="32"/>
  <c r="H339" i="32"/>
  <c r="H325" i="32"/>
  <c r="H321" i="32"/>
  <c r="H317" i="32"/>
  <c r="H313" i="32"/>
  <c r="H309" i="32"/>
  <c r="H348" i="32"/>
  <c r="H328" i="32"/>
  <c r="H312" i="32"/>
  <c r="H305" i="32"/>
  <c r="H303" i="32"/>
  <c r="H301" i="32"/>
  <c r="H294" i="32"/>
  <c r="H287" i="32"/>
  <c r="H316" i="32"/>
  <c r="H297" i="32"/>
  <c r="H293" i="32"/>
  <c r="H286" i="32"/>
  <c r="H320" i="32"/>
  <c r="H302" i="32"/>
  <c r="H299" i="32"/>
  <c r="H296" i="32"/>
  <c r="H292" i="32"/>
  <c r="H289" i="32"/>
  <c r="H366" i="32"/>
  <c r="H340" i="32"/>
  <c r="H324" i="32"/>
  <c r="H307" i="32"/>
  <c r="H295" i="32"/>
  <c r="H291" i="32"/>
  <c r="H250" i="32"/>
  <c r="H232" i="32"/>
  <c r="H288" i="32"/>
  <c r="H284" i="32"/>
  <c r="H285" i="32"/>
  <c r="H256" i="32"/>
  <c r="H235" i="32"/>
  <c r="H215" i="32"/>
  <c r="H190" i="32"/>
  <c r="H200" i="32"/>
  <c r="H212" i="32"/>
  <c r="H136" i="32"/>
  <c r="H135" i="32"/>
  <c r="H134" i="32"/>
  <c r="H133" i="32"/>
  <c r="H132" i="32"/>
  <c r="H131" i="32"/>
  <c r="H127" i="32"/>
  <c r="H113" i="32"/>
  <c r="H156" i="32"/>
  <c r="H150" i="32"/>
  <c r="H128" i="32"/>
  <c r="H98" i="32"/>
  <c r="H94" i="32"/>
  <c r="H93" i="32"/>
  <c r="H147" i="32"/>
  <c r="H120" i="32"/>
  <c r="H109" i="32"/>
  <c r="H105" i="32"/>
  <c r="H159" i="32"/>
  <c r="H153" i="32"/>
  <c r="H144" i="32"/>
  <c r="H143" i="32"/>
  <c r="H142" i="32"/>
  <c r="H141" i="32"/>
  <c r="H140" i="32"/>
  <c r="H139" i="32"/>
  <c r="H121" i="32"/>
  <c r="H26" i="32"/>
  <c r="V50" i="32"/>
  <c r="G50" i="32" s="1"/>
  <c r="G51" i="32" s="1"/>
  <c r="H57" i="32"/>
  <c r="G59" i="32"/>
  <c r="G60" i="32" s="1"/>
  <c r="H79" i="32"/>
  <c r="M81" i="32"/>
  <c r="H84" i="32"/>
  <c r="M85" i="32"/>
  <c r="H88" i="32"/>
  <c r="C209" i="32"/>
  <c r="C205" i="32"/>
  <c r="C195" i="32"/>
  <c r="C181" i="32"/>
  <c r="F201" i="32"/>
  <c r="H201" i="32" s="1"/>
  <c r="C197" i="32"/>
  <c r="C185" i="32"/>
  <c r="C199" i="32"/>
  <c r="C191" i="32"/>
  <c r="C169" i="32"/>
  <c r="C201" i="32"/>
  <c r="C193" i="32"/>
  <c r="C189" i="32"/>
  <c r="C177" i="32"/>
  <c r="C175" i="32"/>
  <c r="C171" i="32"/>
  <c r="C163" i="32"/>
  <c r="C106" i="32"/>
  <c r="C102" i="32"/>
  <c r="C165" i="32"/>
  <c r="C114" i="32"/>
  <c r="C110" i="32"/>
  <c r="C25" i="32"/>
  <c r="C43" i="32"/>
  <c r="C45" i="32"/>
  <c r="C47" i="32"/>
  <c r="C49" i="32"/>
  <c r="C51" i="32"/>
  <c r="H52" i="32"/>
  <c r="H54" i="32"/>
  <c r="C66" i="32"/>
  <c r="H74" i="32"/>
  <c r="H81" i="32"/>
  <c r="H85" i="32"/>
  <c r="M86" i="32"/>
  <c r="H89" i="32"/>
  <c r="F106" i="32"/>
  <c r="H106" i="32" s="1"/>
  <c r="M91" i="32"/>
  <c r="M96" i="32"/>
  <c r="F191" i="32"/>
  <c r="H191" i="32" s="1"/>
  <c r="S114" i="32"/>
  <c r="F114" i="32" s="1"/>
  <c r="H114" i="32" s="1"/>
  <c r="M92" i="32"/>
  <c r="M93" i="32"/>
  <c r="M97" i="32"/>
  <c r="U168" i="32"/>
  <c r="U170" i="32"/>
  <c r="F125" i="32"/>
  <c r="H125" i="32" s="1"/>
  <c r="F175" i="32"/>
  <c r="F177" i="32"/>
  <c r="H177" i="32" s="1"/>
  <c r="F181" i="32"/>
  <c r="H181" i="32" s="1"/>
  <c r="F185" i="32"/>
  <c r="H185" i="32" s="1"/>
  <c r="U229" i="32"/>
  <c r="U228" i="32"/>
  <c r="M270" i="32"/>
  <c r="M267" i="32"/>
  <c r="M263" i="32"/>
  <c r="M259" i="32"/>
  <c r="M254" i="32"/>
  <c r="M250" i="32"/>
  <c r="M249" i="32"/>
  <c r="M245" i="32"/>
  <c r="M266" i="32"/>
  <c r="M262" i="32"/>
  <c r="M258" i="32"/>
  <c r="M253" i="32"/>
  <c r="M248" i="32"/>
  <c r="M244" i="32"/>
  <c r="M271" i="32"/>
  <c r="M269" i="32"/>
  <c r="M265" i="32"/>
  <c r="M261" i="32"/>
  <c r="M257" i="32"/>
  <c r="M252" i="32"/>
  <c r="M268" i="32"/>
  <c r="M264" i="32"/>
  <c r="M260" i="32"/>
  <c r="M256" i="32"/>
  <c r="M255" i="32"/>
  <c r="M251" i="32"/>
  <c r="M246" i="32"/>
  <c r="M242" i="32"/>
  <c r="M243" i="32"/>
  <c r="V184" i="32"/>
  <c r="G184" i="32" s="1"/>
  <c r="H184" i="32" s="1"/>
  <c r="G204" i="32"/>
  <c r="G205" i="32" s="1"/>
  <c r="U218" i="32"/>
  <c r="U220" i="32" s="1"/>
  <c r="V180" i="32"/>
  <c r="G180" i="32" s="1"/>
  <c r="H180" i="32" s="1"/>
  <c r="F186" i="32"/>
  <c r="V176" i="32"/>
  <c r="G176" i="32" s="1"/>
  <c r="H176" i="32" s="1"/>
  <c r="M247" i="32"/>
  <c r="F248" i="32"/>
  <c r="V248" i="32" s="1"/>
  <c r="G248" i="32" s="1"/>
  <c r="R248" i="32" s="1"/>
  <c r="F253" i="32"/>
  <c r="V253" i="32" s="1"/>
  <c r="G253" i="32" s="1"/>
  <c r="R253" i="32" s="1"/>
  <c r="F258" i="32"/>
  <c r="V258" i="32" s="1"/>
  <c r="G258" i="32" s="1"/>
  <c r="R258" i="32" s="1"/>
  <c r="F262" i="32"/>
  <c r="V262" i="32" s="1"/>
  <c r="G262" i="32" s="1"/>
  <c r="R262" i="32" s="1"/>
  <c r="F266" i="32"/>
  <c r="V266" i="32" s="1"/>
  <c r="G266" i="32" s="1"/>
  <c r="R266" i="32" s="1"/>
  <c r="F272" i="32"/>
  <c r="F263" i="32"/>
  <c r="V263" i="32" s="1"/>
  <c r="G263" i="32" s="1"/>
  <c r="R263" i="32" s="1"/>
  <c r="F267" i="32"/>
  <c r="V267" i="32" s="1"/>
  <c r="G267" i="32" s="1"/>
  <c r="R267" i="32" s="1"/>
  <c r="F273" i="32"/>
  <c r="F246" i="32"/>
  <c r="V246" i="32" s="1"/>
  <c r="G246" i="32" s="1"/>
  <c r="R246" i="32" s="1"/>
  <c r="F251" i="32"/>
  <c r="V251" i="32" s="1"/>
  <c r="G251" i="32" s="1"/>
  <c r="R251" i="32" s="1"/>
  <c r="F255" i="32"/>
  <c r="V255" i="32" s="1"/>
  <c r="G255" i="32" s="1"/>
  <c r="R255" i="32" s="1"/>
  <c r="F260" i="32"/>
  <c r="V260" i="32" s="1"/>
  <c r="G260" i="32" s="1"/>
  <c r="R260" i="32" s="1"/>
  <c r="F264" i="32"/>
  <c r="V264" i="32" s="1"/>
  <c r="G264" i="32" s="1"/>
  <c r="R264" i="32" s="1"/>
  <c r="F268" i="32"/>
  <c r="V268" i="32" s="1"/>
  <c r="G268" i="32" s="1"/>
  <c r="R268" i="32" s="1"/>
  <c r="F277" i="32"/>
  <c r="F283" i="32"/>
  <c r="U238" i="32"/>
  <c r="U240" i="32" s="1"/>
  <c r="F243" i="32"/>
  <c r="V243" i="32" s="1"/>
  <c r="G243" i="32" s="1"/>
  <c r="R243" i="32" s="1"/>
  <c r="F247" i="32"/>
  <c r="V247" i="32" s="1"/>
  <c r="G247" i="32" s="1"/>
  <c r="R247" i="32" s="1"/>
  <c r="F252" i="32"/>
  <c r="V252" i="32" s="1"/>
  <c r="G252" i="32" s="1"/>
  <c r="R252" i="32" s="1"/>
  <c r="F257" i="32"/>
  <c r="V257" i="32" s="1"/>
  <c r="G257" i="32" s="1"/>
  <c r="R257" i="32" s="1"/>
  <c r="F261" i="32"/>
  <c r="V261" i="32" s="1"/>
  <c r="G261" i="32" s="1"/>
  <c r="R261" i="32" s="1"/>
  <c r="F265" i="32"/>
  <c r="V265" i="32" s="1"/>
  <c r="G265" i="32" s="1"/>
  <c r="R265" i="32" s="1"/>
  <c r="F269" i="32"/>
  <c r="V269" i="32" s="1"/>
  <c r="G269" i="32" s="1"/>
  <c r="R269" i="32" s="1"/>
  <c r="U341" i="32"/>
  <c r="L244" i="43" l="1"/>
  <c r="L268" i="43"/>
  <c r="L247" i="43"/>
  <c r="L235" i="42"/>
  <c r="L236" i="42" s="1"/>
  <c r="L153" i="43"/>
  <c r="L154" i="43" s="1"/>
  <c r="L159" i="42"/>
  <c r="L160" i="42" s="1"/>
  <c r="F91" i="43"/>
  <c r="H91" i="43" s="1"/>
  <c r="N91" i="43" s="1"/>
  <c r="O91" i="43" s="1"/>
  <c r="K145" i="43"/>
  <c r="K410" i="43"/>
  <c r="L212" i="42"/>
  <c r="L213" i="42" s="1"/>
  <c r="U379" i="32"/>
  <c r="L265" i="42"/>
  <c r="L215" i="42"/>
  <c r="L216" i="42" s="1"/>
  <c r="L147" i="41"/>
  <c r="L148" i="41" s="1"/>
  <c r="L215" i="41"/>
  <c r="L216" i="41" s="1"/>
  <c r="L232" i="41"/>
  <c r="L233" i="41" s="1"/>
  <c r="V20" i="43"/>
  <c r="G20" i="43" s="1"/>
  <c r="G21" i="43" s="1"/>
  <c r="F34" i="43"/>
  <c r="F39" i="43" s="1"/>
  <c r="F22" i="43"/>
  <c r="H22" i="43" s="1"/>
  <c r="V18" i="43"/>
  <c r="G18" i="43" s="1"/>
  <c r="F32" i="43"/>
  <c r="H32" i="43" s="1"/>
  <c r="J32" i="43" s="1"/>
  <c r="K32" i="43" s="1"/>
  <c r="L32" i="43" s="1"/>
  <c r="L212" i="41"/>
  <c r="L213" i="41" s="1"/>
  <c r="L350" i="42"/>
  <c r="L129" i="43"/>
  <c r="N87" i="32"/>
  <c r="O87" i="32" s="1"/>
  <c r="L381" i="42"/>
  <c r="L394" i="42" s="1"/>
  <c r="L406" i="43"/>
  <c r="L410" i="43" s="1"/>
  <c r="K394" i="43"/>
  <c r="L150" i="43"/>
  <c r="L151" i="43" s="1"/>
  <c r="L215" i="43"/>
  <c r="L216" i="43" s="1"/>
  <c r="F46" i="43"/>
  <c r="V50" i="43"/>
  <c r="G50" i="43" s="1"/>
  <c r="G51" i="43" s="1"/>
  <c r="F50" i="43"/>
  <c r="F51" i="43" s="1"/>
  <c r="F67" i="43"/>
  <c r="F70" i="43" s="1"/>
  <c r="L153" i="42"/>
  <c r="L154" i="42" s="1"/>
  <c r="K344" i="43"/>
  <c r="K401" i="43"/>
  <c r="H249" i="32"/>
  <c r="N249" i="32" s="1"/>
  <c r="O249" i="32" s="1"/>
  <c r="L156" i="42"/>
  <c r="L157" i="42" s="1"/>
  <c r="L156" i="43"/>
  <c r="L157" i="43" s="1"/>
  <c r="H245" i="32"/>
  <c r="N245" i="32" s="1"/>
  <c r="O245" i="32" s="1"/>
  <c r="U194" i="32"/>
  <c r="V194" i="32" s="1"/>
  <c r="G194" i="32" s="1"/>
  <c r="G195" i="32" s="1"/>
  <c r="K350" i="41"/>
  <c r="L396" i="41"/>
  <c r="L401" i="41" s="1"/>
  <c r="U192" i="32"/>
  <c r="V192" i="32" s="1"/>
  <c r="G192" i="32" s="1"/>
  <c r="G193" i="32" s="1"/>
  <c r="L410" i="42"/>
  <c r="U188" i="32"/>
  <c r="L344" i="43"/>
  <c r="A6" i="38"/>
  <c r="U343" i="32"/>
  <c r="L180" i="42"/>
  <c r="L182" i="42" s="1"/>
  <c r="L235" i="41"/>
  <c r="L236" i="41" s="1"/>
  <c r="L153" i="41"/>
  <c r="L154" i="41" s="1"/>
  <c r="K106" i="42"/>
  <c r="L106" i="42" s="1"/>
  <c r="L147" i="42"/>
  <c r="L148" i="42" s="1"/>
  <c r="L150" i="41"/>
  <c r="L151" i="41" s="1"/>
  <c r="L156" i="41"/>
  <c r="L157" i="41" s="1"/>
  <c r="O186" i="43"/>
  <c r="K185" i="41"/>
  <c r="K186" i="41" s="1"/>
  <c r="F83" i="42"/>
  <c r="F83" i="43"/>
  <c r="K267" i="42"/>
  <c r="L267" i="42" s="1"/>
  <c r="L232" i="43"/>
  <c r="L233" i="43" s="1"/>
  <c r="N186" i="43"/>
  <c r="K248" i="42"/>
  <c r="L248" i="42" s="1"/>
  <c r="K245" i="42"/>
  <c r="L245" i="42" s="1"/>
  <c r="L264" i="43"/>
  <c r="K129" i="42"/>
  <c r="K245" i="43"/>
  <c r="L245" i="43" s="1"/>
  <c r="K254" i="42"/>
  <c r="L254" i="42" s="1"/>
  <c r="L243" i="42"/>
  <c r="K264" i="42"/>
  <c r="L264" i="42" s="1"/>
  <c r="G18" i="42"/>
  <c r="V23" i="42"/>
  <c r="K160" i="43"/>
  <c r="L159" i="43"/>
  <c r="L160" i="43" s="1"/>
  <c r="G23" i="43"/>
  <c r="F39" i="42"/>
  <c r="F37" i="42"/>
  <c r="G51" i="42"/>
  <c r="H51" i="42" s="1"/>
  <c r="H50" i="42"/>
  <c r="H91" i="42"/>
  <c r="G23" i="42"/>
  <c r="H22" i="42"/>
  <c r="H32" i="42"/>
  <c r="G21" i="42"/>
  <c r="L109" i="43"/>
  <c r="L111" i="43" s="1"/>
  <c r="L235" i="43"/>
  <c r="L236" i="43" s="1"/>
  <c r="L369" i="43"/>
  <c r="L141" i="43"/>
  <c r="L145" i="43" s="1"/>
  <c r="K369" i="43"/>
  <c r="K185" i="43"/>
  <c r="K186" i="43" s="1"/>
  <c r="L147" i="43"/>
  <c r="L148" i="43" s="1"/>
  <c r="L258" i="43"/>
  <c r="L384" i="43"/>
  <c r="L394" i="43" s="1"/>
  <c r="L180" i="43"/>
  <c r="L182" i="43" s="1"/>
  <c r="J255" i="43"/>
  <c r="K255" i="43" s="1"/>
  <c r="N255" i="43"/>
  <c r="O255" i="43" s="1"/>
  <c r="L396" i="43"/>
  <c r="L401" i="43" s="1"/>
  <c r="K213" i="43"/>
  <c r="L212" i="43"/>
  <c r="L213" i="43" s="1"/>
  <c r="L355" i="43"/>
  <c r="N243" i="43"/>
  <c r="O243" i="43" s="1"/>
  <c r="J243" i="43"/>
  <c r="K243" i="43" s="1"/>
  <c r="L243" i="43" s="1"/>
  <c r="K107" i="43"/>
  <c r="L105" i="43"/>
  <c r="L107" i="43" s="1"/>
  <c r="L127" i="42"/>
  <c r="L129" i="42" s="1"/>
  <c r="K260" i="42"/>
  <c r="L260" i="42" s="1"/>
  <c r="K145" i="42"/>
  <c r="L105" i="42"/>
  <c r="O107" i="42"/>
  <c r="K262" i="42"/>
  <c r="L262" i="42" s="1"/>
  <c r="K253" i="42"/>
  <c r="L253" i="42" s="1"/>
  <c r="K244" i="42"/>
  <c r="L244" i="42" s="1"/>
  <c r="N107" i="42"/>
  <c r="J266" i="42"/>
  <c r="N266" i="42"/>
  <c r="O266" i="42" s="1"/>
  <c r="J107" i="42"/>
  <c r="K233" i="42"/>
  <c r="L232" i="42"/>
  <c r="L233" i="42" s="1"/>
  <c r="L150" i="42"/>
  <c r="L151" i="42" s="1"/>
  <c r="L145" i="42"/>
  <c r="N259" i="42"/>
  <c r="O259" i="42" s="1"/>
  <c r="J259" i="42"/>
  <c r="L338" i="42"/>
  <c r="L344" i="42" s="1"/>
  <c r="K369" i="42"/>
  <c r="L365" i="42"/>
  <c r="L369" i="42" s="1"/>
  <c r="K401" i="42"/>
  <c r="L396" i="42"/>
  <c r="L401" i="42" s="1"/>
  <c r="K186" i="42"/>
  <c r="L184" i="42"/>
  <c r="L186" i="42" s="1"/>
  <c r="N249" i="42"/>
  <c r="O249" i="42" s="1"/>
  <c r="J249" i="42"/>
  <c r="K249" i="42" s="1"/>
  <c r="L249" i="42" s="1"/>
  <c r="L344" i="41"/>
  <c r="K145" i="41"/>
  <c r="K270" i="41"/>
  <c r="L270" i="41" s="1"/>
  <c r="K271" i="41"/>
  <c r="L271" i="41" s="1"/>
  <c r="L254" i="41"/>
  <c r="L253" i="41"/>
  <c r="J51" i="41"/>
  <c r="K51" i="41" s="1"/>
  <c r="L51" i="41" s="1"/>
  <c r="N50" i="41"/>
  <c r="O50" i="41" s="1"/>
  <c r="J50" i="41"/>
  <c r="K50" i="41" s="1"/>
  <c r="F83" i="41"/>
  <c r="F83" i="32"/>
  <c r="F32" i="41"/>
  <c r="V22" i="41"/>
  <c r="G22" i="41" s="1"/>
  <c r="V20" i="41"/>
  <c r="L145" i="41"/>
  <c r="K106" i="41"/>
  <c r="L106" i="41" s="1"/>
  <c r="L107" i="41" s="1"/>
  <c r="L264" i="41"/>
  <c r="L129" i="41"/>
  <c r="K394" i="41"/>
  <c r="K129" i="41"/>
  <c r="L251" i="41"/>
  <c r="L366" i="41"/>
  <c r="L369" i="41" s="1"/>
  <c r="K259" i="41"/>
  <c r="L259" i="41" s="1"/>
  <c r="J243" i="41"/>
  <c r="K243" i="41" s="1"/>
  <c r="L243" i="41" s="1"/>
  <c r="N243" i="41"/>
  <c r="O243" i="41" s="1"/>
  <c r="K344" i="41"/>
  <c r="O186" i="41"/>
  <c r="K160" i="41"/>
  <c r="L159" i="41"/>
  <c r="L160" i="41" s="1"/>
  <c r="K182" i="41"/>
  <c r="L180" i="41"/>
  <c r="L182" i="41" s="1"/>
  <c r="O107" i="41"/>
  <c r="K265" i="41"/>
  <c r="L265" i="41" s="1"/>
  <c r="K111" i="41"/>
  <c r="L177" i="41"/>
  <c r="N186" i="41"/>
  <c r="L353" i="41"/>
  <c r="L350" i="41"/>
  <c r="N107" i="41"/>
  <c r="L394" i="41"/>
  <c r="L79" i="41"/>
  <c r="K410" i="41"/>
  <c r="L406" i="41"/>
  <c r="L410" i="41" s="1"/>
  <c r="G19" i="41"/>
  <c r="L284" i="41"/>
  <c r="L109" i="41"/>
  <c r="L111" i="41" s="1"/>
  <c r="H244" i="32"/>
  <c r="N244" i="32" s="1"/>
  <c r="O244" i="32" s="1"/>
  <c r="H254" i="32"/>
  <c r="J254" i="32" s="1"/>
  <c r="K254" i="32" s="1"/>
  <c r="H259" i="32"/>
  <c r="N259" i="32" s="1"/>
  <c r="O259" i="32" s="1"/>
  <c r="U196" i="32"/>
  <c r="V196" i="32" s="1"/>
  <c r="G196" i="32" s="1"/>
  <c r="G197" i="32" s="1"/>
  <c r="U208" i="32"/>
  <c r="V208" i="32" s="1"/>
  <c r="U204" i="32"/>
  <c r="V204" i="32" s="1"/>
  <c r="U172" i="32"/>
  <c r="H271" i="32"/>
  <c r="N271" i="32" s="1"/>
  <c r="O271" i="32" s="1"/>
  <c r="H50" i="32"/>
  <c r="J50" i="32" s="1"/>
  <c r="K50" i="32" s="1"/>
  <c r="U230" i="32"/>
  <c r="H59" i="32"/>
  <c r="N59" i="32" s="1"/>
  <c r="O59" i="32" s="1"/>
  <c r="U336" i="32"/>
  <c r="H51" i="32"/>
  <c r="J106" i="32"/>
  <c r="N106" i="32"/>
  <c r="O106" i="32" s="1"/>
  <c r="H182" i="32"/>
  <c r="N180" i="32"/>
  <c r="J180" i="32"/>
  <c r="N181" i="32"/>
  <c r="O181" i="32" s="1"/>
  <c r="J181" i="32"/>
  <c r="K181" i="32" s="1"/>
  <c r="L181" i="32" s="1"/>
  <c r="N176" i="32"/>
  <c r="O176" i="32" s="1"/>
  <c r="J176" i="32"/>
  <c r="K176" i="32" s="1"/>
  <c r="L176" i="32" s="1"/>
  <c r="N177" i="32"/>
  <c r="O177" i="32" s="1"/>
  <c r="J177" i="32"/>
  <c r="H186" i="32"/>
  <c r="N184" i="32"/>
  <c r="J184" i="32"/>
  <c r="N125" i="32"/>
  <c r="O125" i="32" s="1"/>
  <c r="J125" i="32"/>
  <c r="N114" i="32"/>
  <c r="O114" i="32" s="1"/>
  <c r="J114" i="32"/>
  <c r="K114" i="32" s="1"/>
  <c r="N191" i="32"/>
  <c r="O191" i="32" s="1"/>
  <c r="J191" i="32"/>
  <c r="N185" i="32"/>
  <c r="O185" i="32" s="1"/>
  <c r="J185" i="32"/>
  <c r="N201" i="32"/>
  <c r="O201" i="32" s="1"/>
  <c r="J201" i="32"/>
  <c r="N74" i="32"/>
  <c r="O74" i="32" s="1"/>
  <c r="J74" i="32"/>
  <c r="N52" i="32"/>
  <c r="O52" i="32" s="1"/>
  <c r="J52" i="32"/>
  <c r="K52" i="32" s="1"/>
  <c r="L52" i="32" s="1"/>
  <c r="J79" i="32"/>
  <c r="K79" i="32" s="1"/>
  <c r="N79" i="32"/>
  <c r="N26" i="32"/>
  <c r="O26" i="32" s="1"/>
  <c r="J26" i="32"/>
  <c r="K26" i="32" s="1"/>
  <c r="L26" i="32" s="1"/>
  <c r="H145" i="32"/>
  <c r="N139" i="32"/>
  <c r="J139" i="32"/>
  <c r="K139" i="32" s="1"/>
  <c r="N143" i="32"/>
  <c r="O143" i="32" s="1"/>
  <c r="J143" i="32"/>
  <c r="K143" i="32" s="1"/>
  <c r="N126" i="32"/>
  <c r="O126" i="32" s="1"/>
  <c r="J126" i="32"/>
  <c r="K126" i="32" s="1"/>
  <c r="L126" i="32" s="1"/>
  <c r="N93" i="32"/>
  <c r="O93" i="32" s="1"/>
  <c r="J93" i="32"/>
  <c r="N128" i="32"/>
  <c r="O128" i="32" s="1"/>
  <c r="J128" i="32"/>
  <c r="H137" i="32"/>
  <c r="N131" i="32"/>
  <c r="J131" i="32"/>
  <c r="K131" i="32" s="1"/>
  <c r="N135" i="32"/>
  <c r="O135" i="32" s="1"/>
  <c r="J135" i="32"/>
  <c r="K135" i="32" s="1"/>
  <c r="L135" i="32" s="1"/>
  <c r="N200" i="32"/>
  <c r="O200" i="32" s="1"/>
  <c r="J200" i="32"/>
  <c r="K200" i="32" s="1"/>
  <c r="H216" i="32"/>
  <c r="N215" i="32"/>
  <c r="J215" i="32"/>
  <c r="J216" i="32" s="1"/>
  <c r="H251" i="32"/>
  <c r="H264" i="32"/>
  <c r="N285" i="32"/>
  <c r="O285" i="32" s="1"/>
  <c r="J285" i="32"/>
  <c r="K285" i="32" s="1"/>
  <c r="H265" i="32"/>
  <c r="J284" i="32"/>
  <c r="N284" i="32"/>
  <c r="H248" i="32"/>
  <c r="H266" i="32"/>
  <c r="H263" i="32"/>
  <c r="N291" i="32"/>
  <c r="O291" i="32" s="1"/>
  <c r="J291" i="32"/>
  <c r="N289" i="32"/>
  <c r="O289" i="32" s="1"/>
  <c r="J289" i="32"/>
  <c r="K289" i="32" s="1"/>
  <c r="L289" i="32" s="1"/>
  <c r="J302" i="32"/>
  <c r="K302" i="32" s="1"/>
  <c r="L302" i="32" s="1"/>
  <c r="N302" i="32"/>
  <c r="O302" i="32" s="1"/>
  <c r="N297" i="32"/>
  <c r="O297" i="32" s="1"/>
  <c r="J297" i="32"/>
  <c r="K297" i="32" s="1"/>
  <c r="N294" i="32"/>
  <c r="O294" i="32" s="1"/>
  <c r="J294" i="32"/>
  <c r="J309" i="32"/>
  <c r="K309" i="32" s="1"/>
  <c r="L309" i="32" s="1"/>
  <c r="N309" i="32"/>
  <c r="O309" i="32" s="1"/>
  <c r="N325" i="32"/>
  <c r="O325" i="32" s="1"/>
  <c r="J325" i="32"/>
  <c r="K325" i="32" s="1"/>
  <c r="L325" i="32" s="1"/>
  <c r="N352" i="32"/>
  <c r="J352" i="32"/>
  <c r="N326" i="32"/>
  <c r="O326" i="32" s="1"/>
  <c r="J326" i="32"/>
  <c r="K326" i="32" s="1"/>
  <c r="L326" i="32" s="1"/>
  <c r="J349" i="32"/>
  <c r="K349" i="32" s="1"/>
  <c r="N349" i="32"/>
  <c r="O349" i="32" s="1"/>
  <c r="N323" i="32"/>
  <c r="O323" i="32" s="1"/>
  <c r="J323" i="32"/>
  <c r="K323" i="32" s="1"/>
  <c r="L323" i="32" s="1"/>
  <c r="N353" i="32"/>
  <c r="O353" i="32" s="1"/>
  <c r="J353" i="32"/>
  <c r="K353" i="32" s="1"/>
  <c r="L353" i="32" s="1"/>
  <c r="J384" i="32"/>
  <c r="N384" i="32"/>
  <c r="O384" i="32" s="1"/>
  <c r="N358" i="32"/>
  <c r="O358" i="32" s="1"/>
  <c r="J358" i="32"/>
  <c r="K358" i="32" s="1"/>
  <c r="L358" i="32" s="1"/>
  <c r="N362" i="32"/>
  <c r="O362" i="32" s="1"/>
  <c r="J362" i="32"/>
  <c r="H401" i="32"/>
  <c r="J396" i="32"/>
  <c r="K396" i="32" s="1"/>
  <c r="N396" i="32"/>
  <c r="N388" i="32"/>
  <c r="O388" i="32" s="1"/>
  <c r="J388" i="32"/>
  <c r="K388" i="32" s="1"/>
  <c r="L388" i="32" s="1"/>
  <c r="J398" i="32"/>
  <c r="K398" i="32" s="1"/>
  <c r="L398" i="32" s="1"/>
  <c r="N398" i="32"/>
  <c r="O398" i="32" s="1"/>
  <c r="N399" i="32"/>
  <c r="O399" i="32" s="1"/>
  <c r="J399" i="32"/>
  <c r="K399" i="32" s="1"/>
  <c r="L399" i="32" s="1"/>
  <c r="U166" i="32"/>
  <c r="N82" i="32"/>
  <c r="O82" i="32" s="1"/>
  <c r="J82" i="32"/>
  <c r="K82" i="32" s="1"/>
  <c r="N58" i="32"/>
  <c r="O58" i="32" s="1"/>
  <c r="J58" i="32"/>
  <c r="N76" i="32"/>
  <c r="O76" i="32" s="1"/>
  <c r="J76" i="32"/>
  <c r="K76" i="32" s="1"/>
  <c r="N48" i="32"/>
  <c r="O48" i="32" s="1"/>
  <c r="J48" i="32"/>
  <c r="N85" i="32"/>
  <c r="O85" i="32" s="1"/>
  <c r="J85" i="32"/>
  <c r="K85" i="32" s="1"/>
  <c r="L85" i="32" s="1"/>
  <c r="N54" i="32"/>
  <c r="O54" i="32" s="1"/>
  <c r="J54" i="32"/>
  <c r="K54" i="32" s="1"/>
  <c r="L54" i="32" s="1"/>
  <c r="J84" i="32"/>
  <c r="K84" i="32" s="1"/>
  <c r="N84" i="32"/>
  <c r="O84" i="32" s="1"/>
  <c r="N140" i="32"/>
  <c r="O140" i="32" s="1"/>
  <c r="J140" i="32"/>
  <c r="K140" i="32" s="1"/>
  <c r="L140" i="32" s="1"/>
  <c r="N144" i="32"/>
  <c r="O144" i="32" s="1"/>
  <c r="J144" i="32"/>
  <c r="K144" i="32" s="1"/>
  <c r="L144" i="32" s="1"/>
  <c r="J105" i="32"/>
  <c r="N105" i="32"/>
  <c r="H107" i="32"/>
  <c r="N120" i="32"/>
  <c r="O120" i="32" s="1"/>
  <c r="J120" i="32"/>
  <c r="K120" i="32" s="1"/>
  <c r="L120" i="32" s="1"/>
  <c r="H148" i="32"/>
  <c r="N147" i="32"/>
  <c r="J147" i="32"/>
  <c r="J148" i="32" s="1"/>
  <c r="N94" i="32"/>
  <c r="O94" i="32" s="1"/>
  <c r="J94" i="32"/>
  <c r="K94" i="32" s="1"/>
  <c r="L94" i="32" s="1"/>
  <c r="H151" i="32"/>
  <c r="N150" i="32"/>
  <c r="J150" i="32"/>
  <c r="J151" i="32" s="1"/>
  <c r="H115" i="32"/>
  <c r="N113" i="32"/>
  <c r="J113" i="32"/>
  <c r="K113" i="32" s="1"/>
  <c r="N132" i="32"/>
  <c r="O132" i="32" s="1"/>
  <c r="J132" i="32"/>
  <c r="K132" i="32" s="1"/>
  <c r="L132" i="32" s="1"/>
  <c r="N136" i="32"/>
  <c r="O136" i="32" s="1"/>
  <c r="J136" i="32"/>
  <c r="K136" i="32" s="1"/>
  <c r="L136" i="32" s="1"/>
  <c r="H213" i="32"/>
  <c r="N212" i="32"/>
  <c r="J212" i="32"/>
  <c r="J213" i="32" s="1"/>
  <c r="H247" i="32"/>
  <c r="H243" i="32"/>
  <c r="H255" i="32"/>
  <c r="H268" i="32"/>
  <c r="H252" i="32"/>
  <c r="H269" i="32"/>
  <c r="N288" i="32"/>
  <c r="O288" i="32" s="1"/>
  <c r="J288" i="32"/>
  <c r="K288" i="32" s="1"/>
  <c r="H253" i="32"/>
  <c r="N250" i="32"/>
  <c r="O250" i="32" s="1"/>
  <c r="J250" i="32"/>
  <c r="H267" i="32"/>
  <c r="N295" i="32"/>
  <c r="O295" i="32" s="1"/>
  <c r="J295" i="32"/>
  <c r="N324" i="32"/>
  <c r="O324" i="32" s="1"/>
  <c r="J324" i="32"/>
  <c r="N292" i="32"/>
  <c r="O292" i="32" s="1"/>
  <c r="J292" i="32"/>
  <c r="K292" i="32" s="1"/>
  <c r="L292" i="32" s="1"/>
  <c r="N320" i="32"/>
  <c r="O320" i="32" s="1"/>
  <c r="J320" i="32"/>
  <c r="N316" i="32"/>
  <c r="O316" i="32" s="1"/>
  <c r="J316" i="32"/>
  <c r="N301" i="32"/>
  <c r="O301" i="32" s="1"/>
  <c r="J301" i="32"/>
  <c r="N312" i="32"/>
  <c r="O312" i="32" s="1"/>
  <c r="J312" i="32"/>
  <c r="N313" i="32"/>
  <c r="O313" i="32" s="1"/>
  <c r="J313" i="32"/>
  <c r="K313" i="32" s="1"/>
  <c r="L313" i="32" s="1"/>
  <c r="N339" i="32"/>
  <c r="O339" i="32" s="1"/>
  <c r="J339" i="32"/>
  <c r="K339" i="32" s="1"/>
  <c r="L339" i="32" s="1"/>
  <c r="N314" i="32"/>
  <c r="O314" i="32" s="1"/>
  <c r="J314" i="32"/>
  <c r="K314" i="32" s="1"/>
  <c r="J393" i="32"/>
  <c r="N393" i="32"/>
  <c r="O393" i="32" s="1"/>
  <c r="J311" i="32"/>
  <c r="K311" i="32" s="1"/>
  <c r="N311" i="32"/>
  <c r="O311" i="32" s="1"/>
  <c r="J327" i="32"/>
  <c r="K327" i="32" s="1"/>
  <c r="N327" i="32"/>
  <c r="O327" i="32" s="1"/>
  <c r="J385" i="32"/>
  <c r="K385" i="32" s="1"/>
  <c r="N385" i="32"/>
  <c r="O385" i="32" s="1"/>
  <c r="J392" i="32"/>
  <c r="N392" i="32"/>
  <c r="O392" i="32" s="1"/>
  <c r="N355" i="32"/>
  <c r="O355" i="32" s="1"/>
  <c r="J355" i="32"/>
  <c r="N359" i="32"/>
  <c r="O359" i="32" s="1"/>
  <c r="J359" i="32"/>
  <c r="N377" i="32"/>
  <c r="O377" i="32" s="1"/>
  <c r="J377" i="32"/>
  <c r="K377" i="32" s="1"/>
  <c r="L377" i="32" s="1"/>
  <c r="J407" i="32"/>
  <c r="K407" i="32" s="1"/>
  <c r="N407" i="32"/>
  <c r="O407" i="32" s="1"/>
  <c r="J382" i="32"/>
  <c r="K382" i="32" s="1"/>
  <c r="N382" i="32"/>
  <c r="O382" i="32" s="1"/>
  <c r="J409" i="32"/>
  <c r="K409" i="32" s="1"/>
  <c r="N409" i="32"/>
  <c r="O409" i="32" s="1"/>
  <c r="N383" i="32"/>
  <c r="O383" i="32" s="1"/>
  <c r="J383" i="32"/>
  <c r="K383" i="32" s="1"/>
  <c r="N406" i="32"/>
  <c r="H410" i="32"/>
  <c r="J406" i="32"/>
  <c r="K406" i="32" s="1"/>
  <c r="N24" i="32"/>
  <c r="O24" i="32" s="1"/>
  <c r="J24" i="32"/>
  <c r="K24" i="32" s="1"/>
  <c r="N81" i="32"/>
  <c r="O81" i="32" s="1"/>
  <c r="J81" i="32"/>
  <c r="K81" i="32" s="1"/>
  <c r="L81" i="32" s="1"/>
  <c r="N57" i="32"/>
  <c r="O57" i="32" s="1"/>
  <c r="J57" i="32"/>
  <c r="K57" i="32" s="1"/>
  <c r="L57" i="32" s="1"/>
  <c r="N32" i="32"/>
  <c r="O32" i="32" s="1"/>
  <c r="J32" i="32"/>
  <c r="K32" i="32" s="1"/>
  <c r="N141" i="32"/>
  <c r="O141" i="32" s="1"/>
  <c r="J141" i="32"/>
  <c r="H154" i="32"/>
  <c r="N153" i="32"/>
  <c r="J153" i="32"/>
  <c r="J154" i="32" s="1"/>
  <c r="H111" i="32"/>
  <c r="N109" i="32"/>
  <c r="J109" i="32"/>
  <c r="K109" i="32" s="1"/>
  <c r="H129" i="32"/>
  <c r="N124" i="32"/>
  <c r="J124" i="32"/>
  <c r="H157" i="32"/>
  <c r="N156" i="32"/>
  <c r="J156" i="32"/>
  <c r="J157" i="32" s="1"/>
  <c r="N133" i="32"/>
  <c r="O133" i="32" s="1"/>
  <c r="J133" i="32"/>
  <c r="N256" i="32"/>
  <c r="O256" i="32" s="1"/>
  <c r="J256" i="32"/>
  <c r="K256" i="32" s="1"/>
  <c r="H257" i="32"/>
  <c r="H233" i="32"/>
  <c r="N232" i="32"/>
  <c r="J232" i="32"/>
  <c r="J233" i="32" s="1"/>
  <c r="H258" i="32"/>
  <c r="H270" i="32"/>
  <c r="N340" i="32"/>
  <c r="O340" i="32" s="1"/>
  <c r="J340" i="32"/>
  <c r="K340" i="32" s="1"/>
  <c r="N296" i="32"/>
  <c r="O296" i="32" s="1"/>
  <c r="J296" i="32"/>
  <c r="K296" i="32" s="1"/>
  <c r="L296" i="32" s="1"/>
  <c r="N286" i="32"/>
  <c r="O286" i="32" s="1"/>
  <c r="J286" i="32"/>
  <c r="K286" i="32" s="1"/>
  <c r="N287" i="32"/>
  <c r="O287" i="32" s="1"/>
  <c r="J287" i="32"/>
  <c r="K287" i="32" s="1"/>
  <c r="N303" i="32"/>
  <c r="O303" i="32" s="1"/>
  <c r="J303" i="32"/>
  <c r="K303" i="32" s="1"/>
  <c r="N328" i="32"/>
  <c r="O328" i="32" s="1"/>
  <c r="J328" i="32"/>
  <c r="K328" i="32" s="1"/>
  <c r="N317" i="32"/>
  <c r="O317" i="32" s="1"/>
  <c r="J317" i="32"/>
  <c r="N343" i="32"/>
  <c r="O343" i="32" s="1"/>
  <c r="J343" i="32"/>
  <c r="N318" i="32"/>
  <c r="O318" i="32" s="1"/>
  <c r="J318" i="32"/>
  <c r="K318" i="32" s="1"/>
  <c r="N338" i="32"/>
  <c r="J338" i="32"/>
  <c r="K338" i="32" s="1"/>
  <c r="H344" i="32"/>
  <c r="N300" i="32"/>
  <c r="O300" i="32" s="1"/>
  <c r="J300" i="32"/>
  <c r="K300" i="32" s="1"/>
  <c r="L300" i="32" s="1"/>
  <c r="J315" i="32"/>
  <c r="N315" i="32"/>
  <c r="O315" i="32" s="1"/>
  <c r="N341" i="32"/>
  <c r="O341" i="32" s="1"/>
  <c r="J341" i="32"/>
  <c r="K341" i="32" s="1"/>
  <c r="L341" i="32" s="1"/>
  <c r="N400" i="32"/>
  <c r="O400" i="32" s="1"/>
  <c r="J400" i="32"/>
  <c r="K400" i="32" s="1"/>
  <c r="J397" i="32"/>
  <c r="K397" i="32" s="1"/>
  <c r="N397" i="32"/>
  <c r="O397" i="32" s="1"/>
  <c r="N356" i="32"/>
  <c r="O356" i="32" s="1"/>
  <c r="J356" i="32"/>
  <c r="K356" i="32" s="1"/>
  <c r="N360" i="32"/>
  <c r="O360" i="32" s="1"/>
  <c r="J360" i="32"/>
  <c r="K360" i="32" s="1"/>
  <c r="L360" i="32" s="1"/>
  <c r="H394" i="32"/>
  <c r="J381" i="32"/>
  <c r="K381" i="32" s="1"/>
  <c r="N381" i="32"/>
  <c r="N365" i="32"/>
  <c r="J365" i="32"/>
  <c r="H369" i="32"/>
  <c r="J386" i="32"/>
  <c r="K386" i="32" s="1"/>
  <c r="L386" i="32" s="1"/>
  <c r="N386" i="32"/>
  <c r="O386" i="32" s="1"/>
  <c r="J368" i="32"/>
  <c r="K368" i="32" s="1"/>
  <c r="L368" i="32" s="1"/>
  <c r="N368" i="32"/>
  <c r="O368" i="32" s="1"/>
  <c r="N387" i="32"/>
  <c r="O387" i="32" s="1"/>
  <c r="J387" i="32"/>
  <c r="U120" i="32"/>
  <c r="V117" i="32" s="1"/>
  <c r="V120" i="32" s="1"/>
  <c r="J86" i="32"/>
  <c r="K86" i="32" s="1"/>
  <c r="L86" i="32" s="1"/>
  <c r="N86" i="32"/>
  <c r="O86" i="32" s="1"/>
  <c r="K87" i="32"/>
  <c r="L87" i="32" s="1"/>
  <c r="N89" i="32"/>
  <c r="O89" i="32" s="1"/>
  <c r="J89" i="32"/>
  <c r="J88" i="32"/>
  <c r="K88" i="32" s="1"/>
  <c r="N88" i="32"/>
  <c r="O88" i="32" s="1"/>
  <c r="N121" i="32"/>
  <c r="O121" i="32" s="1"/>
  <c r="J121" i="32"/>
  <c r="K121" i="32" s="1"/>
  <c r="N142" i="32"/>
  <c r="O142" i="32" s="1"/>
  <c r="J142" i="32"/>
  <c r="K142" i="32" s="1"/>
  <c r="H160" i="32"/>
  <c r="N159" i="32"/>
  <c r="J159" i="32"/>
  <c r="J160" i="32" s="1"/>
  <c r="N110" i="32"/>
  <c r="O110" i="32" s="1"/>
  <c r="J110" i="32"/>
  <c r="K110" i="32" s="1"/>
  <c r="N98" i="32"/>
  <c r="O98" i="32" s="1"/>
  <c r="J98" i="32"/>
  <c r="N127" i="32"/>
  <c r="O127" i="32" s="1"/>
  <c r="J127" i="32"/>
  <c r="K127" i="32" s="1"/>
  <c r="L127" i="32" s="1"/>
  <c r="N134" i="32"/>
  <c r="O134" i="32" s="1"/>
  <c r="J134" i="32"/>
  <c r="K134" i="32" s="1"/>
  <c r="L134" i="32" s="1"/>
  <c r="N190" i="32"/>
  <c r="O190" i="32" s="1"/>
  <c r="J190" i="32"/>
  <c r="K190" i="32" s="1"/>
  <c r="H236" i="32"/>
  <c r="J235" i="32"/>
  <c r="J236" i="32" s="1"/>
  <c r="N235" i="32"/>
  <c r="H246" i="32"/>
  <c r="H260" i="32"/>
  <c r="H261" i="32"/>
  <c r="H262" i="32"/>
  <c r="N307" i="32"/>
  <c r="O307" i="32" s="1"/>
  <c r="J307" i="32"/>
  <c r="K307" i="32" s="1"/>
  <c r="L307" i="32" s="1"/>
  <c r="N366" i="32"/>
  <c r="O366" i="32" s="1"/>
  <c r="J366" i="32"/>
  <c r="K366" i="32" s="1"/>
  <c r="L366" i="32" s="1"/>
  <c r="N299" i="32"/>
  <c r="O299" i="32" s="1"/>
  <c r="J299" i="32"/>
  <c r="N293" i="32"/>
  <c r="O293" i="32" s="1"/>
  <c r="J293" i="32"/>
  <c r="K293" i="32" s="1"/>
  <c r="L293" i="32" s="1"/>
  <c r="N305" i="32"/>
  <c r="O305" i="32" s="1"/>
  <c r="J305" i="32"/>
  <c r="K305" i="32" s="1"/>
  <c r="L305" i="32" s="1"/>
  <c r="J348" i="32"/>
  <c r="K348" i="32" s="1"/>
  <c r="L348" i="32" s="1"/>
  <c r="N348" i="32"/>
  <c r="O348" i="32" s="1"/>
  <c r="N321" i="32"/>
  <c r="O321" i="32" s="1"/>
  <c r="J321" i="32"/>
  <c r="K321" i="32" s="1"/>
  <c r="N346" i="32"/>
  <c r="J346" i="32"/>
  <c r="K346" i="32" s="1"/>
  <c r="H350" i="32"/>
  <c r="N322" i="32"/>
  <c r="O322" i="32" s="1"/>
  <c r="J322" i="32"/>
  <c r="K322" i="32" s="1"/>
  <c r="N342" i="32"/>
  <c r="O342" i="32" s="1"/>
  <c r="J342" i="32"/>
  <c r="K342" i="32" s="1"/>
  <c r="N304" i="32"/>
  <c r="O304" i="32" s="1"/>
  <c r="J304" i="32"/>
  <c r="K304" i="32" s="1"/>
  <c r="N319" i="32"/>
  <c r="O319" i="32" s="1"/>
  <c r="J319" i="32"/>
  <c r="K319" i="32" s="1"/>
  <c r="N347" i="32"/>
  <c r="O347" i="32" s="1"/>
  <c r="J347" i="32"/>
  <c r="K347" i="32" s="1"/>
  <c r="N375" i="32"/>
  <c r="O375" i="32" s="1"/>
  <c r="J375" i="32"/>
  <c r="K375" i="32" s="1"/>
  <c r="J408" i="32"/>
  <c r="K408" i="32" s="1"/>
  <c r="L408" i="32" s="1"/>
  <c r="N408" i="32"/>
  <c r="O408" i="32" s="1"/>
  <c r="J357" i="32"/>
  <c r="K357" i="32" s="1"/>
  <c r="L357" i="32" s="1"/>
  <c r="N357" i="32"/>
  <c r="O357" i="32" s="1"/>
  <c r="N361" i="32"/>
  <c r="O361" i="32" s="1"/>
  <c r="J361" i="32"/>
  <c r="K361" i="32" s="1"/>
  <c r="J389" i="32"/>
  <c r="K389" i="32" s="1"/>
  <c r="L389" i="32" s="1"/>
  <c r="N389" i="32"/>
  <c r="O389" i="32" s="1"/>
  <c r="N367" i="32"/>
  <c r="O367" i="32" s="1"/>
  <c r="J367" i="32"/>
  <c r="K367" i="32" s="1"/>
  <c r="J390" i="32"/>
  <c r="K390" i="32" s="1"/>
  <c r="N390" i="32"/>
  <c r="O390" i="32" s="1"/>
  <c r="N391" i="32"/>
  <c r="O391" i="32" s="1"/>
  <c r="J391" i="32"/>
  <c r="K391" i="32" s="1"/>
  <c r="L391" i="32" s="1"/>
  <c r="F410" i="31"/>
  <c r="R409" i="31"/>
  <c r="M409" i="31"/>
  <c r="R408" i="31"/>
  <c r="M408" i="31"/>
  <c r="R407" i="31"/>
  <c r="M407" i="31"/>
  <c r="R406" i="31"/>
  <c r="M406" i="31"/>
  <c r="R403" i="31"/>
  <c r="M403" i="31"/>
  <c r="F401" i="31"/>
  <c r="R400" i="31"/>
  <c r="M400" i="31"/>
  <c r="R399" i="31"/>
  <c r="M399" i="31"/>
  <c r="R398" i="31"/>
  <c r="M398" i="31"/>
  <c r="R397" i="31"/>
  <c r="M397" i="31"/>
  <c r="R396" i="31"/>
  <c r="M396" i="31"/>
  <c r="F394" i="31"/>
  <c r="R393" i="31"/>
  <c r="M393" i="31"/>
  <c r="R392" i="31"/>
  <c r="M392" i="31"/>
  <c r="R391" i="31"/>
  <c r="M391" i="31"/>
  <c r="R390" i="31"/>
  <c r="M390" i="31"/>
  <c r="R389" i="31"/>
  <c r="M389" i="31"/>
  <c r="R388" i="31"/>
  <c r="M388" i="31"/>
  <c r="R387" i="31"/>
  <c r="M387" i="31"/>
  <c r="R386" i="31"/>
  <c r="M386" i="31"/>
  <c r="R385" i="31"/>
  <c r="M385" i="31"/>
  <c r="R384" i="31"/>
  <c r="M384" i="31"/>
  <c r="R383" i="31"/>
  <c r="M383" i="31"/>
  <c r="R382" i="31"/>
  <c r="M382" i="31"/>
  <c r="R381" i="31"/>
  <c r="M381" i="31"/>
  <c r="T379" i="31"/>
  <c r="U378" i="31"/>
  <c r="S378" i="31"/>
  <c r="R378" i="31"/>
  <c r="M378" i="31"/>
  <c r="R377" i="31"/>
  <c r="M377" i="31"/>
  <c r="R376" i="31"/>
  <c r="M376" i="31"/>
  <c r="R375" i="31"/>
  <c r="M375" i="31"/>
  <c r="R374" i="31"/>
  <c r="M374" i="31"/>
  <c r="R373" i="31"/>
  <c r="M373" i="31"/>
  <c r="R372" i="31"/>
  <c r="M372" i="31"/>
  <c r="R371" i="31"/>
  <c r="M371" i="31"/>
  <c r="T370" i="31"/>
  <c r="U371" i="31" s="1"/>
  <c r="R368" i="31"/>
  <c r="M368" i="31"/>
  <c r="F368" i="31"/>
  <c r="F369" i="31" s="1"/>
  <c r="R367" i="31"/>
  <c r="M367" i="31"/>
  <c r="R366" i="31"/>
  <c r="M366" i="31"/>
  <c r="R365" i="31"/>
  <c r="M365" i="31"/>
  <c r="R362" i="31"/>
  <c r="M362" i="31"/>
  <c r="R361" i="31"/>
  <c r="M361" i="31"/>
  <c r="R360" i="31"/>
  <c r="M360" i="31"/>
  <c r="R359" i="31"/>
  <c r="M359" i="31"/>
  <c r="R358" i="31"/>
  <c r="M358" i="31"/>
  <c r="R357" i="31"/>
  <c r="M357" i="31"/>
  <c r="R356" i="31"/>
  <c r="M356" i="31"/>
  <c r="R355" i="31"/>
  <c r="M355" i="31"/>
  <c r="R354" i="31"/>
  <c r="M354" i="31"/>
  <c r="R353" i="31"/>
  <c r="M353" i="31"/>
  <c r="R352" i="31"/>
  <c r="M352" i="31"/>
  <c r="F350" i="31"/>
  <c r="R349" i="31"/>
  <c r="M349" i="31"/>
  <c r="R348" i="31"/>
  <c r="M348" i="31"/>
  <c r="R347" i="31"/>
  <c r="M347" i="31"/>
  <c r="R346" i="31"/>
  <c r="M346" i="31"/>
  <c r="T343" i="31"/>
  <c r="R343" i="31"/>
  <c r="M343" i="31"/>
  <c r="R342" i="31"/>
  <c r="M342" i="31"/>
  <c r="R341" i="31"/>
  <c r="M341" i="31"/>
  <c r="R340" i="31"/>
  <c r="M340" i="31"/>
  <c r="R339" i="31"/>
  <c r="M339" i="31"/>
  <c r="R338" i="31"/>
  <c r="M338" i="31"/>
  <c r="T337" i="31"/>
  <c r="U340" i="31" s="1"/>
  <c r="T336" i="31"/>
  <c r="M335" i="31"/>
  <c r="M334" i="31"/>
  <c r="M333" i="31"/>
  <c r="M332" i="31"/>
  <c r="M331" i="31"/>
  <c r="T330" i="31"/>
  <c r="U335" i="31" s="1"/>
  <c r="R328" i="31"/>
  <c r="M328" i="31"/>
  <c r="R327" i="31"/>
  <c r="M327" i="31"/>
  <c r="R326" i="31"/>
  <c r="M326" i="31"/>
  <c r="R325" i="31"/>
  <c r="M325" i="31"/>
  <c r="R324" i="31"/>
  <c r="M324" i="31"/>
  <c r="R323" i="31"/>
  <c r="M323" i="31"/>
  <c r="R322" i="31"/>
  <c r="M322" i="31"/>
  <c r="R321" i="31"/>
  <c r="M321" i="31"/>
  <c r="R320" i="31"/>
  <c r="M320" i="31"/>
  <c r="R319" i="31"/>
  <c r="M319" i="31"/>
  <c r="R318" i="31"/>
  <c r="M318" i="31"/>
  <c r="R317" i="31"/>
  <c r="M317" i="31"/>
  <c r="R316" i="31"/>
  <c r="M316" i="31"/>
  <c r="R315" i="31"/>
  <c r="M315" i="31"/>
  <c r="R314" i="31"/>
  <c r="M314" i="31"/>
  <c r="R313" i="31"/>
  <c r="M313" i="31"/>
  <c r="R312" i="31"/>
  <c r="M312" i="31"/>
  <c r="R311" i="31"/>
  <c r="M311" i="31"/>
  <c r="M310" i="31"/>
  <c r="R309" i="31"/>
  <c r="M309" i="31"/>
  <c r="M308" i="31"/>
  <c r="R307" i="31"/>
  <c r="M307" i="31"/>
  <c r="M306" i="31"/>
  <c r="R305" i="31"/>
  <c r="M305" i="31"/>
  <c r="R304" i="31"/>
  <c r="M304" i="31"/>
  <c r="R303" i="31"/>
  <c r="M303" i="31"/>
  <c r="R302" i="31"/>
  <c r="M302" i="31"/>
  <c r="R301" i="31"/>
  <c r="M301" i="31"/>
  <c r="R300" i="31"/>
  <c r="M300" i="31"/>
  <c r="R299" i="31"/>
  <c r="M299" i="31"/>
  <c r="M298" i="31"/>
  <c r="R297" i="31"/>
  <c r="M297" i="31"/>
  <c r="R296" i="31"/>
  <c r="M296" i="31"/>
  <c r="R295" i="31"/>
  <c r="M295" i="31"/>
  <c r="R294" i="31"/>
  <c r="M294" i="31"/>
  <c r="R293" i="31"/>
  <c r="M293" i="31"/>
  <c r="R292" i="31"/>
  <c r="M292" i="31"/>
  <c r="R291" i="31"/>
  <c r="M291" i="31"/>
  <c r="M290" i="31"/>
  <c r="R289" i="31"/>
  <c r="M289" i="31"/>
  <c r="R288" i="31"/>
  <c r="M288" i="31"/>
  <c r="R287" i="31"/>
  <c r="M287" i="31"/>
  <c r="R286" i="31"/>
  <c r="M286" i="31"/>
  <c r="R285" i="31"/>
  <c r="M285" i="31"/>
  <c r="R284" i="31"/>
  <c r="M284" i="31"/>
  <c r="M281" i="31"/>
  <c r="M280" i="31"/>
  <c r="M279" i="31"/>
  <c r="M278" i="31"/>
  <c r="M275" i="31"/>
  <c r="M274" i="31"/>
  <c r="E271" i="31"/>
  <c r="S271" i="31" s="1"/>
  <c r="E270" i="31"/>
  <c r="U269" i="31"/>
  <c r="S269" i="31"/>
  <c r="U268" i="31"/>
  <c r="S268" i="31"/>
  <c r="U267" i="31"/>
  <c r="S267" i="31"/>
  <c r="U266" i="31"/>
  <c r="S266" i="31"/>
  <c r="U265" i="31"/>
  <c r="S265" i="31"/>
  <c r="U264" i="31"/>
  <c r="S264" i="31"/>
  <c r="U263" i="31"/>
  <c r="S263" i="31"/>
  <c r="U262" i="31"/>
  <c r="S262" i="31"/>
  <c r="U261" i="31"/>
  <c r="S261" i="31"/>
  <c r="U260" i="31"/>
  <c r="S260" i="31"/>
  <c r="U259" i="31"/>
  <c r="S259" i="31"/>
  <c r="U258" i="31"/>
  <c r="S258" i="31"/>
  <c r="U257" i="31"/>
  <c r="S257" i="31"/>
  <c r="V256" i="31"/>
  <c r="G256" i="31" s="1"/>
  <c r="R256" i="31" s="1"/>
  <c r="U256" i="31"/>
  <c r="S256" i="31"/>
  <c r="U255" i="31"/>
  <c r="S255" i="31"/>
  <c r="U254" i="31"/>
  <c r="S254" i="31"/>
  <c r="U253" i="31"/>
  <c r="S253" i="31"/>
  <c r="U252" i="31"/>
  <c r="S252" i="31"/>
  <c r="U251" i="31"/>
  <c r="S251" i="31"/>
  <c r="V250" i="31"/>
  <c r="G250" i="31" s="1"/>
  <c r="R250" i="31" s="1"/>
  <c r="U250" i="31"/>
  <c r="S250" i="31"/>
  <c r="U249" i="31"/>
  <c r="S249" i="31"/>
  <c r="U248" i="31"/>
  <c r="S248" i="31"/>
  <c r="U247" i="31"/>
  <c r="S247" i="31"/>
  <c r="U246" i="31"/>
  <c r="S246" i="31"/>
  <c r="U245" i="31"/>
  <c r="S245" i="31"/>
  <c r="U244" i="31"/>
  <c r="S244" i="31"/>
  <c r="U243" i="31"/>
  <c r="S243" i="31"/>
  <c r="M241" i="31"/>
  <c r="M270" i="31" s="1"/>
  <c r="F241" i="31"/>
  <c r="T240" i="31"/>
  <c r="M239" i="31"/>
  <c r="M238" i="31"/>
  <c r="T237" i="31"/>
  <c r="U239" i="31" s="1"/>
  <c r="R235" i="31"/>
  <c r="M235" i="31"/>
  <c r="F233" i="31"/>
  <c r="R232" i="31"/>
  <c r="M232" i="31"/>
  <c r="T230" i="31"/>
  <c r="R229" i="31"/>
  <c r="M229" i="31"/>
  <c r="M228" i="31"/>
  <c r="T227" i="31"/>
  <c r="U228" i="31" s="1"/>
  <c r="S225" i="31"/>
  <c r="R225" i="31"/>
  <c r="M225" i="31"/>
  <c r="F223" i="31"/>
  <c r="S222" i="31"/>
  <c r="R222" i="31"/>
  <c r="M222" i="31"/>
  <c r="T220" i="31"/>
  <c r="R219" i="31"/>
  <c r="M219" i="31"/>
  <c r="R218" i="31"/>
  <c r="M218" i="31"/>
  <c r="T217" i="31"/>
  <c r="U219" i="31" s="1"/>
  <c r="S215" i="31"/>
  <c r="F215" i="31" s="1"/>
  <c r="R215" i="31"/>
  <c r="M215" i="31"/>
  <c r="F213" i="31"/>
  <c r="S212" i="31"/>
  <c r="F212" i="31" s="1"/>
  <c r="R212" i="31"/>
  <c r="M212" i="31"/>
  <c r="T210" i="31"/>
  <c r="F210" i="31"/>
  <c r="S209" i="31"/>
  <c r="R209" i="31"/>
  <c r="M209" i="31"/>
  <c r="R208" i="31"/>
  <c r="M208" i="31"/>
  <c r="F206" i="31"/>
  <c r="S205" i="31"/>
  <c r="R205" i="31"/>
  <c r="M205" i="31"/>
  <c r="R204" i="31"/>
  <c r="M204" i="31"/>
  <c r="S201" i="31"/>
  <c r="R201" i="31"/>
  <c r="M201" i="31"/>
  <c r="G201" i="31"/>
  <c r="S200" i="31"/>
  <c r="R200" i="31"/>
  <c r="M200" i="31"/>
  <c r="S199" i="31"/>
  <c r="R199" i="31"/>
  <c r="R198" i="31"/>
  <c r="M198" i="31"/>
  <c r="M199" i="31" s="1"/>
  <c r="S197" i="31"/>
  <c r="R197" i="31"/>
  <c r="R196" i="31"/>
  <c r="M196" i="31"/>
  <c r="M197" i="31" s="1"/>
  <c r="S195" i="31"/>
  <c r="R195" i="31"/>
  <c r="R194" i="31"/>
  <c r="M194" i="31"/>
  <c r="M195" i="31" s="1"/>
  <c r="S193" i="31"/>
  <c r="R193" i="31"/>
  <c r="R192" i="31"/>
  <c r="M192" i="31"/>
  <c r="M193" i="31" s="1"/>
  <c r="S191" i="31"/>
  <c r="R191" i="31"/>
  <c r="M191" i="31"/>
  <c r="R190" i="31"/>
  <c r="M190" i="31"/>
  <c r="G190" i="31"/>
  <c r="G191" i="31" s="1"/>
  <c r="S189" i="31"/>
  <c r="R189" i="31"/>
  <c r="R188" i="31"/>
  <c r="M188" i="31"/>
  <c r="M189" i="31" s="1"/>
  <c r="G187" i="31"/>
  <c r="G208" i="31" s="1"/>
  <c r="G209" i="31" s="1"/>
  <c r="T186" i="31"/>
  <c r="R185" i="31"/>
  <c r="M185" i="31"/>
  <c r="E185" i="31"/>
  <c r="S185" i="31" s="1"/>
  <c r="U184" i="31"/>
  <c r="S184" i="31"/>
  <c r="F184" i="31" s="1"/>
  <c r="R184" i="31"/>
  <c r="M184" i="31"/>
  <c r="R181" i="31"/>
  <c r="M181" i="31"/>
  <c r="E181" i="31"/>
  <c r="S181" i="31" s="1"/>
  <c r="U180" i="31"/>
  <c r="S180" i="31"/>
  <c r="F180" i="31" s="1"/>
  <c r="V180" i="31" s="1"/>
  <c r="G180" i="31" s="1"/>
  <c r="R180" i="31"/>
  <c r="M180" i="31"/>
  <c r="R177" i="31"/>
  <c r="M177" i="31"/>
  <c r="E177" i="31"/>
  <c r="S177" i="31" s="1"/>
  <c r="U176" i="31"/>
  <c r="S176" i="31"/>
  <c r="F176" i="31" s="1"/>
  <c r="V176" i="31" s="1"/>
  <c r="G176" i="31" s="1"/>
  <c r="R176" i="31"/>
  <c r="M176" i="31"/>
  <c r="R175" i="31"/>
  <c r="M175" i="31"/>
  <c r="E175" i="31"/>
  <c r="S175" i="31" s="1"/>
  <c r="U174" i="31"/>
  <c r="S174" i="31"/>
  <c r="F174" i="31" s="1"/>
  <c r="R174" i="31"/>
  <c r="M174" i="31"/>
  <c r="T173" i="31"/>
  <c r="T172" i="31"/>
  <c r="S171" i="31"/>
  <c r="R171" i="31"/>
  <c r="M171" i="31"/>
  <c r="R170" i="31"/>
  <c r="M170" i="31"/>
  <c r="S169" i="31"/>
  <c r="R169" i="31"/>
  <c r="R168" i="31"/>
  <c r="M168" i="31"/>
  <c r="M169" i="31" s="1"/>
  <c r="G167" i="31"/>
  <c r="T167" i="31" s="1"/>
  <c r="U170" i="31" s="1"/>
  <c r="T166" i="31"/>
  <c r="S165" i="31"/>
  <c r="R165" i="31"/>
  <c r="M165" i="31"/>
  <c r="R164" i="31"/>
  <c r="M164" i="31"/>
  <c r="S163" i="31"/>
  <c r="R163" i="31"/>
  <c r="M163" i="31"/>
  <c r="R162" i="31"/>
  <c r="M162" i="31"/>
  <c r="G161" i="31"/>
  <c r="T161" i="31" s="1"/>
  <c r="U164" i="31" s="1"/>
  <c r="F161" i="31"/>
  <c r="S159" i="31"/>
  <c r="R159" i="31"/>
  <c r="M159" i="31"/>
  <c r="F159" i="31"/>
  <c r="F160" i="31" s="1"/>
  <c r="F157" i="31"/>
  <c r="R156" i="31"/>
  <c r="M156" i="31"/>
  <c r="R153" i="31"/>
  <c r="M153" i="31"/>
  <c r="F153" i="31"/>
  <c r="F154" i="31" s="1"/>
  <c r="F155" i="31" s="1"/>
  <c r="F151" i="31"/>
  <c r="R150" i="31"/>
  <c r="M150" i="31"/>
  <c r="F148" i="31"/>
  <c r="S147" i="31"/>
  <c r="R147" i="31"/>
  <c r="M147" i="31"/>
  <c r="F145" i="31"/>
  <c r="S144" i="31"/>
  <c r="R144" i="31"/>
  <c r="M144" i="31"/>
  <c r="S143" i="31"/>
  <c r="R143" i="31"/>
  <c r="M143" i="31"/>
  <c r="S142" i="31"/>
  <c r="R142" i="31"/>
  <c r="M142" i="31"/>
  <c r="S141" i="31"/>
  <c r="R141" i="31"/>
  <c r="M141" i="31"/>
  <c r="S140" i="31"/>
  <c r="R140" i="31"/>
  <c r="M140" i="31"/>
  <c r="S139" i="31"/>
  <c r="R139" i="31"/>
  <c r="M139" i="31"/>
  <c r="S136" i="31"/>
  <c r="R136" i="31"/>
  <c r="M136" i="31"/>
  <c r="S135" i="31"/>
  <c r="R135" i="31"/>
  <c r="M135" i="31"/>
  <c r="S134" i="31"/>
  <c r="R134" i="31"/>
  <c r="M134" i="31"/>
  <c r="S133" i="31"/>
  <c r="R133" i="31"/>
  <c r="M133" i="31"/>
  <c r="S132" i="31"/>
  <c r="R132" i="31"/>
  <c r="M132" i="31"/>
  <c r="R131" i="31"/>
  <c r="M131" i="31"/>
  <c r="G130" i="31"/>
  <c r="G131" i="31" s="1"/>
  <c r="F131" i="31"/>
  <c r="F137" i="31" s="1"/>
  <c r="F129" i="31"/>
  <c r="S128" i="31"/>
  <c r="R128" i="31"/>
  <c r="M128" i="31"/>
  <c r="T127" i="31"/>
  <c r="S127" i="31"/>
  <c r="R127" i="31"/>
  <c r="M127" i="31"/>
  <c r="V126" i="31"/>
  <c r="G126" i="31" s="1"/>
  <c r="U126" i="31"/>
  <c r="S126" i="31"/>
  <c r="R126" i="31"/>
  <c r="M126" i="31"/>
  <c r="V125" i="31"/>
  <c r="G125" i="31" s="1"/>
  <c r="U125" i="31"/>
  <c r="S125" i="31"/>
  <c r="R125" i="31"/>
  <c r="M125" i="31"/>
  <c r="V124" i="31"/>
  <c r="G124" i="31" s="1"/>
  <c r="U124" i="31"/>
  <c r="S124" i="31"/>
  <c r="F124" i="31" s="1"/>
  <c r="R124" i="31"/>
  <c r="M124" i="31"/>
  <c r="T123" i="31"/>
  <c r="S121" i="31"/>
  <c r="R121" i="31"/>
  <c r="M121" i="31"/>
  <c r="T120" i="31"/>
  <c r="S120" i="31"/>
  <c r="R120" i="31"/>
  <c r="M120" i="31"/>
  <c r="M119" i="31"/>
  <c r="I119" i="31"/>
  <c r="R119" i="31" s="1"/>
  <c r="M118" i="31"/>
  <c r="I118" i="31"/>
  <c r="R118" i="31" s="1"/>
  <c r="R117" i="31"/>
  <c r="M117" i="31"/>
  <c r="G116" i="31"/>
  <c r="T116" i="31" s="1"/>
  <c r="R114" i="31"/>
  <c r="M114" i="31"/>
  <c r="G114" i="31"/>
  <c r="E114" i="31"/>
  <c r="F115" i="31" s="1"/>
  <c r="S113" i="31"/>
  <c r="F113" i="31" s="1"/>
  <c r="R113" i="31"/>
  <c r="M113" i="31"/>
  <c r="R110" i="31"/>
  <c r="M110" i="31"/>
  <c r="G110" i="31"/>
  <c r="E110" i="31"/>
  <c r="S110" i="31" s="1"/>
  <c r="S109" i="31"/>
  <c r="F109" i="31" s="1"/>
  <c r="R109" i="31"/>
  <c r="M109" i="31"/>
  <c r="R106" i="31"/>
  <c r="G106" i="31"/>
  <c r="E106" i="31"/>
  <c r="F107" i="31" s="1"/>
  <c r="S105" i="31"/>
  <c r="F105" i="31" s="1"/>
  <c r="R105" i="31"/>
  <c r="S102" i="31"/>
  <c r="R102" i="31"/>
  <c r="M102" i="31"/>
  <c r="R101" i="31"/>
  <c r="M101" i="31"/>
  <c r="G100" i="31"/>
  <c r="G101" i="31" s="1"/>
  <c r="G102" i="31" s="1"/>
  <c r="S98" i="31"/>
  <c r="R98" i="31"/>
  <c r="R97" i="31"/>
  <c r="R96" i="31"/>
  <c r="M95" i="31"/>
  <c r="M98" i="31" s="1"/>
  <c r="S94" i="31"/>
  <c r="R94" i="31"/>
  <c r="S93" i="31"/>
  <c r="R93" i="31"/>
  <c r="R92" i="31"/>
  <c r="R91" i="31"/>
  <c r="M90" i="31"/>
  <c r="M94" i="31" s="1"/>
  <c r="S89" i="31"/>
  <c r="R89" i="31"/>
  <c r="S88" i="31"/>
  <c r="R88" i="31"/>
  <c r="S87" i="31"/>
  <c r="R87" i="31"/>
  <c r="S86" i="31"/>
  <c r="R86" i="31"/>
  <c r="S85" i="31"/>
  <c r="R85" i="31"/>
  <c r="S84" i="31"/>
  <c r="R84" i="31"/>
  <c r="R83" i="31"/>
  <c r="S82" i="31"/>
  <c r="R82" i="31"/>
  <c r="R81" i="31"/>
  <c r="R80" i="31"/>
  <c r="F99" i="31"/>
  <c r="S79" i="31"/>
  <c r="R79" i="31"/>
  <c r="M78" i="31"/>
  <c r="M89" i="31" s="1"/>
  <c r="R76" i="31"/>
  <c r="M75" i="31"/>
  <c r="M76" i="31" s="1"/>
  <c r="R74" i="31"/>
  <c r="M73" i="31"/>
  <c r="M74" i="31" s="1"/>
  <c r="R72" i="31"/>
  <c r="M71" i="31"/>
  <c r="M72" i="31" s="1"/>
  <c r="R70" i="31"/>
  <c r="M69" i="31"/>
  <c r="M70" i="31" s="1"/>
  <c r="R68" i="31"/>
  <c r="M67" i="31"/>
  <c r="M68" i="31" s="1"/>
  <c r="R66" i="31"/>
  <c r="M66" i="31"/>
  <c r="E66" i="31"/>
  <c r="R65" i="31"/>
  <c r="M65" i="31"/>
  <c r="R63" i="31"/>
  <c r="M63" i="31"/>
  <c r="E63" i="31"/>
  <c r="R62" i="31"/>
  <c r="R60" i="31"/>
  <c r="M60" i="31"/>
  <c r="R59" i="31"/>
  <c r="M59" i="31"/>
  <c r="R58" i="31"/>
  <c r="M58" i="31"/>
  <c r="E58" i="31"/>
  <c r="R57" i="31"/>
  <c r="M57" i="31"/>
  <c r="G57" i="31"/>
  <c r="G58" i="31" s="1"/>
  <c r="R56" i="31"/>
  <c r="M56" i="31"/>
  <c r="E56" i="31"/>
  <c r="R55" i="31"/>
  <c r="M55" i="31"/>
  <c r="R54" i="31"/>
  <c r="M54" i="31"/>
  <c r="R53" i="31"/>
  <c r="M53" i="31"/>
  <c r="G53" i="31"/>
  <c r="E53" i="31"/>
  <c r="R52" i="31"/>
  <c r="M52" i="31"/>
  <c r="T51" i="31"/>
  <c r="R51" i="31"/>
  <c r="M51" i="31"/>
  <c r="E51" i="31"/>
  <c r="S51" i="31" s="1"/>
  <c r="U50" i="31"/>
  <c r="S50" i="31"/>
  <c r="F50" i="31" s="1"/>
  <c r="R50" i="31"/>
  <c r="M50" i="31"/>
  <c r="R49" i="31"/>
  <c r="M49" i="31"/>
  <c r="G49" i="31"/>
  <c r="E49" i="31"/>
  <c r="R48" i="31"/>
  <c r="M48" i="31"/>
  <c r="R47" i="31"/>
  <c r="M47" i="31"/>
  <c r="E47" i="31"/>
  <c r="R46" i="31"/>
  <c r="M46" i="31"/>
  <c r="R45" i="31"/>
  <c r="M45" i="31"/>
  <c r="E45" i="31"/>
  <c r="R44" i="31"/>
  <c r="M44" i="31"/>
  <c r="R43" i="31"/>
  <c r="M43" i="31"/>
  <c r="E43" i="31"/>
  <c r="R42" i="31"/>
  <c r="M42" i="31"/>
  <c r="F65" i="31"/>
  <c r="R39" i="31"/>
  <c r="M38" i="31"/>
  <c r="M39" i="31" s="1"/>
  <c r="R37" i="31"/>
  <c r="M36" i="31"/>
  <c r="M37" i="31" s="1"/>
  <c r="R35" i="31"/>
  <c r="M35" i="31"/>
  <c r="R33" i="31"/>
  <c r="M33" i="31"/>
  <c r="E33" i="31"/>
  <c r="R32" i="31"/>
  <c r="M32" i="31"/>
  <c r="G32" i="31"/>
  <c r="G33" i="31" s="1"/>
  <c r="R30" i="31"/>
  <c r="M30" i="31"/>
  <c r="E30" i="31"/>
  <c r="R29" i="31"/>
  <c r="M29" i="31"/>
  <c r="G29" i="31"/>
  <c r="G30" i="31" s="1"/>
  <c r="R27" i="31"/>
  <c r="M27" i="31"/>
  <c r="R26" i="31"/>
  <c r="M26" i="31"/>
  <c r="G26" i="31"/>
  <c r="G59" i="31" s="1"/>
  <c r="G60" i="31" s="1"/>
  <c r="R25" i="31"/>
  <c r="M25" i="31"/>
  <c r="G25" i="31"/>
  <c r="E25" i="31"/>
  <c r="R24" i="31"/>
  <c r="M24" i="31"/>
  <c r="T23" i="31"/>
  <c r="R23" i="31"/>
  <c r="M23" i="31"/>
  <c r="E23" i="31"/>
  <c r="R22" i="31"/>
  <c r="M22" i="31"/>
  <c r="R21" i="31"/>
  <c r="M21" i="31"/>
  <c r="E21" i="31"/>
  <c r="R20" i="31"/>
  <c r="M20" i="31"/>
  <c r="R19" i="31"/>
  <c r="M19" i="31"/>
  <c r="R18" i="31"/>
  <c r="M18" i="31"/>
  <c r="J15" i="31"/>
  <c r="O14" i="31"/>
  <c r="O13" i="31"/>
  <c r="O12" i="31"/>
  <c r="C19" i="31" s="1"/>
  <c r="M12" i="31"/>
  <c r="O11" i="31"/>
  <c r="M11" i="31"/>
  <c r="U9" i="31"/>
  <c r="K7" i="31"/>
  <c r="V1" i="31"/>
  <c r="U1" i="31"/>
  <c r="U7" i="31" s="1"/>
  <c r="T1" i="31"/>
  <c r="N254" i="32" l="1"/>
  <c r="O254" i="32" s="1"/>
  <c r="J249" i="32"/>
  <c r="K249" i="32" s="1"/>
  <c r="L249" i="32" s="1"/>
  <c r="L185" i="41"/>
  <c r="L186" i="41" s="1"/>
  <c r="K107" i="42"/>
  <c r="J91" i="43"/>
  <c r="K91" i="43" s="1"/>
  <c r="L91" i="43" s="1"/>
  <c r="V23" i="43"/>
  <c r="J245" i="32"/>
  <c r="K245" i="32" s="1"/>
  <c r="L245" i="32" s="1"/>
  <c r="H50" i="43"/>
  <c r="N50" i="43" s="1"/>
  <c r="O50" i="43" s="1"/>
  <c r="H51" i="43"/>
  <c r="J51" i="43" s="1"/>
  <c r="K51" i="43" s="1"/>
  <c r="L51" i="43" s="1"/>
  <c r="F37" i="43"/>
  <c r="N32" i="43"/>
  <c r="O32" i="43" s="1"/>
  <c r="J59" i="32"/>
  <c r="K59" i="32" s="1"/>
  <c r="L59" i="32" s="1"/>
  <c r="J107" i="32"/>
  <c r="J259" i="32"/>
  <c r="K259" i="32" s="1"/>
  <c r="K107" i="41"/>
  <c r="K115" i="32"/>
  <c r="A7" i="38"/>
  <c r="L107" i="42"/>
  <c r="L185" i="43"/>
  <c r="L186" i="43" s="1"/>
  <c r="K387" i="32"/>
  <c r="L387" i="32" s="1"/>
  <c r="K58" i="32"/>
  <c r="L58" i="32" s="1"/>
  <c r="K48" i="32"/>
  <c r="L48" i="32" s="1"/>
  <c r="G19" i="43"/>
  <c r="N50" i="42"/>
  <c r="O50" i="42" s="1"/>
  <c r="J50" i="42"/>
  <c r="K50" i="42" s="1"/>
  <c r="L50" i="42" s="1"/>
  <c r="N91" i="42"/>
  <c r="O91" i="42" s="1"/>
  <c r="J91" i="42"/>
  <c r="N51" i="42"/>
  <c r="O51" i="42" s="1"/>
  <c r="J51" i="42"/>
  <c r="N22" i="43"/>
  <c r="O22" i="43" s="1"/>
  <c r="J22" i="43"/>
  <c r="K22" i="43" s="1"/>
  <c r="L22" i="43" s="1"/>
  <c r="G19" i="42"/>
  <c r="N32" i="42"/>
  <c r="O32" i="42" s="1"/>
  <c r="J32" i="42"/>
  <c r="K32" i="42" s="1"/>
  <c r="L32" i="42" s="1"/>
  <c r="N22" i="42"/>
  <c r="O22" i="42" s="1"/>
  <c r="J22" i="42"/>
  <c r="K22" i="42" s="1"/>
  <c r="L22" i="42" s="1"/>
  <c r="L255" i="43"/>
  <c r="K259" i="42"/>
  <c r="L259" i="42" s="1"/>
  <c r="K266" i="42"/>
  <c r="L266" i="42" s="1"/>
  <c r="G20" i="41"/>
  <c r="V23" i="41"/>
  <c r="G23" i="41"/>
  <c r="H32" i="41"/>
  <c r="L50" i="41"/>
  <c r="J244" i="32"/>
  <c r="K244" i="32" s="1"/>
  <c r="L244" i="32" s="1"/>
  <c r="N50" i="32"/>
  <c r="O50" i="32" s="1"/>
  <c r="J115" i="32"/>
  <c r="J271" i="32"/>
  <c r="K271" i="32" s="1"/>
  <c r="G117" i="32"/>
  <c r="U210" i="32"/>
  <c r="K317" i="32"/>
  <c r="L317" i="32" s="1"/>
  <c r="L254" i="32"/>
  <c r="J182" i="32"/>
  <c r="K343" i="32"/>
  <c r="L343" i="32" s="1"/>
  <c r="K105" i="32"/>
  <c r="L105" i="32" s="1"/>
  <c r="M249" i="31"/>
  <c r="M250" i="31"/>
  <c r="U229" i="31"/>
  <c r="U230" i="31" s="1"/>
  <c r="U374" i="31"/>
  <c r="L390" i="32"/>
  <c r="L361" i="32"/>
  <c r="L375" i="32"/>
  <c r="L304" i="32"/>
  <c r="L322" i="32"/>
  <c r="K235" i="32"/>
  <c r="K236" i="32" s="1"/>
  <c r="K98" i="32"/>
  <c r="L98" i="32" s="1"/>
  <c r="K159" i="32"/>
  <c r="K160" i="32" s="1"/>
  <c r="L88" i="32"/>
  <c r="L400" i="32"/>
  <c r="L109" i="32"/>
  <c r="K153" i="32"/>
  <c r="K154" i="32" s="1"/>
  <c r="L342" i="32"/>
  <c r="L318" i="32"/>
  <c r="M263" i="31"/>
  <c r="L367" i="32"/>
  <c r="L321" i="32"/>
  <c r="L303" i="32"/>
  <c r="F247" i="31"/>
  <c r="V247" i="31" s="1"/>
  <c r="G247" i="31" s="1"/>
  <c r="R247" i="31" s="1"/>
  <c r="L346" i="32"/>
  <c r="L286" i="32"/>
  <c r="K133" i="32"/>
  <c r="L133" i="32" s="1"/>
  <c r="K141" i="32"/>
  <c r="L141" i="32" s="1"/>
  <c r="L24" i="32"/>
  <c r="L327" i="32"/>
  <c r="K185" i="32"/>
  <c r="L185" i="32" s="1"/>
  <c r="L114" i="32"/>
  <c r="L407" i="32"/>
  <c r="L385" i="32"/>
  <c r="L349" i="32"/>
  <c r="J186" i="32"/>
  <c r="L383" i="32"/>
  <c r="L84" i="32"/>
  <c r="L297" i="32"/>
  <c r="L285" i="32"/>
  <c r="L200" i="32"/>
  <c r="K392" i="32"/>
  <c r="L392" i="32" s="1"/>
  <c r="L311" i="32"/>
  <c r="K393" i="32"/>
  <c r="L393" i="32" s="1"/>
  <c r="L76" i="32"/>
  <c r="L82" i="32"/>
  <c r="L143" i="32"/>
  <c r="J51" i="32"/>
  <c r="N51" i="32"/>
  <c r="O51" i="32" s="1"/>
  <c r="L32" i="32"/>
  <c r="K401" i="32"/>
  <c r="L338" i="32"/>
  <c r="L347" i="32"/>
  <c r="L319" i="32"/>
  <c r="N350" i="32"/>
  <c r="O346" i="32"/>
  <c r="O350" i="32" s="1"/>
  <c r="K299" i="32"/>
  <c r="L299" i="32" s="1"/>
  <c r="N260" i="32"/>
  <c r="O260" i="32" s="1"/>
  <c r="J260" i="32"/>
  <c r="K260" i="32" s="1"/>
  <c r="L190" i="32"/>
  <c r="L110" i="32"/>
  <c r="L142" i="32"/>
  <c r="L121" i="32"/>
  <c r="L50" i="32"/>
  <c r="K89" i="32"/>
  <c r="L89" i="32" s="1"/>
  <c r="J394" i="32"/>
  <c r="L356" i="32"/>
  <c r="N344" i="32"/>
  <c r="O338" i="32"/>
  <c r="O344" i="32" s="1"/>
  <c r="L328" i="32"/>
  <c r="L287" i="32"/>
  <c r="L340" i="32"/>
  <c r="K232" i="32"/>
  <c r="K233" i="32" s="1"/>
  <c r="N257" i="32"/>
  <c r="O257" i="32" s="1"/>
  <c r="J257" i="32"/>
  <c r="K257" i="32" s="1"/>
  <c r="L256" i="32"/>
  <c r="L314" i="32"/>
  <c r="K301" i="32"/>
  <c r="L301" i="32" s="1"/>
  <c r="K250" i="32"/>
  <c r="L250" i="32" s="1"/>
  <c r="N253" i="32"/>
  <c r="O253" i="32" s="1"/>
  <c r="J253" i="32"/>
  <c r="K253" i="32" s="1"/>
  <c r="L288" i="32"/>
  <c r="N255" i="32"/>
  <c r="O255" i="32" s="1"/>
  <c r="J255" i="32"/>
  <c r="O212" i="32"/>
  <c r="O213" i="32" s="1"/>
  <c r="N213" i="32"/>
  <c r="L113" i="32"/>
  <c r="N151" i="32"/>
  <c r="O150" i="32"/>
  <c r="O151" i="32" s="1"/>
  <c r="O147" i="32"/>
  <c r="O148" i="32" s="1"/>
  <c r="N148" i="32"/>
  <c r="O396" i="32"/>
  <c r="O401" i="32" s="1"/>
  <c r="N401" i="32"/>
  <c r="K384" i="32"/>
  <c r="L384" i="32" s="1"/>
  <c r="N266" i="32"/>
  <c r="O266" i="32" s="1"/>
  <c r="J266" i="32"/>
  <c r="K266" i="32" s="1"/>
  <c r="N264" i="32"/>
  <c r="O264" i="32" s="1"/>
  <c r="J264" i="32"/>
  <c r="J137" i="32"/>
  <c r="L131" i="32"/>
  <c r="O79" i="32"/>
  <c r="K74" i="32"/>
  <c r="L74" i="32" s="1"/>
  <c r="K201" i="32"/>
  <c r="L201" i="32" s="1"/>
  <c r="K191" i="32"/>
  <c r="L191" i="32" s="1"/>
  <c r="K125" i="32"/>
  <c r="L125" i="32" s="1"/>
  <c r="N186" i="32"/>
  <c r="O184" i="32"/>
  <c r="O186" i="32" s="1"/>
  <c r="K177" i="32"/>
  <c r="L177" i="32" s="1"/>
  <c r="N182" i="32"/>
  <c r="O180" i="32"/>
  <c r="O182" i="32" s="1"/>
  <c r="K350" i="32"/>
  <c r="J246" i="32"/>
  <c r="K246" i="32" s="1"/>
  <c r="L246" i="32" s="1"/>
  <c r="N246" i="32"/>
  <c r="O246" i="32" s="1"/>
  <c r="O159" i="32"/>
  <c r="O160" i="32" s="1"/>
  <c r="N160" i="32"/>
  <c r="J369" i="32"/>
  <c r="N270" i="32"/>
  <c r="O270" i="32" s="1"/>
  <c r="J270" i="32"/>
  <c r="K270" i="32" s="1"/>
  <c r="J129" i="32"/>
  <c r="K111" i="32"/>
  <c r="N410" i="32"/>
  <c r="O406" i="32"/>
  <c r="O410" i="32" s="1"/>
  <c r="K359" i="32"/>
  <c r="L359" i="32" s="1"/>
  <c r="K355" i="32"/>
  <c r="L355" i="32" s="1"/>
  <c r="K312" i="32"/>
  <c r="L312" i="32" s="1"/>
  <c r="K316" i="32"/>
  <c r="L316" i="32" s="1"/>
  <c r="K320" i="32"/>
  <c r="L320" i="32" s="1"/>
  <c r="K324" i="32"/>
  <c r="L324" i="32" s="1"/>
  <c r="K295" i="32"/>
  <c r="L295" i="32" s="1"/>
  <c r="N269" i="32"/>
  <c r="O269" i="32" s="1"/>
  <c r="J269" i="32"/>
  <c r="N243" i="32"/>
  <c r="O243" i="32" s="1"/>
  <c r="J243" i="32"/>
  <c r="K243" i="32" s="1"/>
  <c r="O113" i="32"/>
  <c r="O115" i="32" s="1"/>
  <c r="N115" i="32"/>
  <c r="K150" i="32"/>
  <c r="K151" i="32" s="1"/>
  <c r="O105" i="32"/>
  <c r="O107" i="32" s="1"/>
  <c r="N107" i="32"/>
  <c r="J401" i="32"/>
  <c r="K362" i="32"/>
  <c r="L362" i="32" s="1"/>
  <c r="O352" i="32"/>
  <c r="K294" i="32"/>
  <c r="L294" i="32" s="1"/>
  <c r="K291" i="32"/>
  <c r="L291" i="32" s="1"/>
  <c r="N248" i="32"/>
  <c r="O248" i="32" s="1"/>
  <c r="J248" i="32"/>
  <c r="K248" i="32" s="1"/>
  <c r="L248" i="32" s="1"/>
  <c r="K284" i="32"/>
  <c r="N251" i="32"/>
  <c r="O251" i="32" s="1"/>
  <c r="J251" i="32"/>
  <c r="K251" i="32" s="1"/>
  <c r="N216" i="32"/>
  <c r="O215" i="32"/>
  <c r="O216" i="32" s="1"/>
  <c r="O131" i="32"/>
  <c r="O137" i="32" s="1"/>
  <c r="N137" i="32"/>
  <c r="K128" i="32"/>
  <c r="L128" i="32" s="1"/>
  <c r="K93" i="32"/>
  <c r="L93" i="32" s="1"/>
  <c r="J145" i="32"/>
  <c r="L139" i="32"/>
  <c r="K184" i="32"/>
  <c r="L184" i="32" s="1"/>
  <c r="K180" i="32"/>
  <c r="K182" i="32" s="1"/>
  <c r="N262" i="32"/>
  <c r="O262" i="32" s="1"/>
  <c r="J262" i="32"/>
  <c r="K262" i="32" s="1"/>
  <c r="O235" i="32"/>
  <c r="O236" i="32" s="1"/>
  <c r="N236" i="32"/>
  <c r="K365" i="32"/>
  <c r="K369" i="32" s="1"/>
  <c r="N369" i="32"/>
  <c r="O365" i="32"/>
  <c r="O369" i="32" s="1"/>
  <c r="L397" i="32"/>
  <c r="K315" i="32"/>
  <c r="L315" i="32" s="1"/>
  <c r="N258" i="32"/>
  <c r="O258" i="32" s="1"/>
  <c r="J258" i="32"/>
  <c r="K258" i="32" s="1"/>
  <c r="N233" i="32"/>
  <c r="O232" i="32"/>
  <c r="O233" i="32" s="1"/>
  <c r="N157" i="32"/>
  <c r="O156" i="32"/>
  <c r="O157" i="32" s="1"/>
  <c r="N129" i="32"/>
  <c r="O124" i="32"/>
  <c r="O129" i="32" s="1"/>
  <c r="J111" i="32"/>
  <c r="J410" i="32"/>
  <c r="L406" i="32"/>
  <c r="L409" i="32"/>
  <c r="L382" i="32"/>
  <c r="N252" i="32"/>
  <c r="O252" i="32" s="1"/>
  <c r="J252" i="32"/>
  <c r="K252" i="32" s="1"/>
  <c r="N247" i="32"/>
  <c r="O247" i="32" s="1"/>
  <c r="J247" i="32"/>
  <c r="K247" i="32" s="1"/>
  <c r="K212" i="32"/>
  <c r="K213" i="32" s="1"/>
  <c r="K147" i="32"/>
  <c r="K148" i="32" s="1"/>
  <c r="L396" i="32"/>
  <c r="K352" i="32"/>
  <c r="O284" i="32"/>
  <c r="K215" i="32"/>
  <c r="O139" i="32"/>
  <c r="O145" i="32" s="1"/>
  <c r="N145" i="32"/>
  <c r="L79" i="32"/>
  <c r="K106" i="32"/>
  <c r="L106" i="32" s="1"/>
  <c r="J350" i="32"/>
  <c r="N261" i="32"/>
  <c r="O261" i="32" s="1"/>
  <c r="J261" i="32"/>
  <c r="N394" i="32"/>
  <c r="O381" i="32"/>
  <c r="O394" i="32" s="1"/>
  <c r="L381" i="32"/>
  <c r="J344" i="32"/>
  <c r="K156" i="32"/>
  <c r="K157" i="32" s="1"/>
  <c r="K124" i="32"/>
  <c r="O109" i="32"/>
  <c r="O111" i="32" s="1"/>
  <c r="N111" i="32"/>
  <c r="O153" i="32"/>
  <c r="O154" i="32" s="1"/>
  <c r="N154" i="32"/>
  <c r="K410" i="32"/>
  <c r="N267" i="32"/>
  <c r="O267" i="32" s="1"/>
  <c r="J267" i="32"/>
  <c r="N268" i="32"/>
  <c r="O268" i="32" s="1"/>
  <c r="J268" i="32"/>
  <c r="N263" i="32"/>
  <c r="O263" i="32" s="1"/>
  <c r="J263" i="32"/>
  <c r="N265" i="32"/>
  <c r="O265" i="32" s="1"/>
  <c r="J265" i="32"/>
  <c r="T187" i="31"/>
  <c r="U198" i="31" s="1"/>
  <c r="F126" i="31"/>
  <c r="H126" i="31" s="1"/>
  <c r="F243" i="31"/>
  <c r="V243" i="31" s="1"/>
  <c r="G243" i="31" s="1"/>
  <c r="R243" i="31" s="1"/>
  <c r="M245" i="31"/>
  <c r="C21" i="31"/>
  <c r="U127" i="31"/>
  <c r="U186" i="31"/>
  <c r="M267" i="31"/>
  <c r="U339" i="31"/>
  <c r="F186" i="31"/>
  <c r="M254" i="31"/>
  <c r="M91" i="31"/>
  <c r="V127" i="31"/>
  <c r="F51" i="31"/>
  <c r="M259" i="31"/>
  <c r="U218" i="31"/>
  <c r="U220" i="31" s="1"/>
  <c r="M80" i="31"/>
  <c r="M82" i="31"/>
  <c r="U238" i="31"/>
  <c r="U240" i="31" s="1"/>
  <c r="U341" i="31"/>
  <c r="U373" i="31"/>
  <c r="U376" i="31"/>
  <c r="M96" i="31"/>
  <c r="U372" i="31"/>
  <c r="M81" i="31"/>
  <c r="F201" i="31"/>
  <c r="H201" i="31" s="1"/>
  <c r="C197" i="31"/>
  <c r="C185" i="31"/>
  <c r="F181" i="31"/>
  <c r="H181" i="31" s="1"/>
  <c r="C199" i="31"/>
  <c r="C191" i="31"/>
  <c r="C201" i="31"/>
  <c r="C193" i="31"/>
  <c r="C189" i="31"/>
  <c r="C177" i="31"/>
  <c r="C175" i="31"/>
  <c r="C209" i="31"/>
  <c r="C205" i="31"/>
  <c r="C171" i="31"/>
  <c r="C169" i="31"/>
  <c r="C110" i="31"/>
  <c r="C181" i="31"/>
  <c r="C163" i="31"/>
  <c r="C106" i="31"/>
  <c r="C195" i="31"/>
  <c r="F177" i="31"/>
  <c r="H177" i="31" s="1"/>
  <c r="F175" i="31"/>
  <c r="C165" i="31"/>
  <c r="C114" i="31"/>
  <c r="F191" i="31"/>
  <c r="H191" i="31" s="1"/>
  <c r="C25" i="31"/>
  <c r="G27" i="31"/>
  <c r="H27" i="31" s="1"/>
  <c r="C43" i="31"/>
  <c r="C45" i="31"/>
  <c r="C47" i="31"/>
  <c r="C49" i="31"/>
  <c r="C51" i="31"/>
  <c r="H52" i="31"/>
  <c r="H54" i="31"/>
  <c r="H59" i="31"/>
  <c r="C66" i="31"/>
  <c r="H74" i="31"/>
  <c r="C102" i="31"/>
  <c r="C23" i="31"/>
  <c r="H24" i="31"/>
  <c r="C30" i="31"/>
  <c r="F32" i="31"/>
  <c r="H48" i="31"/>
  <c r="C56" i="31"/>
  <c r="H76" i="31"/>
  <c r="H81" i="31"/>
  <c r="H82" i="31"/>
  <c r="F110" i="31"/>
  <c r="H110" i="31" s="1"/>
  <c r="C33" i="31"/>
  <c r="C58" i="31"/>
  <c r="H58" i="31"/>
  <c r="C63" i="31"/>
  <c r="U117" i="31"/>
  <c r="U119" i="31"/>
  <c r="V119" i="31" s="1"/>
  <c r="G119" i="31" s="1"/>
  <c r="U118" i="31"/>
  <c r="V118" i="31" s="1"/>
  <c r="G118" i="31" s="1"/>
  <c r="H406" i="31"/>
  <c r="H399" i="31"/>
  <c r="H391" i="31"/>
  <c r="H387" i="31"/>
  <c r="H383" i="31"/>
  <c r="H368" i="31"/>
  <c r="H409" i="31"/>
  <c r="H398" i="31"/>
  <c r="H390" i="31"/>
  <c r="H386" i="31"/>
  <c r="H382" i="31"/>
  <c r="H367" i="31"/>
  <c r="H366" i="31"/>
  <c r="H388" i="31"/>
  <c r="H365" i="31"/>
  <c r="H407" i="31"/>
  <c r="H396" i="31"/>
  <c r="H389" i="31"/>
  <c r="H381" i="31"/>
  <c r="H377" i="31"/>
  <c r="H362" i="31"/>
  <c r="H361" i="31"/>
  <c r="H360" i="31"/>
  <c r="H359" i="31"/>
  <c r="H358" i="31"/>
  <c r="H357" i="31"/>
  <c r="H356" i="31"/>
  <c r="H355" i="31"/>
  <c r="H408" i="31"/>
  <c r="H397" i="31"/>
  <c r="H392" i="31"/>
  <c r="H384" i="31"/>
  <c r="H400" i="31"/>
  <c r="H385" i="31"/>
  <c r="H375" i="31"/>
  <c r="H348" i="31"/>
  <c r="H341" i="31"/>
  <c r="H327" i="31"/>
  <c r="H323" i="31"/>
  <c r="H319" i="31"/>
  <c r="H315" i="31"/>
  <c r="H311" i="31"/>
  <c r="H393" i="31"/>
  <c r="H353" i="31"/>
  <c r="H347" i="31"/>
  <c r="H342" i="31"/>
  <c r="H338" i="31"/>
  <c r="H326" i="31"/>
  <c r="H349" i="31"/>
  <c r="H346" i="31"/>
  <c r="H343" i="31"/>
  <c r="H339" i="31"/>
  <c r="H325" i="31"/>
  <c r="H321" i="31"/>
  <c r="H317" i="31"/>
  <c r="H313" i="31"/>
  <c r="H309" i="31"/>
  <c r="H328" i="31"/>
  <c r="H324" i="31"/>
  <c r="H316" i="31"/>
  <c r="H301" i="31"/>
  <c r="H294" i="31"/>
  <c r="H287" i="31"/>
  <c r="H352" i="31"/>
  <c r="H340" i="31"/>
  <c r="H318" i="31"/>
  <c r="H307" i="31"/>
  <c r="H305" i="31"/>
  <c r="H304" i="31"/>
  <c r="H300" i="31"/>
  <c r="H297" i="31"/>
  <c r="H293" i="31"/>
  <c r="H286" i="31"/>
  <c r="H320" i="31"/>
  <c r="H312" i="31"/>
  <c r="H303" i="31"/>
  <c r="H299" i="31"/>
  <c r="H296" i="31"/>
  <c r="H292" i="31"/>
  <c r="H289" i="31"/>
  <c r="H285" i="31"/>
  <c r="H291" i="31"/>
  <c r="H288" i="31"/>
  <c r="H232" i="31"/>
  <c r="H314" i="31"/>
  <c r="H302" i="31"/>
  <c r="H295" i="31"/>
  <c r="H322" i="31"/>
  <c r="H256" i="31"/>
  <c r="H235" i="31"/>
  <c r="H215" i="31"/>
  <c r="H190" i="31"/>
  <c r="H180" i="31"/>
  <c r="H200" i="31"/>
  <c r="H250" i="31"/>
  <c r="H212" i="31"/>
  <c r="H284" i="31"/>
  <c r="H159" i="31"/>
  <c r="H153" i="31"/>
  <c r="H144" i="31"/>
  <c r="H143" i="31"/>
  <c r="H142" i="31"/>
  <c r="H141" i="31"/>
  <c r="H140" i="31"/>
  <c r="H139" i="31"/>
  <c r="H121" i="31"/>
  <c r="H136" i="31"/>
  <c r="H135" i="31"/>
  <c r="H134" i="31"/>
  <c r="H133" i="31"/>
  <c r="H132" i="31"/>
  <c r="H131" i="31"/>
  <c r="H127" i="31"/>
  <c r="H113" i="31"/>
  <c r="H176" i="31"/>
  <c r="H156" i="31"/>
  <c r="H150" i="31"/>
  <c r="H128" i="31"/>
  <c r="H147" i="31"/>
  <c r="H124" i="31"/>
  <c r="H120" i="31"/>
  <c r="H109" i="31"/>
  <c r="H105" i="31"/>
  <c r="H26" i="31"/>
  <c r="V42" i="31"/>
  <c r="V44" i="31"/>
  <c r="G44" i="31" s="1"/>
  <c r="G45" i="31" s="1"/>
  <c r="V46" i="31"/>
  <c r="G46" i="31" s="1"/>
  <c r="G47" i="31" s="1"/>
  <c r="V50" i="31"/>
  <c r="G50" i="31" s="1"/>
  <c r="G51" i="31" s="1"/>
  <c r="C53" i="31"/>
  <c r="H57" i="31"/>
  <c r="H79" i="31"/>
  <c r="M79" i="31"/>
  <c r="M83" i="31"/>
  <c r="H84" i="31"/>
  <c r="M84" i="31"/>
  <c r="H85" i="31"/>
  <c r="M85" i="31"/>
  <c r="H86" i="31"/>
  <c r="M86" i="31"/>
  <c r="H87" i="31"/>
  <c r="M87" i="31"/>
  <c r="H88" i="31"/>
  <c r="M88" i="31"/>
  <c r="H89" i="31"/>
  <c r="M92" i="31"/>
  <c r="H93" i="31"/>
  <c r="M93" i="31"/>
  <c r="H94" i="31"/>
  <c r="M97" i="31"/>
  <c r="H98" i="31"/>
  <c r="S106" i="31"/>
  <c r="F106" i="31" s="1"/>
  <c r="H106" i="31" s="1"/>
  <c r="F111" i="31"/>
  <c r="S114" i="31"/>
  <c r="F114" i="31" s="1"/>
  <c r="H114" i="31" s="1"/>
  <c r="U162" i="31"/>
  <c r="U166" i="31" s="1"/>
  <c r="V198" i="31"/>
  <c r="G198" i="31" s="1"/>
  <c r="G199" i="31" s="1"/>
  <c r="U168" i="31"/>
  <c r="U172" i="31" s="1"/>
  <c r="F125" i="31"/>
  <c r="H125" i="31" s="1"/>
  <c r="F185" i="31"/>
  <c r="H185" i="31" s="1"/>
  <c r="V184" i="31"/>
  <c r="G184" i="31" s="1"/>
  <c r="H184" i="31" s="1"/>
  <c r="F271" i="31"/>
  <c r="V271" i="31" s="1"/>
  <c r="G271" i="31" s="1"/>
  <c r="R271" i="31" s="1"/>
  <c r="F269" i="31"/>
  <c r="V269" i="31" s="1"/>
  <c r="G269" i="31" s="1"/>
  <c r="R269" i="31" s="1"/>
  <c r="F283" i="31"/>
  <c r="F277" i="31"/>
  <c r="F268" i="31"/>
  <c r="V268" i="31" s="1"/>
  <c r="G268" i="31" s="1"/>
  <c r="R268" i="31" s="1"/>
  <c r="F264" i="31"/>
  <c r="V264" i="31" s="1"/>
  <c r="G264" i="31" s="1"/>
  <c r="R264" i="31" s="1"/>
  <c r="F260" i="31"/>
  <c r="V260" i="31" s="1"/>
  <c r="G260" i="31" s="1"/>
  <c r="R260" i="31" s="1"/>
  <c r="F255" i="31"/>
  <c r="V255" i="31" s="1"/>
  <c r="G255" i="31" s="1"/>
  <c r="R255" i="31" s="1"/>
  <c r="F251" i="31"/>
  <c r="V251" i="31" s="1"/>
  <c r="G251" i="31" s="1"/>
  <c r="R251" i="31" s="1"/>
  <c r="F246" i="31"/>
  <c r="V246" i="31" s="1"/>
  <c r="G246" i="31" s="1"/>
  <c r="R246" i="31" s="1"/>
  <c r="F267" i="31"/>
  <c r="V267" i="31" s="1"/>
  <c r="G267" i="31" s="1"/>
  <c r="R267" i="31" s="1"/>
  <c r="F263" i="31"/>
  <c r="V263" i="31" s="1"/>
  <c r="G263" i="31" s="1"/>
  <c r="R263" i="31" s="1"/>
  <c r="F259" i="31"/>
  <c r="V259" i="31" s="1"/>
  <c r="G259" i="31" s="1"/>
  <c r="R259" i="31" s="1"/>
  <c r="F254" i="31"/>
  <c r="V254" i="31" s="1"/>
  <c r="G254" i="31" s="1"/>
  <c r="R254" i="31" s="1"/>
  <c r="F249" i="31"/>
  <c r="V249" i="31" s="1"/>
  <c r="G249" i="31" s="1"/>
  <c r="R249" i="31" s="1"/>
  <c r="F245" i="31"/>
  <c r="V245" i="31" s="1"/>
  <c r="G245" i="31" s="1"/>
  <c r="R245" i="31" s="1"/>
  <c r="F273" i="31"/>
  <c r="F266" i="31"/>
  <c r="V266" i="31" s="1"/>
  <c r="G266" i="31" s="1"/>
  <c r="R266" i="31" s="1"/>
  <c r="F262" i="31"/>
  <c r="V262" i="31" s="1"/>
  <c r="G262" i="31" s="1"/>
  <c r="R262" i="31" s="1"/>
  <c r="F258" i="31"/>
  <c r="V258" i="31" s="1"/>
  <c r="G258" i="31" s="1"/>
  <c r="R258" i="31" s="1"/>
  <c r="F253" i="31"/>
  <c r="V253" i="31" s="1"/>
  <c r="G253" i="31" s="1"/>
  <c r="R253" i="31" s="1"/>
  <c r="F248" i="31"/>
  <c r="V248" i="31" s="1"/>
  <c r="G248" i="31" s="1"/>
  <c r="R248" i="31" s="1"/>
  <c r="F244" i="31"/>
  <c r="V244" i="31" s="1"/>
  <c r="G244" i="31" s="1"/>
  <c r="R244" i="31" s="1"/>
  <c r="F261" i="31"/>
  <c r="V261" i="31" s="1"/>
  <c r="G261" i="31" s="1"/>
  <c r="R261" i="31" s="1"/>
  <c r="G204" i="31"/>
  <c r="G205" i="31" s="1"/>
  <c r="F252" i="31"/>
  <c r="V252" i="31" s="1"/>
  <c r="G252" i="31" s="1"/>
  <c r="R252" i="31" s="1"/>
  <c r="U270" i="31"/>
  <c r="F272" i="31"/>
  <c r="S270" i="31"/>
  <c r="F270" i="31" s="1"/>
  <c r="V270" i="31" s="1"/>
  <c r="G270" i="31" s="1"/>
  <c r="R270" i="31" s="1"/>
  <c r="F257" i="31"/>
  <c r="V257" i="31" s="1"/>
  <c r="G257" i="31" s="1"/>
  <c r="R257" i="31" s="1"/>
  <c r="F265" i="31"/>
  <c r="V265" i="31" s="1"/>
  <c r="G265" i="31" s="1"/>
  <c r="R265" i="31" s="1"/>
  <c r="M242" i="31"/>
  <c r="M246" i="31"/>
  <c r="M251" i="31"/>
  <c r="M255" i="31"/>
  <c r="M256" i="31"/>
  <c r="M260" i="31"/>
  <c r="M264" i="31"/>
  <c r="M268" i="31"/>
  <c r="U271" i="31"/>
  <c r="M243" i="31"/>
  <c r="M247" i="31"/>
  <c r="M252" i="31"/>
  <c r="M257" i="31"/>
  <c r="M261" i="31"/>
  <c r="M265" i="31"/>
  <c r="M244" i="31"/>
  <c r="M248" i="31"/>
  <c r="M253" i="31"/>
  <c r="M258" i="31"/>
  <c r="M262" i="31"/>
  <c r="M266" i="31"/>
  <c r="M269" i="31"/>
  <c r="M271" i="31"/>
  <c r="U331" i="31"/>
  <c r="U332" i="31"/>
  <c r="U333" i="31"/>
  <c r="U334" i="31"/>
  <c r="U338" i="31"/>
  <c r="U342" i="31"/>
  <c r="J50" i="43" l="1"/>
  <c r="K50" i="43" s="1"/>
  <c r="L50" i="43" s="1"/>
  <c r="N51" i="43"/>
  <c r="O51" i="43" s="1"/>
  <c r="L111" i="32"/>
  <c r="L115" i="32"/>
  <c r="L259" i="32"/>
  <c r="K145" i="32"/>
  <c r="L153" i="32"/>
  <c r="L154" i="32" s="1"/>
  <c r="L271" i="32"/>
  <c r="A8" i="38"/>
  <c r="L150" i="32"/>
  <c r="L151" i="32" s="1"/>
  <c r="L159" i="32"/>
  <c r="L160" i="32" s="1"/>
  <c r="K394" i="32"/>
  <c r="K344" i="32"/>
  <c r="K137" i="32"/>
  <c r="L232" i="32"/>
  <c r="L233" i="32" s="1"/>
  <c r="L410" i="32"/>
  <c r="L365" i="32"/>
  <c r="L369" i="32" s="1"/>
  <c r="L401" i="32"/>
  <c r="L147" i="32"/>
  <c r="L148" i="32" s="1"/>
  <c r="L212" i="32"/>
  <c r="L213" i="32" s="1"/>
  <c r="K51" i="42"/>
  <c r="L51" i="42" s="1"/>
  <c r="K91" i="42"/>
  <c r="L91" i="42" s="1"/>
  <c r="G21" i="41"/>
  <c r="J32" i="41"/>
  <c r="K32" i="41" s="1"/>
  <c r="L32" i="41" s="1"/>
  <c r="N32" i="41"/>
  <c r="O32" i="41" s="1"/>
  <c r="U196" i="31"/>
  <c r="V196" i="31" s="1"/>
  <c r="G196" i="31" s="1"/>
  <c r="G197" i="31" s="1"/>
  <c r="L107" i="32"/>
  <c r="H51" i="31"/>
  <c r="N51" i="31" s="1"/>
  <c r="O51" i="31" s="1"/>
  <c r="U204" i="31"/>
  <c r="V204" i="31" s="1"/>
  <c r="U208" i="31"/>
  <c r="V208" i="31" s="1"/>
  <c r="U188" i="31"/>
  <c r="U192" i="31"/>
  <c r="V192" i="31" s="1"/>
  <c r="G192" i="31" s="1"/>
  <c r="G193" i="31" s="1"/>
  <c r="U194" i="31"/>
  <c r="V194" i="31" s="1"/>
  <c r="G194" i="31" s="1"/>
  <c r="G195" i="31" s="1"/>
  <c r="H247" i="31"/>
  <c r="N247" i="31" s="1"/>
  <c r="O247" i="31" s="1"/>
  <c r="K129" i="32"/>
  <c r="L180" i="32"/>
  <c r="L182" i="32" s="1"/>
  <c r="L235" i="32"/>
  <c r="L236" i="32" s="1"/>
  <c r="K186" i="32"/>
  <c r="L243" i="32"/>
  <c r="H243" i="31"/>
  <c r="J243" i="31" s="1"/>
  <c r="K243" i="31" s="1"/>
  <c r="L243" i="31" s="1"/>
  <c r="K269" i="32"/>
  <c r="L269" i="32" s="1"/>
  <c r="L260" i="32"/>
  <c r="L350" i="32"/>
  <c r="G91" i="32"/>
  <c r="L186" i="32"/>
  <c r="L270" i="32"/>
  <c r="K268" i="32"/>
  <c r="L268" i="32" s="1"/>
  <c r="K267" i="32"/>
  <c r="L267" i="32" s="1"/>
  <c r="L145" i="32"/>
  <c r="L251" i="32"/>
  <c r="L137" i="32"/>
  <c r="L266" i="32"/>
  <c r="K51" i="32"/>
  <c r="L51" i="32" s="1"/>
  <c r="L394" i="32"/>
  <c r="K265" i="32"/>
  <c r="L265" i="32" s="1"/>
  <c r="K263" i="32"/>
  <c r="L263" i="32" s="1"/>
  <c r="K107" i="32"/>
  <c r="K261" i="32"/>
  <c r="L261" i="32" s="1"/>
  <c r="L247" i="32"/>
  <c r="L252" i="32"/>
  <c r="L258" i="32"/>
  <c r="L262" i="32"/>
  <c r="K264" i="32"/>
  <c r="L264" i="32" s="1"/>
  <c r="K255" i="32"/>
  <c r="L255" i="32" s="1"/>
  <c r="L253" i="32"/>
  <c r="L257" i="32"/>
  <c r="L344" i="32"/>
  <c r="L284" i="32"/>
  <c r="K216" i="32"/>
  <c r="L215" i="32"/>
  <c r="L216" i="32" s="1"/>
  <c r="L352" i="32"/>
  <c r="L156" i="32"/>
  <c r="L157" i="32" s="1"/>
  <c r="L124" i="32"/>
  <c r="L129" i="32" s="1"/>
  <c r="G91" i="31"/>
  <c r="H91" i="31" s="1"/>
  <c r="J91" i="31" s="1"/>
  <c r="K91" i="31" s="1"/>
  <c r="L91" i="31" s="1"/>
  <c r="U379" i="31"/>
  <c r="H269" i="31"/>
  <c r="J269" i="31" s="1"/>
  <c r="K269" i="31" s="1"/>
  <c r="H264" i="31"/>
  <c r="N264" i="31" s="1"/>
  <c r="O264" i="31" s="1"/>
  <c r="H263" i="31"/>
  <c r="N263" i="31" s="1"/>
  <c r="O263" i="31" s="1"/>
  <c r="U343" i="31"/>
  <c r="H46" i="31"/>
  <c r="J46" i="31" s="1"/>
  <c r="K46" i="31" s="1"/>
  <c r="L46" i="31" s="1"/>
  <c r="H245" i="31"/>
  <c r="N245" i="31" s="1"/>
  <c r="O245" i="31" s="1"/>
  <c r="H268" i="31"/>
  <c r="J268" i="31" s="1"/>
  <c r="H251" i="31"/>
  <c r="N125" i="31"/>
  <c r="O125" i="31" s="1"/>
  <c r="J125" i="31"/>
  <c r="K125" i="31" s="1"/>
  <c r="L125" i="31" s="1"/>
  <c r="N185" i="31"/>
  <c r="O185" i="31" s="1"/>
  <c r="J185" i="31"/>
  <c r="K185" i="31" s="1"/>
  <c r="L185" i="31" s="1"/>
  <c r="J106" i="31"/>
  <c r="K106" i="31" s="1"/>
  <c r="N106" i="31"/>
  <c r="O106" i="31" s="1"/>
  <c r="N184" i="31"/>
  <c r="J184" i="31"/>
  <c r="H186" i="31"/>
  <c r="N114" i="31"/>
  <c r="O114" i="31" s="1"/>
  <c r="J114" i="31"/>
  <c r="N93" i="31"/>
  <c r="O93" i="31" s="1"/>
  <c r="J93" i="31"/>
  <c r="K93" i="31" s="1"/>
  <c r="L93" i="31" s="1"/>
  <c r="N26" i="31"/>
  <c r="O26" i="31" s="1"/>
  <c r="J26" i="31"/>
  <c r="H111" i="31"/>
  <c r="N109" i="31"/>
  <c r="J109" i="31"/>
  <c r="K109" i="31" s="1"/>
  <c r="H129" i="31"/>
  <c r="N124" i="31"/>
  <c r="J124" i="31"/>
  <c r="K124" i="31" s="1"/>
  <c r="H151" i="31"/>
  <c r="N150" i="31"/>
  <c r="J150" i="31"/>
  <c r="J151" i="31" s="1"/>
  <c r="N127" i="31"/>
  <c r="O127" i="31" s="1"/>
  <c r="J127" i="31"/>
  <c r="K127" i="31" s="1"/>
  <c r="L127" i="31" s="1"/>
  <c r="N134" i="31"/>
  <c r="O134" i="31" s="1"/>
  <c r="J134" i="31"/>
  <c r="K134" i="31" s="1"/>
  <c r="L134" i="31" s="1"/>
  <c r="N121" i="31"/>
  <c r="O121" i="31" s="1"/>
  <c r="J121" i="31"/>
  <c r="N142" i="31"/>
  <c r="O142" i="31" s="1"/>
  <c r="J142" i="31"/>
  <c r="H160" i="31"/>
  <c r="N159" i="31"/>
  <c r="J159" i="31"/>
  <c r="J160" i="31" s="1"/>
  <c r="H271" i="31"/>
  <c r="N250" i="31"/>
  <c r="O250" i="31" s="1"/>
  <c r="J250" i="31"/>
  <c r="K250" i="31" s="1"/>
  <c r="L250" i="31" s="1"/>
  <c r="N256" i="31"/>
  <c r="O256" i="31" s="1"/>
  <c r="J256" i="31"/>
  <c r="K256" i="31" s="1"/>
  <c r="L256" i="31" s="1"/>
  <c r="H265" i="31"/>
  <c r="N302" i="31"/>
  <c r="O302" i="31" s="1"/>
  <c r="J302" i="31"/>
  <c r="H244" i="31"/>
  <c r="H262" i="31"/>
  <c r="N292" i="31"/>
  <c r="O292" i="31" s="1"/>
  <c r="J292" i="31"/>
  <c r="N286" i="31"/>
  <c r="O286" i="31" s="1"/>
  <c r="J286" i="31"/>
  <c r="N304" i="31"/>
  <c r="O304" i="31" s="1"/>
  <c r="J304" i="31"/>
  <c r="N340" i="31"/>
  <c r="O340" i="31" s="1"/>
  <c r="J340" i="31"/>
  <c r="K340" i="31" s="1"/>
  <c r="L340" i="31" s="1"/>
  <c r="J287" i="31"/>
  <c r="K287" i="31" s="1"/>
  <c r="N287" i="31"/>
  <c r="O287" i="31" s="1"/>
  <c r="N316" i="31"/>
  <c r="O316" i="31" s="1"/>
  <c r="J316" i="31"/>
  <c r="K316" i="31" s="1"/>
  <c r="J313" i="31"/>
  <c r="N313" i="31"/>
  <c r="O313" i="31" s="1"/>
  <c r="N339" i="31"/>
  <c r="O339" i="31" s="1"/>
  <c r="J339" i="31"/>
  <c r="N326" i="31"/>
  <c r="O326" i="31" s="1"/>
  <c r="J326" i="31"/>
  <c r="J347" i="31"/>
  <c r="K347" i="31" s="1"/>
  <c r="N347" i="31"/>
  <c r="O347" i="31" s="1"/>
  <c r="J311" i="31"/>
  <c r="N311" i="31"/>
  <c r="O311" i="31" s="1"/>
  <c r="J327" i="31"/>
  <c r="K327" i="31" s="1"/>
  <c r="N327" i="31"/>
  <c r="O327" i="31" s="1"/>
  <c r="J385" i="31"/>
  <c r="K385" i="31" s="1"/>
  <c r="N385" i="31"/>
  <c r="O385" i="31" s="1"/>
  <c r="J397" i="31"/>
  <c r="N397" i="31"/>
  <c r="O397" i="31" s="1"/>
  <c r="N356" i="31"/>
  <c r="O356" i="31" s="1"/>
  <c r="J356" i="31"/>
  <c r="N360" i="31"/>
  <c r="O360" i="31" s="1"/>
  <c r="J360" i="31"/>
  <c r="H394" i="31"/>
  <c r="J381" i="31"/>
  <c r="K381" i="31" s="1"/>
  <c r="L381" i="31" s="1"/>
  <c r="N381" i="31"/>
  <c r="N365" i="31"/>
  <c r="J365" i="31"/>
  <c r="H369" i="31"/>
  <c r="J382" i="31"/>
  <c r="K382" i="31" s="1"/>
  <c r="L382" i="31" s="1"/>
  <c r="N382" i="31"/>
  <c r="O382" i="31" s="1"/>
  <c r="J409" i="31"/>
  <c r="K409" i="31" s="1"/>
  <c r="L409" i="31" s="1"/>
  <c r="N409" i="31"/>
  <c r="O409" i="31" s="1"/>
  <c r="N383" i="31"/>
  <c r="O383" i="31" s="1"/>
  <c r="J383" i="31"/>
  <c r="K383" i="31" s="1"/>
  <c r="L383" i="31" s="1"/>
  <c r="N406" i="31"/>
  <c r="H410" i="31"/>
  <c r="J406" i="31"/>
  <c r="N82" i="31"/>
  <c r="O82" i="31" s="1"/>
  <c r="J82" i="31"/>
  <c r="K82" i="31" s="1"/>
  <c r="L82" i="31" s="1"/>
  <c r="N74" i="31"/>
  <c r="O74" i="31" s="1"/>
  <c r="J74" i="31"/>
  <c r="K74" i="31" s="1"/>
  <c r="L74" i="31" s="1"/>
  <c r="N52" i="31"/>
  <c r="O52" i="31" s="1"/>
  <c r="J52" i="31"/>
  <c r="K52" i="31" s="1"/>
  <c r="L52" i="31" s="1"/>
  <c r="U336" i="31"/>
  <c r="N88" i="31"/>
  <c r="O88" i="31" s="1"/>
  <c r="J88" i="31"/>
  <c r="K88" i="31" s="1"/>
  <c r="L88" i="31" s="1"/>
  <c r="N86" i="31"/>
  <c r="O86" i="31" s="1"/>
  <c r="J86" i="31"/>
  <c r="K86" i="31" s="1"/>
  <c r="L86" i="31" s="1"/>
  <c r="N84" i="31"/>
  <c r="O84" i="31" s="1"/>
  <c r="J84" i="31"/>
  <c r="K84" i="31" s="1"/>
  <c r="L84" i="31" s="1"/>
  <c r="N79" i="31"/>
  <c r="J79" i="31"/>
  <c r="K79" i="31" s="1"/>
  <c r="N57" i="31"/>
  <c r="O57" i="31" s="1"/>
  <c r="J57" i="31"/>
  <c r="K57" i="31" s="1"/>
  <c r="L57" i="31" s="1"/>
  <c r="V51" i="31"/>
  <c r="G42" i="31"/>
  <c r="N110" i="31"/>
  <c r="O110" i="31" s="1"/>
  <c r="J110" i="31"/>
  <c r="K110" i="31" s="1"/>
  <c r="N181" i="31"/>
  <c r="O181" i="31" s="1"/>
  <c r="J181" i="31"/>
  <c r="K181" i="31" s="1"/>
  <c r="H157" i="31"/>
  <c r="N156" i="31"/>
  <c r="J156" i="31"/>
  <c r="J157" i="31" s="1"/>
  <c r="N176" i="31"/>
  <c r="O176" i="31" s="1"/>
  <c r="J176" i="31"/>
  <c r="K176" i="31" s="1"/>
  <c r="L176" i="31" s="1"/>
  <c r="H137" i="31"/>
  <c r="N131" i="31"/>
  <c r="J131" i="31"/>
  <c r="K131" i="31" s="1"/>
  <c r="N135" i="31"/>
  <c r="O135" i="31" s="1"/>
  <c r="J135" i="31"/>
  <c r="K135" i="31" s="1"/>
  <c r="H145" i="31"/>
  <c r="N139" i="31"/>
  <c r="J139" i="31"/>
  <c r="K139" i="31" s="1"/>
  <c r="N143" i="31"/>
  <c r="O143" i="31" s="1"/>
  <c r="J143" i="31"/>
  <c r="N284" i="31"/>
  <c r="J284" i="31"/>
  <c r="H259" i="31"/>
  <c r="N200" i="31"/>
  <c r="O200" i="31" s="1"/>
  <c r="J200" i="31"/>
  <c r="N190" i="31"/>
  <c r="O190" i="31" s="1"/>
  <c r="J190" i="31"/>
  <c r="K190" i="31" s="1"/>
  <c r="L190" i="31" s="1"/>
  <c r="H236" i="31"/>
  <c r="N235" i="31"/>
  <c r="J235" i="31"/>
  <c r="J236" i="31" s="1"/>
  <c r="H246" i="31"/>
  <c r="H260" i="31"/>
  <c r="H252" i="31"/>
  <c r="N314" i="31"/>
  <c r="O314" i="31" s="1"/>
  <c r="J314" i="31"/>
  <c r="K314" i="31" s="1"/>
  <c r="H248" i="31"/>
  <c r="H266" i="31"/>
  <c r="N296" i="31"/>
  <c r="O296" i="31" s="1"/>
  <c r="J296" i="31"/>
  <c r="N293" i="31"/>
  <c r="O293" i="31" s="1"/>
  <c r="J293" i="31"/>
  <c r="K293" i="31" s="1"/>
  <c r="L293" i="31" s="1"/>
  <c r="N305" i="31"/>
  <c r="O305" i="31" s="1"/>
  <c r="J305" i="31"/>
  <c r="K305" i="31" s="1"/>
  <c r="N352" i="31"/>
  <c r="J352" i="31"/>
  <c r="N324" i="31"/>
  <c r="O324" i="31" s="1"/>
  <c r="J324" i="31"/>
  <c r="K324" i="31" s="1"/>
  <c r="L324" i="31" s="1"/>
  <c r="J317" i="31"/>
  <c r="K317" i="31" s="1"/>
  <c r="N317" i="31"/>
  <c r="O317" i="31" s="1"/>
  <c r="N343" i="31"/>
  <c r="O343" i="31" s="1"/>
  <c r="J343" i="31"/>
  <c r="K343" i="31" s="1"/>
  <c r="N353" i="31"/>
  <c r="O353" i="31" s="1"/>
  <c r="J353" i="31"/>
  <c r="K353" i="31" s="1"/>
  <c r="L353" i="31" s="1"/>
  <c r="N315" i="31"/>
  <c r="O315" i="31" s="1"/>
  <c r="J315" i="31"/>
  <c r="K315" i="31" s="1"/>
  <c r="J341" i="31"/>
  <c r="K341" i="31" s="1"/>
  <c r="L341" i="31" s="1"/>
  <c r="N341" i="31"/>
  <c r="O341" i="31" s="1"/>
  <c r="N400" i="31"/>
  <c r="O400" i="31" s="1"/>
  <c r="J400" i="31"/>
  <c r="K400" i="31" s="1"/>
  <c r="J408" i="31"/>
  <c r="N408" i="31"/>
  <c r="O408" i="31" s="1"/>
  <c r="N357" i="31"/>
  <c r="O357" i="31" s="1"/>
  <c r="J357" i="31"/>
  <c r="K357" i="31" s="1"/>
  <c r="N361" i="31"/>
  <c r="O361" i="31" s="1"/>
  <c r="J361" i="31"/>
  <c r="K361" i="31" s="1"/>
  <c r="J389" i="31"/>
  <c r="K389" i="31" s="1"/>
  <c r="L389" i="31" s="1"/>
  <c r="N389" i="31"/>
  <c r="O389" i="31" s="1"/>
  <c r="N388" i="31"/>
  <c r="O388" i="31" s="1"/>
  <c r="J388" i="31"/>
  <c r="K388" i="31" s="1"/>
  <c r="L388" i="31" s="1"/>
  <c r="J386" i="31"/>
  <c r="K386" i="31" s="1"/>
  <c r="N386" i="31"/>
  <c r="O386" i="31" s="1"/>
  <c r="J368" i="31"/>
  <c r="N368" i="31"/>
  <c r="O368" i="31" s="1"/>
  <c r="N387" i="31"/>
  <c r="O387" i="31" s="1"/>
  <c r="J387" i="31"/>
  <c r="K387" i="31" s="1"/>
  <c r="L387" i="31" s="1"/>
  <c r="U120" i="31"/>
  <c r="V117" i="31" s="1"/>
  <c r="G117" i="31" s="1"/>
  <c r="N58" i="31"/>
  <c r="O58" i="31" s="1"/>
  <c r="J58" i="31"/>
  <c r="K58" i="31" s="1"/>
  <c r="L58" i="31" s="1"/>
  <c r="N81" i="31"/>
  <c r="O81" i="31" s="1"/>
  <c r="J81" i="31"/>
  <c r="K81" i="31" s="1"/>
  <c r="L81" i="31" s="1"/>
  <c r="N24" i="31"/>
  <c r="O24" i="31" s="1"/>
  <c r="J24" i="31"/>
  <c r="K24" i="31" s="1"/>
  <c r="L24" i="31" s="1"/>
  <c r="N54" i="31"/>
  <c r="O54" i="31" s="1"/>
  <c r="J54" i="31"/>
  <c r="K54" i="31" s="1"/>
  <c r="L54" i="31" s="1"/>
  <c r="N94" i="31"/>
  <c r="O94" i="31" s="1"/>
  <c r="J94" i="31"/>
  <c r="N32" i="31"/>
  <c r="O32" i="31" s="1"/>
  <c r="J32" i="31"/>
  <c r="K32" i="31" s="1"/>
  <c r="L32" i="31" s="1"/>
  <c r="N126" i="31"/>
  <c r="O126" i="31" s="1"/>
  <c r="J126" i="31"/>
  <c r="H115" i="31"/>
  <c r="N113" i="31"/>
  <c r="J113" i="31"/>
  <c r="N132" i="31"/>
  <c r="O132" i="31" s="1"/>
  <c r="J132" i="31"/>
  <c r="K132" i="31" s="1"/>
  <c r="L132" i="31" s="1"/>
  <c r="N136" i="31"/>
  <c r="O136" i="31" s="1"/>
  <c r="J136" i="31"/>
  <c r="K136" i="31" s="1"/>
  <c r="L136" i="31" s="1"/>
  <c r="N140" i="31"/>
  <c r="O140" i="31" s="1"/>
  <c r="J140" i="31"/>
  <c r="K140" i="31" s="1"/>
  <c r="L140" i="31" s="1"/>
  <c r="N144" i="31"/>
  <c r="O144" i="31" s="1"/>
  <c r="J144" i="31"/>
  <c r="K144" i="31" s="1"/>
  <c r="L144" i="31" s="1"/>
  <c r="N177" i="31"/>
  <c r="O177" i="31" s="1"/>
  <c r="J177" i="31"/>
  <c r="K177" i="31" s="1"/>
  <c r="L177" i="31" s="1"/>
  <c r="N201" i="31"/>
  <c r="O201" i="31" s="1"/>
  <c r="J201" i="31"/>
  <c r="K201" i="31" s="1"/>
  <c r="L201" i="31" s="1"/>
  <c r="H267" i="31"/>
  <c r="N191" i="31"/>
  <c r="O191" i="31" s="1"/>
  <c r="J191" i="31"/>
  <c r="K191" i="31" s="1"/>
  <c r="L191" i="31" s="1"/>
  <c r="H249" i="31"/>
  <c r="H216" i="31"/>
  <c r="N215" i="31"/>
  <c r="J215" i="31"/>
  <c r="N322" i="31"/>
  <c r="O322" i="31" s="1"/>
  <c r="J322" i="31"/>
  <c r="H257" i="31"/>
  <c r="H253" i="31"/>
  <c r="N288" i="31"/>
  <c r="O288" i="31" s="1"/>
  <c r="J288" i="31"/>
  <c r="N285" i="31"/>
  <c r="O285" i="31" s="1"/>
  <c r="J285" i="31"/>
  <c r="K285" i="31" s="1"/>
  <c r="L285" i="31" s="1"/>
  <c r="N299" i="31"/>
  <c r="O299" i="31" s="1"/>
  <c r="J299" i="31"/>
  <c r="K299" i="31" s="1"/>
  <c r="L299" i="31" s="1"/>
  <c r="N312" i="31"/>
  <c r="O312" i="31" s="1"/>
  <c r="J312" i="31"/>
  <c r="N297" i="31"/>
  <c r="O297" i="31" s="1"/>
  <c r="J297" i="31"/>
  <c r="K297" i="31" s="1"/>
  <c r="L297" i="31" s="1"/>
  <c r="J307" i="31"/>
  <c r="K307" i="31" s="1"/>
  <c r="N307" i="31"/>
  <c r="O307" i="31" s="1"/>
  <c r="H270" i="31"/>
  <c r="J294" i="31"/>
  <c r="K294" i="31" s="1"/>
  <c r="N294" i="31"/>
  <c r="O294" i="31" s="1"/>
  <c r="N328" i="31"/>
  <c r="O328" i="31" s="1"/>
  <c r="J328" i="31"/>
  <c r="K328" i="31" s="1"/>
  <c r="J321" i="31"/>
  <c r="N321" i="31"/>
  <c r="O321" i="31" s="1"/>
  <c r="H350" i="31"/>
  <c r="J346" i="31"/>
  <c r="N346" i="31"/>
  <c r="N338" i="31"/>
  <c r="J338" i="31"/>
  <c r="H344" i="31"/>
  <c r="J393" i="31"/>
  <c r="K393" i="31" s="1"/>
  <c r="L393" i="31" s="1"/>
  <c r="N393" i="31"/>
  <c r="O393" i="31" s="1"/>
  <c r="J319" i="31"/>
  <c r="K319" i="31" s="1"/>
  <c r="L319" i="31" s="1"/>
  <c r="N319" i="31"/>
  <c r="O319" i="31" s="1"/>
  <c r="N348" i="31"/>
  <c r="O348" i="31" s="1"/>
  <c r="J348" i="31"/>
  <c r="K348" i="31" s="1"/>
  <c r="L348" i="31" s="1"/>
  <c r="J384" i="31"/>
  <c r="K384" i="31" s="1"/>
  <c r="L384" i="31" s="1"/>
  <c r="N384" i="31"/>
  <c r="O384" i="31" s="1"/>
  <c r="N358" i="31"/>
  <c r="O358" i="31" s="1"/>
  <c r="J358" i="31"/>
  <c r="K358" i="31" s="1"/>
  <c r="L358" i="31" s="1"/>
  <c r="N362" i="31"/>
  <c r="O362" i="31" s="1"/>
  <c r="J362" i="31"/>
  <c r="K362" i="31" s="1"/>
  <c r="L362" i="31" s="1"/>
  <c r="H401" i="31"/>
  <c r="J396" i="31"/>
  <c r="K396" i="31" s="1"/>
  <c r="N396" i="31"/>
  <c r="N366" i="31"/>
  <c r="O366" i="31" s="1"/>
  <c r="J366" i="31"/>
  <c r="K366" i="31" s="1"/>
  <c r="L366" i="31" s="1"/>
  <c r="J390" i="31"/>
  <c r="K390" i="31" s="1"/>
  <c r="N390" i="31"/>
  <c r="O390" i="31" s="1"/>
  <c r="N391" i="31"/>
  <c r="O391" i="31" s="1"/>
  <c r="J391" i="31"/>
  <c r="K391" i="31" s="1"/>
  <c r="N48" i="31"/>
  <c r="O48" i="31" s="1"/>
  <c r="J48" i="31"/>
  <c r="K48" i="31" s="1"/>
  <c r="L48" i="31" s="1"/>
  <c r="N27" i="31"/>
  <c r="O27" i="31" s="1"/>
  <c r="J27" i="31"/>
  <c r="K27" i="31" s="1"/>
  <c r="L27" i="31" s="1"/>
  <c r="N98" i="31"/>
  <c r="O98" i="31" s="1"/>
  <c r="J98" i="31"/>
  <c r="N89" i="31"/>
  <c r="O89" i="31" s="1"/>
  <c r="J89" i="31"/>
  <c r="N87" i="31"/>
  <c r="O87" i="31" s="1"/>
  <c r="J87" i="31"/>
  <c r="N85" i="31"/>
  <c r="O85" i="31" s="1"/>
  <c r="J85" i="31"/>
  <c r="H50" i="31"/>
  <c r="H107" i="31"/>
  <c r="N105" i="31"/>
  <c r="J105" i="31"/>
  <c r="N120" i="31"/>
  <c r="O120" i="31" s="1"/>
  <c r="J120" i="31"/>
  <c r="H148" i="31"/>
  <c r="N147" i="31"/>
  <c r="J147" i="31"/>
  <c r="J148" i="31" s="1"/>
  <c r="N128" i="31"/>
  <c r="O128" i="31" s="1"/>
  <c r="J128" i="31"/>
  <c r="N133" i="31"/>
  <c r="O133" i="31" s="1"/>
  <c r="J133" i="31"/>
  <c r="K133" i="31" s="1"/>
  <c r="L133" i="31" s="1"/>
  <c r="N141" i="31"/>
  <c r="O141" i="31" s="1"/>
  <c r="J141" i="31"/>
  <c r="K141" i="31" s="1"/>
  <c r="L141" i="31" s="1"/>
  <c r="H154" i="31"/>
  <c r="N153" i="31"/>
  <c r="J153" i="31"/>
  <c r="J154" i="31" s="1"/>
  <c r="H254" i="31"/>
  <c r="H213" i="31"/>
  <c r="N212" i="31"/>
  <c r="J212" i="31"/>
  <c r="J213" i="31" s="1"/>
  <c r="J180" i="31"/>
  <c r="N180" i="31"/>
  <c r="H182" i="31"/>
  <c r="H255" i="31"/>
  <c r="H261" i="31"/>
  <c r="N295" i="31"/>
  <c r="O295" i="31" s="1"/>
  <c r="J295" i="31"/>
  <c r="H233" i="31"/>
  <c r="J232" i="31"/>
  <c r="J233" i="31" s="1"/>
  <c r="N232" i="31"/>
  <c r="H258" i="31"/>
  <c r="N291" i="31"/>
  <c r="O291" i="31" s="1"/>
  <c r="J291" i="31"/>
  <c r="K291" i="31" s="1"/>
  <c r="L291" i="31" s="1"/>
  <c r="N289" i="31"/>
  <c r="O289" i="31" s="1"/>
  <c r="J289" i="31"/>
  <c r="K289" i="31" s="1"/>
  <c r="L289" i="31" s="1"/>
  <c r="N303" i="31"/>
  <c r="O303" i="31" s="1"/>
  <c r="J303" i="31"/>
  <c r="K303" i="31" s="1"/>
  <c r="L303" i="31" s="1"/>
  <c r="N320" i="31"/>
  <c r="O320" i="31" s="1"/>
  <c r="J320" i="31"/>
  <c r="K320" i="31" s="1"/>
  <c r="N300" i="31"/>
  <c r="O300" i="31" s="1"/>
  <c r="J300" i="31"/>
  <c r="N318" i="31"/>
  <c r="O318" i="31" s="1"/>
  <c r="J318" i="31"/>
  <c r="J301" i="31"/>
  <c r="K301" i="31" s="1"/>
  <c r="L301" i="31" s="1"/>
  <c r="N301" i="31"/>
  <c r="O301" i="31" s="1"/>
  <c r="J309" i="31"/>
  <c r="K309" i="31" s="1"/>
  <c r="N309" i="31"/>
  <c r="O309" i="31" s="1"/>
  <c r="J325" i="31"/>
  <c r="K325" i="31" s="1"/>
  <c r="N325" i="31"/>
  <c r="O325" i="31" s="1"/>
  <c r="J349" i="31"/>
  <c r="K349" i="31" s="1"/>
  <c r="N349" i="31"/>
  <c r="O349" i="31" s="1"/>
  <c r="N342" i="31"/>
  <c r="O342" i="31" s="1"/>
  <c r="J342" i="31"/>
  <c r="N323" i="31"/>
  <c r="O323" i="31" s="1"/>
  <c r="J323" i="31"/>
  <c r="K323" i="31" s="1"/>
  <c r="N375" i="31"/>
  <c r="O375" i="31" s="1"/>
  <c r="J375" i="31"/>
  <c r="K375" i="31" s="1"/>
  <c r="L375" i="31" s="1"/>
  <c r="J392" i="31"/>
  <c r="K392" i="31" s="1"/>
  <c r="L392" i="31" s="1"/>
  <c r="N392" i="31"/>
  <c r="O392" i="31" s="1"/>
  <c r="N355" i="31"/>
  <c r="O355" i="31" s="1"/>
  <c r="J355" i="31"/>
  <c r="N359" i="31"/>
  <c r="O359" i="31" s="1"/>
  <c r="J359" i="31"/>
  <c r="N377" i="31"/>
  <c r="O377" i="31" s="1"/>
  <c r="J377" i="31"/>
  <c r="K377" i="31" s="1"/>
  <c r="L377" i="31" s="1"/>
  <c r="J407" i="31"/>
  <c r="K407" i="31" s="1"/>
  <c r="L407" i="31" s="1"/>
  <c r="N407" i="31"/>
  <c r="O407" i="31" s="1"/>
  <c r="N367" i="31"/>
  <c r="O367" i="31" s="1"/>
  <c r="J367" i="31"/>
  <c r="J398" i="31"/>
  <c r="K398" i="31" s="1"/>
  <c r="N398" i="31"/>
  <c r="O398" i="31" s="1"/>
  <c r="N399" i="31"/>
  <c r="O399" i="31" s="1"/>
  <c r="J399" i="31"/>
  <c r="K399" i="31" s="1"/>
  <c r="N76" i="31"/>
  <c r="O76" i="31" s="1"/>
  <c r="J76" i="31"/>
  <c r="K76" i="31" s="1"/>
  <c r="L76" i="31" s="1"/>
  <c r="N59" i="31"/>
  <c r="O59" i="31" s="1"/>
  <c r="J59" i="31"/>
  <c r="K59" i="31" s="1"/>
  <c r="L59" i="31" s="1"/>
  <c r="N60" i="31"/>
  <c r="O60" i="31" s="1"/>
  <c r="J60" i="31"/>
  <c r="K60" i="31" s="1"/>
  <c r="L60" i="31" s="1"/>
  <c r="A9" i="38" l="1"/>
  <c r="K150" i="31"/>
  <c r="K151" i="31" s="1"/>
  <c r="J51" i="31"/>
  <c r="K51" i="31" s="1"/>
  <c r="L51" i="31" s="1"/>
  <c r="J247" i="31"/>
  <c r="K247" i="31" s="1"/>
  <c r="L247" i="31" s="1"/>
  <c r="V120" i="31"/>
  <c r="U210" i="31"/>
  <c r="N243" i="31"/>
  <c r="O243" i="31" s="1"/>
  <c r="N269" i="31"/>
  <c r="O269" i="31" s="1"/>
  <c r="J264" i="31"/>
  <c r="K264" i="31" s="1"/>
  <c r="L264" i="31" s="1"/>
  <c r="J245" i="31"/>
  <c r="K245" i="31" s="1"/>
  <c r="L245" i="31" s="1"/>
  <c r="N46" i="31"/>
  <c r="O46" i="31" s="1"/>
  <c r="N91" i="31"/>
  <c r="O91" i="31" s="1"/>
  <c r="J263" i="31"/>
  <c r="K263" i="31" s="1"/>
  <c r="L263" i="31" s="1"/>
  <c r="J107" i="31"/>
  <c r="J186" i="31"/>
  <c r="L320" i="31"/>
  <c r="K153" i="31"/>
  <c r="K154" i="31" s="1"/>
  <c r="J251" i="31"/>
  <c r="K251" i="31" s="1"/>
  <c r="L251" i="31" s="1"/>
  <c r="J115" i="31"/>
  <c r="J182" i="31"/>
  <c r="N251" i="31"/>
  <c r="O251" i="31" s="1"/>
  <c r="K235" i="31"/>
  <c r="K236" i="31" s="1"/>
  <c r="L309" i="31"/>
  <c r="J216" i="31"/>
  <c r="K215" i="31"/>
  <c r="K216" i="31" s="1"/>
  <c r="K268" i="31"/>
  <c r="L268" i="31" s="1"/>
  <c r="K368" i="31"/>
  <c r="L368" i="31" s="1"/>
  <c r="N268" i="31"/>
  <c r="O268" i="31" s="1"/>
  <c r="L357" i="31"/>
  <c r="K408" i="31"/>
  <c r="L408" i="31" s="1"/>
  <c r="L349" i="31"/>
  <c r="L386" i="31"/>
  <c r="L361" i="31"/>
  <c r="L315" i="31"/>
  <c r="L305" i="31"/>
  <c r="L131" i="31"/>
  <c r="L110" i="31"/>
  <c r="L399" i="31"/>
  <c r="L343" i="31"/>
  <c r="L323" i="31"/>
  <c r="K212" i="31"/>
  <c r="K213" i="31" s="1"/>
  <c r="K147" i="31"/>
  <c r="K148" i="31" s="1"/>
  <c r="K346" i="31"/>
  <c r="L346" i="31" s="1"/>
  <c r="L328" i="31"/>
  <c r="L307" i="31"/>
  <c r="K312" i="31"/>
  <c r="L312" i="31" s="1"/>
  <c r="L400" i="31"/>
  <c r="L314" i="31"/>
  <c r="K200" i="31"/>
  <c r="L200" i="31" s="1"/>
  <c r="L135" i="31"/>
  <c r="L181" i="31"/>
  <c r="K184" i="31"/>
  <c r="K186" i="31" s="1"/>
  <c r="O147" i="31"/>
  <c r="O148" i="31" s="1"/>
  <c r="N148" i="31"/>
  <c r="N254" i="31"/>
  <c r="O254" i="31" s="1"/>
  <c r="J254" i="31"/>
  <c r="K254" i="31" s="1"/>
  <c r="L398" i="31"/>
  <c r="K367" i="31"/>
  <c r="L367" i="31" s="1"/>
  <c r="K359" i="31"/>
  <c r="L359" i="31" s="1"/>
  <c r="K355" i="31"/>
  <c r="L355" i="31" s="1"/>
  <c r="K342" i="31"/>
  <c r="L342" i="31" s="1"/>
  <c r="L325" i="31"/>
  <c r="K318" i="31"/>
  <c r="L318" i="31" s="1"/>
  <c r="K300" i="31"/>
  <c r="L300" i="31" s="1"/>
  <c r="N258" i="31"/>
  <c r="O258" i="31" s="1"/>
  <c r="J258" i="31"/>
  <c r="K258" i="31" s="1"/>
  <c r="K295" i="31"/>
  <c r="L295" i="31" s="1"/>
  <c r="L269" i="31"/>
  <c r="O212" i="31"/>
  <c r="O213" i="31" s="1"/>
  <c r="N213" i="31"/>
  <c r="K128" i="31"/>
  <c r="L128" i="31" s="1"/>
  <c r="K120" i="31"/>
  <c r="L120" i="31" s="1"/>
  <c r="N107" i="31"/>
  <c r="O105" i="31"/>
  <c r="O107" i="31" s="1"/>
  <c r="K85" i="31"/>
  <c r="L85" i="31" s="1"/>
  <c r="K87" i="31"/>
  <c r="L87" i="31" s="1"/>
  <c r="K89" i="31"/>
  <c r="L89" i="31" s="1"/>
  <c r="K98" i="31"/>
  <c r="L98" i="31" s="1"/>
  <c r="L391" i="31"/>
  <c r="L390" i="31"/>
  <c r="N350" i="31"/>
  <c r="O346" i="31"/>
  <c r="O350" i="31" s="1"/>
  <c r="K321" i="31"/>
  <c r="L321" i="31" s="1"/>
  <c r="L294" i="31"/>
  <c r="K288" i="31"/>
  <c r="L288" i="31" s="1"/>
  <c r="K322" i="31"/>
  <c r="L322" i="31" s="1"/>
  <c r="N115" i="31"/>
  <c r="O113" i="31"/>
  <c r="O115" i="31" s="1"/>
  <c r="K126" i="31"/>
  <c r="L126" i="31" s="1"/>
  <c r="K94" i="31"/>
  <c r="L94" i="31" s="1"/>
  <c r="L317" i="31"/>
  <c r="K352" i="31"/>
  <c r="L352" i="31" s="1"/>
  <c r="K296" i="31"/>
  <c r="L296" i="31" s="1"/>
  <c r="N260" i="31"/>
  <c r="O260" i="31" s="1"/>
  <c r="J260" i="31"/>
  <c r="K260" i="31" s="1"/>
  <c r="L260" i="31" s="1"/>
  <c r="O235" i="31"/>
  <c r="O236" i="31" s="1"/>
  <c r="N236" i="31"/>
  <c r="K284" i="31"/>
  <c r="L284" i="31" s="1"/>
  <c r="K143" i="31"/>
  <c r="L143" i="31" s="1"/>
  <c r="K156" i="31"/>
  <c r="K157" i="31" s="1"/>
  <c r="O79" i="31"/>
  <c r="K365" i="31"/>
  <c r="N394" i="31"/>
  <c r="O381" i="31"/>
  <c r="O394" i="31" s="1"/>
  <c r="K397" i="31"/>
  <c r="K401" i="31" s="1"/>
  <c r="L385" i="31"/>
  <c r="L327" i="31"/>
  <c r="K311" i="31"/>
  <c r="L311" i="31" s="1"/>
  <c r="L347" i="31"/>
  <c r="K339" i="31"/>
  <c r="L339" i="31" s="1"/>
  <c r="K313" i="31"/>
  <c r="L313" i="31" s="1"/>
  <c r="L316" i="31"/>
  <c r="L287" i="31"/>
  <c r="K292" i="31"/>
  <c r="L292" i="31" s="1"/>
  <c r="J129" i="31"/>
  <c r="L124" i="31"/>
  <c r="K111" i="31"/>
  <c r="K26" i="31"/>
  <c r="L26" i="31" s="1"/>
  <c r="L106" i="31"/>
  <c r="N255" i="31"/>
  <c r="O255" i="31" s="1"/>
  <c r="J255" i="31"/>
  <c r="K255" i="31" s="1"/>
  <c r="O232" i="31"/>
  <c r="O233" i="31" s="1"/>
  <c r="N233" i="31"/>
  <c r="K232" i="31"/>
  <c r="K233" i="31" s="1"/>
  <c r="O180" i="31"/>
  <c r="O182" i="31" s="1"/>
  <c r="N182" i="31"/>
  <c r="O153" i="31"/>
  <c r="O154" i="31" s="1"/>
  <c r="N154" i="31"/>
  <c r="K105" i="31"/>
  <c r="K107" i="31" s="1"/>
  <c r="N50" i="31"/>
  <c r="O50" i="31" s="1"/>
  <c r="J50" i="31"/>
  <c r="O396" i="31"/>
  <c r="O401" i="31" s="1"/>
  <c r="N401" i="31"/>
  <c r="J350" i="31"/>
  <c r="J270" i="31"/>
  <c r="K270" i="31" s="1"/>
  <c r="N270" i="31"/>
  <c r="O270" i="31" s="1"/>
  <c r="N216" i="31"/>
  <c r="O215" i="31"/>
  <c r="O216" i="31" s="1"/>
  <c r="K113" i="31"/>
  <c r="N266" i="31"/>
  <c r="O266" i="31" s="1"/>
  <c r="J266" i="31"/>
  <c r="K266" i="31" s="1"/>
  <c r="L266" i="31" s="1"/>
  <c r="N246" i="31"/>
  <c r="O246" i="31" s="1"/>
  <c r="J246" i="31"/>
  <c r="K246" i="31" s="1"/>
  <c r="J137" i="31"/>
  <c r="N410" i="31"/>
  <c r="O406" i="31"/>
  <c r="O410" i="31" s="1"/>
  <c r="J394" i="31"/>
  <c r="K360" i="31"/>
  <c r="L360" i="31" s="1"/>
  <c r="K356" i="31"/>
  <c r="L356" i="31" s="1"/>
  <c r="K326" i="31"/>
  <c r="L326" i="31" s="1"/>
  <c r="K304" i="31"/>
  <c r="L304" i="31" s="1"/>
  <c r="K286" i="31"/>
  <c r="L286" i="31" s="1"/>
  <c r="N262" i="31"/>
  <c r="O262" i="31" s="1"/>
  <c r="J262" i="31"/>
  <c r="K262" i="31" s="1"/>
  <c r="L262" i="31" s="1"/>
  <c r="K302" i="31"/>
  <c r="L302" i="31" s="1"/>
  <c r="J271" i="31"/>
  <c r="K271" i="31" s="1"/>
  <c r="L271" i="31" s="1"/>
  <c r="N271" i="31"/>
  <c r="O271" i="31" s="1"/>
  <c r="K159" i="31"/>
  <c r="K160" i="31" s="1"/>
  <c r="K142" i="31"/>
  <c r="K121" i="31"/>
  <c r="L121" i="31" s="1"/>
  <c r="O150" i="31"/>
  <c r="O151" i="31" s="1"/>
  <c r="N151" i="31"/>
  <c r="N129" i="31"/>
  <c r="O124" i="31"/>
  <c r="O129" i="31" s="1"/>
  <c r="J111" i="31"/>
  <c r="L109" i="31"/>
  <c r="K114" i="31"/>
  <c r="L114" i="31" s="1"/>
  <c r="J401" i="31"/>
  <c r="J344" i="31"/>
  <c r="N253" i="31"/>
  <c r="O253" i="31" s="1"/>
  <c r="J253" i="31"/>
  <c r="K253" i="31" s="1"/>
  <c r="L253" i="31" s="1"/>
  <c r="N249" i="31"/>
  <c r="O249" i="31" s="1"/>
  <c r="J249" i="31"/>
  <c r="K249" i="31" s="1"/>
  <c r="L249" i="31" s="1"/>
  <c r="J248" i="31"/>
  <c r="K248" i="31" s="1"/>
  <c r="L248" i="31" s="1"/>
  <c r="N248" i="31"/>
  <c r="O248" i="31" s="1"/>
  <c r="J145" i="31"/>
  <c r="L139" i="31"/>
  <c r="N137" i="31"/>
  <c r="O131" i="31"/>
  <c r="O137" i="31" s="1"/>
  <c r="O156" i="31"/>
  <c r="O157" i="31" s="1"/>
  <c r="N157" i="31"/>
  <c r="J410" i="31"/>
  <c r="J369" i="31"/>
  <c r="K394" i="31"/>
  <c r="N244" i="31"/>
  <c r="O244" i="31" s="1"/>
  <c r="J244" i="31"/>
  <c r="O109" i="31"/>
  <c r="O111" i="31" s="1"/>
  <c r="N111" i="31"/>
  <c r="O184" i="31"/>
  <c r="O186" i="31" s="1"/>
  <c r="N186" i="31"/>
  <c r="N261" i="31"/>
  <c r="O261" i="31" s="1"/>
  <c r="J261" i="31"/>
  <c r="K261" i="31" s="1"/>
  <c r="K180" i="31"/>
  <c r="K182" i="31" s="1"/>
  <c r="L396" i="31"/>
  <c r="K338" i="31"/>
  <c r="N344" i="31"/>
  <c r="O338" i="31"/>
  <c r="O344" i="31" s="1"/>
  <c r="N257" i="31"/>
  <c r="O257" i="31" s="1"/>
  <c r="J257" i="31"/>
  <c r="K257" i="31" s="1"/>
  <c r="N267" i="31"/>
  <c r="O267" i="31" s="1"/>
  <c r="J267" i="31"/>
  <c r="K267" i="31" s="1"/>
  <c r="O352" i="31"/>
  <c r="N252" i="31"/>
  <c r="O252" i="31" s="1"/>
  <c r="J252" i="31"/>
  <c r="K252" i="31" s="1"/>
  <c r="L252" i="31" s="1"/>
  <c r="N259" i="31"/>
  <c r="O259" i="31" s="1"/>
  <c r="J259" i="31"/>
  <c r="K259" i="31" s="1"/>
  <c r="O284" i="31"/>
  <c r="O139" i="31"/>
  <c r="O145" i="31" s="1"/>
  <c r="N145" i="31"/>
  <c r="K137" i="31"/>
  <c r="G43" i="31"/>
  <c r="L79" i="31"/>
  <c r="K406" i="31"/>
  <c r="N369" i="31"/>
  <c r="O365" i="31"/>
  <c r="O369" i="31" s="1"/>
  <c r="N265" i="31"/>
  <c r="O265" i="31" s="1"/>
  <c r="J265" i="31"/>
  <c r="K265" i="31" s="1"/>
  <c r="L265" i="31" s="1"/>
  <c r="O159" i="31"/>
  <c r="O160" i="31" s="1"/>
  <c r="N160" i="31"/>
  <c r="C11" i="26"/>
  <c r="A10" i="38" l="1"/>
  <c r="L150" i="31"/>
  <c r="L151" i="31" s="1"/>
  <c r="L153" i="31"/>
  <c r="L154" i="31" s="1"/>
  <c r="K410" i="31"/>
  <c r="L159" i="31"/>
  <c r="L160" i="31" s="1"/>
  <c r="L105" i="31"/>
  <c r="L107" i="31" s="1"/>
  <c r="K145" i="31"/>
  <c r="L137" i="31"/>
  <c r="C11" i="32"/>
  <c r="L111" i="31"/>
  <c r="K350" i="31"/>
  <c r="L147" i="31"/>
  <c r="L148" i="31" s="1"/>
  <c r="K344" i="31"/>
  <c r="K369" i="31"/>
  <c r="L235" i="31"/>
  <c r="L236" i="31" s="1"/>
  <c r="L212" i="31"/>
  <c r="L213" i="31" s="1"/>
  <c r="K129" i="31"/>
  <c r="L215" i="31"/>
  <c r="L216" i="31" s="1"/>
  <c r="L259" i="31"/>
  <c r="L184" i="31"/>
  <c r="L186" i="31" s="1"/>
  <c r="K244" i="31"/>
  <c r="L244" i="31" s="1"/>
  <c r="L257" i="31"/>
  <c r="L350" i="31"/>
  <c r="L261" i="31"/>
  <c r="L255" i="31"/>
  <c r="L267" i="31"/>
  <c r="L394" i="31"/>
  <c r="K50" i="31"/>
  <c r="L50" i="31" s="1"/>
  <c r="L246" i="31"/>
  <c r="K115" i="31"/>
  <c r="L113" i="31"/>
  <c r="L115" i="31" s="1"/>
  <c r="L270" i="31"/>
  <c r="L156" i="31"/>
  <c r="L157" i="31" s="1"/>
  <c r="L232" i="31"/>
  <c r="L233" i="31" s="1"/>
  <c r="L258" i="31"/>
  <c r="L254" i="31"/>
  <c r="L397" i="31"/>
  <c r="L401" i="31" s="1"/>
  <c r="L142" i="31"/>
  <c r="L145" i="31" s="1"/>
  <c r="N29" i="31"/>
  <c r="O29" i="31" s="1"/>
  <c r="J29" i="31"/>
  <c r="K29" i="31" s="1"/>
  <c r="L29" i="31" s="1"/>
  <c r="L406" i="31"/>
  <c r="L410" i="31" s="1"/>
  <c r="L180" i="31"/>
  <c r="L182" i="31" s="1"/>
  <c r="L365" i="31"/>
  <c r="L369" i="31" s="1"/>
  <c r="L338" i="31"/>
  <c r="L344" i="31" s="1"/>
  <c r="L129" i="31"/>
  <c r="I411" i="7"/>
  <c r="A11" i="38" l="1"/>
  <c r="N18" i="31"/>
  <c r="J18" i="31"/>
  <c r="G190" i="7"/>
  <c r="F190" i="7"/>
  <c r="A12" i="38" l="1"/>
  <c r="K18" i="31"/>
  <c r="O18" i="31"/>
  <c r="A13" i="38" l="1"/>
  <c r="L18" i="31"/>
  <c r="E65" i="26"/>
  <c r="A14" i="38" l="1"/>
  <c r="G55" i="41"/>
  <c r="G55" i="42"/>
  <c r="G55" i="43"/>
  <c r="G55" i="32"/>
  <c r="G55" i="31"/>
  <c r="G56" i="31" s="1"/>
  <c r="H56" i="31" s="1"/>
  <c r="A15" i="38" l="1"/>
  <c r="G56" i="43"/>
  <c r="H56" i="43" s="1"/>
  <c r="G56" i="42"/>
  <c r="H56" i="42" s="1"/>
  <c r="G56" i="41"/>
  <c r="H56" i="41" s="1"/>
  <c r="G56" i="32"/>
  <c r="H56" i="32" s="1"/>
  <c r="H55" i="32"/>
  <c r="H55" i="31"/>
  <c r="J55" i="31" s="1"/>
  <c r="K55" i="31" s="1"/>
  <c r="L55" i="31" s="1"/>
  <c r="N56" i="31"/>
  <c r="O56" i="31" s="1"/>
  <c r="J56" i="31"/>
  <c r="K56" i="31" s="1"/>
  <c r="L56" i="31" s="1"/>
  <c r="A16" i="38" l="1"/>
  <c r="J56" i="41"/>
  <c r="K56" i="41" s="1"/>
  <c r="L56" i="41" s="1"/>
  <c r="N56" i="41"/>
  <c r="O56" i="41" s="1"/>
  <c r="N56" i="42"/>
  <c r="O56" i="42" s="1"/>
  <c r="J56" i="42"/>
  <c r="K56" i="42" s="1"/>
  <c r="L56" i="42" s="1"/>
  <c r="J56" i="43"/>
  <c r="K56" i="43" s="1"/>
  <c r="L56" i="43" s="1"/>
  <c r="N56" i="43"/>
  <c r="O56" i="43" s="1"/>
  <c r="N55" i="32"/>
  <c r="O55" i="32" s="1"/>
  <c r="J55" i="32"/>
  <c r="K55" i="32" s="1"/>
  <c r="L55" i="32" s="1"/>
  <c r="N56" i="32"/>
  <c r="O56" i="32" s="1"/>
  <c r="J56" i="32"/>
  <c r="K56" i="32" s="1"/>
  <c r="N55" i="31"/>
  <c r="O55" i="31" s="1"/>
  <c r="A17" i="38" l="1"/>
  <c r="L56" i="32"/>
  <c r="A18" i="38" l="1"/>
  <c r="E62" i="26"/>
  <c r="A19" i="38" l="1"/>
  <c r="G39" i="42"/>
  <c r="H39" i="42" s="1"/>
  <c r="G39" i="43"/>
  <c r="H39" i="43" s="1"/>
  <c r="G39" i="41"/>
  <c r="F60" i="32"/>
  <c r="F27" i="32"/>
  <c r="H27" i="32" s="1"/>
  <c r="G39" i="32"/>
  <c r="G39" i="31"/>
  <c r="H39" i="31" s="1"/>
  <c r="N39" i="31" s="1"/>
  <c r="O39" i="31" s="1"/>
  <c r="D43" i="26"/>
  <c r="A20" i="38" l="1"/>
  <c r="A21" i="38" s="1"/>
  <c r="A22" i="38" s="1"/>
  <c r="A23" i="38" s="1"/>
  <c r="A24" i="38" s="1"/>
  <c r="A25" i="38" s="1"/>
  <c r="A26" i="38" s="1"/>
  <c r="A27" i="38" s="1"/>
  <c r="A28" i="38" s="1"/>
  <c r="A29" i="38" s="1"/>
  <c r="A30" i="38" s="1"/>
  <c r="A31" i="38" s="1"/>
  <c r="A32" i="38" s="1"/>
  <c r="A33" i="38" s="1"/>
  <c r="A34" i="38" s="1"/>
  <c r="A35" i="38" s="1"/>
  <c r="A36" i="38" s="1"/>
  <c r="A37" i="38" s="1"/>
  <c r="A38" i="38" s="1"/>
  <c r="A39" i="38" s="1"/>
  <c r="A40" i="38" s="1"/>
  <c r="A41" i="38" s="1"/>
  <c r="A42" i="38" s="1"/>
  <c r="A43" i="38" s="1"/>
  <c r="A44" i="38" s="1"/>
  <c r="A45" i="38" s="1"/>
  <c r="J39" i="43"/>
  <c r="K39" i="43" s="1"/>
  <c r="L39" i="43" s="1"/>
  <c r="N39" i="43"/>
  <c r="O39" i="43" s="1"/>
  <c r="N39" i="42"/>
  <c r="O39" i="42" s="1"/>
  <c r="J39" i="42"/>
  <c r="K39" i="42" s="1"/>
  <c r="L39" i="42" s="1"/>
  <c r="F91" i="32"/>
  <c r="H91" i="32" s="1"/>
  <c r="N91" i="32" s="1"/>
  <c r="O91" i="32" s="1"/>
  <c r="N27" i="32"/>
  <c r="O27" i="32" s="1"/>
  <c r="J27" i="32"/>
  <c r="K27" i="32" s="1"/>
  <c r="L27" i="32" s="1"/>
  <c r="J39" i="31"/>
  <c r="K39" i="31" s="1"/>
  <c r="L39" i="31" s="1"/>
  <c r="M241" i="7"/>
  <c r="A46" i="38" l="1"/>
  <c r="J91" i="32"/>
  <c r="K91" i="32" s="1"/>
  <c r="H91" i="41"/>
  <c r="G91" i="7"/>
  <c r="F91" i="7"/>
  <c r="F80" i="7"/>
  <c r="G32" i="7"/>
  <c r="G39" i="7"/>
  <c r="G44" i="26"/>
  <c r="D44" i="26"/>
  <c r="G43" i="26"/>
  <c r="A47" i="38" l="1"/>
  <c r="F96" i="32"/>
  <c r="J91" i="41"/>
  <c r="K91" i="41" s="1"/>
  <c r="L91" i="41" s="1"/>
  <c r="N91" i="41"/>
  <c r="O91" i="41" s="1"/>
  <c r="L91" i="32"/>
  <c r="F96" i="7"/>
  <c r="A48" i="38" l="1"/>
  <c r="A49" i="38" l="1"/>
  <c r="G27" i="7"/>
  <c r="F41" i="7"/>
  <c r="F65" i="7" s="1"/>
  <c r="A50" i="38" l="1"/>
  <c r="G187" i="7"/>
  <c r="F241" i="7"/>
  <c r="F187" i="7"/>
  <c r="G167" i="7"/>
  <c r="F167" i="7"/>
  <c r="G161" i="7"/>
  <c r="F161" i="7"/>
  <c r="G130" i="7"/>
  <c r="F130" i="7"/>
  <c r="G116" i="7"/>
  <c r="F116" i="7"/>
  <c r="G100" i="7"/>
  <c r="F100" i="7"/>
  <c r="F57" i="7"/>
  <c r="F55" i="7"/>
  <c r="F74" i="7" s="1"/>
  <c r="F76" i="7" s="1"/>
  <c r="F83" i="7"/>
  <c r="G29" i="7"/>
  <c r="F17" i="7"/>
  <c r="F32" i="7" s="1"/>
  <c r="O14" i="7"/>
  <c r="O13" i="7"/>
  <c r="O12" i="7"/>
  <c r="M12" i="7"/>
  <c r="O11" i="7"/>
  <c r="M11" i="7"/>
  <c r="B404" i="26"/>
  <c r="C392" i="26"/>
  <c r="C372" i="26"/>
  <c r="C348" i="26"/>
  <c r="C336" i="26"/>
  <c r="G330" i="26"/>
  <c r="D312" i="26"/>
  <c r="C312" i="26"/>
  <c r="D311" i="26"/>
  <c r="C311" i="26"/>
  <c r="D309" i="26"/>
  <c r="C309" i="26"/>
  <c r="G291" i="26"/>
  <c r="C284" i="26"/>
  <c r="C255" i="26"/>
  <c r="C234" i="26"/>
  <c r="C200" i="26"/>
  <c r="B200" i="26"/>
  <c r="B199" i="26"/>
  <c r="C198" i="26"/>
  <c r="B198" i="26"/>
  <c r="C197" i="26"/>
  <c r="B197" i="26"/>
  <c r="C196" i="26"/>
  <c r="B196" i="26"/>
  <c r="C194" i="26"/>
  <c r="B194" i="26"/>
  <c r="B192" i="26"/>
  <c r="C128" i="26"/>
  <c r="C125" i="26"/>
  <c r="D123" i="26"/>
  <c r="C123" i="26"/>
  <c r="D121" i="26"/>
  <c r="C116" i="26"/>
  <c r="C109" i="26"/>
  <c r="G103" i="26"/>
  <c r="C100" i="26"/>
  <c r="G92" i="26"/>
  <c r="G90" i="26"/>
  <c r="E90" i="26"/>
  <c r="C90" i="26"/>
  <c r="B90" i="26"/>
  <c r="G89" i="26"/>
  <c r="G88" i="26"/>
  <c r="G87" i="26"/>
  <c r="E87" i="26"/>
  <c r="C87" i="26"/>
  <c r="B87" i="26"/>
  <c r="G86" i="26"/>
  <c r="G84" i="26"/>
  <c r="E84" i="26"/>
  <c r="B84" i="26"/>
  <c r="G83" i="26"/>
  <c r="G82" i="26"/>
  <c r="G81" i="26"/>
  <c r="G80" i="26"/>
  <c r="G79" i="26"/>
  <c r="G78" i="26"/>
  <c r="E78" i="26"/>
  <c r="C78" i="26"/>
  <c r="B78" i="26"/>
  <c r="G77" i="26"/>
  <c r="G76" i="26"/>
  <c r="E76" i="26"/>
  <c r="C76" i="26"/>
  <c r="B76" i="26"/>
  <c r="G75" i="26"/>
  <c r="G74" i="26"/>
  <c r="E74" i="26"/>
  <c r="C74" i="26"/>
  <c r="G69" i="26"/>
  <c r="G68" i="26"/>
  <c r="E68" i="26"/>
  <c r="G67" i="26"/>
  <c r="G66" i="26"/>
  <c r="G65" i="26"/>
  <c r="G55" i="7"/>
  <c r="G64" i="26"/>
  <c r="C64" i="26"/>
  <c r="G63" i="26"/>
  <c r="C63" i="26"/>
  <c r="D63" i="26" s="1"/>
  <c r="G62" i="26"/>
  <c r="C62" i="26"/>
  <c r="G61" i="26"/>
  <c r="C61" i="26"/>
  <c r="D61" i="26" s="1"/>
  <c r="C60" i="26"/>
  <c r="C59" i="26"/>
  <c r="G58" i="26"/>
  <c r="G42" i="26"/>
  <c r="G40" i="26"/>
  <c r="C40" i="26"/>
  <c r="G39" i="26"/>
  <c r="E39" i="26"/>
  <c r="C39" i="26"/>
  <c r="G38" i="26"/>
  <c r="C38" i="26"/>
  <c r="G37" i="26"/>
  <c r="E37" i="26"/>
  <c r="C37" i="26"/>
  <c r="B37" i="26"/>
  <c r="G36" i="26"/>
  <c r="C36" i="26"/>
  <c r="B36" i="26"/>
  <c r="D36" i="26" s="1"/>
  <c r="G35" i="26"/>
  <c r="D35" i="26"/>
  <c r="G34" i="26"/>
  <c r="D34" i="26"/>
  <c r="C34" i="26"/>
  <c r="G33" i="26"/>
  <c r="E33" i="26"/>
  <c r="G31" i="26"/>
  <c r="E31" i="26"/>
  <c r="C31" i="26"/>
  <c r="G30" i="26"/>
  <c r="B30" i="26"/>
  <c r="D60" i="26" s="1"/>
  <c r="G29" i="26"/>
  <c r="E29" i="26"/>
  <c r="B28" i="26"/>
  <c r="G27" i="26"/>
  <c r="B27" i="26"/>
  <c r="B31" i="26" s="1"/>
  <c r="G26" i="26"/>
  <c r="E26" i="26"/>
  <c r="D26" i="26"/>
  <c r="G25" i="26"/>
  <c r="E25" i="26"/>
  <c r="D25" i="26"/>
  <c r="F121" i="26"/>
  <c r="G12" i="26"/>
  <c r="C114" i="26"/>
  <c r="A51" i="38" l="1"/>
  <c r="F97" i="41"/>
  <c r="F97" i="42"/>
  <c r="F97" i="43"/>
  <c r="G65" i="42"/>
  <c r="G65" i="41"/>
  <c r="G65" i="43"/>
  <c r="G62" i="42"/>
  <c r="G62" i="41"/>
  <c r="G63" i="41" s="1"/>
  <c r="G62" i="43"/>
  <c r="G17" i="43"/>
  <c r="T17" i="43" s="1"/>
  <c r="G17" i="41"/>
  <c r="T17" i="41" s="1"/>
  <c r="G17" i="42"/>
  <c r="T17" i="42" s="1"/>
  <c r="H22" i="41"/>
  <c r="G17" i="32"/>
  <c r="T17" i="32" s="1"/>
  <c r="F46" i="32"/>
  <c r="G65" i="32"/>
  <c r="F22" i="32"/>
  <c r="F97" i="32"/>
  <c r="F37" i="32"/>
  <c r="F34" i="32"/>
  <c r="G62" i="32"/>
  <c r="F67" i="32"/>
  <c r="F70" i="32"/>
  <c r="G17" i="31"/>
  <c r="T17" i="31" s="1"/>
  <c r="U22" i="31" s="1"/>
  <c r="V22" i="31" s="1"/>
  <c r="G22" i="31" s="1"/>
  <c r="G62" i="31"/>
  <c r="G63" i="31" s="1"/>
  <c r="E64" i="26"/>
  <c r="G65" i="31"/>
  <c r="E42" i="26"/>
  <c r="D28" i="26"/>
  <c r="D29" i="26" s="1"/>
  <c r="F29" i="26" s="1"/>
  <c r="H29" i="26" s="1"/>
  <c r="D59" i="26"/>
  <c r="E61" i="26"/>
  <c r="F24" i="26"/>
  <c r="F37" i="26"/>
  <c r="H37" i="26" s="1"/>
  <c r="F28" i="26"/>
  <c r="F97" i="7"/>
  <c r="F46" i="7"/>
  <c r="F67" i="7"/>
  <c r="F70" i="7"/>
  <c r="F34" i="7"/>
  <c r="F37" i="7"/>
  <c r="G65" i="7"/>
  <c r="C84" i="26"/>
  <c r="D84" i="26" s="1"/>
  <c r="D310" i="26" s="1"/>
  <c r="D74" i="26"/>
  <c r="F74" i="26" s="1"/>
  <c r="H74" i="26" s="1"/>
  <c r="F22" i="7"/>
  <c r="E35" i="26"/>
  <c r="F35" i="26" s="1"/>
  <c r="H35" i="26" s="1"/>
  <c r="F43" i="26"/>
  <c r="H43" i="26" s="1"/>
  <c r="C199" i="26"/>
  <c r="D39" i="26"/>
  <c r="D64" i="26" s="1"/>
  <c r="F26" i="26"/>
  <c r="H26" i="26" s="1"/>
  <c r="F88" i="26"/>
  <c r="H88" i="26" s="1"/>
  <c r="F76" i="26"/>
  <c r="H76" i="26" s="1"/>
  <c r="G121" i="26"/>
  <c r="D37" i="26"/>
  <c r="E38" i="26"/>
  <c r="G62" i="7"/>
  <c r="E27" i="26"/>
  <c r="G17" i="7"/>
  <c r="F67" i="26"/>
  <c r="H67" i="26" s="1"/>
  <c r="F68" i="26"/>
  <c r="H68" i="26" s="1"/>
  <c r="F65" i="26"/>
  <c r="H65" i="26" s="1"/>
  <c r="F86" i="26"/>
  <c r="H86" i="26" s="1"/>
  <c r="F87" i="26"/>
  <c r="H87" i="26" s="1"/>
  <c r="F91" i="26"/>
  <c r="F25" i="26"/>
  <c r="H25" i="26" s="1"/>
  <c r="F78" i="26"/>
  <c r="H78" i="26" s="1"/>
  <c r="F93" i="26"/>
  <c r="H93" i="26" s="1"/>
  <c r="C195" i="26"/>
  <c r="B38" i="26"/>
  <c r="B29" i="26"/>
  <c r="F33" i="26"/>
  <c r="H33" i="26" s="1"/>
  <c r="E34" i="26"/>
  <c r="F34" i="26" s="1"/>
  <c r="H34" i="26" s="1"/>
  <c r="F79" i="26"/>
  <c r="H79" i="26" s="1"/>
  <c r="F81" i="26"/>
  <c r="H81" i="26" s="1"/>
  <c r="F83" i="26"/>
  <c r="H83" i="26" s="1"/>
  <c r="F89" i="26"/>
  <c r="H89" i="26" s="1"/>
  <c r="E92" i="26"/>
  <c r="F92" i="26" s="1"/>
  <c r="H92" i="26" s="1"/>
  <c r="D27" i="26"/>
  <c r="D38" i="26"/>
  <c r="B39" i="26"/>
  <c r="E44" i="26" s="1"/>
  <c r="F73" i="26"/>
  <c r="H73" i="26" s="1"/>
  <c r="F77" i="26"/>
  <c r="H77" i="26" s="1"/>
  <c r="F90" i="26"/>
  <c r="H90" i="26" s="1"/>
  <c r="B40" i="26"/>
  <c r="D30" i="26"/>
  <c r="E40" i="26"/>
  <c r="F75" i="26"/>
  <c r="H75" i="26" s="1"/>
  <c r="F80" i="26"/>
  <c r="F82" i="26"/>
  <c r="H82" i="26" s="1"/>
  <c r="F85" i="26"/>
  <c r="H85" i="26" s="1"/>
  <c r="A52" i="38" l="1"/>
  <c r="H80" i="26"/>
  <c r="O80" i="26"/>
  <c r="G96" i="43"/>
  <c r="H96" i="43" s="1"/>
  <c r="G96" i="41"/>
  <c r="H96" i="41" s="1"/>
  <c r="G96" i="42"/>
  <c r="H96" i="42" s="1"/>
  <c r="G241" i="41"/>
  <c r="G241" i="43"/>
  <c r="G241" i="42"/>
  <c r="G66" i="41"/>
  <c r="H65" i="41"/>
  <c r="G41" i="41"/>
  <c r="T41" i="41" s="1"/>
  <c r="G35" i="43"/>
  <c r="G35" i="42"/>
  <c r="G37" i="42"/>
  <c r="H37" i="42" s="1"/>
  <c r="G37" i="43"/>
  <c r="H37" i="43" s="1"/>
  <c r="G37" i="41"/>
  <c r="H37" i="41" s="1"/>
  <c r="G35" i="41"/>
  <c r="G63" i="43"/>
  <c r="G66" i="42"/>
  <c r="H65" i="42"/>
  <c r="G41" i="43"/>
  <c r="T41" i="43" s="1"/>
  <c r="F92" i="41"/>
  <c r="F92" i="43"/>
  <c r="F92" i="42"/>
  <c r="U18" i="42"/>
  <c r="U22" i="42"/>
  <c r="U20" i="42"/>
  <c r="G41" i="42"/>
  <c r="T41" i="42" s="1"/>
  <c r="G80" i="41"/>
  <c r="H80" i="41" s="1"/>
  <c r="G80" i="43"/>
  <c r="H80" i="43" s="1"/>
  <c r="G80" i="42"/>
  <c r="H80" i="42" s="1"/>
  <c r="U18" i="41"/>
  <c r="U22" i="41"/>
  <c r="U20" i="41"/>
  <c r="G63" i="42"/>
  <c r="G66" i="43"/>
  <c r="H65" i="43"/>
  <c r="G72" i="43"/>
  <c r="G72" i="41"/>
  <c r="G72" i="42"/>
  <c r="U22" i="43"/>
  <c r="U20" i="43"/>
  <c r="U18" i="43"/>
  <c r="N22" i="41"/>
  <c r="J22" i="41"/>
  <c r="K22" i="41" s="1"/>
  <c r="U18" i="31"/>
  <c r="U20" i="31"/>
  <c r="V20" i="31" s="1"/>
  <c r="G20" i="31" s="1"/>
  <c r="G21" i="31" s="1"/>
  <c r="F92" i="32"/>
  <c r="G72" i="32"/>
  <c r="G66" i="32"/>
  <c r="H65" i="32"/>
  <c r="G241" i="32"/>
  <c r="G41" i="32"/>
  <c r="T41" i="32" s="1"/>
  <c r="U18" i="32"/>
  <c r="U22" i="32"/>
  <c r="V22" i="32" s="1"/>
  <c r="G22" i="32" s="1"/>
  <c r="U20" i="32"/>
  <c r="V20" i="32" s="1"/>
  <c r="G20" i="32" s="1"/>
  <c r="G80" i="32"/>
  <c r="H80" i="32" s="1"/>
  <c r="G63" i="32"/>
  <c r="G96" i="32"/>
  <c r="H96" i="32" s="1"/>
  <c r="G37" i="32"/>
  <c r="H37" i="32" s="1"/>
  <c r="G35" i="32"/>
  <c r="G72" i="31"/>
  <c r="G96" i="31"/>
  <c r="H96" i="31" s="1"/>
  <c r="J96" i="31" s="1"/>
  <c r="K96" i="31" s="1"/>
  <c r="L96" i="31" s="1"/>
  <c r="F42" i="26"/>
  <c r="H42" i="26" s="1"/>
  <c r="G80" i="31"/>
  <c r="H80" i="31" s="1"/>
  <c r="H91" i="26"/>
  <c r="G241" i="31"/>
  <c r="U283" i="31" s="1"/>
  <c r="G37" i="31"/>
  <c r="H37" i="31" s="1"/>
  <c r="G35" i="31"/>
  <c r="G66" i="31"/>
  <c r="H65" i="31"/>
  <c r="G23" i="31"/>
  <c r="H22" i="31"/>
  <c r="G41" i="31"/>
  <c r="T41" i="31" s="1"/>
  <c r="E63" i="26"/>
  <c r="F92" i="7"/>
  <c r="H28" i="26"/>
  <c r="H24" i="26"/>
  <c r="G37" i="7"/>
  <c r="G35" i="7"/>
  <c r="G72" i="7"/>
  <c r="G80" i="7"/>
  <c r="G241" i="7"/>
  <c r="F44" i="26"/>
  <c r="F84" i="26"/>
  <c r="F64" i="26"/>
  <c r="H64" i="26" s="1"/>
  <c r="F38" i="26"/>
  <c r="F52" i="26"/>
  <c r="G41" i="7"/>
  <c r="D40" i="26"/>
  <c r="F40" i="26" s="1"/>
  <c r="H40" i="26" s="1"/>
  <c r="F39" i="26"/>
  <c r="H39" i="26" s="1"/>
  <c r="E36" i="26"/>
  <c r="E69" i="26" s="1"/>
  <c r="F69" i="26" s="1"/>
  <c r="F61" i="26"/>
  <c r="H61" i="26" s="1"/>
  <c r="D46" i="26"/>
  <c r="F27" i="26"/>
  <c r="H27" i="26" s="1"/>
  <c r="D31" i="26"/>
  <c r="F31" i="26" s="1"/>
  <c r="H31" i="26" s="1"/>
  <c r="D62" i="26"/>
  <c r="F30" i="26"/>
  <c r="A53" i="38" l="1"/>
  <c r="A54" i="38" s="1"/>
  <c r="A55" i="38" s="1"/>
  <c r="A56" i="38" s="1"/>
  <c r="A57" i="38" s="1"/>
  <c r="A58" i="38" s="1"/>
  <c r="A59" i="38" s="1"/>
  <c r="A60" i="38" s="1"/>
  <c r="A61" i="38" s="1"/>
  <c r="A62" i="38" s="1"/>
  <c r="A63" i="38" s="1"/>
  <c r="A64" i="38" s="1"/>
  <c r="A65" i="38" s="1"/>
  <c r="A66" i="38" s="1"/>
  <c r="A67" i="38" s="1"/>
  <c r="A68" i="38" s="1"/>
  <c r="A69" i="38" s="1"/>
  <c r="A70" i="38" s="1"/>
  <c r="A71" i="38" s="1"/>
  <c r="A72" i="38" s="1"/>
  <c r="A73" i="38" s="1"/>
  <c r="A74" i="38" s="1"/>
  <c r="A75" i="38" s="1"/>
  <c r="A76" i="38" s="1"/>
  <c r="A77" i="38" s="1"/>
  <c r="A78" i="38" s="1"/>
  <c r="A79" i="38" s="1"/>
  <c r="A80" i="38" s="1"/>
  <c r="A81" i="38" s="1"/>
  <c r="A82" i="38" s="1"/>
  <c r="A83" i="38" s="1"/>
  <c r="A84" i="38" s="1"/>
  <c r="A85" i="38" s="1"/>
  <c r="A86" i="38" s="1"/>
  <c r="A87" i="38" s="1"/>
  <c r="A88" i="38" s="1"/>
  <c r="A89" i="38" s="1"/>
  <c r="A90" i="38" s="1"/>
  <c r="A91" i="38" s="1"/>
  <c r="A92" i="38" s="1"/>
  <c r="A93" i="38" s="1"/>
  <c r="A94" i="38" s="1"/>
  <c r="A95" i="38" s="1"/>
  <c r="A96" i="38" s="1"/>
  <c r="A97" i="38" s="1"/>
  <c r="A98" i="38" s="1"/>
  <c r="A99" i="38" s="1"/>
  <c r="A100" i="38" s="1"/>
  <c r="A101" i="38" s="1"/>
  <c r="A102" i="38" s="1"/>
  <c r="A103" i="38" s="1"/>
  <c r="A104" i="38" s="1"/>
  <c r="A105" i="38" s="1"/>
  <c r="A106" i="38" s="1"/>
  <c r="A107" i="38" s="1"/>
  <c r="A108" i="38" s="1"/>
  <c r="A109" i="38" s="1"/>
  <c r="A110" i="38" s="1"/>
  <c r="A111" i="38" s="1"/>
  <c r="A112" i="38" s="1"/>
  <c r="A113" i="38" s="1"/>
  <c r="A114" i="38" s="1"/>
  <c r="A115" i="38" s="1"/>
  <c r="A116" i="38" s="1"/>
  <c r="A117" i="38" s="1"/>
  <c r="A118" i="38" s="1"/>
  <c r="A119" i="38" s="1"/>
  <c r="A120" i="38" s="1"/>
  <c r="A121" i="38" s="1"/>
  <c r="A122" i="38" s="1"/>
  <c r="A123" i="38" s="1"/>
  <c r="A124" i="38" s="1"/>
  <c r="A125" i="38" s="1"/>
  <c r="A126" i="38" s="1"/>
  <c r="A127" i="38" s="1"/>
  <c r="A128" i="38" s="1"/>
  <c r="A129" i="38" s="1"/>
  <c r="A130" i="38" s="1"/>
  <c r="A131" i="38" s="1"/>
  <c r="A132" i="38" s="1"/>
  <c r="A133" i="38" s="1"/>
  <c r="A134" i="38" s="1"/>
  <c r="A135" i="38" s="1"/>
  <c r="A136" i="38" s="1"/>
  <c r="A137" i="38" s="1"/>
  <c r="A138" i="38" s="1"/>
  <c r="A139" i="38" s="1"/>
  <c r="A140" i="38" s="1"/>
  <c r="A141" i="38" s="1"/>
  <c r="A142" i="38" s="1"/>
  <c r="A143" i="38" s="1"/>
  <c r="A144" i="38" s="1"/>
  <c r="A145" i="38" s="1"/>
  <c r="A146" i="38" s="1"/>
  <c r="A147" i="38" s="1"/>
  <c r="A148" i="38" s="1"/>
  <c r="A149" i="38" s="1"/>
  <c r="A150" i="38" s="1"/>
  <c r="A151" i="38" s="1"/>
  <c r="A152" i="38" s="1"/>
  <c r="A153" i="38" s="1"/>
  <c r="A154" i="38" s="1"/>
  <c r="A155" i="38" s="1"/>
  <c r="A156" i="38" s="1"/>
  <c r="A157" i="38" s="1"/>
  <c r="A158" i="38" s="1"/>
  <c r="A159" i="38" s="1"/>
  <c r="A160" i="38" s="1"/>
  <c r="A161" i="38" s="1"/>
  <c r="A162" i="38" s="1"/>
  <c r="A163" i="38" s="1"/>
  <c r="A164" i="38" s="1"/>
  <c r="A165" i="38" s="1"/>
  <c r="A166" i="38" s="1"/>
  <c r="A167" i="38" s="1"/>
  <c r="A168" i="38" s="1"/>
  <c r="A169" i="38" s="1"/>
  <c r="A170" i="38" s="1"/>
  <c r="A171" i="38" s="1"/>
  <c r="A172" i="38" s="1"/>
  <c r="A173" i="38" s="1"/>
  <c r="A174" i="38" s="1"/>
  <c r="A175" i="38" s="1"/>
  <c r="A176" i="38" s="1"/>
  <c r="A177" i="38" s="1"/>
  <c r="A178" i="38" s="1"/>
  <c r="A179" i="38" s="1"/>
  <c r="A180" i="38" s="1"/>
  <c r="A181" i="38" s="1"/>
  <c r="A182" i="38" s="1"/>
  <c r="A183" i="38" s="1"/>
  <c r="A184" i="38" s="1"/>
  <c r="U46" i="42"/>
  <c r="V46" i="42" s="1"/>
  <c r="G46" i="42" s="1"/>
  <c r="U42" i="42"/>
  <c r="U44" i="42"/>
  <c r="V44" i="42" s="1"/>
  <c r="G44" i="42" s="1"/>
  <c r="J37" i="42"/>
  <c r="K37" i="42" s="1"/>
  <c r="L37" i="42" s="1"/>
  <c r="N37" i="42"/>
  <c r="O37" i="42" s="1"/>
  <c r="U283" i="41"/>
  <c r="U23" i="41"/>
  <c r="J65" i="41"/>
  <c r="K65" i="41" s="1"/>
  <c r="L65" i="41" s="1"/>
  <c r="N65" i="41"/>
  <c r="O65" i="41" s="1"/>
  <c r="N96" i="42"/>
  <c r="O96" i="42" s="1"/>
  <c r="J96" i="42"/>
  <c r="K96" i="42" s="1"/>
  <c r="L96" i="42" s="1"/>
  <c r="U46" i="41"/>
  <c r="V46" i="41" s="1"/>
  <c r="G46" i="41" s="1"/>
  <c r="U44" i="41"/>
  <c r="V44" i="41" s="1"/>
  <c r="G44" i="41" s="1"/>
  <c r="U42" i="41"/>
  <c r="U23" i="42"/>
  <c r="U23" i="43"/>
  <c r="J80" i="42"/>
  <c r="N80" i="42"/>
  <c r="U283" i="42"/>
  <c r="N65" i="43"/>
  <c r="O65" i="43" s="1"/>
  <c r="J65" i="43"/>
  <c r="K65" i="43" s="1"/>
  <c r="L65" i="43" s="1"/>
  <c r="J80" i="43"/>
  <c r="K80" i="43" s="1"/>
  <c r="N80" i="43"/>
  <c r="U44" i="43"/>
  <c r="V44" i="43" s="1"/>
  <c r="G44" i="43" s="1"/>
  <c r="U42" i="43"/>
  <c r="U46" i="43"/>
  <c r="V46" i="43" s="1"/>
  <c r="G46" i="43" s="1"/>
  <c r="N96" i="41"/>
  <c r="O96" i="41" s="1"/>
  <c r="J96" i="41"/>
  <c r="K96" i="41" s="1"/>
  <c r="L96" i="41" s="1"/>
  <c r="G68" i="43"/>
  <c r="G70" i="42"/>
  <c r="H70" i="42" s="1"/>
  <c r="G68" i="41"/>
  <c r="G70" i="43"/>
  <c r="H70" i="43" s="1"/>
  <c r="G68" i="42"/>
  <c r="G70" i="41"/>
  <c r="H70" i="41" s="1"/>
  <c r="N80" i="41"/>
  <c r="O80" i="41" s="1"/>
  <c r="J80" i="41"/>
  <c r="K80" i="41" s="1"/>
  <c r="L80" i="41" s="1"/>
  <c r="N65" i="42"/>
  <c r="O65" i="42" s="1"/>
  <c r="J65" i="42"/>
  <c r="K65" i="42" s="1"/>
  <c r="J37" i="43"/>
  <c r="K37" i="43" s="1"/>
  <c r="L37" i="43" s="1"/>
  <c r="N37" i="43"/>
  <c r="O37" i="43" s="1"/>
  <c r="U283" i="43"/>
  <c r="N96" i="43"/>
  <c r="O96" i="43" s="1"/>
  <c r="J96" i="43"/>
  <c r="K96" i="43" s="1"/>
  <c r="O22" i="41"/>
  <c r="L22" i="41"/>
  <c r="H39" i="41"/>
  <c r="N37" i="41"/>
  <c r="O37" i="41" s="1"/>
  <c r="J37" i="41"/>
  <c r="K37" i="41" s="1"/>
  <c r="L37" i="41" s="1"/>
  <c r="H20" i="31"/>
  <c r="N20" i="31" s="1"/>
  <c r="O20" i="31" s="1"/>
  <c r="U23" i="31"/>
  <c r="V18" i="31" s="1"/>
  <c r="V23" i="31" s="1"/>
  <c r="F39" i="32"/>
  <c r="H39" i="32" s="1"/>
  <c r="N96" i="31"/>
  <c r="O96" i="31" s="1"/>
  <c r="N96" i="32"/>
  <c r="O96" i="32" s="1"/>
  <c r="J96" i="32"/>
  <c r="K96" i="32" s="1"/>
  <c r="L96" i="32" s="1"/>
  <c r="U23" i="32"/>
  <c r="V18" i="32" s="1"/>
  <c r="U283" i="32"/>
  <c r="H60" i="32"/>
  <c r="G70" i="32"/>
  <c r="H70" i="32" s="1"/>
  <c r="G68" i="32"/>
  <c r="G21" i="32"/>
  <c r="N37" i="32"/>
  <c r="O37" i="32" s="1"/>
  <c r="J37" i="32"/>
  <c r="K37" i="32" s="1"/>
  <c r="J80" i="32"/>
  <c r="N80" i="32"/>
  <c r="G23" i="32"/>
  <c r="H22" i="32"/>
  <c r="U46" i="32"/>
  <c r="V46" i="32" s="1"/>
  <c r="G46" i="32" s="1"/>
  <c r="U44" i="32"/>
  <c r="V44" i="32" s="1"/>
  <c r="G44" i="32" s="1"/>
  <c r="U42" i="32"/>
  <c r="N65" i="32"/>
  <c r="O65" i="32" s="1"/>
  <c r="J65" i="32"/>
  <c r="K65" i="32" s="1"/>
  <c r="H69" i="26"/>
  <c r="J80" i="31"/>
  <c r="K80" i="31" s="1"/>
  <c r="N80" i="31"/>
  <c r="G70" i="31"/>
  <c r="H70" i="31" s="1"/>
  <c r="G68" i="31"/>
  <c r="H68" i="31" s="1"/>
  <c r="U46" i="31"/>
  <c r="U44" i="31"/>
  <c r="U42" i="31"/>
  <c r="J22" i="31"/>
  <c r="K22" i="31" s="1"/>
  <c r="L22" i="31" s="1"/>
  <c r="N22" i="31"/>
  <c r="O22" i="31" s="1"/>
  <c r="J65" i="31"/>
  <c r="K65" i="31" s="1"/>
  <c r="L65" i="31" s="1"/>
  <c r="N65" i="31"/>
  <c r="O65" i="31" s="1"/>
  <c r="N37" i="31"/>
  <c r="O37" i="31" s="1"/>
  <c r="J37" i="31"/>
  <c r="K37" i="31" s="1"/>
  <c r="L37" i="31" s="1"/>
  <c r="E60" i="26"/>
  <c r="E59" i="26"/>
  <c r="F51" i="26"/>
  <c r="H38" i="26"/>
  <c r="H30" i="26"/>
  <c r="F54" i="26"/>
  <c r="H44" i="26"/>
  <c r="F95" i="26"/>
  <c r="H84" i="26"/>
  <c r="G57" i="7"/>
  <c r="G70" i="7"/>
  <c r="G68" i="7"/>
  <c r="G96" i="7"/>
  <c r="F66" i="26"/>
  <c r="H66" i="26" s="1"/>
  <c r="F62" i="26"/>
  <c r="H62" i="26" s="1"/>
  <c r="F39" i="7"/>
  <c r="F36" i="26"/>
  <c r="H36" i="26" s="1"/>
  <c r="F63" i="26"/>
  <c r="H63" i="26" s="1"/>
  <c r="F53" i="26"/>
  <c r="G63" i="7"/>
  <c r="N70" i="41" l="1"/>
  <c r="O70" i="41" s="1"/>
  <c r="J70" i="41"/>
  <c r="K70" i="41" s="1"/>
  <c r="E2" i="43"/>
  <c r="A185" i="38"/>
  <c r="A186" i="38" s="1"/>
  <c r="A187" i="38" s="1"/>
  <c r="A188" i="38" s="1"/>
  <c r="A189" i="38" s="1"/>
  <c r="A190" i="38" s="1"/>
  <c r="A191" i="38" s="1"/>
  <c r="A192" i="38" s="1"/>
  <c r="A193" i="38" s="1"/>
  <c r="A194" i="38" s="1"/>
  <c r="A195" i="38" s="1"/>
  <c r="A196" i="38" s="1"/>
  <c r="A197" i="38" s="1"/>
  <c r="A198" i="38" s="1"/>
  <c r="A199" i="38" s="1"/>
  <c r="A200" i="38" s="1"/>
  <c r="A201" i="38" s="1"/>
  <c r="A202" i="38" s="1"/>
  <c r="A203" i="38" s="1"/>
  <c r="A204" i="38" s="1"/>
  <c r="A205" i="38" s="1"/>
  <c r="A206" i="38" s="1"/>
  <c r="A207" i="38" s="1"/>
  <c r="A208" i="38" s="1"/>
  <c r="A209" i="38" s="1"/>
  <c r="A210" i="38" s="1"/>
  <c r="A211" i="38" s="1"/>
  <c r="A212" i="38" s="1"/>
  <c r="A213" i="38" s="1"/>
  <c r="A214" i="38" s="1"/>
  <c r="A215" i="38" s="1"/>
  <c r="A216" i="38" s="1"/>
  <c r="A217" i="38" s="1"/>
  <c r="A218" i="38" s="1"/>
  <c r="A219" i="38" s="1"/>
  <c r="A220" i="38" s="1"/>
  <c r="A221" i="38" s="1"/>
  <c r="A222" i="38" s="1"/>
  <c r="A223" i="38" s="1"/>
  <c r="A224" i="38" s="1"/>
  <c r="A225" i="38" s="1"/>
  <c r="A226" i="38" s="1"/>
  <c r="A227" i="38" s="1"/>
  <c r="A228" i="38" s="1"/>
  <c r="A229" i="38" s="1"/>
  <c r="A230" i="38" s="1"/>
  <c r="A231" i="38" s="1"/>
  <c r="A232" i="38" s="1"/>
  <c r="A233" i="38" s="1"/>
  <c r="A234" i="38" s="1"/>
  <c r="A235" i="38" s="1"/>
  <c r="A236" i="38" s="1"/>
  <c r="A237" i="38" s="1"/>
  <c r="A238" i="38" s="1"/>
  <c r="A239" i="38" s="1"/>
  <c r="A240" i="38" s="1"/>
  <c r="A241" i="38" s="1"/>
  <c r="A242" i="38" s="1"/>
  <c r="A243" i="38" s="1"/>
  <c r="A244" i="38" s="1"/>
  <c r="A245" i="38" s="1"/>
  <c r="A246" i="38" s="1"/>
  <c r="A247" i="38" s="1"/>
  <c r="A248" i="38" s="1"/>
  <c r="A249" i="38" s="1"/>
  <c r="A250" i="38" s="1"/>
  <c r="A251" i="38" s="1"/>
  <c r="A252" i="38" s="1"/>
  <c r="A253" i="38" s="1"/>
  <c r="A254" i="38" s="1"/>
  <c r="A255" i="38" s="1"/>
  <c r="A256" i="38" s="1"/>
  <c r="A257" i="38" s="1"/>
  <c r="A258" i="38" s="1"/>
  <c r="A259" i="38" s="1"/>
  <c r="A260" i="38" s="1"/>
  <c r="A261" i="38" s="1"/>
  <c r="A262" i="38" s="1"/>
  <c r="A263" i="38" s="1"/>
  <c r="A264" i="38" s="1"/>
  <c r="A265" i="38" s="1"/>
  <c r="A266" i="38" s="1"/>
  <c r="A267" i="38" s="1"/>
  <c r="A268" i="38" s="1"/>
  <c r="A269" i="38" s="1"/>
  <c r="A270" i="38" s="1"/>
  <c r="A271" i="38" s="1"/>
  <c r="A272" i="38" s="1"/>
  <c r="A273" i="38" s="1"/>
  <c r="A274" i="38" s="1"/>
  <c r="A275" i="38" s="1"/>
  <c r="A276" i="38" s="1"/>
  <c r="A277" i="38" s="1"/>
  <c r="A278" i="38" s="1"/>
  <c r="A279" i="38" s="1"/>
  <c r="A280" i="38" s="1"/>
  <c r="A281" i="38" s="1"/>
  <c r="A282" i="38" s="1"/>
  <c r="A283" i="38" s="1"/>
  <c r="A284" i="38" s="1"/>
  <c r="A285" i="38" s="1"/>
  <c r="A286" i="38" s="1"/>
  <c r="A287" i="38" s="1"/>
  <c r="A288" i="38" s="1"/>
  <c r="A289" i="38" s="1"/>
  <c r="A290" i="38" s="1"/>
  <c r="A291" i="38" s="1"/>
  <c r="A292" i="38" s="1"/>
  <c r="A293" i="38" s="1"/>
  <c r="A294" i="38" s="1"/>
  <c r="A295" i="38" s="1"/>
  <c r="A296" i="38" s="1"/>
  <c r="A297" i="38" s="1"/>
  <c r="A298" i="38" s="1"/>
  <c r="A299" i="38" s="1"/>
  <c r="A300" i="38" s="1"/>
  <c r="A301" i="38" s="1"/>
  <c r="A302" i="38" s="1"/>
  <c r="A303" i="38" s="1"/>
  <c r="A304" i="38" s="1"/>
  <c r="A305" i="38" s="1"/>
  <c r="A306" i="38" s="1"/>
  <c r="A307" i="38" s="1"/>
  <c r="A308" i="38" s="1"/>
  <c r="A309" i="38" s="1"/>
  <c r="A310" i="38" s="1"/>
  <c r="A311" i="38" s="1"/>
  <c r="A312" i="38" s="1"/>
  <c r="A313" i="38" s="1"/>
  <c r="A366" i="38" s="1"/>
  <c r="E2" i="41"/>
  <c r="E2" i="42"/>
  <c r="U51" i="42"/>
  <c r="V42" i="42" s="1"/>
  <c r="V51" i="42" s="1"/>
  <c r="U51" i="43"/>
  <c r="V42" i="43" s="1"/>
  <c r="G42" i="43" s="1"/>
  <c r="N70" i="43"/>
  <c r="O70" i="43" s="1"/>
  <c r="J70" i="43"/>
  <c r="K70" i="43" s="1"/>
  <c r="K80" i="42"/>
  <c r="G45" i="42"/>
  <c r="G92" i="41"/>
  <c r="G92" i="43"/>
  <c r="G92" i="42"/>
  <c r="L65" i="42"/>
  <c r="U51" i="41"/>
  <c r="V42" i="41" s="1"/>
  <c r="G47" i="42"/>
  <c r="H46" i="42"/>
  <c r="G97" i="41"/>
  <c r="G97" i="43"/>
  <c r="G97" i="42"/>
  <c r="G45" i="41"/>
  <c r="L96" i="43"/>
  <c r="G47" i="43"/>
  <c r="H46" i="43"/>
  <c r="L80" i="43"/>
  <c r="G47" i="41"/>
  <c r="H46" i="41"/>
  <c r="J70" i="42"/>
  <c r="K70" i="42" s="1"/>
  <c r="N70" i="42"/>
  <c r="O70" i="42" s="1"/>
  <c r="O80" i="43"/>
  <c r="G45" i="43"/>
  <c r="O80" i="42"/>
  <c r="N39" i="41"/>
  <c r="J39" i="41"/>
  <c r="G18" i="31"/>
  <c r="G19" i="31" s="1"/>
  <c r="J20" i="31"/>
  <c r="K20" i="31" s="1"/>
  <c r="L20" i="31" s="1"/>
  <c r="L37" i="32"/>
  <c r="U51" i="32"/>
  <c r="V42" i="32" s="1"/>
  <c r="V51" i="32" s="1"/>
  <c r="G47" i="32"/>
  <c r="H46" i="32"/>
  <c r="J70" i="32"/>
  <c r="K70" i="32" s="1"/>
  <c r="L70" i="32" s="1"/>
  <c r="N70" i="32"/>
  <c r="O70" i="32" s="1"/>
  <c r="G97" i="32"/>
  <c r="H97" i="32" s="1"/>
  <c r="N22" i="32"/>
  <c r="O22" i="32" s="1"/>
  <c r="J22" i="32"/>
  <c r="K22" i="32" s="1"/>
  <c r="L22" i="32" s="1"/>
  <c r="K80" i="32"/>
  <c r="N60" i="32"/>
  <c r="O60" i="32" s="1"/>
  <c r="J60" i="32"/>
  <c r="K60" i="32" s="1"/>
  <c r="L60" i="32" s="1"/>
  <c r="J39" i="32"/>
  <c r="K39" i="32" s="1"/>
  <c r="L39" i="32" s="1"/>
  <c r="N39" i="32"/>
  <c r="O39" i="32" s="1"/>
  <c r="G92" i="32"/>
  <c r="H92" i="32" s="1"/>
  <c r="L65" i="32"/>
  <c r="G45" i="32"/>
  <c r="O80" i="32"/>
  <c r="G18" i="32"/>
  <c r="V23" i="32"/>
  <c r="G92" i="31"/>
  <c r="H92" i="31" s="1"/>
  <c r="N92" i="31" s="1"/>
  <c r="O92" i="31" s="1"/>
  <c r="G97" i="31"/>
  <c r="H97" i="31" s="1"/>
  <c r="J97" i="31" s="1"/>
  <c r="K97" i="31" s="1"/>
  <c r="L97" i="31" s="1"/>
  <c r="L80" i="31"/>
  <c r="J68" i="31"/>
  <c r="K68" i="31" s="1"/>
  <c r="L68" i="31" s="1"/>
  <c r="N68" i="31"/>
  <c r="O68" i="31" s="1"/>
  <c r="O80" i="31"/>
  <c r="U51" i="31"/>
  <c r="N70" i="31"/>
  <c r="O70" i="31" s="1"/>
  <c r="J70" i="31"/>
  <c r="K70" i="31" s="1"/>
  <c r="L70" i="31" s="1"/>
  <c r="E58" i="26"/>
  <c r="F50" i="26"/>
  <c r="F55" i="26" s="1"/>
  <c r="F60" i="26"/>
  <c r="H60" i="26" s="1"/>
  <c r="G97" i="7"/>
  <c r="G92" i="7"/>
  <c r="F59" i="26"/>
  <c r="H59" i="26" s="1"/>
  <c r="G131" i="7"/>
  <c r="G208" i="7"/>
  <c r="F131" i="7"/>
  <c r="H97" i="43" l="1"/>
  <c r="N97" i="43" s="1"/>
  <c r="O97" i="43" s="1"/>
  <c r="H92" i="41"/>
  <c r="H97" i="41"/>
  <c r="H92" i="42"/>
  <c r="J92" i="42" s="1"/>
  <c r="K92" i="42" s="1"/>
  <c r="H97" i="42"/>
  <c r="J97" i="42" s="1"/>
  <c r="K97" i="42" s="1"/>
  <c r="H92" i="43"/>
  <c r="N92" i="43" s="1"/>
  <c r="O92" i="43" s="1"/>
  <c r="V51" i="43"/>
  <c r="L70" i="41"/>
  <c r="H59" i="41"/>
  <c r="H27" i="41"/>
  <c r="G100" i="42"/>
  <c r="G101" i="42" s="1"/>
  <c r="G102" i="42" s="1"/>
  <c r="H26" i="41"/>
  <c r="G187" i="42"/>
  <c r="G187" i="41"/>
  <c r="G100" i="43"/>
  <c r="G101" i="43" s="1"/>
  <c r="G102" i="43" s="1"/>
  <c r="G116" i="41"/>
  <c r="T116" i="41" s="1"/>
  <c r="G187" i="43"/>
  <c r="G112" i="42"/>
  <c r="G113" i="42" s="1"/>
  <c r="G114" i="42" s="1"/>
  <c r="G116" i="42"/>
  <c r="T116" i="42" s="1"/>
  <c r="H57" i="41"/>
  <c r="G100" i="41"/>
  <c r="G101" i="41" s="1"/>
  <c r="G102" i="41" s="1"/>
  <c r="G116" i="43"/>
  <c r="T116" i="43" s="1"/>
  <c r="G167" i="43"/>
  <c r="T167" i="43" s="1"/>
  <c r="H60" i="41"/>
  <c r="G112" i="43"/>
  <c r="G113" i="43" s="1"/>
  <c r="G114" i="43" s="1"/>
  <c r="G190" i="42"/>
  <c r="G112" i="41"/>
  <c r="G113" i="41" s="1"/>
  <c r="G114" i="41" s="1"/>
  <c r="G190" i="41"/>
  <c r="G130" i="42"/>
  <c r="G131" i="42" s="1"/>
  <c r="H131" i="42" s="1"/>
  <c r="G130" i="41"/>
  <c r="G131" i="41" s="1"/>
  <c r="H131" i="41" s="1"/>
  <c r="H57" i="43"/>
  <c r="G190" i="43"/>
  <c r="H60" i="42"/>
  <c r="H26" i="43"/>
  <c r="H59" i="42"/>
  <c r="H60" i="43"/>
  <c r="G167" i="41"/>
  <c r="T167" i="41" s="1"/>
  <c r="H27" i="42"/>
  <c r="H27" i="43"/>
  <c r="G167" i="42"/>
  <c r="T167" i="42" s="1"/>
  <c r="H59" i="43"/>
  <c r="G130" i="43"/>
  <c r="G131" i="43" s="1"/>
  <c r="H131" i="43" s="1"/>
  <c r="H57" i="42"/>
  <c r="H26" i="42"/>
  <c r="H55" i="41"/>
  <c r="H55" i="43"/>
  <c r="H55" i="42"/>
  <c r="G42" i="42"/>
  <c r="G43" i="42" s="1"/>
  <c r="J46" i="43"/>
  <c r="K46" i="43" s="1"/>
  <c r="N46" i="43"/>
  <c r="O46" i="43" s="1"/>
  <c r="G83" i="41"/>
  <c r="H83" i="41" s="1"/>
  <c r="G83" i="42"/>
  <c r="H83" i="42" s="1"/>
  <c r="G83" i="43"/>
  <c r="H83" i="43" s="1"/>
  <c r="G42" i="41"/>
  <c r="V51" i="41"/>
  <c r="L80" i="42"/>
  <c r="L70" i="42"/>
  <c r="J46" i="42"/>
  <c r="K46" i="42" s="1"/>
  <c r="L46" i="42" s="1"/>
  <c r="N46" i="42"/>
  <c r="O46" i="42" s="1"/>
  <c r="L70" i="43"/>
  <c r="G43" i="43"/>
  <c r="J46" i="41"/>
  <c r="K46" i="41" s="1"/>
  <c r="L46" i="41" s="1"/>
  <c r="N46" i="41"/>
  <c r="O46" i="41" s="1"/>
  <c r="K39" i="41"/>
  <c r="L39" i="41" s="1"/>
  <c r="O39" i="41"/>
  <c r="G42" i="32"/>
  <c r="G43" i="32" s="1"/>
  <c r="N92" i="32"/>
  <c r="O92" i="32" s="1"/>
  <c r="J92" i="32"/>
  <c r="J46" i="32"/>
  <c r="K46" i="32" s="1"/>
  <c r="L46" i="32" s="1"/>
  <c r="N46" i="32"/>
  <c r="O46" i="32" s="1"/>
  <c r="G19" i="32"/>
  <c r="G83" i="32"/>
  <c r="H83" i="32" s="1"/>
  <c r="J97" i="32"/>
  <c r="K97" i="32" s="1"/>
  <c r="L97" i="32" s="1"/>
  <c r="N97" i="32"/>
  <c r="O97" i="32" s="1"/>
  <c r="L80" i="32"/>
  <c r="J92" i="31"/>
  <c r="K92" i="31" s="1"/>
  <c r="L92" i="31" s="1"/>
  <c r="N97" i="31"/>
  <c r="O97" i="31" s="1"/>
  <c r="G83" i="31"/>
  <c r="H83" i="31" s="1"/>
  <c r="N83" i="31" s="1"/>
  <c r="F58" i="26"/>
  <c r="H58" i="26" s="1"/>
  <c r="H95" i="26" s="1"/>
  <c r="G83" i="7"/>
  <c r="G204" i="7"/>
  <c r="E271" i="7"/>
  <c r="E270" i="7"/>
  <c r="F283" i="7"/>
  <c r="F273" i="7"/>
  <c r="U283" i="7"/>
  <c r="AD43" i="25"/>
  <c r="AC43" i="25"/>
  <c r="AB43" i="25"/>
  <c r="AA43" i="25"/>
  <c r="Z43" i="25"/>
  <c r="Y43" i="25"/>
  <c r="X43" i="25"/>
  <c r="W43" i="25"/>
  <c r="V43" i="25"/>
  <c r="U43" i="25"/>
  <c r="T43" i="25"/>
  <c r="S43" i="25"/>
  <c r="R43" i="25"/>
  <c r="Q43" i="25"/>
  <c r="P43" i="25"/>
  <c r="O43" i="25"/>
  <c r="N43" i="25"/>
  <c r="M43" i="25"/>
  <c r="L43" i="25"/>
  <c r="K43" i="25"/>
  <c r="J43" i="25"/>
  <c r="I43" i="25"/>
  <c r="H43" i="25"/>
  <c r="G43" i="25"/>
  <c r="F43" i="25"/>
  <c r="E43" i="25"/>
  <c r="D43" i="25"/>
  <c r="C43" i="25"/>
  <c r="W55" i="7" l="1"/>
  <c r="W131" i="7"/>
  <c r="W97" i="7"/>
  <c r="W92" i="7"/>
  <c r="J83" i="41"/>
  <c r="K83" i="41" s="1"/>
  <c r="W83" i="7"/>
  <c r="W57" i="7"/>
  <c r="W26" i="7"/>
  <c r="W60" i="7"/>
  <c r="W27" i="7"/>
  <c r="W59" i="7"/>
  <c r="N92" i="42"/>
  <c r="O92" i="42" s="1"/>
  <c r="J97" i="43"/>
  <c r="K97" i="43" s="1"/>
  <c r="L97" i="43" s="1"/>
  <c r="J92" i="43"/>
  <c r="K92" i="43" s="1"/>
  <c r="L92" i="43" s="1"/>
  <c r="N97" i="42"/>
  <c r="O97" i="42" s="1"/>
  <c r="H99" i="41"/>
  <c r="N83" i="41"/>
  <c r="O83" i="41" s="1"/>
  <c r="J97" i="41"/>
  <c r="K97" i="41" s="1"/>
  <c r="L97" i="41" s="1"/>
  <c r="N97" i="41"/>
  <c r="O97" i="41" s="1"/>
  <c r="N92" i="41"/>
  <c r="O92" i="41" s="1"/>
  <c r="J92" i="41"/>
  <c r="K92" i="41" s="1"/>
  <c r="L92" i="41" s="1"/>
  <c r="H74" i="41"/>
  <c r="J55" i="41"/>
  <c r="K55" i="41" s="1"/>
  <c r="L55" i="41" s="1"/>
  <c r="N55" i="41"/>
  <c r="O55" i="41" s="1"/>
  <c r="H137" i="41"/>
  <c r="J131" i="41"/>
  <c r="J137" i="41" s="1"/>
  <c r="N131" i="41"/>
  <c r="U168" i="43"/>
  <c r="U170" i="43"/>
  <c r="J26" i="43"/>
  <c r="K26" i="43" s="1"/>
  <c r="L26" i="43" s="1"/>
  <c r="N26" i="43"/>
  <c r="O26" i="43" s="1"/>
  <c r="N26" i="42"/>
  <c r="O26" i="42" s="1"/>
  <c r="J26" i="42"/>
  <c r="K26" i="42" s="1"/>
  <c r="G191" i="43"/>
  <c r="H191" i="43" s="1"/>
  <c r="H190" i="43"/>
  <c r="T187" i="42"/>
  <c r="G204" i="42"/>
  <c r="G205" i="42" s="1"/>
  <c r="G208" i="42"/>
  <c r="G209" i="42" s="1"/>
  <c r="J59" i="42"/>
  <c r="K59" i="42" s="1"/>
  <c r="N59" i="42"/>
  <c r="O59" i="42" s="1"/>
  <c r="H137" i="42"/>
  <c r="N131" i="42"/>
  <c r="J131" i="42"/>
  <c r="J137" i="42" s="1"/>
  <c r="G191" i="42"/>
  <c r="H191" i="42" s="1"/>
  <c r="H190" i="42"/>
  <c r="N57" i="41"/>
  <c r="O57" i="41" s="1"/>
  <c r="J57" i="41"/>
  <c r="K57" i="41" s="1"/>
  <c r="L57" i="41" s="1"/>
  <c r="J26" i="41"/>
  <c r="K26" i="41" s="1"/>
  <c r="L26" i="41" s="1"/>
  <c r="N26" i="41"/>
  <c r="O26" i="41" s="1"/>
  <c r="N55" i="43"/>
  <c r="O55" i="43" s="1"/>
  <c r="J55" i="43"/>
  <c r="K55" i="43" s="1"/>
  <c r="L55" i="43" s="1"/>
  <c r="H74" i="43"/>
  <c r="J27" i="43"/>
  <c r="K27" i="43" s="1"/>
  <c r="L27" i="43" s="1"/>
  <c r="N27" i="43"/>
  <c r="O27" i="43" s="1"/>
  <c r="J57" i="43"/>
  <c r="K57" i="43" s="1"/>
  <c r="L57" i="43" s="1"/>
  <c r="N57" i="43"/>
  <c r="O57" i="43" s="1"/>
  <c r="N60" i="41"/>
  <c r="O60" i="41" s="1"/>
  <c r="J60" i="41"/>
  <c r="K60" i="41" s="1"/>
  <c r="L60" i="41" s="1"/>
  <c r="U119" i="43"/>
  <c r="V119" i="43" s="1"/>
  <c r="G119" i="43" s="1"/>
  <c r="U118" i="43"/>
  <c r="V118" i="43" s="1"/>
  <c r="G118" i="43" s="1"/>
  <c r="U117" i="43"/>
  <c r="J27" i="41"/>
  <c r="K27" i="41" s="1"/>
  <c r="L27" i="41" s="1"/>
  <c r="N27" i="41"/>
  <c r="O27" i="41" s="1"/>
  <c r="N57" i="42"/>
  <c r="O57" i="42" s="1"/>
  <c r="J57" i="42"/>
  <c r="K57" i="42" s="1"/>
  <c r="L57" i="42" s="1"/>
  <c r="H137" i="43"/>
  <c r="J131" i="43"/>
  <c r="J137" i="43" s="1"/>
  <c r="N131" i="43"/>
  <c r="N59" i="43"/>
  <c r="O59" i="43" s="1"/>
  <c r="J59" i="43"/>
  <c r="K59" i="43" s="1"/>
  <c r="L59" i="43" s="1"/>
  <c r="U170" i="42"/>
  <c r="U168" i="42"/>
  <c r="J27" i="42"/>
  <c r="K27" i="42" s="1"/>
  <c r="L27" i="42" s="1"/>
  <c r="N27" i="42"/>
  <c r="O27" i="42" s="1"/>
  <c r="H190" i="41"/>
  <c r="G191" i="41"/>
  <c r="H191" i="41" s="1"/>
  <c r="U118" i="42"/>
  <c r="V118" i="42" s="1"/>
  <c r="G118" i="42" s="1"/>
  <c r="U119" i="42"/>
  <c r="V119" i="42" s="1"/>
  <c r="G119" i="42" s="1"/>
  <c r="U117" i="42"/>
  <c r="U118" i="41"/>
  <c r="V118" i="41" s="1"/>
  <c r="G118" i="41" s="1"/>
  <c r="U119" i="41"/>
  <c r="V119" i="41" s="1"/>
  <c r="G119" i="41" s="1"/>
  <c r="U117" i="41"/>
  <c r="G204" i="41"/>
  <c r="G205" i="41" s="1"/>
  <c r="G208" i="41"/>
  <c r="G209" i="41" s="1"/>
  <c r="T187" i="41"/>
  <c r="J59" i="41"/>
  <c r="K59" i="41" s="1"/>
  <c r="L59" i="41" s="1"/>
  <c r="N59" i="41"/>
  <c r="O59" i="41" s="1"/>
  <c r="N55" i="42"/>
  <c r="O55" i="42" s="1"/>
  <c r="J55" i="42"/>
  <c r="K55" i="42" s="1"/>
  <c r="L55" i="42" s="1"/>
  <c r="H74" i="42"/>
  <c r="U170" i="41"/>
  <c r="U168" i="41"/>
  <c r="N60" i="43"/>
  <c r="O60" i="43" s="1"/>
  <c r="J60" i="43"/>
  <c r="K60" i="43" s="1"/>
  <c r="N60" i="42"/>
  <c r="O60" i="42" s="1"/>
  <c r="J60" i="42"/>
  <c r="K60" i="42" s="1"/>
  <c r="T187" i="43"/>
  <c r="G204" i="43"/>
  <c r="G205" i="43" s="1"/>
  <c r="G208" i="43"/>
  <c r="G209" i="43" s="1"/>
  <c r="L92" i="42"/>
  <c r="N83" i="43"/>
  <c r="J83" i="43"/>
  <c r="H99" i="43"/>
  <c r="J83" i="42"/>
  <c r="N83" i="42"/>
  <c r="H99" i="42"/>
  <c r="G43" i="41"/>
  <c r="L97" i="42"/>
  <c r="L46" i="43"/>
  <c r="J83" i="32"/>
  <c r="N83" i="32"/>
  <c r="H99" i="32"/>
  <c r="K92" i="32"/>
  <c r="L92" i="32" s="1"/>
  <c r="J83" i="31"/>
  <c r="J99" i="31" s="1"/>
  <c r="H99" i="31"/>
  <c r="O83" i="31"/>
  <c r="O99" i="31" s="1"/>
  <c r="N99" i="31"/>
  <c r="F71" i="26"/>
  <c r="F97" i="26" s="1"/>
  <c r="F277" i="7"/>
  <c r="B47" i="25"/>
  <c r="A46" i="25"/>
  <c r="A47" i="25" s="1"/>
  <c r="C47" i="25" s="1"/>
  <c r="F88" i="25" s="1"/>
  <c r="W74" i="7" l="1"/>
  <c r="W137" i="7"/>
  <c r="W190" i="7"/>
  <c r="W80" i="7"/>
  <c r="O99" i="41"/>
  <c r="N99" i="41"/>
  <c r="K99" i="41"/>
  <c r="J99" i="41"/>
  <c r="U172" i="43"/>
  <c r="L60" i="42"/>
  <c r="U120" i="41"/>
  <c r="V117" i="41" s="1"/>
  <c r="G117" i="41" s="1"/>
  <c r="U172" i="41"/>
  <c r="U120" i="43"/>
  <c r="V117" i="43" s="1"/>
  <c r="V120" i="43" s="1"/>
  <c r="L60" i="43"/>
  <c r="L26" i="42"/>
  <c r="L59" i="42"/>
  <c r="K131" i="43"/>
  <c r="J191" i="42"/>
  <c r="K191" i="42" s="1"/>
  <c r="N191" i="42"/>
  <c r="O191" i="42" s="1"/>
  <c r="N137" i="43"/>
  <c r="O131" i="43"/>
  <c r="O137" i="43" s="1"/>
  <c r="U120" i="42"/>
  <c r="V117" i="42" s="1"/>
  <c r="J191" i="41"/>
  <c r="K191" i="41" s="1"/>
  <c r="N191" i="41"/>
  <c r="O191" i="41" s="1"/>
  <c r="U208" i="43"/>
  <c r="V208" i="43" s="1"/>
  <c r="U192" i="43"/>
  <c r="V192" i="43" s="1"/>
  <c r="G192" i="43" s="1"/>
  <c r="G193" i="43" s="1"/>
  <c r="U196" i="43"/>
  <c r="V196" i="43" s="1"/>
  <c r="G196" i="43" s="1"/>
  <c r="G197" i="43" s="1"/>
  <c r="U198" i="43"/>
  <c r="V198" i="43" s="1"/>
  <c r="G198" i="43" s="1"/>
  <c r="G199" i="43" s="1"/>
  <c r="U194" i="43"/>
  <c r="V194" i="43" s="1"/>
  <c r="G194" i="43" s="1"/>
  <c r="G195" i="43" s="1"/>
  <c r="U188" i="43"/>
  <c r="U204" i="43"/>
  <c r="V204" i="43" s="1"/>
  <c r="J190" i="41"/>
  <c r="K190" i="41" s="1"/>
  <c r="L190" i="41" s="1"/>
  <c r="N190" i="41"/>
  <c r="O190" i="41" s="1"/>
  <c r="N190" i="43"/>
  <c r="O190" i="43" s="1"/>
  <c r="J190" i="43"/>
  <c r="K190" i="43" s="1"/>
  <c r="H76" i="42"/>
  <c r="J74" i="42"/>
  <c r="K74" i="42" s="1"/>
  <c r="L74" i="42" s="1"/>
  <c r="N74" i="42"/>
  <c r="O74" i="42" s="1"/>
  <c r="N74" i="43"/>
  <c r="O74" i="43" s="1"/>
  <c r="J74" i="43"/>
  <c r="K74" i="43" s="1"/>
  <c r="L74" i="43" s="1"/>
  <c r="H76" i="43"/>
  <c r="J191" i="43"/>
  <c r="K191" i="43" s="1"/>
  <c r="L191" i="43" s="1"/>
  <c r="N191" i="43"/>
  <c r="O191" i="43" s="1"/>
  <c r="H76" i="41"/>
  <c r="J74" i="41"/>
  <c r="K74" i="41" s="1"/>
  <c r="L74" i="41" s="1"/>
  <c r="N74" i="41"/>
  <c r="O74" i="41" s="1"/>
  <c r="U172" i="42"/>
  <c r="K131" i="42"/>
  <c r="U208" i="41"/>
  <c r="V208" i="41" s="1"/>
  <c r="U196" i="41"/>
  <c r="V196" i="41" s="1"/>
  <c r="G196" i="41" s="1"/>
  <c r="G197" i="41" s="1"/>
  <c r="U204" i="41"/>
  <c r="V204" i="41" s="1"/>
  <c r="U192" i="41"/>
  <c r="V192" i="41" s="1"/>
  <c r="G192" i="41" s="1"/>
  <c r="G193" i="41" s="1"/>
  <c r="U198" i="41"/>
  <c r="V198" i="41" s="1"/>
  <c r="G198" i="41" s="1"/>
  <c r="G199" i="41" s="1"/>
  <c r="U194" i="41"/>
  <c r="V194" i="41" s="1"/>
  <c r="G194" i="41" s="1"/>
  <c r="G195" i="41" s="1"/>
  <c r="U188" i="41"/>
  <c r="K131" i="41"/>
  <c r="K137" i="41" s="1"/>
  <c r="J190" i="42"/>
  <c r="K190" i="42" s="1"/>
  <c r="L190" i="42" s="1"/>
  <c r="N190" i="42"/>
  <c r="O190" i="42" s="1"/>
  <c r="O131" i="42"/>
  <c r="O137" i="42" s="1"/>
  <c r="N137" i="42"/>
  <c r="U198" i="42"/>
  <c r="V198" i="42" s="1"/>
  <c r="G198" i="42" s="1"/>
  <c r="G199" i="42" s="1"/>
  <c r="U188" i="42"/>
  <c r="U204" i="42"/>
  <c r="V204" i="42" s="1"/>
  <c r="U208" i="42"/>
  <c r="V208" i="42" s="1"/>
  <c r="U194" i="42"/>
  <c r="V194" i="42" s="1"/>
  <c r="G194" i="42" s="1"/>
  <c r="G195" i="42" s="1"/>
  <c r="U192" i="42"/>
  <c r="V192" i="42" s="1"/>
  <c r="G192" i="42" s="1"/>
  <c r="G193" i="42" s="1"/>
  <c r="U196" i="42"/>
  <c r="V196" i="42" s="1"/>
  <c r="G196" i="42" s="1"/>
  <c r="G197" i="42" s="1"/>
  <c r="N137" i="41"/>
  <c r="O131" i="41"/>
  <c r="O137" i="41" s="1"/>
  <c r="T267" i="43"/>
  <c r="T267" i="42"/>
  <c r="T267" i="41"/>
  <c r="O83" i="42"/>
  <c r="O99" i="42" s="1"/>
  <c r="N99" i="42"/>
  <c r="K83" i="43"/>
  <c r="J99" i="43"/>
  <c r="K83" i="42"/>
  <c r="J99" i="42"/>
  <c r="O83" i="43"/>
  <c r="O99" i="43" s="1"/>
  <c r="N99" i="43"/>
  <c r="L83" i="41"/>
  <c r="L99" i="41" s="1"/>
  <c r="O83" i="32"/>
  <c r="O99" i="32" s="1"/>
  <c r="N99" i="32"/>
  <c r="K83" i="32"/>
  <c r="J99" i="32"/>
  <c r="T267" i="31"/>
  <c r="T267" i="32"/>
  <c r="F99" i="26"/>
  <c r="N56" i="26"/>
  <c r="K83" i="31"/>
  <c r="L83" i="31" s="1"/>
  <c r="L99" i="31" s="1"/>
  <c r="F20" i="26"/>
  <c r="G96" i="26"/>
  <c r="T267" i="7"/>
  <c r="F86" i="25"/>
  <c r="F87" i="25"/>
  <c r="F52" i="25"/>
  <c r="F56" i="25"/>
  <c r="F60" i="25"/>
  <c r="F64" i="25"/>
  <c r="F68" i="25"/>
  <c r="F72" i="25"/>
  <c r="F76" i="25"/>
  <c r="F80" i="25"/>
  <c r="F84" i="25"/>
  <c r="F49" i="25"/>
  <c r="F53" i="25"/>
  <c r="F57" i="25"/>
  <c r="F61" i="25"/>
  <c r="F65" i="25"/>
  <c r="F69" i="25"/>
  <c r="F73" i="25"/>
  <c r="F81" i="25"/>
  <c r="F50" i="25"/>
  <c r="F54" i="25"/>
  <c r="F58" i="25"/>
  <c r="F62" i="25"/>
  <c r="F66" i="25"/>
  <c r="F70" i="25"/>
  <c r="F74" i="25"/>
  <c r="F78" i="25"/>
  <c r="F82" i="25"/>
  <c r="F48" i="25"/>
  <c r="F51" i="25"/>
  <c r="F55" i="25"/>
  <c r="F59" i="25"/>
  <c r="F63" i="25"/>
  <c r="F67" i="25"/>
  <c r="F71" i="25"/>
  <c r="F75" i="25"/>
  <c r="F79" i="25"/>
  <c r="F83" i="25"/>
  <c r="F77" i="25"/>
  <c r="F85" i="25"/>
  <c r="T379" i="7"/>
  <c r="U378" i="7"/>
  <c r="T370" i="7"/>
  <c r="U376" i="7" s="1"/>
  <c r="T343" i="7"/>
  <c r="T337" i="7"/>
  <c r="U342" i="7" s="1"/>
  <c r="T336" i="7"/>
  <c r="T330" i="7"/>
  <c r="U334" i="7" s="1"/>
  <c r="T240" i="7"/>
  <c r="T237" i="7"/>
  <c r="U239" i="7" s="1"/>
  <c r="T230" i="7"/>
  <c r="T227" i="7"/>
  <c r="U229" i="7" s="1"/>
  <c r="T220" i="7"/>
  <c r="T217" i="7"/>
  <c r="U219" i="7" s="1"/>
  <c r="T210" i="7"/>
  <c r="T187" i="7"/>
  <c r="U204" i="7" s="1"/>
  <c r="V204" i="7" s="1"/>
  <c r="T186" i="7"/>
  <c r="U176" i="7"/>
  <c r="T173" i="7"/>
  <c r="U174" i="7" s="1"/>
  <c r="T172" i="7"/>
  <c r="T167" i="7"/>
  <c r="U170" i="7" s="1"/>
  <c r="T166" i="7"/>
  <c r="T161" i="7"/>
  <c r="U162" i="7" s="1"/>
  <c r="T127" i="7"/>
  <c r="V126" i="7"/>
  <c r="V125" i="7"/>
  <c r="V124" i="7"/>
  <c r="T123" i="7"/>
  <c r="U125" i="7" s="1"/>
  <c r="T120" i="7"/>
  <c r="T116" i="7"/>
  <c r="U119" i="7" s="1"/>
  <c r="V119" i="7" s="1"/>
  <c r="T51" i="7"/>
  <c r="T41" i="7"/>
  <c r="U44" i="7" s="1"/>
  <c r="V44" i="7" s="1"/>
  <c r="T23" i="7"/>
  <c r="T17" i="7"/>
  <c r="U20" i="7" s="1"/>
  <c r="V20" i="7" s="1"/>
  <c r="W96" i="7" l="1"/>
  <c r="W32" i="7"/>
  <c r="W65" i="7"/>
  <c r="W46" i="7"/>
  <c r="W76" i="7"/>
  <c r="W22" i="7"/>
  <c r="W91" i="7"/>
  <c r="V120" i="41"/>
  <c r="G117" i="43"/>
  <c r="L190" i="43"/>
  <c r="U210" i="42"/>
  <c r="N76" i="42"/>
  <c r="O76" i="42" s="1"/>
  <c r="J76" i="42"/>
  <c r="K76" i="42" s="1"/>
  <c r="L76" i="42" s="1"/>
  <c r="U210" i="41"/>
  <c r="N76" i="43"/>
  <c r="O76" i="43" s="1"/>
  <c r="J76" i="43"/>
  <c r="K76" i="43" s="1"/>
  <c r="L131" i="41"/>
  <c r="L137" i="41" s="1"/>
  <c r="J76" i="41"/>
  <c r="K76" i="41" s="1"/>
  <c r="L76" i="41" s="1"/>
  <c r="N76" i="41"/>
  <c r="O76" i="41" s="1"/>
  <c r="L191" i="41"/>
  <c r="G117" i="42"/>
  <c r="V120" i="42"/>
  <c r="U210" i="43"/>
  <c r="L191" i="42"/>
  <c r="K137" i="43"/>
  <c r="L131" i="43"/>
  <c r="L137" i="43" s="1"/>
  <c r="K137" i="42"/>
  <c r="L131" i="42"/>
  <c r="L137" i="42" s="1"/>
  <c r="T259" i="43"/>
  <c r="T259" i="41"/>
  <c r="T259" i="42"/>
  <c r="T242" i="43"/>
  <c r="T242" i="42"/>
  <c r="T242" i="41"/>
  <c r="T252" i="42"/>
  <c r="T252" i="43"/>
  <c r="T252" i="41"/>
  <c r="T251" i="41"/>
  <c r="T251" i="43"/>
  <c r="T251" i="42"/>
  <c r="T247" i="43"/>
  <c r="T247" i="41"/>
  <c r="T247" i="42"/>
  <c r="T308" i="43"/>
  <c r="T308" i="42"/>
  <c r="T308" i="41"/>
  <c r="T260" i="43"/>
  <c r="T260" i="41"/>
  <c r="T260" i="42"/>
  <c r="T248" i="42"/>
  <c r="T248" i="43"/>
  <c r="T248" i="41"/>
  <c r="T243" i="41"/>
  <c r="T243" i="43"/>
  <c r="T243" i="42"/>
  <c r="T254" i="41"/>
  <c r="T254" i="43"/>
  <c r="T254" i="42"/>
  <c r="T278" i="43"/>
  <c r="W278" i="43" s="1"/>
  <c r="T278" i="42"/>
  <c r="T278" i="41"/>
  <c r="T266" i="42"/>
  <c r="T266" i="41"/>
  <c r="T266" i="43"/>
  <c r="T310" i="41"/>
  <c r="U310" i="41" s="1"/>
  <c r="T310" i="43"/>
  <c r="U310" i="43" s="1"/>
  <c r="T310" i="42"/>
  <c r="U310" i="42" s="1"/>
  <c r="T262" i="43"/>
  <c r="T262" i="42"/>
  <c r="T262" i="41"/>
  <c r="T250" i="42"/>
  <c r="T250" i="43"/>
  <c r="T250" i="41"/>
  <c r="T275" i="42"/>
  <c r="T275" i="43"/>
  <c r="T275" i="41"/>
  <c r="T306" i="42"/>
  <c r="U306" i="42" s="1"/>
  <c r="T306" i="41"/>
  <c r="U306" i="41" s="1"/>
  <c r="T306" i="43"/>
  <c r="U306" i="43" s="1"/>
  <c r="T298" i="43"/>
  <c r="T298" i="41"/>
  <c r="T298" i="42"/>
  <c r="T281" i="42"/>
  <c r="T281" i="41"/>
  <c r="T281" i="43"/>
  <c r="T265" i="42"/>
  <c r="T265" i="41"/>
  <c r="T265" i="43"/>
  <c r="T245" i="41"/>
  <c r="T245" i="43"/>
  <c r="T245" i="42"/>
  <c r="T280" i="42"/>
  <c r="T280" i="41"/>
  <c r="T280" i="43"/>
  <c r="T279" i="43"/>
  <c r="T279" i="42"/>
  <c r="T279" i="41"/>
  <c r="T257" i="43"/>
  <c r="T257" i="42"/>
  <c r="T257" i="41"/>
  <c r="T264" i="41"/>
  <c r="T264" i="43"/>
  <c r="T264" i="42"/>
  <c r="L83" i="43"/>
  <c r="L99" i="43" s="1"/>
  <c r="K99" i="43"/>
  <c r="T263" i="42"/>
  <c r="T263" i="43"/>
  <c r="T263" i="41"/>
  <c r="T270" i="43"/>
  <c r="T270" i="42"/>
  <c r="T270" i="41"/>
  <c r="T271" i="42"/>
  <c r="T271" i="41"/>
  <c r="T271" i="43"/>
  <c r="T256" i="42"/>
  <c r="T256" i="41"/>
  <c r="T256" i="43"/>
  <c r="T290" i="43"/>
  <c r="T290" i="41"/>
  <c r="T290" i="42"/>
  <c r="T253" i="43"/>
  <c r="T253" i="42"/>
  <c r="T253" i="41"/>
  <c r="T244" i="42"/>
  <c r="T244" i="43"/>
  <c r="T244" i="41"/>
  <c r="T246" i="43"/>
  <c r="T246" i="41"/>
  <c r="T246" i="42"/>
  <c r="T274" i="42"/>
  <c r="T274" i="43"/>
  <c r="T274" i="41"/>
  <c r="T258" i="42"/>
  <c r="T258" i="43"/>
  <c r="T258" i="41"/>
  <c r="T261" i="41"/>
  <c r="T261" i="42"/>
  <c r="T261" i="43"/>
  <c r="T249" i="41"/>
  <c r="T249" i="42"/>
  <c r="T249" i="43"/>
  <c r="T269" i="43"/>
  <c r="T269" i="42"/>
  <c r="T269" i="41"/>
  <c r="T255" i="43"/>
  <c r="T255" i="42"/>
  <c r="T255" i="41"/>
  <c r="T268" i="41"/>
  <c r="T268" i="42"/>
  <c r="T268" i="43"/>
  <c r="L83" i="42"/>
  <c r="L99" i="42" s="1"/>
  <c r="K99" i="42"/>
  <c r="F100" i="26"/>
  <c r="J411" i="32" s="1"/>
  <c r="K411" i="32" s="1"/>
  <c r="L411" i="32" s="1"/>
  <c r="T259" i="31"/>
  <c r="T259" i="32"/>
  <c r="T245" i="31"/>
  <c r="T245" i="32"/>
  <c r="T242" i="31"/>
  <c r="T242" i="32"/>
  <c r="T280" i="31"/>
  <c r="T280" i="32"/>
  <c r="T252" i="31"/>
  <c r="T252" i="32"/>
  <c r="T279" i="31"/>
  <c r="T279" i="32"/>
  <c r="T251" i="31"/>
  <c r="T251" i="32"/>
  <c r="T257" i="31"/>
  <c r="T257" i="32"/>
  <c r="T247" i="31"/>
  <c r="T247" i="32"/>
  <c r="T264" i="31"/>
  <c r="T264" i="32"/>
  <c r="T263" i="31"/>
  <c r="T263" i="32"/>
  <c r="T308" i="31"/>
  <c r="W308" i="31" s="1"/>
  <c r="T308" i="32"/>
  <c r="T270" i="31"/>
  <c r="T270" i="32"/>
  <c r="T260" i="31"/>
  <c r="T260" i="32"/>
  <c r="T271" i="31"/>
  <c r="T271" i="32"/>
  <c r="T248" i="31"/>
  <c r="T248" i="32"/>
  <c r="T256" i="31"/>
  <c r="T256" i="32"/>
  <c r="T243" i="31"/>
  <c r="T243" i="32"/>
  <c r="T290" i="31"/>
  <c r="W290" i="31" s="1"/>
  <c r="T290" i="32"/>
  <c r="T254" i="31"/>
  <c r="T254" i="32"/>
  <c r="T258" i="31"/>
  <c r="T258" i="32"/>
  <c r="T278" i="31"/>
  <c r="W278" i="31" s="1"/>
  <c r="T278" i="32"/>
  <c r="T253" i="31"/>
  <c r="T253" i="32"/>
  <c r="T266" i="31"/>
  <c r="T266" i="32"/>
  <c r="T244" i="31"/>
  <c r="T244" i="32"/>
  <c r="T310" i="31"/>
  <c r="U310" i="31" s="1"/>
  <c r="T310" i="32"/>
  <c r="U310" i="32" s="1"/>
  <c r="T246" i="31"/>
  <c r="T246" i="32"/>
  <c r="T262" i="31"/>
  <c r="T262" i="32"/>
  <c r="T274" i="31"/>
  <c r="W274" i="31" s="1"/>
  <c r="T274" i="32"/>
  <c r="T250" i="31"/>
  <c r="T250" i="32"/>
  <c r="T261" i="31"/>
  <c r="T261" i="32"/>
  <c r="T275" i="31"/>
  <c r="T275" i="32"/>
  <c r="T249" i="31"/>
  <c r="T249" i="32"/>
  <c r="T306" i="31"/>
  <c r="U306" i="31" s="1"/>
  <c r="T306" i="32"/>
  <c r="U306" i="32" s="1"/>
  <c r="T269" i="31"/>
  <c r="T269" i="32"/>
  <c r="T298" i="31"/>
  <c r="W298" i="31" s="1"/>
  <c r="T298" i="32"/>
  <c r="T255" i="31"/>
  <c r="T255" i="32"/>
  <c r="T281" i="31"/>
  <c r="T281" i="32"/>
  <c r="T268" i="31"/>
  <c r="T268" i="32"/>
  <c r="T265" i="31"/>
  <c r="T265" i="32"/>
  <c r="L83" i="32"/>
  <c r="L99" i="32" s="1"/>
  <c r="K99" i="32"/>
  <c r="K99" i="31"/>
  <c r="T308" i="7"/>
  <c r="U308" i="7" s="1"/>
  <c r="T260" i="7"/>
  <c r="T266" i="7"/>
  <c r="T290" i="7"/>
  <c r="U290" i="7" s="1"/>
  <c r="T310" i="7"/>
  <c r="U310" i="7" s="1"/>
  <c r="T274" i="7"/>
  <c r="T275" i="7"/>
  <c r="T306" i="7"/>
  <c r="U306" i="7" s="1"/>
  <c r="T298" i="7"/>
  <c r="U298" i="7" s="1"/>
  <c r="T281" i="7"/>
  <c r="T265" i="7"/>
  <c r="T259" i="7"/>
  <c r="T280" i="7"/>
  <c r="T279" i="7"/>
  <c r="T257" i="7"/>
  <c r="T264" i="7"/>
  <c r="U335" i="7"/>
  <c r="U42" i="7"/>
  <c r="U168" i="7"/>
  <c r="U172" i="7" s="1"/>
  <c r="U164" i="7"/>
  <c r="U166" i="7" s="1"/>
  <c r="U46" i="7"/>
  <c r="V46" i="7" s="1"/>
  <c r="U118" i="7"/>
  <c r="V118" i="7" s="1"/>
  <c r="U373" i="7"/>
  <c r="V127" i="7"/>
  <c r="U117" i="7"/>
  <c r="U333" i="7"/>
  <c r="U339" i="7"/>
  <c r="U372" i="7"/>
  <c r="U188" i="7"/>
  <c r="U331" i="7"/>
  <c r="U371" i="7"/>
  <c r="T258" i="7"/>
  <c r="T253" i="7"/>
  <c r="T244" i="7"/>
  <c r="T246" i="7"/>
  <c r="T262" i="7"/>
  <c r="T250" i="7"/>
  <c r="T269" i="7"/>
  <c r="T255" i="7"/>
  <c r="T268" i="7"/>
  <c r="T252" i="7"/>
  <c r="T251" i="7"/>
  <c r="T247" i="7"/>
  <c r="T261" i="7"/>
  <c r="T249" i="7"/>
  <c r="T245" i="7"/>
  <c r="T242" i="7"/>
  <c r="F89" i="25"/>
  <c r="T263" i="7"/>
  <c r="T270" i="7"/>
  <c r="T271" i="7"/>
  <c r="T248" i="7"/>
  <c r="T256" i="7"/>
  <c r="T243" i="7"/>
  <c r="T254" i="7"/>
  <c r="T278" i="7"/>
  <c r="U18" i="7"/>
  <c r="U22" i="7"/>
  <c r="V22" i="7" s="1"/>
  <c r="G22" i="7" s="1"/>
  <c r="U50" i="7"/>
  <c r="V50" i="7" s="1"/>
  <c r="G50" i="7" s="1"/>
  <c r="U124" i="7"/>
  <c r="U126" i="7"/>
  <c r="U194" i="7"/>
  <c r="V194" i="7" s="1"/>
  <c r="U198" i="7"/>
  <c r="V198" i="7" s="1"/>
  <c r="U208" i="7"/>
  <c r="V208" i="7" s="1"/>
  <c r="U218" i="7"/>
  <c r="U220" i="7" s="1"/>
  <c r="U228" i="7"/>
  <c r="U230" i="7" s="1"/>
  <c r="U238" i="7"/>
  <c r="U240" i="7" s="1"/>
  <c r="U332" i="7"/>
  <c r="U340" i="7"/>
  <c r="U374" i="7"/>
  <c r="U341" i="7"/>
  <c r="U184" i="7"/>
  <c r="U192" i="7"/>
  <c r="V192" i="7" s="1"/>
  <c r="U196" i="7"/>
  <c r="V196" i="7" s="1"/>
  <c r="U338" i="7"/>
  <c r="U180" i="7"/>
  <c r="G44" i="7"/>
  <c r="G20" i="7"/>
  <c r="W70" i="7" l="1"/>
  <c r="W99" i="7"/>
  <c r="W37" i="7"/>
  <c r="W39" i="7"/>
  <c r="T276" i="31"/>
  <c r="T273" i="31" s="1"/>
  <c r="L76" i="43"/>
  <c r="T282" i="43"/>
  <c r="T277" i="43" s="1"/>
  <c r="W290" i="42"/>
  <c r="T328" i="42"/>
  <c r="T283" i="42" s="1"/>
  <c r="U290" i="42"/>
  <c r="W274" i="43"/>
  <c r="T276" i="43"/>
  <c r="T273" i="43" s="1"/>
  <c r="T328" i="41"/>
  <c r="T283" i="41" s="1"/>
  <c r="W290" i="41"/>
  <c r="U290" i="41"/>
  <c r="T272" i="42"/>
  <c r="T241" i="42" s="1"/>
  <c r="W290" i="43"/>
  <c r="T328" i="43"/>
  <c r="T283" i="43" s="1"/>
  <c r="U290" i="43"/>
  <c r="W278" i="41"/>
  <c r="T282" i="41"/>
  <c r="T277" i="41" s="1"/>
  <c r="T272" i="43"/>
  <c r="W298" i="42"/>
  <c r="U298" i="42"/>
  <c r="W278" i="42"/>
  <c r="T282" i="42"/>
  <c r="T277" i="42" s="1"/>
  <c r="T276" i="41"/>
  <c r="T273" i="41" s="1"/>
  <c r="W274" i="41"/>
  <c r="W274" i="42"/>
  <c r="T276" i="42"/>
  <c r="W298" i="41"/>
  <c r="U298" i="41"/>
  <c r="W308" i="41"/>
  <c r="U308" i="41"/>
  <c r="W298" i="43"/>
  <c r="U298" i="43"/>
  <c r="W308" i="43"/>
  <c r="U308" i="43"/>
  <c r="T272" i="41"/>
  <c r="W308" i="42"/>
  <c r="U308" i="42"/>
  <c r="T272" i="31"/>
  <c r="T241" i="31" s="1"/>
  <c r="U290" i="31"/>
  <c r="W298" i="7"/>
  <c r="U308" i="31"/>
  <c r="T328" i="31"/>
  <c r="T283" i="31" s="1"/>
  <c r="T282" i="31"/>
  <c r="T277" i="31" s="1"/>
  <c r="U298" i="31"/>
  <c r="F102" i="26"/>
  <c r="F103" i="26" s="1"/>
  <c r="T276" i="32"/>
  <c r="T273" i="32" s="1"/>
  <c r="W274" i="32"/>
  <c r="W278" i="32"/>
  <c r="T282" i="32"/>
  <c r="T328" i="32"/>
  <c r="T283" i="32" s="1"/>
  <c r="W290" i="32"/>
  <c r="U290" i="32"/>
  <c r="W308" i="32"/>
  <c r="U308" i="32"/>
  <c r="T272" i="32"/>
  <c r="T241" i="32" s="1"/>
  <c r="W298" i="32"/>
  <c r="U298" i="32"/>
  <c r="U186" i="7"/>
  <c r="W308" i="7"/>
  <c r="W290" i="7"/>
  <c r="T276" i="7"/>
  <c r="T273" i="7" s="1"/>
  <c r="W274" i="7"/>
  <c r="T328" i="7"/>
  <c r="T283" i="7" s="1"/>
  <c r="U379" i="7"/>
  <c r="U51" i="7"/>
  <c r="V42" i="7" s="1"/>
  <c r="V51" i="7" s="1"/>
  <c r="W278" i="7"/>
  <c r="U336" i="7"/>
  <c r="U120" i="7"/>
  <c r="V117" i="7" s="1"/>
  <c r="V120" i="7" s="1"/>
  <c r="U127" i="7"/>
  <c r="U210" i="7"/>
  <c r="T272" i="7"/>
  <c r="U23" i="7"/>
  <c r="V18" i="7" s="1"/>
  <c r="V23" i="7" s="1"/>
  <c r="T282" i="7"/>
  <c r="T277" i="7" s="1"/>
  <c r="U343" i="7"/>
  <c r="G46" i="7"/>
  <c r="U328" i="42" l="1"/>
  <c r="U328" i="43"/>
  <c r="U242" i="42"/>
  <c r="U272" i="42" s="1"/>
  <c r="U278" i="42"/>
  <c r="U281" i="42"/>
  <c r="U275" i="42"/>
  <c r="U280" i="42"/>
  <c r="U274" i="42"/>
  <c r="U279" i="42"/>
  <c r="U328" i="41"/>
  <c r="T329" i="41"/>
  <c r="T241" i="41"/>
  <c r="T329" i="43"/>
  <c r="T241" i="43"/>
  <c r="T329" i="42"/>
  <c r="T273" i="42"/>
  <c r="T329" i="31"/>
  <c r="U328" i="31"/>
  <c r="U275" i="32"/>
  <c r="U279" i="32"/>
  <c r="U278" i="32"/>
  <c r="U281" i="32"/>
  <c r="U274" i="32"/>
  <c r="U280" i="32"/>
  <c r="U242" i="32"/>
  <c r="U272" i="32" s="1"/>
  <c r="T329" i="32"/>
  <c r="T277" i="32"/>
  <c r="U328" i="32"/>
  <c r="U278" i="31"/>
  <c r="U280" i="31"/>
  <c r="U242" i="31"/>
  <c r="U272" i="31" s="1"/>
  <c r="U274" i="31"/>
  <c r="U275" i="31"/>
  <c r="U279" i="31"/>
  <c r="U281" i="31"/>
  <c r="T329" i="7"/>
  <c r="T241" i="7"/>
  <c r="G42" i="7"/>
  <c r="U276" i="42" l="1"/>
  <c r="U280" i="43"/>
  <c r="U242" i="43"/>
  <c r="U272" i="43" s="1"/>
  <c r="U274" i="43"/>
  <c r="U278" i="43"/>
  <c r="U281" i="43"/>
  <c r="U279" i="43"/>
  <c r="U275" i="43"/>
  <c r="U281" i="41"/>
  <c r="U280" i="41"/>
  <c r="U274" i="41"/>
  <c r="U279" i="41"/>
  <c r="U278" i="41"/>
  <c r="U275" i="41"/>
  <c r="U242" i="41"/>
  <c r="U272" i="41" s="1"/>
  <c r="U282" i="42"/>
  <c r="U276" i="32"/>
  <c r="U282" i="32"/>
  <c r="U276" i="31"/>
  <c r="U282" i="31"/>
  <c r="U280" i="7"/>
  <c r="U279" i="7"/>
  <c r="U275" i="7"/>
  <c r="U259" i="7"/>
  <c r="U267" i="7"/>
  <c r="U260" i="7"/>
  <c r="U257" i="7"/>
  <c r="U265" i="7"/>
  <c r="U274" i="7"/>
  <c r="U281" i="7"/>
  <c r="U264" i="7"/>
  <c r="U266" i="7"/>
  <c r="U254" i="7"/>
  <c r="U244" i="7"/>
  <c r="U268" i="7"/>
  <c r="U278" i="7"/>
  <c r="U247" i="7"/>
  <c r="U249" i="7"/>
  <c r="U245" i="7"/>
  <c r="U261" i="7"/>
  <c r="U243" i="7"/>
  <c r="U262" i="7"/>
  <c r="U255" i="7"/>
  <c r="U251" i="7"/>
  <c r="U250" i="7"/>
  <c r="U271" i="7"/>
  <c r="U263" i="7"/>
  <c r="U246" i="7"/>
  <c r="U252" i="7"/>
  <c r="U270" i="7"/>
  <c r="U253" i="7"/>
  <c r="U256" i="7"/>
  <c r="U258" i="7"/>
  <c r="U269" i="7"/>
  <c r="U242" i="7"/>
  <c r="U248" i="7"/>
  <c r="G191" i="7"/>
  <c r="U329" i="42" l="1"/>
  <c r="U329" i="32"/>
  <c r="U282" i="41"/>
  <c r="U276" i="41"/>
  <c r="U282" i="43"/>
  <c r="U276" i="43"/>
  <c r="U329" i="31"/>
  <c r="U282" i="7"/>
  <c r="U328" i="7"/>
  <c r="U276" i="7"/>
  <c r="U272" i="7"/>
  <c r="G194" i="7"/>
  <c r="G195" i="7" s="1"/>
  <c r="G198" i="7"/>
  <c r="G196" i="7"/>
  <c r="U329" i="43" l="1"/>
  <c r="U329" i="41"/>
  <c r="U329" i="7"/>
  <c r="G192" i="7"/>
  <c r="G193" i="7" s="1"/>
  <c r="G101" i="7" l="1"/>
  <c r="G209" i="7" l="1"/>
  <c r="G205" i="7" l="1"/>
  <c r="G18" i="7" l="1"/>
  <c r="S378" i="7"/>
  <c r="B8" i="23" l="1"/>
  <c r="E1" i="12" l="1"/>
  <c r="A6" i="12" s="1"/>
  <c r="C1" i="12"/>
  <c r="D1" i="12" s="1"/>
  <c r="A4" i="12" s="1"/>
  <c r="B3" i="12"/>
  <c r="B4" i="12"/>
  <c r="B5" i="12"/>
  <c r="B6" i="12"/>
  <c r="B7" i="12"/>
  <c r="B8" i="12"/>
  <c r="B9" i="12"/>
  <c r="B10" i="12"/>
  <c r="B11" i="12"/>
  <c r="B12" i="12"/>
  <c r="B13" i="12"/>
  <c r="B14" i="12"/>
  <c r="B15" i="12"/>
  <c r="B16" i="12"/>
  <c r="B17" i="12"/>
  <c r="B18" i="12"/>
  <c r="B19" i="12"/>
  <c r="B20" i="12"/>
  <c r="B21" i="12"/>
  <c r="B22" i="12"/>
  <c r="B23" i="12"/>
  <c r="B24" i="12"/>
  <c r="B25" i="12"/>
  <c r="B26" i="12"/>
  <c r="B27" i="12"/>
  <c r="B28" i="12"/>
  <c r="B29" i="12"/>
  <c r="B30" i="12"/>
  <c r="B31" i="12"/>
  <c r="B32" i="12"/>
  <c r="B33" i="12"/>
  <c r="B34" i="12"/>
  <c r="B35" i="12"/>
  <c r="B36" i="12"/>
  <c r="B37" i="12"/>
  <c r="B38" i="12"/>
  <c r="B39" i="12"/>
  <c r="B40" i="12"/>
  <c r="B41" i="12"/>
  <c r="B42" i="12"/>
  <c r="B43" i="12"/>
  <c r="B44" i="12"/>
  <c r="B45" i="12"/>
  <c r="B46" i="12"/>
  <c r="B47" i="12"/>
  <c r="B48" i="12"/>
  <c r="B49" i="12"/>
  <c r="B50" i="12"/>
  <c r="B51" i="12"/>
  <c r="B52" i="12"/>
  <c r="B53" i="12"/>
  <c r="B54" i="12"/>
  <c r="B55" i="12"/>
  <c r="B56" i="12"/>
  <c r="B57" i="12"/>
  <c r="B58" i="12"/>
  <c r="B59" i="12"/>
  <c r="B60" i="12"/>
  <c r="B61" i="12"/>
  <c r="B62" i="12"/>
  <c r="B63" i="12"/>
  <c r="B64" i="12"/>
  <c r="B65" i="12"/>
  <c r="B66" i="12"/>
  <c r="B67" i="12"/>
  <c r="B68" i="12"/>
  <c r="B69" i="12"/>
  <c r="B70" i="12"/>
  <c r="B71" i="12"/>
  <c r="B72" i="12"/>
  <c r="B73" i="12"/>
  <c r="B74" i="12"/>
  <c r="B75" i="12"/>
  <c r="B76" i="12"/>
  <c r="B77" i="12"/>
  <c r="B78" i="12"/>
  <c r="B79" i="12"/>
  <c r="B80" i="12"/>
  <c r="B81" i="12"/>
  <c r="B82" i="12"/>
  <c r="B83" i="12"/>
  <c r="B84" i="12"/>
  <c r="B85" i="12"/>
  <c r="B86" i="12"/>
  <c r="B87" i="12"/>
  <c r="B88" i="12"/>
  <c r="B89" i="12"/>
  <c r="B90" i="12"/>
  <c r="B91" i="12"/>
  <c r="B92" i="12"/>
  <c r="B93" i="12"/>
  <c r="B94" i="12"/>
  <c r="B95" i="12"/>
  <c r="B96" i="12"/>
  <c r="B97" i="12"/>
  <c r="B98" i="12"/>
  <c r="B99" i="12"/>
  <c r="B100" i="12"/>
  <c r="B101" i="12"/>
  <c r="B102" i="12"/>
  <c r="B103" i="12"/>
  <c r="B104" i="12"/>
  <c r="B105" i="12"/>
  <c r="B106" i="12"/>
  <c r="B107" i="12"/>
  <c r="B108" i="12"/>
  <c r="B109" i="12"/>
  <c r="B110" i="12"/>
  <c r="B111" i="12"/>
  <c r="B112" i="12"/>
  <c r="B113" i="12"/>
  <c r="B114" i="12"/>
  <c r="B115" i="12"/>
  <c r="B116" i="12"/>
  <c r="B117" i="12"/>
  <c r="B118" i="12"/>
  <c r="B119" i="12"/>
  <c r="B120" i="12"/>
  <c r="B121" i="12"/>
  <c r="B122" i="12"/>
  <c r="B123" i="12"/>
  <c r="B124" i="12"/>
  <c r="B125" i="12"/>
  <c r="B126" i="12"/>
  <c r="B127" i="12"/>
  <c r="B128" i="12"/>
  <c r="B129" i="12"/>
  <c r="B130" i="12"/>
  <c r="B131" i="12"/>
  <c r="B132" i="12"/>
  <c r="B133" i="12"/>
  <c r="B134" i="12"/>
  <c r="B135" i="12"/>
  <c r="B136" i="12"/>
  <c r="B137" i="12"/>
  <c r="B138" i="12"/>
  <c r="B139" i="12"/>
  <c r="B140" i="12"/>
  <c r="B141" i="12"/>
  <c r="B142" i="12"/>
  <c r="B143" i="12"/>
  <c r="B144" i="12"/>
  <c r="B145" i="12"/>
  <c r="B146" i="12"/>
  <c r="B147" i="12"/>
  <c r="B148" i="12"/>
  <c r="B149" i="12"/>
  <c r="B150" i="12"/>
  <c r="B151" i="12"/>
  <c r="B152" i="12"/>
  <c r="B153" i="12"/>
  <c r="B154" i="12"/>
  <c r="B155" i="12"/>
  <c r="B156" i="12"/>
  <c r="B157" i="12"/>
  <c r="B158" i="12"/>
  <c r="B159" i="12"/>
  <c r="B160" i="12"/>
  <c r="B161" i="12"/>
  <c r="B162" i="12"/>
  <c r="B163" i="12"/>
  <c r="B164" i="12"/>
  <c r="B165" i="12"/>
  <c r="B166" i="12"/>
  <c r="B167" i="12"/>
  <c r="B168" i="12"/>
  <c r="B169" i="12"/>
  <c r="B170" i="12"/>
  <c r="B171" i="12"/>
  <c r="B172" i="12"/>
  <c r="B173" i="12"/>
  <c r="B174" i="12"/>
  <c r="B175" i="12"/>
  <c r="B176" i="12"/>
  <c r="B177" i="12"/>
  <c r="B178" i="12"/>
  <c r="B179" i="12"/>
  <c r="B180" i="12"/>
  <c r="B181" i="12"/>
  <c r="B182" i="12"/>
  <c r="B183" i="12"/>
  <c r="B184" i="12"/>
  <c r="B185" i="12"/>
  <c r="B186" i="12"/>
  <c r="B187" i="12"/>
  <c r="B188" i="12"/>
  <c r="B189" i="12"/>
  <c r="B190" i="12"/>
  <c r="B191" i="12"/>
  <c r="B192" i="12"/>
  <c r="B193" i="12"/>
  <c r="B194" i="12"/>
  <c r="B195" i="12"/>
  <c r="B196" i="12"/>
  <c r="B197" i="12"/>
  <c r="B198" i="12"/>
  <c r="B199" i="12"/>
  <c r="B200" i="12"/>
  <c r="B201" i="12"/>
  <c r="B202" i="12"/>
  <c r="B203" i="12"/>
  <c r="B204" i="12"/>
  <c r="B205" i="12"/>
  <c r="B206" i="12"/>
  <c r="B207" i="12"/>
  <c r="B208" i="12"/>
  <c r="B209" i="12"/>
  <c r="B210" i="12"/>
  <c r="B211" i="12"/>
  <c r="B212" i="12"/>
  <c r="B213" i="12"/>
  <c r="B214" i="12"/>
  <c r="B215" i="12"/>
  <c r="B216" i="12"/>
  <c r="B217" i="12"/>
  <c r="B218" i="12"/>
  <c r="B219" i="12"/>
  <c r="B220" i="12"/>
  <c r="B221" i="12"/>
  <c r="B222" i="12"/>
  <c r="B223" i="12"/>
  <c r="B224" i="12"/>
  <c r="B225" i="12"/>
  <c r="B226" i="12"/>
  <c r="B227" i="12"/>
  <c r="B228" i="12"/>
  <c r="B229" i="12"/>
  <c r="B230" i="12"/>
  <c r="B231" i="12"/>
  <c r="B232" i="12"/>
  <c r="B233" i="12"/>
  <c r="B234" i="12"/>
  <c r="B235" i="12"/>
  <c r="B236" i="12"/>
  <c r="B237" i="12"/>
  <c r="B238" i="12"/>
  <c r="B239" i="12"/>
  <c r="B240" i="12"/>
  <c r="B241" i="12"/>
  <c r="B242" i="12"/>
  <c r="B243" i="12"/>
  <c r="B244" i="12"/>
  <c r="B245" i="12"/>
  <c r="B246" i="12"/>
  <c r="B247" i="12"/>
  <c r="B248" i="12"/>
  <c r="B249" i="12"/>
  <c r="B250" i="12"/>
  <c r="B251" i="12"/>
  <c r="B252" i="12"/>
  <c r="B253" i="12"/>
  <c r="B254" i="12"/>
  <c r="B255" i="12"/>
  <c r="B256" i="12"/>
  <c r="B257" i="12"/>
  <c r="B258" i="12"/>
  <c r="B259" i="12"/>
  <c r="B260" i="12"/>
  <c r="B261" i="12"/>
  <c r="B262" i="12"/>
  <c r="B263" i="12"/>
  <c r="B264" i="12"/>
  <c r="B265" i="12"/>
  <c r="B266" i="12"/>
  <c r="B267" i="12"/>
  <c r="B268" i="12"/>
  <c r="B269" i="12"/>
  <c r="B270" i="12"/>
  <c r="B271" i="12"/>
  <c r="B272" i="12"/>
  <c r="B273" i="12"/>
  <c r="B274" i="12"/>
  <c r="B275" i="12"/>
  <c r="B276" i="12"/>
  <c r="B277" i="12"/>
  <c r="B278" i="12"/>
  <c r="B279" i="12"/>
  <c r="B280" i="12"/>
  <c r="B281" i="12"/>
  <c r="B282" i="12"/>
  <c r="B283" i="12"/>
  <c r="B284" i="12"/>
  <c r="B285" i="12"/>
  <c r="B286" i="12"/>
  <c r="B287" i="12"/>
  <c r="B288" i="12"/>
  <c r="B289" i="12"/>
  <c r="B290" i="12"/>
  <c r="B291" i="12"/>
  <c r="B292" i="12"/>
  <c r="B293" i="12"/>
  <c r="B294" i="12"/>
  <c r="B295" i="12"/>
  <c r="B296" i="12"/>
  <c r="B297" i="12"/>
  <c r="B298" i="12"/>
  <c r="B299" i="12"/>
  <c r="B300" i="12"/>
  <c r="B301" i="12"/>
  <c r="B302" i="12"/>
  <c r="B303" i="12"/>
  <c r="B304" i="12"/>
  <c r="B305" i="12"/>
  <c r="B306" i="12"/>
  <c r="B307" i="12"/>
  <c r="B308" i="12"/>
  <c r="B309" i="12"/>
  <c r="B310" i="12"/>
  <c r="B311" i="12"/>
  <c r="B312" i="12"/>
  <c r="B313" i="12"/>
  <c r="B314" i="12"/>
  <c r="B315" i="12"/>
  <c r="B316" i="12"/>
  <c r="B317" i="12"/>
  <c r="B318" i="12"/>
  <c r="B319" i="12"/>
  <c r="B320" i="12"/>
  <c r="B321" i="12"/>
  <c r="B322" i="12"/>
  <c r="B323" i="12"/>
  <c r="B324" i="12"/>
  <c r="B325" i="12"/>
  <c r="B326" i="12"/>
  <c r="B327" i="12"/>
  <c r="B328" i="12"/>
  <c r="B329" i="12"/>
  <c r="B330" i="12"/>
  <c r="B331" i="12"/>
  <c r="B332" i="12"/>
  <c r="B333" i="12"/>
  <c r="B334" i="12"/>
  <c r="B335" i="12"/>
  <c r="B336" i="12"/>
  <c r="B337" i="12"/>
  <c r="B338" i="12"/>
  <c r="B339" i="12"/>
  <c r="B340" i="12"/>
  <c r="B341" i="12"/>
  <c r="B342" i="12"/>
  <c r="B343" i="12"/>
  <c r="B344" i="12"/>
  <c r="B345" i="12"/>
  <c r="B346" i="12"/>
  <c r="B347" i="12"/>
  <c r="B348" i="12"/>
  <c r="B349" i="12"/>
  <c r="B350" i="12"/>
  <c r="B351" i="12"/>
  <c r="B352" i="12"/>
  <c r="B353" i="12"/>
  <c r="B354" i="12"/>
  <c r="B355" i="12"/>
  <c r="B356" i="12"/>
  <c r="B357" i="12"/>
  <c r="B358" i="12"/>
  <c r="B359" i="12"/>
  <c r="B360" i="12"/>
  <c r="B361" i="12"/>
  <c r="B362" i="12"/>
  <c r="B363" i="12"/>
  <c r="B364" i="12"/>
  <c r="B365" i="12"/>
  <c r="B366" i="12"/>
  <c r="B367" i="12"/>
  <c r="B368" i="12"/>
  <c r="B369" i="12"/>
  <c r="B370" i="12"/>
  <c r="B371" i="12"/>
  <c r="B372" i="12"/>
  <c r="B373" i="12"/>
  <c r="B374" i="12"/>
  <c r="B375" i="12"/>
  <c r="B376" i="12"/>
  <c r="B377" i="12"/>
  <c r="B378" i="12"/>
  <c r="B379" i="12"/>
  <c r="B380" i="12"/>
  <c r="B381" i="12"/>
  <c r="B382" i="12"/>
  <c r="B383" i="12"/>
  <c r="B384" i="12"/>
  <c r="B385" i="12"/>
  <c r="B386" i="12"/>
  <c r="B387" i="12"/>
  <c r="B388" i="12"/>
  <c r="B389" i="12"/>
  <c r="B390" i="12"/>
  <c r="B391" i="12"/>
  <c r="B392" i="12"/>
  <c r="B393" i="12"/>
  <c r="B394" i="12"/>
  <c r="B395" i="12"/>
  <c r="B396" i="12"/>
  <c r="B397" i="12"/>
  <c r="B398" i="12"/>
  <c r="B399" i="12"/>
  <c r="B400" i="12"/>
  <c r="B401" i="12"/>
  <c r="B402" i="12"/>
  <c r="B403" i="12"/>
  <c r="B404" i="12"/>
  <c r="B405" i="12"/>
  <c r="B406" i="12"/>
  <c r="B407" i="12"/>
  <c r="B408" i="12"/>
  <c r="B409" i="12"/>
  <c r="B410" i="12"/>
  <c r="B411" i="12"/>
  <c r="B412" i="12"/>
  <c r="B413" i="12"/>
  <c r="B414" i="12"/>
  <c r="B415" i="12"/>
  <c r="B416" i="12"/>
  <c r="B417" i="12"/>
  <c r="B418" i="12"/>
  <c r="B419" i="12"/>
  <c r="B420" i="12"/>
  <c r="B421" i="12"/>
  <c r="B422" i="12"/>
  <c r="B423" i="12"/>
  <c r="B424" i="12"/>
  <c r="B425" i="12"/>
  <c r="B426" i="12"/>
  <c r="B427" i="12"/>
  <c r="B428" i="12"/>
  <c r="B429" i="12"/>
  <c r="B430" i="12"/>
  <c r="B431" i="12"/>
  <c r="B432" i="12"/>
  <c r="B433" i="12"/>
  <c r="B434" i="12"/>
  <c r="B435" i="12"/>
  <c r="B436" i="12"/>
  <c r="B437" i="12"/>
  <c r="B438" i="12"/>
  <c r="B439" i="12"/>
  <c r="B440" i="12"/>
  <c r="B441" i="12"/>
  <c r="B442" i="12"/>
  <c r="B443" i="12"/>
  <c r="B444" i="12"/>
  <c r="B445" i="12"/>
  <c r="B446" i="12"/>
  <c r="B447" i="12"/>
  <c r="B448" i="12"/>
  <c r="B449" i="12"/>
  <c r="B450" i="12"/>
  <c r="B451" i="12"/>
  <c r="B452" i="12"/>
  <c r="B453" i="12"/>
  <c r="B454" i="12"/>
  <c r="B455" i="12"/>
  <c r="B456" i="12"/>
  <c r="B457" i="12"/>
  <c r="B458" i="12"/>
  <c r="B459" i="12"/>
  <c r="B460" i="12"/>
  <c r="B461" i="12"/>
  <c r="B462" i="12"/>
  <c r="B463" i="12"/>
  <c r="B464" i="12"/>
  <c r="B465" i="12"/>
  <c r="B466" i="12"/>
  <c r="B467" i="12"/>
  <c r="B468" i="12"/>
  <c r="B469" i="12"/>
  <c r="B470" i="12"/>
  <c r="B471" i="12"/>
  <c r="B472" i="12"/>
  <c r="B473" i="12"/>
  <c r="B474" i="12"/>
  <c r="B475" i="12"/>
  <c r="B476" i="12"/>
  <c r="B477" i="12"/>
  <c r="B478" i="12"/>
  <c r="B479" i="12"/>
  <c r="B480" i="12"/>
  <c r="B481" i="12"/>
  <c r="B482" i="12"/>
  <c r="B483" i="12"/>
  <c r="B484" i="12"/>
  <c r="B485" i="12"/>
  <c r="B486" i="12"/>
  <c r="B487" i="12"/>
  <c r="B488" i="12"/>
  <c r="B489" i="12"/>
  <c r="B490" i="12"/>
  <c r="B491" i="12"/>
  <c r="B492" i="12"/>
  <c r="B493" i="12"/>
  <c r="B494" i="12"/>
  <c r="B495" i="12"/>
  <c r="B496" i="12"/>
  <c r="B497" i="12"/>
  <c r="B498" i="12"/>
  <c r="B499" i="12"/>
  <c r="B500" i="12"/>
  <c r="B501" i="12"/>
  <c r="B502" i="12"/>
  <c r="B503" i="12"/>
  <c r="B504" i="12"/>
  <c r="B505" i="12"/>
  <c r="B506" i="12"/>
  <c r="B507" i="12"/>
  <c r="B508" i="12"/>
  <c r="B509" i="12"/>
  <c r="B510" i="12"/>
  <c r="B511" i="12"/>
  <c r="B512" i="12"/>
  <c r="B513" i="12"/>
  <c r="B514" i="12"/>
  <c r="B515" i="12"/>
  <c r="B516" i="12"/>
  <c r="B517" i="12"/>
  <c r="B518" i="12"/>
  <c r="B519" i="12"/>
  <c r="B520" i="12"/>
  <c r="B521" i="12"/>
  <c r="B522" i="12"/>
  <c r="B523" i="12"/>
  <c r="B524" i="12"/>
  <c r="B525" i="12"/>
  <c r="B526" i="12"/>
  <c r="B527" i="12"/>
  <c r="B528" i="12"/>
  <c r="B529" i="12"/>
  <c r="B530" i="12"/>
  <c r="B531" i="12"/>
  <c r="B532" i="12"/>
  <c r="B533" i="12"/>
  <c r="B534" i="12"/>
  <c r="B535" i="12"/>
  <c r="B536" i="12"/>
  <c r="B537" i="12"/>
  <c r="B538" i="12"/>
  <c r="B539" i="12"/>
  <c r="B540" i="12"/>
  <c r="B541" i="12"/>
  <c r="B542" i="12"/>
  <c r="B543" i="12"/>
  <c r="B544" i="12"/>
  <c r="B545" i="12"/>
  <c r="B546" i="12"/>
  <c r="B547" i="12"/>
  <c r="B548" i="12"/>
  <c r="B549" i="12"/>
  <c r="B550" i="12"/>
  <c r="B551" i="12"/>
  <c r="B552" i="12"/>
  <c r="B553" i="12"/>
  <c r="B554" i="12"/>
  <c r="B555" i="12"/>
  <c r="B556" i="12"/>
  <c r="B557" i="12"/>
  <c r="B558" i="12"/>
  <c r="B559" i="12"/>
  <c r="B560" i="12"/>
  <c r="B561" i="12"/>
  <c r="B562" i="12"/>
  <c r="B563" i="12"/>
  <c r="B564" i="12"/>
  <c r="B565" i="12"/>
  <c r="B566" i="12"/>
  <c r="B567" i="12"/>
  <c r="B568" i="12"/>
  <c r="B569" i="12"/>
  <c r="B570" i="12"/>
  <c r="B571" i="12"/>
  <c r="B572" i="12"/>
  <c r="B573" i="12"/>
  <c r="B574" i="12"/>
  <c r="B575" i="12"/>
  <c r="B576" i="12"/>
  <c r="B577" i="12"/>
  <c r="B578" i="12"/>
  <c r="B579" i="12"/>
  <c r="B580" i="12"/>
  <c r="B581" i="12"/>
  <c r="B582" i="12"/>
  <c r="B583" i="12"/>
  <c r="B584" i="12"/>
  <c r="B585" i="12"/>
  <c r="B586" i="12"/>
  <c r="B587" i="12"/>
  <c r="B588" i="12"/>
  <c r="B589" i="12"/>
  <c r="B590" i="12"/>
  <c r="B591" i="12"/>
  <c r="B592" i="12"/>
  <c r="B593" i="12"/>
  <c r="B594" i="12"/>
  <c r="B595" i="12"/>
  <c r="B596" i="12"/>
  <c r="B597" i="12"/>
  <c r="B598" i="12"/>
  <c r="B599" i="12"/>
  <c r="B600" i="12"/>
  <c r="B601" i="12"/>
  <c r="B602" i="12"/>
  <c r="B603" i="12"/>
  <c r="B604" i="12"/>
  <c r="B605" i="12"/>
  <c r="B606" i="12"/>
  <c r="B607" i="12"/>
  <c r="B608" i="12"/>
  <c r="B609" i="12"/>
  <c r="B610" i="12"/>
  <c r="B611" i="12"/>
  <c r="B612" i="12"/>
  <c r="B613" i="12"/>
  <c r="B614" i="12"/>
  <c r="B615" i="12"/>
  <c r="B616" i="12"/>
  <c r="B617" i="12"/>
  <c r="B618" i="12"/>
  <c r="B619" i="12"/>
  <c r="B620" i="12"/>
  <c r="B621" i="12"/>
  <c r="B622" i="12"/>
  <c r="B623" i="12"/>
  <c r="B624" i="12"/>
  <c r="B625" i="12"/>
  <c r="B626" i="12"/>
  <c r="B627" i="12"/>
  <c r="B628" i="12"/>
  <c r="B629" i="12"/>
  <c r="B630" i="12"/>
  <c r="B631" i="12"/>
  <c r="B632" i="12"/>
  <c r="B633" i="12"/>
  <c r="B634" i="12"/>
  <c r="B635" i="12"/>
  <c r="B636" i="12"/>
  <c r="B637" i="12"/>
  <c r="B638" i="12"/>
  <c r="B639" i="12"/>
  <c r="B640" i="12"/>
  <c r="B641" i="12"/>
  <c r="B642" i="12"/>
  <c r="B643" i="12"/>
  <c r="B644" i="12"/>
  <c r="B645" i="12"/>
  <c r="B646" i="12"/>
  <c r="B647" i="12"/>
  <c r="B648" i="12"/>
  <c r="B649" i="12"/>
  <c r="B650" i="12"/>
  <c r="B651" i="12"/>
  <c r="B652" i="12"/>
  <c r="B653" i="12"/>
  <c r="B654" i="12"/>
  <c r="B655" i="12"/>
  <c r="B656" i="12"/>
  <c r="B657" i="12"/>
  <c r="B658" i="12"/>
  <c r="B659" i="12"/>
  <c r="B660" i="12"/>
  <c r="B661" i="12"/>
  <c r="B662" i="12"/>
  <c r="B663" i="12"/>
  <c r="B664" i="12"/>
  <c r="B665" i="12"/>
  <c r="B666" i="12"/>
  <c r="B667" i="12"/>
  <c r="B668" i="12"/>
  <c r="B669" i="12"/>
  <c r="B670" i="12"/>
  <c r="B671" i="12"/>
  <c r="B672" i="12"/>
  <c r="B673" i="12"/>
  <c r="B674" i="12"/>
  <c r="B675" i="12"/>
  <c r="B676" i="12"/>
  <c r="B677" i="12"/>
  <c r="B678" i="12"/>
  <c r="B679" i="12"/>
  <c r="B680" i="12"/>
  <c r="B681" i="12"/>
  <c r="B682" i="12"/>
  <c r="B683" i="12"/>
  <c r="B684" i="12"/>
  <c r="B685" i="12"/>
  <c r="B686" i="12"/>
  <c r="B687" i="12"/>
  <c r="B688" i="12"/>
  <c r="B689" i="12"/>
  <c r="B690" i="12"/>
  <c r="B691" i="12"/>
  <c r="B692" i="12"/>
  <c r="B693" i="12"/>
  <c r="B694" i="12"/>
  <c r="B695" i="12"/>
  <c r="B696" i="12"/>
  <c r="B697" i="12"/>
  <c r="B698" i="12"/>
  <c r="B699" i="12"/>
  <c r="B700" i="12"/>
  <c r="B701" i="12"/>
  <c r="B702" i="12"/>
  <c r="B703" i="12"/>
  <c r="B704" i="12"/>
  <c r="B705" i="12"/>
  <c r="B706" i="12"/>
  <c r="B707" i="12"/>
  <c r="B708" i="12"/>
  <c r="B709" i="12"/>
  <c r="B710" i="12"/>
  <c r="B711" i="12"/>
  <c r="B712" i="12"/>
  <c r="B713" i="12"/>
  <c r="B714" i="12"/>
  <c r="B715" i="12"/>
  <c r="B716" i="12"/>
  <c r="B717" i="12"/>
  <c r="B718" i="12"/>
  <c r="B719" i="12"/>
  <c r="B720" i="12"/>
  <c r="B721" i="12"/>
  <c r="B722" i="12"/>
  <c r="B723" i="12"/>
  <c r="B724" i="12"/>
  <c r="B725" i="12"/>
  <c r="B726" i="12"/>
  <c r="B727" i="12"/>
  <c r="B728" i="12"/>
  <c r="B729" i="12"/>
  <c r="B730" i="12"/>
  <c r="B731" i="12"/>
  <c r="B732" i="12"/>
  <c r="B733" i="12"/>
  <c r="B734" i="12"/>
  <c r="B735" i="12"/>
  <c r="B736" i="12"/>
  <c r="B737" i="12"/>
  <c r="B738" i="12"/>
  <c r="B739" i="12"/>
  <c r="B740" i="12"/>
  <c r="B741" i="12"/>
  <c r="B742" i="12"/>
  <c r="B743" i="12"/>
  <c r="B744" i="12"/>
  <c r="B745" i="12"/>
  <c r="B746" i="12"/>
  <c r="B747" i="12"/>
  <c r="B748" i="12"/>
  <c r="B749" i="12"/>
  <c r="B750" i="12"/>
  <c r="B751" i="12"/>
  <c r="B752" i="12"/>
  <c r="B753" i="12"/>
  <c r="B754" i="12"/>
  <c r="B755" i="12"/>
  <c r="B756" i="12"/>
  <c r="B757" i="12"/>
  <c r="B758" i="12"/>
  <c r="B759" i="12"/>
  <c r="B760" i="12"/>
  <c r="B761" i="12"/>
  <c r="B762" i="12"/>
  <c r="B763" i="12"/>
  <c r="B764" i="12"/>
  <c r="B765" i="12"/>
  <c r="B766" i="12"/>
  <c r="B767" i="12"/>
  <c r="B768" i="12"/>
  <c r="B769" i="12"/>
  <c r="B770" i="12"/>
  <c r="B771" i="12"/>
  <c r="B772" i="12"/>
  <c r="B773" i="12"/>
  <c r="B774" i="12"/>
  <c r="B775" i="12"/>
  <c r="B776" i="12"/>
  <c r="B777" i="12"/>
  <c r="B778" i="12"/>
  <c r="B779" i="12"/>
  <c r="B780" i="12"/>
  <c r="B781" i="12"/>
  <c r="B782" i="12"/>
  <c r="B783" i="12"/>
  <c r="B784" i="12"/>
  <c r="B785" i="12"/>
  <c r="B786" i="12"/>
  <c r="B787" i="12"/>
  <c r="B788" i="12"/>
  <c r="B789" i="12"/>
  <c r="B790" i="12"/>
  <c r="B791" i="12"/>
  <c r="B792" i="12"/>
  <c r="B793" i="12"/>
  <c r="B794" i="12"/>
  <c r="B795" i="12"/>
  <c r="B796" i="12"/>
  <c r="B797" i="12"/>
  <c r="B798" i="12"/>
  <c r="B799" i="12"/>
  <c r="B800" i="12"/>
  <c r="B801" i="12"/>
  <c r="B802" i="12"/>
  <c r="B803" i="12"/>
  <c r="B804" i="12"/>
  <c r="B805" i="12"/>
  <c r="B806" i="12"/>
  <c r="B807" i="12"/>
  <c r="B808" i="12"/>
  <c r="B809" i="12"/>
  <c r="B810" i="12"/>
  <c r="B811" i="12"/>
  <c r="B812" i="12"/>
  <c r="B813" i="12"/>
  <c r="B814" i="12"/>
  <c r="B815" i="12"/>
  <c r="B816" i="12"/>
  <c r="B817" i="12"/>
  <c r="B818" i="12"/>
  <c r="B819" i="12"/>
  <c r="B820" i="12"/>
  <c r="B821" i="12"/>
  <c r="B822" i="12"/>
  <c r="B823" i="12"/>
  <c r="B824" i="12"/>
  <c r="B825" i="12"/>
  <c r="B826" i="12"/>
  <c r="B827" i="12"/>
  <c r="B828" i="12"/>
  <c r="B829" i="12"/>
  <c r="B830" i="12"/>
  <c r="B831" i="12"/>
  <c r="B832" i="12"/>
  <c r="B833" i="12"/>
  <c r="B834" i="12"/>
  <c r="B835" i="12"/>
  <c r="B836" i="12"/>
  <c r="B837" i="12"/>
  <c r="B838" i="12"/>
  <c r="B839" i="12"/>
  <c r="B840" i="12"/>
  <c r="B841" i="12"/>
  <c r="B842" i="12"/>
  <c r="B843" i="12"/>
  <c r="B844" i="12"/>
  <c r="B845" i="12"/>
  <c r="B846" i="12"/>
  <c r="B847" i="12"/>
  <c r="B848" i="12"/>
  <c r="B849" i="12"/>
  <c r="B850" i="12"/>
  <c r="B851" i="12"/>
  <c r="B852" i="12"/>
  <c r="B853" i="12"/>
  <c r="B854" i="12"/>
  <c r="B855" i="12"/>
  <c r="B856" i="12"/>
  <c r="B857" i="12"/>
  <c r="B858" i="12"/>
  <c r="B859" i="12"/>
  <c r="B860" i="12"/>
  <c r="B861" i="12"/>
  <c r="B862" i="12"/>
  <c r="B863" i="12"/>
  <c r="B864" i="12"/>
  <c r="B865" i="12"/>
  <c r="B866" i="12"/>
  <c r="B867" i="12"/>
  <c r="B868" i="12"/>
  <c r="B869" i="12"/>
  <c r="B870" i="12"/>
  <c r="B871" i="12"/>
  <c r="B872" i="12"/>
  <c r="B873" i="12"/>
  <c r="B874" i="12"/>
  <c r="B875" i="12"/>
  <c r="B876" i="12"/>
  <c r="B877" i="12"/>
  <c r="B878" i="12"/>
  <c r="B879" i="12"/>
  <c r="B880" i="12"/>
  <c r="B881" i="12"/>
  <c r="B882" i="12"/>
  <c r="B883" i="12"/>
  <c r="B884" i="12"/>
  <c r="B885" i="12"/>
  <c r="B886" i="12"/>
  <c r="B887" i="12"/>
  <c r="B888" i="12"/>
  <c r="B889" i="12"/>
  <c r="B890" i="12"/>
  <c r="B891" i="12"/>
  <c r="B892" i="12"/>
  <c r="B893" i="12"/>
  <c r="B894" i="12"/>
  <c r="B895" i="12"/>
  <c r="B896" i="12"/>
  <c r="B897" i="12"/>
  <c r="B898" i="12"/>
  <c r="B899" i="12"/>
  <c r="B900" i="12"/>
  <c r="B901" i="12"/>
  <c r="B902" i="12"/>
  <c r="B903" i="12"/>
  <c r="B904" i="12"/>
  <c r="B905" i="12"/>
  <c r="B906" i="12"/>
  <c r="B907" i="12"/>
  <c r="B908" i="12"/>
  <c r="B909" i="12"/>
  <c r="B910" i="12"/>
  <c r="B911" i="12"/>
  <c r="B912" i="12"/>
  <c r="B913" i="12"/>
  <c r="B914" i="12"/>
  <c r="B915" i="12"/>
  <c r="B916" i="12"/>
  <c r="B917" i="12"/>
  <c r="B918" i="12"/>
  <c r="B919" i="12"/>
  <c r="B920" i="12"/>
  <c r="B921" i="12"/>
  <c r="B922" i="12"/>
  <c r="B923" i="12"/>
  <c r="B924" i="12"/>
  <c r="B925" i="12"/>
  <c r="B926" i="12"/>
  <c r="B927" i="12"/>
  <c r="B928" i="12"/>
  <c r="B929" i="12"/>
  <c r="B930" i="12"/>
  <c r="B931" i="12"/>
  <c r="B932" i="12"/>
  <c r="B933" i="12"/>
  <c r="B934" i="12"/>
  <c r="B935" i="12"/>
  <c r="B936" i="12"/>
  <c r="B937" i="12"/>
  <c r="B938" i="12"/>
  <c r="B939" i="12"/>
  <c r="B940" i="12"/>
  <c r="B941" i="12"/>
  <c r="B942" i="12"/>
  <c r="B943" i="12"/>
  <c r="B944" i="12"/>
  <c r="B945" i="12"/>
  <c r="B946" i="12"/>
  <c r="B947" i="12"/>
  <c r="B948" i="12"/>
  <c r="B949" i="12"/>
  <c r="B950" i="12"/>
  <c r="B951" i="12"/>
  <c r="B952" i="12"/>
  <c r="B953" i="12"/>
  <c r="B954" i="12"/>
  <c r="B955" i="12"/>
  <c r="B956" i="12"/>
  <c r="B957" i="12"/>
  <c r="B958" i="12"/>
  <c r="B959" i="12"/>
  <c r="B960" i="12"/>
  <c r="B961" i="12"/>
  <c r="B962" i="12"/>
  <c r="B963" i="12"/>
  <c r="B964" i="12"/>
  <c r="B965" i="12"/>
  <c r="B966" i="12"/>
  <c r="B967" i="12"/>
  <c r="B968" i="12"/>
  <c r="B969" i="12"/>
  <c r="B970" i="12"/>
  <c r="B971" i="12"/>
  <c r="B972" i="12"/>
  <c r="B973" i="12"/>
  <c r="B974" i="12"/>
  <c r="B975" i="12"/>
  <c r="B976" i="12"/>
  <c r="B977" i="12"/>
  <c r="B978" i="12"/>
  <c r="B979" i="12"/>
  <c r="B980" i="12"/>
  <c r="B981" i="12"/>
  <c r="B982" i="12"/>
  <c r="B983" i="12"/>
  <c r="B984" i="12"/>
  <c r="B985" i="12"/>
  <c r="B986" i="12"/>
  <c r="B987" i="12"/>
  <c r="B988" i="12"/>
  <c r="B989" i="12"/>
  <c r="B990" i="12"/>
  <c r="B991" i="12"/>
  <c r="B992" i="12"/>
  <c r="B993" i="12"/>
  <c r="B994" i="12"/>
  <c r="B995" i="12"/>
  <c r="B996" i="12"/>
  <c r="B997" i="12"/>
  <c r="B998" i="12"/>
  <c r="B999" i="12"/>
  <c r="B1000" i="12"/>
  <c r="B1001" i="12"/>
  <c r="B1002" i="12"/>
  <c r="B1003" i="12"/>
  <c r="B1004" i="12"/>
  <c r="B1005" i="12"/>
  <c r="B1006" i="12"/>
  <c r="B1007" i="12"/>
  <c r="B1008" i="12"/>
  <c r="B1009" i="12"/>
  <c r="B1010" i="12"/>
  <c r="B1011" i="12"/>
  <c r="B1012" i="12"/>
  <c r="B1013" i="12"/>
  <c r="B1014" i="12"/>
  <c r="B1015" i="12"/>
  <c r="B1016" i="12"/>
  <c r="B1017" i="12"/>
  <c r="B1018" i="12"/>
  <c r="B1019" i="12"/>
  <c r="B1020" i="12"/>
  <c r="B1021" i="12"/>
  <c r="B1022" i="12"/>
  <c r="B1023" i="12"/>
  <c r="B1024" i="12"/>
  <c r="B1025" i="12"/>
  <c r="B1026" i="12"/>
  <c r="B1027" i="12"/>
  <c r="B1028" i="12"/>
  <c r="B1029" i="12"/>
  <c r="B1030" i="12"/>
  <c r="B1031" i="12"/>
  <c r="B1032" i="12"/>
  <c r="B1033" i="12"/>
  <c r="B1034" i="12"/>
  <c r="B1035" i="12"/>
  <c r="B1036" i="12"/>
  <c r="B1037" i="12"/>
  <c r="B1038" i="12"/>
  <c r="B1039" i="12"/>
  <c r="B1040" i="12"/>
  <c r="B1041" i="12"/>
  <c r="B1042" i="12"/>
  <c r="B1043" i="12"/>
  <c r="B1044" i="12"/>
  <c r="B1045" i="12"/>
  <c r="B1046" i="12"/>
  <c r="B1047" i="12"/>
  <c r="B1048" i="12"/>
  <c r="B2" i="12"/>
  <c r="K7" i="7"/>
  <c r="A83" i="1" s="1"/>
  <c r="A3" i="12" l="1"/>
  <c r="D3" i="12"/>
  <c r="E3" i="12" s="1"/>
  <c r="D7" i="12"/>
  <c r="E7" i="12" s="1"/>
  <c r="D11" i="12"/>
  <c r="E11" i="12" s="1"/>
  <c r="D15" i="12"/>
  <c r="E15" i="12" s="1"/>
  <c r="D19" i="12"/>
  <c r="E19" i="12" s="1"/>
  <c r="D23" i="12"/>
  <c r="E23" i="12" s="1"/>
  <c r="D27" i="12"/>
  <c r="E27" i="12" s="1"/>
  <c r="D31" i="12"/>
  <c r="E31" i="12" s="1"/>
  <c r="D35" i="12"/>
  <c r="E35" i="12" s="1"/>
  <c r="D39" i="12"/>
  <c r="E39" i="12" s="1"/>
  <c r="D10" i="12"/>
  <c r="E10" i="12" s="1"/>
  <c r="D18" i="12"/>
  <c r="E18" i="12" s="1"/>
  <c r="D26" i="12"/>
  <c r="E26" i="12" s="1"/>
  <c r="D34" i="12"/>
  <c r="E34" i="12" s="1"/>
  <c r="D4" i="12"/>
  <c r="E4" i="12" s="1"/>
  <c r="D8" i="12"/>
  <c r="E8" i="12" s="1"/>
  <c r="D12" i="12"/>
  <c r="E12" i="12" s="1"/>
  <c r="D16" i="12"/>
  <c r="E16" i="12" s="1"/>
  <c r="D20" i="12"/>
  <c r="E20" i="12" s="1"/>
  <c r="D24" i="12"/>
  <c r="E24" i="12" s="1"/>
  <c r="D28" i="12"/>
  <c r="E28" i="12" s="1"/>
  <c r="D32" i="12"/>
  <c r="E32" i="12" s="1"/>
  <c r="D36" i="12"/>
  <c r="E36" i="12" s="1"/>
  <c r="D2" i="12"/>
  <c r="E2" i="12" s="1"/>
  <c r="F2" i="12" s="1"/>
  <c r="D5" i="12"/>
  <c r="E5" i="12" s="1"/>
  <c r="D9" i="12"/>
  <c r="E9" i="12" s="1"/>
  <c r="D13" i="12"/>
  <c r="E13" i="12" s="1"/>
  <c r="D17" i="12"/>
  <c r="E17" i="12" s="1"/>
  <c r="D21" i="12"/>
  <c r="E21" i="12" s="1"/>
  <c r="D25" i="12"/>
  <c r="E25" i="12" s="1"/>
  <c r="D29" i="12"/>
  <c r="E29" i="12" s="1"/>
  <c r="D33" i="12"/>
  <c r="E33" i="12" s="1"/>
  <c r="D37" i="12"/>
  <c r="E37" i="12" s="1"/>
  <c r="D6" i="12"/>
  <c r="E6" i="12" s="1"/>
  <c r="D14" i="12"/>
  <c r="E14" i="12" s="1"/>
  <c r="D22" i="12"/>
  <c r="E22" i="12" s="1"/>
  <c r="D30" i="12"/>
  <c r="E30" i="12" s="1"/>
  <c r="D38" i="12"/>
  <c r="E38" i="12" s="1"/>
  <c r="B1" i="10"/>
  <c r="F7" i="10" s="1"/>
  <c r="G7" i="10" s="1"/>
  <c r="K7" i="10" s="1"/>
  <c r="I119" i="7"/>
  <c r="I118" i="7"/>
  <c r="F368" i="7"/>
  <c r="F14" i="12" l="1"/>
  <c r="F15" i="12"/>
  <c r="F111" i="10"/>
  <c r="G111" i="10" s="1"/>
  <c r="K111" i="10" s="1"/>
  <c r="F22" i="12"/>
  <c r="F33" i="12"/>
  <c r="F17" i="12"/>
  <c r="F24" i="12"/>
  <c r="F8" i="12"/>
  <c r="F31" i="12"/>
  <c r="F29" i="12"/>
  <c r="F13" i="12"/>
  <c r="F36" i="12"/>
  <c r="F20" i="12"/>
  <c r="F4" i="12"/>
  <c r="F38" i="12"/>
  <c r="F6" i="12"/>
  <c r="F25" i="12"/>
  <c r="F9" i="12"/>
  <c r="F32" i="12"/>
  <c r="F16" i="12"/>
  <c r="F30" i="12"/>
  <c r="F37" i="12"/>
  <c r="F21" i="12"/>
  <c r="F5" i="12"/>
  <c r="F28" i="12"/>
  <c r="F12" i="12"/>
  <c r="F18" i="12"/>
  <c r="F10" i="12"/>
  <c r="F27" i="12"/>
  <c r="F11" i="12"/>
  <c r="F34" i="12"/>
  <c r="F39" i="12"/>
  <c r="F23" i="12"/>
  <c r="F7" i="12"/>
  <c r="F26" i="12"/>
  <c r="F35" i="12"/>
  <c r="F19" i="12"/>
  <c r="F3" i="12"/>
  <c r="F4" i="10"/>
  <c r="G4" i="10" s="1"/>
  <c r="K4" i="10" s="1"/>
  <c r="F8" i="10"/>
  <c r="G8" i="10" s="1"/>
  <c r="K8" i="10" s="1"/>
  <c r="F108" i="10"/>
  <c r="G108" i="10" s="1"/>
  <c r="K108" i="10" s="1"/>
  <c r="F12" i="10"/>
  <c r="G12" i="10" s="1"/>
  <c r="K12" i="10" s="1"/>
  <c r="F53" i="10"/>
  <c r="G53" i="10" s="1"/>
  <c r="K53" i="10" s="1"/>
  <c r="F42" i="10"/>
  <c r="G42" i="10" s="1"/>
  <c r="K42" i="10" s="1"/>
  <c r="F54" i="10"/>
  <c r="G54" i="10" s="1"/>
  <c r="K54" i="10" s="1"/>
  <c r="F120" i="10"/>
  <c r="G120" i="10" s="1"/>
  <c r="K120" i="10" s="1"/>
  <c r="F58" i="10"/>
  <c r="G58" i="10" s="1"/>
  <c r="K58" i="10" s="1"/>
  <c r="F27" i="10"/>
  <c r="G27" i="10" s="1"/>
  <c r="K27" i="10" s="1"/>
  <c r="F81" i="10"/>
  <c r="G81" i="10" s="1"/>
  <c r="K81" i="10" s="1"/>
  <c r="F48" i="10"/>
  <c r="G48" i="10" s="1"/>
  <c r="K48" i="10" s="1"/>
  <c r="F21" i="10"/>
  <c r="G21" i="10" s="1"/>
  <c r="K21" i="10" s="1"/>
  <c r="F35" i="10"/>
  <c r="G35" i="10" s="1"/>
  <c r="K35" i="10" s="1"/>
  <c r="F17" i="10"/>
  <c r="G17" i="10" s="1"/>
  <c r="K17" i="10" s="1"/>
  <c r="F97" i="10"/>
  <c r="G97" i="10" s="1"/>
  <c r="K97" i="10" s="1"/>
  <c r="F67" i="10"/>
  <c r="G67" i="10" s="1"/>
  <c r="K67" i="10" s="1"/>
  <c r="F62" i="10"/>
  <c r="G62" i="10" s="1"/>
  <c r="K62" i="10" s="1"/>
  <c r="F91" i="10"/>
  <c r="G91" i="10" s="1"/>
  <c r="K91" i="10" s="1"/>
  <c r="F50" i="10"/>
  <c r="G50" i="10" s="1"/>
  <c r="K50" i="10" s="1"/>
  <c r="F55" i="10"/>
  <c r="G55" i="10" s="1"/>
  <c r="K55" i="10" s="1"/>
  <c r="F49" i="10"/>
  <c r="G49" i="10" s="1"/>
  <c r="K49" i="10" s="1"/>
  <c r="F125" i="10"/>
  <c r="G125" i="10" s="1"/>
  <c r="K125" i="10" s="1"/>
  <c r="F110" i="10"/>
  <c r="G110" i="10" s="1"/>
  <c r="K110" i="10" s="1"/>
  <c r="F95" i="10"/>
  <c r="G95" i="10" s="1"/>
  <c r="K95" i="10" s="1"/>
  <c r="F30" i="10"/>
  <c r="G30" i="10" s="1"/>
  <c r="K30" i="10" s="1"/>
  <c r="F98" i="10"/>
  <c r="G98" i="10" s="1"/>
  <c r="K98" i="10" s="1"/>
  <c r="F128" i="10"/>
  <c r="G128" i="10" s="1"/>
  <c r="K128" i="10" s="1"/>
  <c r="F11" i="10"/>
  <c r="G11" i="10" s="1"/>
  <c r="K11" i="10" s="1"/>
  <c r="F43" i="10"/>
  <c r="G43" i="10" s="1"/>
  <c r="K43" i="10" s="1"/>
  <c r="F5" i="10"/>
  <c r="G5" i="10" s="1"/>
  <c r="K5" i="10" s="1"/>
  <c r="F28" i="10"/>
  <c r="G28" i="10" s="1"/>
  <c r="K28" i="10" s="1"/>
  <c r="F73" i="10"/>
  <c r="G73" i="10" s="1"/>
  <c r="K73" i="10" s="1"/>
  <c r="F105" i="10"/>
  <c r="G105" i="10" s="1"/>
  <c r="K105" i="10" s="1"/>
  <c r="F18" i="10"/>
  <c r="G18" i="10" s="1"/>
  <c r="K18" i="10" s="1"/>
  <c r="F88" i="10"/>
  <c r="G88" i="10" s="1"/>
  <c r="K88" i="10" s="1"/>
  <c r="F9" i="10"/>
  <c r="G9" i="10" s="1"/>
  <c r="K9" i="10" s="1"/>
  <c r="F68" i="10"/>
  <c r="G68" i="10" s="1"/>
  <c r="K68" i="10" s="1"/>
  <c r="F127" i="10"/>
  <c r="G127" i="10" s="1"/>
  <c r="K127" i="10" s="1"/>
  <c r="F102" i="10"/>
  <c r="G102" i="10" s="1"/>
  <c r="K102" i="10" s="1"/>
  <c r="F82" i="10"/>
  <c r="G82" i="10" s="1"/>
  <c r="K82" i="10" s="1"/>
  <c r="F24" i="10"/>
  <c r="G24" i="10" s="1"/>
  <c r="K24" i="10" s="1"/>
  <c r="F37" i="10"/>
  <c r="G37" i="10" s="1"/>
  <c r="K37" i="10" s="1"/>
  <c r="F23" i="10"/>
  <c r="G23" i="10" s="1"/>
  <c r="K23" i="10" s="1"/>
  <c r="F51" i="10"/>
  <c r="G51" i="10" s="1"/>
  <c r="K51" i="10" s="1"/>
  <c r="F10" i="10"/>
  <c r="G10" i="10" s="1"/>
  <c r="K10" i="10" s="1"/>
  <c r="F38" i="10"/>
  <c r="G38" i="10" s="1"/>
  <c r="K38" i="10" s="1"/>
  <c r="F77" i="10"/>
  <c r="G77" i="10" s="1"/>
  <c r="K77" i="10" s="1"/>
  <c r="F113" i="10"/>
  <c r="G113" i="10" s="1"/>
  <c r="K113" i="10" s="1"/>
  <c r="F46" i="10"/>
  <c r="G46" i="10" s="1"/>
  <c r="K46" i="10" s="1"/>
  <c r="F94" i="10"/>
  <c r="G94" i="10" s="1"/>
  <c r="K94" i="10" s="1"/>
  <c r="F20" i="10"/>
  <c r="G20" i="10" s="1"/>
  <c r="K20" i="10" s="1"/>
  <c r="F90" i="10"/>
  <c r="G90" i="10" s="1"/>
  <c r="K90" i="10" s="1"/>
  <c r="F13" i="10"/>
  <c r="G13" i="10" s="1"/>
  <c r="K13" i="10" s="1"/>
  <c r="F112" i="10"/>
  <c r="G112" i="10" s="1"/>
  <c r="K112" i="10" s="1"/>
  <c r="F114" i="10"/>
  <c r="G114" i="10" s="1"/>
  <c r="K114" i="10" s="1"/>
  <c r="F52" i="10"/>
  <c r="G52" i="10" s="1"/>
  <c r="K52" i="10" s="1"/>
  <c r="F66" i="10"/>
  <c r="G66" i="10" s="1"/>
  <c r="K66" i="10" s="1"/>
  <c r="F19" i="10"/>
  <c r="G19" i="10" s="1"/>
  <c r="K19" i="10" s="1"/>
  <c r="F39" i="10"/>
  <c r="G39" i="10" s="1"/>
  <c r="K39" i="10" s="1"/>
  <c r="F59" i="10"/>
  <c r="G59" i="10" s="1"/>
  <c r="K59" i="10" s="1"/>
  <c r="F6" i="10"/>
  <c r="G6" i="10" s="1"/>
  <c r="K6" i="10" s="1"/>
  <c r="F33" i="10"/>
  <c r="G33" i="10" s="1"/>
  <c r="K33" i="10" s="1"/>
  <c r="F60" i="10"/>
  <c r="G60" i="10" s="1"/>
  <c r="K60" i="10" s="1"/>
  <c r="F93" i="10"/>
  <c r="G93" i="10" s="1"/>
  <c r="K93" i="10" s="1"/>
  <c r="F121" i="10"/>
  <c r="G121" i="10" s="1"/>
  <c r="K121" i="10" s="1"/>
  <c r="F25" i="10"/>
  <c r="G25" i="10" s="1"/>
  <c r="K25" i="10" s="1"/>
  <c r="F78" i="10"/>
  <c r="G78" i="10" s="1"/>
  <c r="K78" i="10" s="1"/>
  <c r="F115" i="10"/>
  <c r="G115" i="10" s="1"/>
  <c r="K115" i="10" s="1"/>
  <c r="F34" i="10"/>
  <c r="G34" i="10" s="1"/>
  <c r="K34" i="10" s="1"/>
  <c r="F84" i="10"/>
  <c r="G84" i="10" s="1"/>
  <c r="K84" i="10" s="1"/>
  <c r="F116" i="10"/>
  <c r="G116" i="10" s="1"/>
  <c r="K116" i="10" s="1"/>
  <c r="F57" i="10"/>
  <c r="G57" i="10" s="1"/>
  <c r="K57" i="10" s="1"/>
  <c r="F14" i="10"/>
  <c r="G14" i="10" s="1"/>
  <c r="K14" i="10" s="1"/>
  <c r="F103" i="10"/>
  <c r="G103" i="10" s="1"/>
  <c r="K103" i="10" s="1"/>
  <c r="F75" i="10"/>
  <c r="G75" i="10" s="1"/>
  <c r="K75" i="10" s="1"/>
  <c r="F36" i="10"/>
  <c r="G36" i="10" s="1"/>
  <c r="K36" i="10" s="1"/>
  <c r="F107" i="10"/>
  <c r="G107" i="10" s="1"/>
  <c r="K107" i="10" s="1"/>
  <c r="F15" i="10"/>
  <c r="G15" i="10" s="1"/>
  <c r="K15" i="10" s="1"/>
  <c r="F31" i="10"/>
  <c r="G31" i="10" s="1"/>
  <c r="K31" i="10" s="1"/>
  <c r="F47" i="10"/>
  <c r="G47" i="10" s="1"/>
  <c r="K47" i="10" s="1"/>
  <c r="F63" i="10"/>
  <c r="G63" i="10" s="1"/>
  <c r="K63" i="10" s="1"/>
  <c r="F16" i="10"/>
  <c r="G16" i="10" s="1"/>
  <c r="K16" i="10" s="1"/>
  <c r="F22" i="10"/>
  <c r="G22" i="10" s="1"/>
  <c r="K22" i="10" s="1"/>
  <c r="F44" i="10"/>
  <c r="G44" i="10" s="1"/>
  <c r="K44" i="10" s="1"/>
  <c r="F65" i="10"/>
  <c r="G65" i="10" s="1"/>
  <c r="K65" i="10" s="1"/>
  <c r="F89" i="10"/>
  <c r="G89" i="10" s="1"/>
  <c r="K89" i="10" s="1"/>
  <c r="F109" i="10"/>
  <c r="G109" i="10" s="1"/>
  <c r="K109" i="10" s="1"/>
  <c r="F129" i="10"/>
  <c r="G129" i="10" s="1"/>
  <c r="K129" i="10" s="1"/>
  <c r="F40" i="10"/>
  <c r="G40" i="10" s="1"/>
  <c r="K40" i="10" s="1"/>
  <c r="F72" i="10"/>
  <c r="G72" i="10" s="1"/>
  <c r="K72" i="10" s="1"/>
  <c r="F99" i="10"/>
  <c r="G99" i="10" s="1"/>
  <c r="K99" i="10" s="1"/>
  <c r="F131" i="10"/>
  <c r="G131" i="10" s="1"/>
  <c r="K131" i="10" s="1"/>
  <c r="F41" i="10"/>
  <c r="G41" i="10" s="1"/>
  <c r="K41" i="10" s="1"/>
  <c r="F74" i="10"/>
  <c r="G74" i="10" s="1"/>
  <c r="K74" i="10" s="1"/>
  <c r="F106" i="10"/>
  <c r="G106" i="10" s="1"/>
  <c r="K106" i="10" s="1"/>
  <c r="F132" i="10"/>
  <c r="G132" i="10" s="1"/>
  <c r="K132" i="10" s="1"/>
  <c r="F70" i="10"/>
  <c r="G70" i="10" s="1"/>
  <c r="K70" i="10" s="1"/>
  <c r="F134" i="10"/>
  <c r="G134" i="10" s="1"/>
  <c r="K134" i="10" s="1"/>
  <c r="F71" i="10"/>
  <c r="G71" i="10" s="1"/>
  <c r="K71" i="10" s="1"/>
  <c r="F124" i="10"/>
  <c r="G124" i="10" s="1"/>
  <c r="K124" i="10" s="1"/>
  <c r="F118" i="10"/>
  <c r="G118" i="10" s="1"/>
  <c r="K118" i="10" s="1"/>
  <c r="F119" i="10"/>
  <c r="G119" i="10" s="1"/>
  <c r="K119" i="10" s="1"/>
  <c r="F87" i="10"/>
  <c r="G87" i="10" s="1"/>
  <c r="K87" i="10" s="1"/>
  <c r="F64" i="10"/>
  <c r="G64" i="10" s="1"/>
  <c r="K64" i="10" s="1"/>
  <c r="F69" i="10"/>
  <c r="G69" i="10" s="1"/>
  <c r="K69" i="10" s="1"/>
  <c r="F85" i="10"/>
  <c r="G85" i="10" s="1"/>
  <c r="K85" i="10" s="1"/>
  <c r="F101" i="10"/>
  <c r="G101" i="10" s="1"/>
  <c r="K101" i="10" s="1"/>
  <c r="F117" i="10"/>
  <c r="G117" i="10" s="1"/>
  <c r="K117" i="10" s="1"/>
  <c r="F133" i="10"/>
  <c r="G133" i="10" s="1"/>
  <c r="K133" i="10" s="1"/>
  <c r="F32" i="10"/>
  <c r="G32" i="10" s="1"/>
  <c r="K32" i="10" s="1"/>
  <c r="F61" i="10"/>
  <c r="G61" i="10" s="1"/>
  <c r="K61" i="10" s="1"/>
  <c r="F83" i="10"/>
  <c r="G83" i="10" s="1"/>
  <c r="K83" i="10" s="1"/>
  <c r="F104" i="10"/>
  <c r="G104" i="10" s="1"/>
  <c r="K104" i="10" s="1"/>
  <c r="F126" i="10"/>
  <c r="G126" i="10" s="1"/>
  <c r="K126" i="10" s="1"/>
  <c r="F26" i="10"/>
  <c r="G26" i="10" s="1"/>
  <c r="K26" i="10" s="1"/>
  <c r="F56" i="10"/>
  <c r="G56" i="10" s="1"/>
  <c r="K56" i="10" s="1"/>
  <c r="F79" i="10"/>
  <c r="G79" i="10" s="1"/>
  <c r="K79" i="10" s="1"/>
  <c r="F100" i="10"/>
  <c r="G100" i="10" s="1"/>
  <c r="K100" i="10" s="1"/>
  <c r="F122" i="10"/>
  <c r="G122" i="10" s="1"/>
  <c r="K122" i="10" s="1"/>
  <c r="F29" i="10"/>
  <c r="G29" i="10" s="1"/>
  <c r="K29" i="10" s="1"/>
  <c r="F80" i="10"/>
  <c r="G80" i="10" s="1"/>
  <c r="K80" i="10" s="1"/>
  <c r="F123" i="10"/>
  <c r="G123" i="10" s="1"/>
  <c r="K123" i="10" s="1"/>
  <c r="F45" i="10"/>
  <c r="G45" i="10" s="1"/>
  <c r="K45" i="10" s="1"/>
  <c r="F92" i="10"/>
  <c r="G92" i="10" s="1"/>
  <c r="K92" i="10" s="1"/>
  <c r="F3" i="10"/>
  <c r="G3" i="10" s="1"/>
  <c r="K3" i="10" s="1"/>
  <c r="F96" i="10"/>
  <c r="G96" i="10" s="1"/>
  <c r="K96" i="10" s="1"/>
  <c r="F76" i="10"/>
  <c r="G76" i="10" s="1"/>
  <c r="K76" i="10" s="1"/>
  <c r="F86" i="10"/>
  <c r="G86" i="10" s="1"/>
  <c r="K86" i="10" s="1"/>
  <c r="F130" i="10"/>
  <c r="G130" i="10" s="1"/>
  <c r="K130" i="10" s="1"/>
  <c r="G118" i="7"/>
  <c r="G119" i="7"/>
  <c r="A5" i="12" l="1"/>
  <c r="A7" i="12" s="1"/>
  <c r="A8" i="12" s="1"/>
  <c r="H3" i="10"/>
  <c r="J3" i="10" s="1"/>
  <c r="H134" i="10"/>
  <c r="H4" i="10"/>
  <c r="E175" i="7"/>
  <c r="E114" i="7"/>
  <c r="E110" i="7"/>
  <c r="E106" i="7"/>
  <c r="E43" i="7"/>
  <c r="E185" i="7"/>
  <c r="E181" i="7"/>
  <c r="E177" i="7"/>
  <c r="E66" i="7"/>
  <c r="E63" i="7"/>
  <c r="E58" i="7"/>
  <c r="E56" i="7"/>
  <c r="E53" i="7"/>
  <c r="E51" i="7"/>
  <c r="E49" i="7"/>
  <c r="E47" i="7"/>
  <c r="E45" i="7"/>
  <c r="E33" i="7"/>
  <c r="E30" i="7"/>
  <c r="E25" i="7"/>
  <c r="E23" i="7"/>
  <c r="E21" i="7"/>
  <c r="L8" i="42" l="1"/>
  <c r="L8" i="41"/>
  <c r="L8" i="43"/>
  <c r="L8" i="31"/>
  <c r="L8" i="32"/>
  <c r="L8" i="7"/>
  <c r="J4" i="10"/>
  <c r="H5" i="10"/>
  <c r="J5" i="10" s="1"/>
  <c r="R175" i="7"/>
  <c r="M175" i="7"/>
  <c r="C175" i="7"/>
  <c r="R169" i="7"/>
  <c r="C169" i="7"/>
  <c r="R163" i="7"/>
  <c r="M163" i="7"/>
  <c r="C163" i="7"/>
  <c r="G117" i="7" l="1"/>
  <c r="H6" i="10"/>
  <c r="J6" i="10" s="1"/>
  <c r="G201" i="7"/>
  <c r="G199" i="7"/>
  <c r="G197" i="7"/>
  <c r="R191" i="7"/>
  <c r="M191" i="7"/>
  <c r="C191" i="7"/>
  <c r="R193" i="7"/>
  <c r="C193" i="7"/>
  <c r="R199" i="7"/>
  <c r="C199" i="7"/>
  <c r="R197" i="7"/>
  <c r="C197" i="7"/>
  <c r="R195" i="7"/>
  <c r="C195" i="7"/>
  <c r="R189" i="7"/>
  <c r="C189" i="7"/>
  <c r="G114" i="7"/>
  <c r="G110" i="7"/>
  <c r="G106" i="7"/>
  <c r="G102" i="7"/>
  <c r="G66" i="7"/>
  <c r="G58" i="7"/>
  <c r="G56" i="7"/>
  <c r="G53" i="7"/>
  <c r="G51" i="7"/>
  <c r="G49" i="7"/>
  <c r="G47" i="7"/>
  <c r="G45" i="7"/>
  <c r="G43" i="7"/>
  <c r="G33" i="7"/>
  <c r="G30" i="7"/>
  <c r="G25" i="7"/>
  <c r="G23" i="7"/>
  <c r="G21" i="7"/>
  <c r="G19" i="7"/>
  <c r="F410" i="7"/>
  <c r="F401" i="7"/>
  <c r="F394" i="7"/>
  <c r="F369" i="7"/>
  <c r="F350" i="7"/>
  <c r="F233" i="7"/>
  <c r="F223" i="7"/>
  <c r="F210" i="7"/>
  <c r="F206" i="7"/>
  <c r="F157" i="7"/>
  <c r="F151" i="7"/>
  <c r="F148" i="7"/>
  <c r="H7" i="10" l="1"/>
  <c r="J7" i="10" s="1"/>
  <c r="A84" i="1"/>
  <c r="B84" i="1" s="1"/>
  <c r="H8" i="10" l="1"/>
  <c r="J8" i="10" s="1"/>
  <c r="C84" i="1"/>
  <c r="A85" i="1"/>
  <c r="C85" i="1" s="1"/>
  <c r="H9" i="10" l="1"/>
  <c r="J9" i="10" s="1"/>
  <c r="B85" i="1"/>
  <c r="A86" i="1"/>
  <c r="C86" i="1" s="1"/>
  <c r="R58" i="7"/>
  <c r="M58" i="7"/>
  <c r="C58" i="7"/>
  <c r="R56" i="7"/>
  <c r="M56" i="7"/>
  <c r="C56" i="7"/>
  <c r="R53" i="7"/>
  <c r="M53" i="7"/>
  <c r="C53" i="7"/>
  <c r="R49" i="7"/>
  <c r="M49" i="7"/>
  <c r="C49" i="7"/>
  <c r="R51" i="7"/>
  <c r="M51" i="7"/>
  <c r="C51" i="7"/>
  <c r="R47" i="7"/>
  <c r="M47" i="7"/>
  <c r="C47" i="7"/>
  <c r="R45" i="7"/>
  <c r="M45" i="7"/>
  <c r="C45" i="7"/>
  <c r="R43" i="7"/>
  <c r="M43" i="7"/>
  <c r="C43" i="7"/>
  <c r="M44" i="7"/>
  <c r="R44" i="7"/>
  <c r="H10" i="10" l="1"/>
  <c r="J10" i="10" s="1"/>
  <c r="A87" i="1"/>
  <c r="C87" i="1" s="1"/>
  <c r="B86" i="1"/>
  <c r="R25" i="7"/>
  <c r="M25" i="7"/>
  <c r="C25" i="7"/>
  <c r="R24" i="7"/>
  <c r="M24" i="7"/>
  <c r="R23" i="7"/>
  <c r="M23" i="7"/>
  <c r="C23" i="7"/>
  <c r="R21" i="7"/>
  <c r="M21" i="7"/>
  <c r="C21" i="7"/>
  <c r="R19" i="7"/>
  <c r="M19" i="7"/>
  <c r="C19" i="7"/>
  <c r="H11" i="10" l="1"/>
  <c r="J11" i="10" s="1"/>
  <c r="A88" i="1"/>
  <c r="C88" i="1" s="1"/>
  <c r="B87" i="1"/>
  <c r="H12" i="10" l="1"/>
  <c r="J12" i="10" s="1"/>
  <c r="A89" i="1"/>
  <c r="C89" i="1" s="1"/>
  <c r="B88" i="1"/>
  <c r="C209" i="7"/>
  <c r="C205" i="7"/>
  <c r="C201" i="7"/>
  <c r="C185" i="7"/>
  <c r="C181" i="7"/>
  <c r="C177" i="7"/>
  <c r="C171" i="7"/>
  <c r="C165" i="7"/>
  <c r="C114" i="7"/>
  <c r="C110" i="7"/>
  <c r="C106" i="7"/>
  <c r="C102" i="7"/>
  <c r="C66" i="7"/>
  <c r="C63" i="7"/>
  <c r="C33" i="7"/>
  <c r="C30" i="7"/>
  <c r="H13" i="10" l="1"/>
  <c r="J13" i="10" s="1"/>
  <c r="A90" i="1"/>
  <c r="C90" i="1" s="1"/>
  <c r="B89" i="1"/>
  <c r="M95" i="7"/>
  <c r="M98" i="7" s="1"/>
  <c r="M90" i="7"/>
  <c r="M92" i="7" s="1"/>
  <c r="M78" i="7"/>
  <c r="M82" i="7" s="1"/>
  <c r="M75" i="7"/>
  <c r="M76" i="7" s="1"/>
  <c r="M73" i="7"/>
  <c r="M74" i="7" s="1"/>
  <c r="M71" i="7"/>
  <c r="M72" i="7" s="1"/>
  <c r="M69" i="7"/>
  <c r="M70" i="7" s="1"/>
  <c r="M67" i="7"/>
  <c r="M68" i="7" s="1"/>
  <c r="M38" i="7"/>
  <c r="M39" i="7" s="1"/>
  <c r="M36" i="7"/>
  <c r="M37" i="7" s="1"/>
  <c r="M35" i="7"/>
  <c r="M407" i="7"/>
  <c r="M408" i="7"/>
  <c r="M409" i="7"/>
  <c r="M406" i="7"/>
  <c r="M403" i="7"/>
  <c r="M397" i="7"/>
  <c r="M398" i="7"/>
  <c r="M399" i="7"/>
  <c r="M400" i="7"/>
  <c r="M396" i="7"/>
  <c r="M382" i="7"/>
  <c r="M383" i="7"/>
  <c r="M384" i="7"/>
  <c r="M385" i="7"/>
  <c r="M386" i="7"/>
  <c r="M387" i="7"/>
  <c r="M388" i="7"/>
  <c r="M389" i="7"/>
  <c r="M390" i="7"/>
  <c r="M391" i="7"/>
  <c r="M392" i="7"/>
  <c r="M393" i="7"/>
  <c r="M381" i="7"/>
  <c r="M372" i="7"/>
  <c r="M373" i="7"/>
  <c r="M374" i="7"/>
  <c r="M375" i="7"/>
  <c r="M376" i="7"/>
  <c r="M377" i="7"/>
  <c r="M378" i="7"/>
  <c r="M371" i="7"/>
  <c r="M366" i="7"/>
  <c r="M367" i="7"/>
  <c r="M368" i="7"/>
  <c r="M365" i="7"/>
  <c r="M353" i="7"/>
  <c r="M354" i="7"/>
  <c r="M355" i="7"/>
  <c r="M356" i="7"/>
  <c r="M357" i="7"/>
  <c r="M358" i="7"/>
  <c r="M359" i="7"/>
  <c r="M360" i="7"/>
  <c r="M361" i="7"/>
  <c r="M362" i="7"/>
  <c r="M352" i="7"/>
  <c r="M347" i="7"/>
  <c r="M348" i="7"/>
  <c r="M349" i="7"/>
  <c r="M346" i="7"/>
  <c r="M339" i="7"/>
  <c r="M340" i="7"/>
  <c r="M341" i="7"/>
  <c r="M342" i="7"/>
  <c r="M343" i="7"/>
  <c r="M338" i="7"/>
  <c r="M332" i="7"/>
  <c r="M333" i="7"/>
  <c r="M334" i="7"/>
  <c r="M335" i="7"/>
  <c r="M331" i="7"/>
  <c r="M285" i="7"/>
  <c r="M286" i="7"/>
  <c r="M287" i="7"/>
  <c r="M288" i="7"/>
  <c r="M289" i="7"/>
  <c r="M290" i="7"/>
  <c r="M291" i="7"/>
  <c r="M292" i="7"/>
  <c r="M293" i="7"/>
  <c r="M294" i="7"/>
  <c r="M295" i="7"/>
  <c r="M296" i="7"/>
  <c r="M297" i="7"/>
  <c r="M298" i="7"/>
  <c r="M299" i="7"/>
  <c r="M300" i="7"/>
  <c r="M301" i="7"/>
  <c r="M302" i="7"/>
  <c r="M303" i="7"/>
  <c r="M304" i="7"/>
  <c r="M305" i="7"/>
  <c r="M306" i="7"/>
  <c r="M307" i="7"/>
  <c r="M308" i="7"/>
  <c r="M309" i="7"/>
  <c r="M310" i="7"/>
  <c r="M311" i="7"/>
  <c r="M312" i="7"/>
  <c r="M313" i="7"/>
  <c r="M314" i="7"/>
  <c r="M315" i="7"/>
  <c r="M316" i="7"/>
  <c r="M317" i="7"/>
  <c r="M318" i="7"/>
  <c r="M319" i="7"/>
  <c r="M320" i="7"/>
  <c r="M321" i="7"/>
  <c r="M322" i="7"/>
  <c r="M323" i="7"/>
  <c r="M324" i="7"/>
  <c r="M325" i="7"/>
  <c r="M326" i="7"/>
  <c r="M327" i="7"/>
  <c r="M328" i="7"/>
  <c r="M284" i="7"/>
  <c r="M279" i="7"/>
  <c r="M280" i="7"/>
  <c r="M281" i="7"/>
  <c r="M278" i="7"/>
  <c r="M275" i="7"/>
  <c r="M274" i="7"/>
  <c r="M243" i="7"/>
  <c r="M244" i="7"/>
  <c r="M245" i="7"/>
  <c r="M246" i="7"/>
  <c r="M247" i="7"/>
  <c r="M248" i="7"/>
  <c r="M249" i="7"/>
  <c r="M250" i="7"/>
  <c r="M251" i="7"/>
  <c r="M252" i="7"/>
  <c r="M253" i="7"/>
  <c r="M254" i="7"/>
  <c r="M255" i="7"/>
  <c r="M256" i="7"/>
  <c r="M257" i="7"/>
  <c r="M258" i="7"/>
  <c r="M259" i="7"/>
  <c r="M260" i="7"/>
  <c r="M261" i="7"/>
  <c r="M262" i="7"/>
  <c r="M263" i="7"/>
  <c r="M264" i="7"/>
  <c r="M265" i="7"/>
  <c r="M266" i="7"/>
  <c r="M267" i="7"/>
  <c r="M268" i="7"/>
  <c r="M269" i="7"/>
  <c r="M270" i="7"/>
  <c r="M271" i="7"/>
  <c r="M242" i="7"/>
  <c r="M239" i="7"/>
  <c r="M238" i="7"/>
  <c r="M235" i="7"/>
  <c r="M232" i="7"/>
  <c r="M229" i="7"/>
  <c r="M228" i="7"/>
  <c r="M225" i="7"/>
  <c r="M222" i="7"/>
  <c r="M219" i="7"/>
  <c r="M218" i="7"/>
  <c r="M215" i="7"/>
  <c r="M212" i="7"/>
  <c r="M209" i="7"/>
  <c r="M208" i="7"/>
  <c r="M205" i="7"/>
  <c r="M204" i="7"/>
  <c r="M190" i="7"/>
  <c r="M192" i="7"/>
  <c r="M193" i="7" s="1"/>
  <c r="M194" i="7"/>
  <c r="M195" i="7" s="1"/>
  <c r="M196" i="7"/>
  <c r="M197" i="7" s="1"/>
  <c r="M198" i="7"/>
  <c r="M199" i="7" s="1"/>
  <c r="M200" i="7"/>
  <c r="M201" i="7"/>
  <c r="M188" i="7"/>
  <c r="M189" i="7" s="1"/>
  <c r="M185" i="7"/>
  <c r="M184" i="7"/>
  <c r="M181" i="7"/>
  <c r="M180" i="7"/>
  <c r="M176" i="7"/>
  <c r="M177" i="7"/>
  <c r="M174" i="7"/>
  <c r="M170" i="7"/>
  <c r="M171" i="7"/>
  <c r="M168" i="7"/>
  <c r="M169" i="7" s="1"/>
  <c r="M164" i="7"/>
  <c r="M165" i="7"/>
  <c r="M162" i="7"/>
  <c r="M159" i="7"/>
  <c r="M156" i="7"/>
  <c r="M153" i="7"/>
  <c r="M150" i="7"/>
  <c r="M147" i="7"/>
  <c r="M140" i="7"/>
  <c r="M141" i="7"/>
  <c r="M142" i="7"/>
  <c r="M143" i="7"/>
  <c r="M144" i="7"/>
  <c r="M139" i="7"/>
  <c r="M132" i="7"/>
  <c r="M133" i="7"/>
  <c r="M134" i="7"/>
  <c r="M135" i="7"/>
  <c r="M136" i="7"/>
  <c r="M131" i="7"/>
  <c r="M125" i="7"/>
  <c r="M126" i="7"/>
  <c r="M127" i="7"/>
  <c r="M128" i="7"/>
  <c r="M124" i="7"/>
  <c r="M118" i="7"/>
  <c r="M119" i="7"/>
  <c r="M120" i="7"/>
  <c r="M121" i="7"/>
  <c r="M117" i="7"/>
  <c r="M114" i="7"/>
  <c r="M113" i="7"/>
  <c r="M110" i="7"/>
  <c r="M109" i="7"/>
  <c r="M102" i="7"/>
  <c r="M101" i="7"/>
  <c r="M66" i="7"/>
  <c r="M65" i="7"/>
  <c r="M63" i="7"/>
  <c r="M46" i="7"/>
  <c r="M48" i="7"/>
  <c r="M50" i="7"/>
  <c r="M52" i="7"/>
  <c r="M54" i="7"/>
  <c r="M55" i="7"/>
  <c r="M57" i="7"/>
  <c r="M59" i="7"/>
  <c r="M60" i="7"/>
  <c r="M42" i="7"/>
  <c r="M33" i="7"/>
  <c r="M32" i="7"/>
  <c r="M30" i="7"/>
  <c r="M29" i="7"/>
  <c r="M20" i="7"/>
  <c r="M22" i="7"/>
  <c r="M26" i="7"/>
  <c r="M27" i="7"/>
  <c r="M18" i="7"/>
  <c r="V1" i="7"/>
  <c r="U1" i="7"/>
  <c r="H14" i="10" l="1"/>
  <c r="J14" i="10" s="1"/>
  <c r="U7" i="7"/>
  <c r="A196" i="1"/>
  <c r="M97" i="7"/>
  <c r="A91" i="1"/>
  <c r="C91" i="1" s="1"/>
  <c r="B90" i="1"/>
  <c r="M96" i="7"/>
  <c r="M83" i="7"/>
  <c r="M91" i="7"/>
  <c r="M88" i="7"/>
  <c r="M94" i="7"/>
  <c r="M89" i="7"/>
  <c r="M84" i="7"/>
  <c r="M80" i="7"/>
  <c r="M87" i="7"/>
  <c r="M85" i="7"/>
  <c r="M81" i="7"/>
  <c r="M93" i="7"/>
  <c r="M79" i="7"/>
  <c r="M86" i="7"/>
  <c r="H15" i="10" l="1"/>
  <c r="J15" i="10" s="1"/>
  <c r="A92" i="1"/>
  <c r="C92" i="1" s="1"/>
  <c r="B91" i="1"/>
  <c r="T1" i="7"/>
  <c r="H16" i="10" l="1"/>
  <c r="J16" i="10" s="1"/>
  <c r="A93" i="1"/>
  <c r="C93" i="1" s="1"/>
  <c r="B92" i="1"/>
  <c r="J15" i="7"/>
  <c r="U9" i="7" s="1"/>
  <c r="H17" i="10" l="1"/>
  <c r="J17" i="10" s="1"/>
  <c r="A94" i="1"/>
  <c r="C94" i="1" s="1"/>
  <c r="B93" i="1"/>
  <c r="H24" i="7"/>
  <c r="H409" i="7"/>
  <c r="H319" i="7"/>
  <c r="H300" i="7"/>
  <c r="H284" i="7"/>
  <c r="H338" i="7"/>
  <c r="H307" i="7"/>
  <c r="H289" i="7"/>
  <c r="H291" i="7"/>
  <c r="H297" i="7"/>
  <c r="H293" i="7"/>
  <c r="H383" i="7"/>
  <c r="H385" i="7"/>
  <c r="H328" i="7"/>
  <c r="H339" i="7"/>
  <c r="H386" i="7"/>
  <c r="H342" i="7"/>
  <c r="H299" i="7"/>
  <c r="H391" i="7"/>
  <c r="H294" i="7"/>
  <c r="H325" i="7"/>
  <c r="H389" i="7"/>
  <c r="H348" i="7"/>
  <c r="H311" i="7"/>
  <c r="H314" i="7"/>
  <c r="H304" i="7"/>
  <c r="H393" i="7"/>
  <c r="H340" i="7"/>
  <c r="H296" i="7"/>
  <c r="H318" i="7"/>
  <c r="H285" i="7"/>
  <c r="H327" i="7"/>
  <c r="H292" i="7"/>
  <c r="H322" i="7"/>
  <c r="H288" i="7"/>
  <c r="H309" i="7"/>
  <c r="H343" i="7"/>
  <c r="H390" i="7"/>
  <c r="H286" i="7"/>
  <c r="H302" i="7"/>
  <c r="H317" i="7"/>
  <c r="H381" i="7"/>
  <c r="H407" i="7"/>
  <c r="H324" i="7"/>
  <c r="H346" i="7"/>
  <c r="H392" i="7"/>
  <c r="H315" i="7"/>
  <c r="H321" i="7"/>
  <c r="H341" i="7"/>
  <c r="H312" i="7"/>
  <c r="H326" i="7"/>
  <c r="H295" i="7"/>
  <c r="H387" i="7"/>
  <c r="H301" i="7"/>
  <c r="H323" i="7"/>
  <c r="H287" i="7"/>
  <c r="H347" i="7"/>
  <c r="H316" i="7"/>
  <c r="H384" i="7"/>
  <c r="H408" i="7"/>
  <c r="H305" i="7"/>
  <c r="H382" i="7"/>
  <c r="H303" i="7"/>
  <c r="H313" i="7"/>
  <c r="H349" i="7"/>
  <c r="H320" i="7"/>
  <c r="H388" i="7"/>
  <c r="B83" i="1"/>
  <c r="F159" i="7"/>
  <c r="F160" i="7" s="1"/>
  <c r="F153" i="7"/>
  <c r="F154" i="7" s="1"/>
  <c r="F155" i="7" s="1"/>
  <c r="R165" i="7"/>
  <c r="R409" i="7"/>
  <c r="R408" i="7"/>
  <c r="R407" i="7"/>
  <c r="R406" i="7"/>
  <c r="H406" i="7" s="1"/>
  <c r="R403" i="7"/>
  <c r="R400" i="7"/>
  <c r="H400" i="7" s="1"/>
  <c r="R399" i="7"/>
  <c r="H399" i="7" s="1"/>
  <c r="R398" i="7"/>
  <c r="H398" i="7" s="1"/>
  <c r="R397" i="7"/>
  <c r="H397" i="7" s="1"/>
  <c r="R396" i="7"/>
  <c r="H396" i="7" s="1"/>
  <c r="R393" i="7"/>
  <c r="R392" i="7"/>
  <c r="R391" i="7"/>
  <c r="R390" i="7"/>
  <c r="R389" i="7"/>
  <c r="R388" i="7"/>
  <c r="R387" i="7"/>
  <c r="R386" i="7"/>
  <c r="R385" i="7"/>
  <c r="R384" i="7"/>
  <c r="R383" i="7"/>
  <c r="R382" i="7"/>
  <c r="R381" i="7"/>
  <c r="R378" i="7"/>
  <c r="R377" i="7"/>
  <c r="R376" i="7"/>
  <c r="R375" i="7"/>
  <c r="R374" i="7"/>
  <c r="R373" i="7"/>
  <c r="R372" i="7"/>
  <c r="R371" i="7"/>
  <c r="R368" i="7"/>
  <c r="H368" i="7" s="1"/>
  <c r="R367" i="7"/>
  <c r="H367" i="7" s="1"/>
  <c r="R366" i="7"/>
  <c r="H366" i="7" s="1"/>
  <c r="R365" i="7"/>
  <c r="H365" i="7" s="1"/>
  <c r="R362" i="7"/>
  <c r="H362" i="7" s="1"/>
  <c r="R361" i="7"/>
  <c r="H361" i="7" s="1"/>
  <c r="R360" i="7"/>
  <c r="H360" i="7" s="1"/>
  <c r="R359" i="7"/>
  <c r="H359" i="7" s="1"/>
  <c r="R358" i="7"/>
  <c r="H358" i="7" s="1"/>
  <c r="R357" i="7"/>
  <c r="H357" i="7" s="1"/>
  <c r="R356" i="7"/>
  <c r="H356" i="7" s="1"/>
  <c r="R355" i="7"/>
  <c r="H355" i="7" s="1"/>
  <c r="R354" i="7"/>
  <c r="R353" i="7"/>
  <c r="H353" i="7" s="1"/>
  <c r="R352" i="7"/>
  <c r="H352" i="7" s="1"/>
  <c r="R349" i="7"/>
  <c r="R348" i="7"/>
  <c r="R347" i="7"/>
  <c r="R346" i="7"/>
  <c r="R343" i="7"/>
  <c r="R342" i="7"/>
  <c r="R341" i="7"/>
  <c r="R340" i="7"/>
  <c r="R339" i="7"/>
  <c r="R338" i="7"/>
  <c r="R328" i="7"/>
  <c r="R327" i="7"/>
  <c r="R326" i="7"/>
  <c r="R325" i="7"/>
  <c r="R324" i="7"/>
  <c r="R323" i="7"/>
  <c r="R322" i="7"/>
  <c r="R321" i="7"/>
  <c r="R320" i="7"/>
  <c r="R319" i="7"/>
  <c r="R318" i="7"/>
  <c r="R317" i="7"/>
  <c r="R316" i="7"/>
  <c r="R315" i="7"/>
  <c r="R314" i="7"/>
  <c r="R313" i="7"/>
  <c r="R312" i="7"/>
  <c r="R311" i="7"/>
  <c r="R309" i="7"/>
  <c r="R307" i="7"/>
  <c r="R305" i="7"/>
  <c r="R304" i="7"/>
  <c r="R303" i="7"/>
  <c r="R302" i="7"/>
  <c r="R301" i="7"/>
  <c r="R300" i="7"/>
  <c r="R299" i="7"/>
  <c r="R297" i="7"/>
  <c r="R296" i="7"/>
  <c r="R295" i="7"/>
  <c r="R294" i="7"/>
  <c r="R293" i="7"/>
  <c r="R292" i="7"/>
  <c r="R291" i="7"/>
  <c r="R289" i="7"/>
  <c r="R288" i="7"/>
  <c r="R287" i="7"/>
  <c r="R286" i="7"/>
  <c r="R285" i="7"/>
  <c r="R284" i="7"/>
  <c r="R235" i="7"/>
  <c r="R232" i="7"/>
  <c r="R229" i="7"/>
  <c r="R225" i="7"/>
  <c r="R222" i="7"/>
  <c r="R219" i="7"/>
  <c r="R218" i="7"/>
  <c r="R215" i="7"/>
  <c r="R212" i="7"/>
  <c r="R209" i="7"/>
  <c r="R208" i="7"/>
  <c r="R205" i="7"/>
  <c r="R204" i="7"/>
  <c r="R201" i="7"/>
  <c r="R200" i="7"/>
  <c r="R198" i="7"/>
  <c r="R196" i="7"/>
  <c r="R194" i="7"/>
  <c r="R192" i="7"/>
  <c r="R190" i="7"/>
  <c r="H190" i="7" s="1"/>
  <c r="R188" i="7"/>
  <c r="R185" i="7"/>
  <c r="R184" i="7"/>
  <c r="R181" i="7"/>
  <c r="R180" i="7"/>
  <c r="R177" i="7"/>
  <c r="R176" i="7"/>
  <c r="R174" i="7"/>
  <c r="R171" i="7"/>
  <c r="R170" i="7"/>
  <c r="R168" i="7"/>
  <c r="R164" i="7"/>
  <c r="R162" i="7"/>
  <c r="R159" i="7"/>
  <c r="R156" i="7"/>
  <c r="H156" i="7" s="1"/>
  <c r="H157" i="7" s="1"/>
  <c r="R153" i="7"/>
  <c r="R150" i="7"/>
  <c r="H150" i="7" s="1"/>
  <c r="R147" i="7"/>
  <c r="R144" i="7"/>
  <c r="H144" i="7" s="1"/>
  <c r="R143" i="7"/>
  <c r="H143" i="7" s="1"/>
  <c r="R142" i="7"/>
  <c r="H142" i="7" s="1"/>
  <c r="R141" i="7"/>
  <c r="H141" i="7" s="1"/>
  <c r="R140" i="7"/>
  <c r="H140" i="7" s="1"/>
  <c r="R139" i="7"/>
  <c r="R136" i="7"/>
  <c r="H136" i="7" s="1"/>
  <c r="R135" i="7"/>
  <c r="H135" i="7" s="1"/>
  <c r="R134" i="7"/>
  <c r="H134" i="7" s="1"/>
  <c r="R133" i="7"/>
  <c r="H133" i="7" s="1"/>
  <c r="R132" i="7"/>
  <c r="H132" i="7" s="1"/>
  <c r="R131" i="7"/>
  <c r="H131" i="7" s="1"/>
  <c r="R128" i="7"/>
  <c r="H128" i="7" s="1"/>
  <c r="R127" i="7"/>
  <c r="H127" i="7" s="1"/>
  <c r="R126" i="7"/>
  <c r="R125" i="7"/>
  <c r="R124" i="7"/>
  <c r="R121" i="7"/>
  <c r="H121" i="7" s="1"/>
  <c r="R120" i="7"/>
  <c r="H120" i="7" s="1"/>
  <c r="R119" i="7"/>
  <c r="R118" i="7"/>
  <c r="R117" i="7"/>
  <c r="R114" i="7"/>
  <c r="R113" i="7"/>
  <c r="R110" i="7"/>
  <c r="R109" i="7"/>
  <c r="R106" i="7"/>
  <c r="R105" i="7"/>
  <c r="R102" i="7"/>
  <c r="R101" i="7"/>
  <c r="R98" i="7"/>
  <c r="H98" i="7" s="1"/>
  <c r="R97" i="7"/>
  <c r="H97" i="7" s="1"/>
  <c r="R96" i="7"/>
  <c r="H96" i="7" s="1"/>
  <c r="R94" i="7"/>
  <c r="H94" i="7" s="1"/>
  <c r="R93" i="7"/>
  <c r="H93" i="7" s="1"/>
  <c r="R92" i="7"/>
  <c r="H92" i="7" s="1"/>
  <c r="R91" i="7"/>
  <c r="H91" i="7" s="1"/>
  <c r="R89" i="7"/>
  <c r="H89" i="7" s="1"/>
  <c r="R88" i="7"/>
  <c r="H88" i="7" s="1"/>
  <c r="R87" i="7"/>
  <c r="H87" i="7" s="1"/>
  <c r="R86" i="7"/>
  <c r="H86" i="7" s="1"/>
  <c r="R85" i="7"/>
  <c r="H85" i="7" s="1"/>
  <c r="R84" i="7"/>
  <c r="R83" i="7"/>
  <c r="H83" i="7" s="1"/>
  <c r="R82" i="7"/>
  <c r="R81" i="7"/>
  <c r="R80" i="7"/>
  <c r="H80" i="7" s="1"/>
  <c r="R79" i="7"/>
  <c r="R76" i="7"/>
  <c r="R74" i="7"/>
  <c r="R72" i="7"/>
  <c r="R70" i="7"/>
  <c r="H70" i="7" s="1"/>
  <c r="R68" i="7"/>
  <c r="R66" i="7"/>
  <c r="R65" i="7"/>
  <c r="H65" i="7" s="1"/>
  <c r="R63" i="7"/>
  <c r="R62" i="7"/>
  <c r="R60" i="7"/>
  <c r="H60" i="7" s="1"/>
  <c r="R59" i="7"/>
  <c r="H59" i="7" s="1"/>
  <c r="R57" i="7"/>
  <c r="H57" i="7" s="1"/>
  <c r="R55" i="7"/>
  <c r="H55" i="7" s="1"/>
  <c r="H74" i="7" s="1"/>
  <c r="H76" i="7" s="1"/>
  <c r="R54" i="7"/>
  <c r="H54" i="7" s="1"/>
  <c r="R52" i="7"/>
  <c r="H52" i="7" s="1"/>
  <c r="R50" i="7"/>
  <c r="R48" i="7"/>
  <c r="H48" i="7" s="1"/>
  <c r="R46" i="7"/>
  <c r="H46" i="7" s="1"/>
  <c r="R42" i="7"/>
  <c r="R39" i="7"/>
  <c r="H39" i="7" s="1"/>
  <c r="R37" i="7"/>
  <c r="H37" i="7" s="1"/>
  <c r="R35" i="7"/>
  <c r="R33" i="7"/>
  <c r="R32" i="7"/>
  <c r="H32" i="7" s="1"/>
  <c r="R30" i="7"/>
  <c r="R29" i="7"/>
  <c r="R27" i="7"/>
  <c r="H27" i="7" s="1"/>
  <c r="R26" i="7"/>
  <c r="H26" i="7" s="1"/>
  <c r="R22" i="7"/>
  <c r="H22" i="7" s="1"/>
  <c r="R20" i="7"/>
  <c r="R18" i="7"/>
  <c r="H18" i="10" l="1"/>
  <c r="J18" i="10" s="1"/>
  <c r="A95" i="1"/>
  <c r="C95" i="1" s="1"/>
  <c r="B94" i="1"/>
  <c r="N24" i="7"/>
  <c r="O24" i="7" s="1"/>
  <c r="J24" i="7"/>
  <c r="K24" i="7" s="1"/>
  <c r="L24" i="7" s="1"/>
  <c r="N408" i="7"/>
  <c r="O408" i="7" s="1"/>
  <c r="J408" i="7"/>
  <c r="K408" i="7" s="1"/>
  <c r="N287" i="7"/>
  <c r="O287" i="7" s="1"/>
  <c r="J287" i="7"/>
  <c r="K287" i="7" s="1"/>
  <c r="L287" i="7" s="1"/>
  <c r="J315" i="7"/>
  <c r="K315" i="7" s="1"/>
  <c r="L315" i="7" s="1"/>
  <c r="N315" i="7"/>
  <c r="O315" i="7" s="1"/>
  <c r="J343" i="7"/>
  <c r="K343" i="7" s="1"/>
  <c r="L343" i="7" s="1"/>
  <c r="N343" i="7"/>
  <c r="O343" i="7" s="1"/>
  <c r="J327" i="7"/>
  <c r="K327" i="7" s="1"/>
  <c r="L327" i="7" s="1"/>
  <c r="N327" i="7"/>
  <c r="O327" i="7" s="1"/>
  <c r="J296" i="7"/>
  <c r="K296" i="7" s="1"/>
  <c r="L296" i="7" s="1"/>
  <c r="N296" i="7"/>
  <c r="O296" i="7" s="1"/>
  <c r="N389" i="7"/>
  <c r="O389" i="7" s="1"/>
  <c r="J389" i="7"/>
  <c r="K389" i="7" s="1"/>
  <c r="L389" i="7" s="1"/>
  <c r="J297" i="7"/>
  <c r="K297" i="7" s="1"/>
  <c r="L297" i="7" s="1"/>
  <c r="N297" i="7"/>
  <c r="O297" i="7" s="1"/>
  <c r="N349" i="7"/>
  <c r="O349" i="7" s="1"/>
  <c r="J349" i="7"/>
  <c r="K349" i="7" s="1"/>
  <c r="L349" i="7" s="1"/>
  <c r="J323" i="7"/>
  <c r="K323" i="7" s="1"/>
  <c r="L323" i="7" s="1"/>
  <c r="N323" i="7"/>
  <c r="O323" i="7" s="1"/>
  <c r="J324" i="7"/>
  <c r="K324" i="7" s="1"/>
  <c r="L324" i="7" s="1"/>
  <c r="N324" i="7"/>
  <c r="O324" i="7" s="1"/>
  <c r="J317" i="7"/>
  <c r="K317" i="7" s="1"/>
  <c r="L317" i="7" s="1"/>
  <c r="N317" i="7"/>
  <c r="O317" i="7" s="1"/>
  <c r="N309" i="7"/>
  <c r="O309" i="7" s="1"/>
  <c r="J309" i="7"/>
  <c r="K309" i="7" s="1"/>
  <c r="L309" i="7" s="1"/>
  <c r="N322" i="7"/>
  <c r="O322" i="7" s="1"/>
  <c r="J322" i="7"/>
  <c r="K322" i="7" s="1"/>
  <c r="L322" i="7" s="1"/>
  <c r="N340" i="7"/>
  <c r="O340" i="7" s="1"/>
  <c r="J340" i="7"/>
  <c r="K340" i="7" s="1"/>
  <c r="L340" i="7" s="1"/>
  <c r="N314" i="7"/>
  <c r="O314" i="7" s="1"/>
  <c r="J314" i="7"/>
  <c r="K314" i="7" s="1"/>
  <c r="L314" i="7" s="1"/>
  <c r="J325" i="7"/>
  <c r="K325" i="7" s="1"/>
  <c r="L325" i="7" s="1"/>
  <c r="N325" i="7"/>
  <c r="O325" i="7" s="1"/>
  <c r="J299" i="7"/>
  <c r="K299" i="7" s="1"/>
  <c r="L299" i="7" s="1"/>
  <c r="N299" i="7"/>
  <c r="O299" i="7" s="1"/>
  <c r="J328" i="7"/>
  <c r="K328" i="7" s="1"/>
  <c r="L328" i="7" s="1"/>
  <c r="N328" i="7"/>
  <c r="O328" i="7" s="1"/>
  <c r="N383" i="7"/>
  <c r="O383" i="7" s="1"/>
  <c r="J383" i="7"/>
  <c r="K383" i="7" s="1"/>
  <c r="L383" i="7" s="1"/>
  <c r="J307" i="7"/>
  <c r="K307" i="7" s="1"/>
  <c r="L307" i="7" s="1"/>
  <c r="N307" i="7"/>
  <c r="O307" i="7" s="1"/>
  <c r="N300" i="7"/>
  <c r="O300" i="7" s="1"/>
  <c r="J300" i="7"/>
  <c r="K300" i="7" s="1"/>
  <c r="L300" i="7" s="1"/>
  <c r="J313" i="7"/>
  <c r="K313" i="7" s="1"/>
  <c r="L313" i="7" s="1"/>
  <c r="N313" i="7"/>
  <c r="O313" i="7" s="1"/>
  <c r="J384" i="7"/>
  <c r="K384" i="7" s="1"/>
  <c r="L384" i="7" s="1"/>
  <c r="N384" i="7"/>
  <c r="O384" i="7" s="1"/>
  <c r="N295" i="7"/>
  <c r="O295" i="7" s="1"/>
  <c r="J295" i="7"/>
  <c r="K295" i="7" s="1"/>
  <c r="L295" i="7" s="1"/>
  <c r="N312" i="7"/>
  <c r="O312" i="7" s="1"/>
  <c r="J312" i="7"/>
  <c r="K312" i="7" s="1"/>
  <c r="L312" i="7" s="1"/>
  <c r="J407" i="7"/>
  <c r="K407" i="7" s="1"/>
  <c r="L407" i="7" s="1"/>
  <c r="N407" i="7"/>
  <c r="O407" i="7" s="1"/>
  <c r="J302" i="7"/>
  <c r="K302" i="7" s="1"/>
  <c r="L302" i="7" s="1"/>
  <c r="N302" i="7"/>
  <c r="O302" i="7" s="1"/>
  <c r="J390" i="7"/>
  <c r="K390" i="7" s="1"/>
  <c r="N390" i="7"/>
  <c r="O390" i="7" s="1"/>
  <c r="J288" i="7"/>
  <c r="K288" i="7" s="1"/>
  <c r="L288" i="7" s="1"/>
  <c r="N288" i="7"/>
  <c r="O288" i="7" s="1"/>
  <c r="N292" i="7"/>
  <c r="O292" i="7" s="1"/>
  <c r="J292" i="7"/>
  <c r="K292" i="7" s="1"/>
  <c r="L292" i="7" s="1"/>
  <c r="N393" i="7"/>
  <c r="O393" i="7" s="1"/>
  <c r="J393" i="7"/>
  <c r="K393" i="7" s="1"/>
  <c r="L393" i="7" s="1"/>
  <c r="N311" i="7"/>
  <c r="O311" i="7" s="1"/>
  <c r="J311" i="7"/>
  <c r="K311" i="7" s="1"/>
  <c r="L311" i="7" s="1"/>
  <c r="N294" i="7"/>
  <c r="O294" i="7" s="1"/>
  <c r="J294" i="7"/>
  <c r="K294" i="7" s="1"/>
  <c r="L294" i="7" s="1"/>
  <c r="N386" i="7"/>
  <c r="O386" i="7" s="1"/>
  <c r="J386" i="7"/>
  <c r="K386" i="7" s="1"/>
  <c r="J385" i="7"/>
  <c r="K385" i="7" s="1"/>
  <c r="L385" i="7" s="1"/>
  <c r="N385" i="7"/>
  <c r="O385" i="7" s="1"/>
  <c r="J293" i="7"/>
  <c r="K293" i="7" s="1"/>
  <c r="L293" i="7" s="1"/>
  <c r="N293" i="7"/>
  <c r="O293" i="7" s="1"/>
  <c r="J338" i="7"/>
  <c r="N338" i="7"/>
  <c r="H344" i="7"/>
  <c r="J319" i="7"/>
  <c r="K319" i="7" s="1"/>
  <c r="N319" i="7"/>
  <c r="O319" i="7" s="1"/>
  <c r="N320" i="7"/>
  <c r="O320" i="7" s="1"/>
  <c r="J320" i="7"/>
  <c r="K320" i="7" s="1"/>
  <c r="L320" i="7" s="1"/>
  <c r="J382" i="7"/>
  <c r="K382" i="7" s="1"/>
  <c r="L382" i="7" s="1"/>
  <c r="N382" i="7"/>
  <c r="O382" i="7" s="1"/>
  <c r="J347" i="7"/>
  <c r="K347" i="7" s="1"/>
  <c r="L347" i="7" s="1"/>
  <c r="N347" i="7"/>
  <c r="O347" i="7" s="1"/>
  <c r="J301" i="7"/>
  <c r="K301" i="7" s="1"/>
  <c r="L301" i="7" s="1"/>
  <c r="N301" i="7"/>
  <c r="O301" i="7" s="1"/>
  <c r="N321" i="7"/>
  <c r="O321" i="7" s="1"/>
  <c r="J321" i="7"/>
  <c r="K321" i="7" s="1"/>
  <c r="L321" i="7" s="1"/>
  <c r="J346" i="7"/>
  <c r="N346" i="7"/>
  <c r="H350" i="7"/>
  <c r="J150" i="7"/>
  <c r="J151" i="7" s="1"/>
  <c r="H151" i="7"/>
  <c r="N150" i="7"/>
  <c r="J318" i="7"/>
  <c r="K318" i="7" s="1"/>
  <c r="L318" i="7" s="1"/>
  <c r="N318" i="7"/>
  <c r="O318" i="7" s="1"/>
  <c r="N391" i="7"/>
  <c r="O391" i="7" s="1"/>
  <c r="J391" i="7"/>
  <c r="K391" i="7" s="1"/>
  <c r="L391" i="7" s="1"/>
  <c r="N339" i="7"/>
  <c r="O339" i="7" s="1"/>
  <c r="J339" i="7"/>
  <c r="K339" i="7" s="1"/>
  <c r="L339" i="7" s="1"/>
  <c r="J289" i="7"/>
  <c r="K289" i="7" s="1"/>
  <c r="L289" i="7" s="1"/>
  <c r="N289" i="7"/>
  <c r="O289" i="7" s="1"/>
  <c r="J303" i="7"/>
  <c r="K303" i="7" s="1"/>
  <c r="L303" i="7" s="1"/>
  <c r="N303" i="7"/>
  <c r="O303" i="7" s="1"/>
  <c r="N387" i="7"/>
  <c r="O387" i="7" s="1"/>
  <c r="J387" i="7"/>
  <c r="K387" i="7" s="1"/>
  <c r="N388" i="7"/>
  <c r="O388" i="7" s="1"/>
  <c r="J388" i="7"/>
  <c r="K388" i="7" s="1"/>
  <c r="L388" i="7" s="1"/>
  <c r="N305" i="7"/>
  <c r="O305" i="7" s="1"/>
  <c r="J305" i="7"/>
  <c r="K305" i="7" s="1"/>
  <c r="L305" i="7" s="1"/>
  <c r="J316" i="7"/>
  <c r="K316" i="7" s="1"/>
  <c r="L316" i="7" s="1"/>
  <c r="N316" i="7"/>
  <c r="O316" i="7" s="1"/>
  <c r="J326" i="7"/>
  <c r="K326" i="7" s="1"/>
  <c r="L326" i="7" s="1"/>
  <c r="N326" i="7"/>
  <c r="O326" i="7" s="1"/>
  <c r="J341" i="7"/>
  <c r="K341" i="7" s="1"/>
  <c r="N341" i="7"/>
  <c r="O341" i="7" s="1"/>
  <c r="J392" i="7"/>
  <c r="K392" i="7" s="1"/>
  <c r="L392" i="7" s="1"/>
  <c r="N392" i="7"/>
  <c r="O392" i="7" s="1"/>
  <c r="J381" i="7"/>
  <c r="H394" i="7"/>
  <c r="N381" i="7"/>
  <c r="N286" i="7"/>
  <c r="O286" i="7" s="1"/>
  <c r="J286" i="7"/>
  <c r="K286" i="7" s="1"/>
  <c r="L286" i="7" s="1"/>
  <c r="J285" i="7"/>
  <c r="K285" i="7" s="1"/>
  <c r="L285" i="7" s="1"/>
  <c r="N285" i="7"/>
  <c r="O285" i="7" s="1"/>
  <c r="J304" i="7"/>
  <c r="K304" i="7" s="1"/>
  <c r="L304" i="7" s="1"/>
  <c r="N304" i="7"/>
  <c r="O304" i="7" s="1"/>
  <c r="N348" i="7"/>
  <c r="O348" i="7" s="1"/>
  <c r="J348" i="7"/>
  <c r="K348" i="7" s="1"/>
  <c r="L348" i="7" s="1"/>
  <c r="J342" i="7"/>
  <c r="K342" i="7" s="1"/>
  <c r="N342" i="7"/>
  <c r="O342" i="7" s="1"/>
  <c r="N291" i="7"/>
  <c r="O291" i="7" s="1"/>
  <c r="J291" i="7"/>
  <c r="K291" i="7" s="1"/>
  <c r="L291" i="7" s="1"/>
  <c r="N284" i="7"/>
  <c r="J284" i="7"/>
  <c r="J409" i="7"/>
  <c r="K409" i="7" s="1"/>
  <c r="L409" i="7" s="1"/>
  <c r="N409" i="7"/>
  <c r="O409" i="7" s="1"/>
  <c r="H375" i="7"/>
  <c r="N375" i="7" s="1"/>
  <c r="O375" i="7" s="1"/>
  <c r="N406" i="7"/>
  <c r="J406" i="7"/>
  <c r="H410" i="7"/>
  <c r="H369" i="7"/>
  <c r="H153" i="7"/>
  <c r="H154" i="7" s="1"/>
  <c r="H401" i="7"/>
  <c r="N57" i="7"/>
  <c r="O57" i="7" s="1"/>
  <c r="J57" i="7"/>
  <c r="K57" i="7" s="1"/>
  <c r="J135" i="7"/>
  <c r="K135" i="7" s="1"/>
  <c r="N135" i="7"/>
  <c r="O135" i="7" s="1"/>
  <c r="J358" i="7"/>
  <c r="K358" i="7" s="1"/>
  <c r="N358" i="7"/>
  <c r="O358" i="7" s="1"/>
  <c r="N368" i="7"/>
  <c r="O368" i="7" s="1"/>
  <c r="J368" i="7"/>
  <c r="K368" i="7" s="1"/>
  <c r="L368" i="7" s="1"/>
  <c r="J59" i="7"/>
  <c r="K59" i="7" s="1"/>
  <c r="L59" i="7" s="1"/>
  <c r="N59" i="7"/>
  <c r="O59" i="7" s="1"/>
  <c r="N88" i="7"/>
  <c r="O88" i="7" s="1"/>
  <c r="J88" i="7"/>
  <c r="K88" i="7" s="1"/>
  <c r="N98" i="7"/>
  <c r="O98" i="7" s="1"/>
  <c r="J98" i="7"/>
  <c r="K98" i="7" s="1"/>
  <c r="L98" i="7" s="1"/>
  <c r="J120" i="7"/>
  <c r="K120" i="7" s="1"/>
  <c r="L120" i="7" s="1"/>
  <c r="N120" i="7"/>
  <c r="O120" i="7" s="1"/>
  <c r="J132" i="7"/>
  <c r="K132" i="7" s="1"/>
  <c r="N132" i="7"/>
  <c r="O132" i="7" s="1"/>
  <c r="N142" i="7"/>
  <c r="O142" i="7" s="1"/>
  <c r="J142" i="7"/>
  <c r="K142" i="7" s="1"/>
  <c r="L142" i="7" s="1"/>
  <c r="N355" i="7"/>
  <c r="O355" i="7" s="1"/>
  <c r="J355" i="7"/>
  <c r="K355" i="7" s="1"/>
  <c r="J365" i="7"/>
  <c r="N365" i="7"/>
  <c r="J399" i="7"/>
  <c r="K399" i="7" s="1"/>
  <c r="L399" i="7" s="1"/>
  <c r="N399" i="7"/>
  <c r="O399" i="7" s="1"/>
  <c r="J27" i="7"/>
  <c r="K27" i="7" s="1"/>
  <c r="N27" i="7"/>
  <c r="O27" i="7" s="1"/>
  <c r="J54" i="7"/>
  <c r="K54" i="7" s="1"/>
  <c r="L54" i="7" s="1"/>
  <c r="N54" i="7"/>
  <c r="O54" i="7" s="1"/>
  <c r="N48" i="7"/>
  <c r="O48" i="7" s="1"/>
  <c r="J48" i="7"/>
  <c r="K48" i="7" s="1"/>
  <c r="N55" i="7"/>
  <c r="O55" i="7" s="1"/>
  <c r="J55" i="7"/>
  <c r="K55" i="7" s="1"/>
  <c r="J86" i="7"/>
  <c r="K86" i="7" s="1"/>
  <c r="L86" i="7" s="1"/>
  <c r="N86" i="7"/>
  <c r="O86" i="7" s="1"/>
  <c r="J128" i="7"/>
  <c r="K128" i="7" s="1"/>
  <c r="L128" i="7" s="1"/>
  <c r="N128" i="7"/>
  <c r="O128" i="7" s="1"/>
  <c r="N134" i="7"/>
  <c r="O134" i="7" s="1"/>
  <c r="J134" i="7"/>
  <c r="K134" i="7" s="1"/>
  <c r="L134" i="7" s="1"/>
  <c r="J140" i="7"/>
  <c r="K140" i="7" s="1"/>
  <c r="N140" i="7"/>
  <c r="O140" i="7" s="1"/>
  <c r="N144" i="7"/>
  <c r="O144" i="7" s="1"/>
  <c r="J144" i="7"/>
  <c r="K144" i="7" s="1"/>
  <c r="N156" i="7"/>
  <c r="J156" i="7"/>
  <c r="J157" i="7" s="1"/>
  <c r="J353" i="7"/>
  <c r="K353" i="7" s="1"/>
  <c r="L353" i="7" s="1"/>
  <c r="N353" i="7"/>
  <c r="O353" i="7" s="1"/>
  <c r="J357" i="7"/>
  <c r="K357" i="7" s="1"/>
  <c r="N357" i="7"/>
  <c r="O357" i="7" s="1"/>
  <c r="N361" i="7"/>
  <c r="O361" i="7" s="1"/>
  <c r="J361" i="7"/>
  <c r="K361" i="7" s="1"/>
  <c r="N367" i="7"/>
  <c r="O367" i="7" s="1"/>
  <c r="J367" i="7"/>
  <c r="N397" i="7"/>
  <c r="O397" i="7" s="1"/>
  <c r="J397" i="7"/>
  <c r="K397" i="7" s="1"/>
  <c r="L397" i="7" s="1"/>
  <c r="N87" i="7"/>
  <c r="O87" i="7" s="1"/>
  <c r="J87" i="7"/>
  <c r="K87" i="7" s="1"/>
  <c r="L87" i="7" s="1"/>
  <c r="J141" i="7"/>
  <c r="N141" i="7"/>
  <c r="O141" i="7" s="1"/>
  <c r="N362" i="7"/>
  <c r="O362" i="7" s="1"/>
  <c r="J362" i="7"/>
  <c r="J398" i="7"/>
  <c r="K398" i="7" s="1"/>
  <c r="L398" i="7" s="1"/>
  <c r="N398" i="7"/>
  <c r="O398" i="7" s="1"/>
  <c r="H147" i="7"/>
  <c r="H148" i="7" s="1"/>
  <c r="J26" i="7"/>
  <c r="K26" i="7" s="1"/>
  <c r="L26" i="7" s="1"/>
  <c r="N26" i="7"/>
  <c r="O26" i="7" s="1"/>
  <c r="J52" i="7"/>
  <c r="K52" i="7" s="1"/>
  <c r="L52" i="7" s="1"/>
  <c r="N52" i="7"/>
  <c r="O52" i="7" s="1"/>
  <c r="J74" i="7"/>
  <c r="K74" i="7" s="1"/>
  <c r="L74" i="7" s="1"/>
  <c r="N74" i="7"/>
  <c r="O74" i="7" s="1"/>
  <c r="N93" i="7"/>
  <c r="O93" i="7" s="1"/>
  <c r="J93" i="7"/>
  <c r="K93" i="7" s="1"/>
  <c r="J136" i="7"/>
  <c r="K136" i="7" s="1"/>
  <c r="L136" i="7" s="1"/>
  <c r="N136" i="7"/>
  <c r="O136" i="7" s="1"/>
  <c r="J359" i="7"/>
  <c r="K359" i="7" s="1"/>
  <c r="L359" i="7" s="1"/>
  <c r="N359" i="7"/>
  <c r="O359" i="7" s="1"/>
  <c r="J60" i="7"/>
  <c r="N60" i="7"/>
  <c r="O60" i="7" s="1"/>
  <c r="N76" i="7"/>
  <c r="O76" i="7" s="1"/>
  <c r="J76" i="7"/>
  <c r="K76" i="7" s="1"/>
  <c r="L76" i="7" s="1"/>
  <c r="J85" i="7"/>
  <c r="K85" i="7" s="1"/>
  <c r="N85" i="7"/>
  <c r="O85" i="7" s="1"/>
  <c r="J89" i="7"/>
  <c r="K89" i="7" s="1"/>
  <c r="N89" i="7"/>
  <c r="O89" i="7" s="1"/>
  <c r="J94" i="7"/>
  <c r="K94" i="7" s="1"/>
  <c r="L94" i="7" s="1"/>
  <c r="N94" i="7"/>
  <c r="O94" i="7" s="1"/>
  <c r="N121" i="7"/>
  <c r="O121" i="7" s="1"/>
  <c r="J121" i="7"/>
  <c r="N127" i="7"/>
  <c r="O127" i="7" s="1"/>
  <c r="J127" i="7"/>
  <c r="N133" i="7"/>
  <c r="O133" i="7" s="1"/>
  <c r="J133" i="7"/>
  <c r="K133" i="7" s="1"/>
  <c r="L133" i="7" s="1"/>
  <c r="N143" i="7"/>
  <c r="O143" i="7" s="1"/>
  <c r="J143" i="7"/>
  <c r="K143" i="7" s="1"/>
  <c r="N190" i="7"/>
  <c r="O190" i="7" s="1"/>
  <c r="J190" i="7"/>
  <c r="K190" i="7" s="1"/>
  <c r="L190" i="7" s="1"/>
  <c r="N352" i="7"/>
  <c r="J352" i="7"/>
  <c r="N356" i="7"/>
  <c r="O356" i="7" s="1"/>
  <c r="J356" i="7"/>
  <c r="K356" i="7" s="1"/>
  <c r="L356" i="7" s="1"/>
  <c r="N360" i="7"/>
  <c r="O360" i="7" s="1"/>
  <c r="J360" i="7"/>
  <c r="K360" i="7" s="1"/>
  <c r="L360" i="7" s="1"/>
  <c r="J366" i="7"/>
  <c r="K366" i="7" s="1"/>
  <c r="N366" i="7"/>
  <c r="O366" i="7" s="1"/>
  <c r="N396" i="7"/>
  <c r="J396" i="7"/>
  <c r="J400" i="7"/>
  <c r="K400" i="7" s="1"/>
  <c r="L400" i="7" s="1"/>
  <c r="N400" i="7"/>
  <c r="O400" i="7" s="1"/>
  <c r="H159" i="7"/>
  <c r="H160" i="7" s="1"/>
  <c r="H377" i="7"/>
  <c r="H19" i="10" l="1"/>
  <c r="J19" i="10" s="1"/>
  <c r="A96" i="1"/>
  <c r="C96" i="1" s="1"/>
  <c r="B95" i="1"/>
  <c r="L386" i="7"/>
  <c r="K150" i="7"/>
  <c r="K151" i="7" s="1"/>
  <c r="L390" i="7"/>
  <c r="L342" i="7"/>
  <c r="K284" i="7"/>
  <c r="K346" i="7"/>
  <c r="K350" i="7" s="1"/>
  <c r="J350" i="7"/>
  <c r="O284" i="7"/>
  <c r="J394" i="7"/>
  <c r="J344" i="7"/>
  <c r="K381" i="7"/>
  <c r="K338" i="7"/>
  <c r="L408" i="7"/>
  <c r="O338" i="7"/>
  <c r="O344" i="7" s="1"/>
  <c r="N344" i="7"/>
  <c r="J410" i="7"/>
  <c r="O381" i="7"/>
  <c r="O394" i="7" s="1"/>
  <c r="N394" i="7"/>
  <c r="L341" i="7"/>
  <c r="L387" i="7"/>
  <c r="N151" i="7"/>
  <c r="O150" i="7"/>
  <c r="O151" i="7" s="1"/>
  <c r="O346" i="7"/>
  <c r="O350" i="7" s="1"/>
  <c r="N350" i="7"/>
  <c r="L319" i="7"/>
  <c r="J153" i="7"/>
  <c r="J154" i="7" s="1"/>
  <c r="J375" i="7"/>
  <c r="K375" i="7" s="1"/>
  <c r="L375" i="7" s="1"/>
  <c r="K406" i="7"/>
  <c r="K410" i="7" s="1"/>
  <c r="O406" i="7"/>
  <c r="O410" i="7" s="1"/>
  <c r="N410" i="7"/>
  <c r="L135" i="7"/>
  <c r="K127" i="7"/>
  <c r="L127" i="7" s="1"/>
  <c r="O396" i="7"/>
  <c r="O401" i="7" s="1"/>
  <c r="N401" i="7"/>
  <c r="O156" i="7"/>
  <c r="O157" i="7" s="1"/>
  <c r="N157" i="7"/>
  <c r="J369" i="7"/>
  <c r="L88" i="7"/>
  <c r="L366" i="7"/>
  <c r="K352" i="7"/>
  <c r="L143" i="7"/>
  <c r="N153" i="7"/>
  <c r="L93" i="7"/>
  <c r="L357" i="7"/>
  <c r="O352" i="7"/>
  <c r="K365" i="7"/>
  <c r="L355" i="7"/>
  <c r="L57" i="7"/>
  <c r="K396" i="7"/>
  <c r="J401" i="7"/>
  <c r="L361" i="7"/>
  <c r="O365" i="7"/>
  <c r="O369" i="7" s="1"/>
  <c r="N369" i="7"/>
  <c r="J377" i="7"/>
  <c r="K377" i="7" s="1"/>
  <c r="N377" i="7"/>
  <c r="O377" i="7" s="1"/>
  <c r="K60" i="7"/>
  <c r="L60" i="7" s="1"/>
  <c r="K121" i="7"/>
  <c r="L121" i="7" s="1"/>
  <c r="L85" i="7"/>
  <c r="K141" i="7"/>
  <c r="L141" i="7" s="1"/>
  <c r="K367" i="7"/>
  <c r="L367" i="7" s="1"/>
  <c r="L89" i="7"/>
  <c r="N147" i="7"/>
  <c r="J147" i="7"/>
  <c r="J148" i="7" s="1"/>
  <c r="L144" i="7"/>
  <c r="L55" i="7"/>
  <c r="L48" i="7"/>
  <c r="L27" i="7"/>
  <c r="L140" i="7"/>
  <c r="J159" i="7"/>
  <c r="J160" i="7" s="1"/>
  <c r="N159" i="7"/>
  <c r="K362" i="7"/>
  <c r="L362" i="7" s="1"/>
  <c r="K156" i="7"/>
  <c r="L132" i="7"/>
  <c r="L358" i="7"/>
  <c r="H20" i="10" l="1"/>
  <c r="J20" i="10" s="1"/>
  <c r="A97" i="1"/>
  <c r="C97" i="1" s="1"/>
  <c r="B96" i="1"/>
  <c r="K153" i="7"/>
  <c r="K154" i="7" s="1"/>
  <c r="L346" i="7"/>
  <c r="L350" i="7" s="1"/>
  <c r="L150" i="7"/>
  <c r="L151" i="7" s="1"/>
  <c r="L284" i="7"/>
  <c r="L338" i="7"/>
  <c r="L344" i="7" s="1"/>
  <c r="K344" i="7"/>
  <c r="K394" i="7"/>
  <c r="L381" i="7"/>
  <c r="L394" i="7" s="1"/>
  <c r="L406" i="7"/>
  <c r="L410" i="7" s="1"/>
  <c r="K147" i="7"/>
  <c r="K148" i="7" s="1"/>
  <c r="L377" i="7"/>
  <c r="L156" i="7"/>
  <c r="L157" i="7" s="1"/>
  <c r="K157" i="7"/>
  <c r="O159" i="7"/>
  <c r="O160" i="7" s="1"/>
  <c r="N160" i="7"/>
  <c r="L396" i="7"/>
  <c r="L401" i="7" s="1"/>
  <c r="K401" i="7"/>
  <c r="L365" i="7"/>
  <c r="L369" i="7" s="1"/>
  <c r="K369" i="7"/>
  <c r="O153" i="7"/>
  <c r="O154" i="7" s="1"/>
  <c r="N154" i="7"/>
  <c r="L352" i="7"/>
  <c r="K159" i="7"/>
  <c r="K160" i="7" s="1"/>
  <c r="O147" i="7"/>
  <c r="O148" i="7" s="1"/>
  <c r="N148" i="7"/>
  <c r="H21" i="10" l="1"/>
  <c r="J21" i="10" s="1"/>
  <c r="L147" i="7"/>
  <c r="L148" i="7" s="1"/>
  <c r="A98" i="1"/>
  <c r="C98" i="1" s="1"/>
  <c r="B97" i="1"/>
  <c r="L153" i="7"/>
  <c r="L154" i="7" s="1"/>
  <c r="L159" i="7"/>
  <c r="L160" i="7" s="1"/>
  <c r="H22" i="10" l="1"/>
  <c r="J22" i="10" s="1"/>
  <c r="A99" i="1"/>
  <c r="C99" i="1" s="1"/>
  <c r="B98" i="1"/>
  <c r="H23" i="10" l="1"/>
  <c r="J23" i="10" s="1"/>
  <c r="A100" i="1"/>
  <c r="C100" i="1" s="1"/>
  <c r="B99" i="1"/>
  <c r="H24" i="10" l="1"/>
  <c r="J24" i="10" s="1"/>
  <c r="A101" i="1"/>
  <c r="C101" i="1" s="1"/>
  <c r="B100" i="1"/>
  <c r="H25" i="10" l="1"/>
  <c r="J25" i="10" s="1"/>
  <c r="A102" i="1"/>
  <c r="C102" i="1" s="1"/>
  <c r="B101" i="1"/>
  <c r="H26" i="10" l="1"/>
  <c r="J26" i="10" s="1"/>
  <c r="A103" i="1"/>
  <c r="C103" i="1" s="1"/>
  <c r="B102" i="1"/>
  <c r="H27" i="10" l="1"/>
  <c r="J27" i="10" s="1"/>
  <c r="A104" i="1"/>
  <c r="C104" i="1" s="1"/>
  <c r="B103" i="1"/>
  <c r="H28" i="10" l="1"/>
  <c r="J28" i="10" s="1"/>
  <c r="A105" i="1"/>
  <c r="C105" i="1" s="1"/>
  <c r="B104" i="1"/>
  <c r="H29" i="10" l="1"/>
  <c r="J29" i="10" s="1"/>
  <c r="A106" i="1"/>
  <c r="C106" i="1" s="1"/>
  <c r="B105" i="1"/>
  <c r="H30" i="10" l="1"/>
  <c r="J30" i="10" s="1"/>
  <c r="A107" i="1"/>
  <c r="C107" i="1" s="1"/>
  <c r="B106" i="1"/>
  <c r="H31" i="10" l="1"/>
  <c r="J31" i="10" s="1"/>
  <c r="A108" i="1"/>
  <c r="C108" i="1" s="1"/>
  <c r="B107" i="1"/>
  <c r="H32" i="10" l="1"/>
  <c r="J32" i="10" s="1"/>
  <c r="A109" i="1"/>
  <c r="C109" i="1" s="1"/>
  <c r="B108" i="1"/>
  <c r="H33" i="10" l="1"/>
  <c r="J33" i="10" s="1"/>
  <c r="A110" i="1"/>
  <c r="C110" i="1" s="1"/>
  <c r="B109" i="1"/>
  <c r="H34" i="10" l="1"/>
  <c r="J34" i="10" s="1"/>
  <c r="B110" i="1"/>
  <c r="A111" i="1"/>
  <c r="C111" i="1" s="1"/>
  <c r="H35" i="10" l="1"/>
  <c r="J35" i="10" s="1"/>
  <c r="B111" i="1"/>
  <c r="A112" i="1"/>
  <c r="C112" i="1" s="1"/>
  <c r="H36" i="10" l="1"/>
  <c r="J36" i="10" s="1"/>
  <c r="B112" i="1"/>
  <c r="A113" i="1"/>
  <c r="C113" i="1" s="1"/>
  <c r="H37" i="10" l="1"/>
  <c r="J37" i="10" s="1"/>
  <c r="B113" i="1"/>
  <c r="A114" i="1"/>
  <c r="C114" i="1" s="1"/>
  <c r="H38" i="10" l="1"/>
  <c r="J38" i="10" s="1"/>
  <c r="B114" i="1"/>
  <c r="A115" i="1"/>
  <c r="C115" i="1" s="1"/>
  <c r="H39" i="10" l="1"/>
  <c r="J39" i="10" s="1"/>
  <c r="A116" i="1"/>
  <c r="C116" i="1" s="1"/>
  <c r="B115" i="1"/>
  <c r="H40" i="10" l="1"/>
  <c r="J40" i="10" s="1"/>
  <c r="B116" i="1"/>
  <c r="A117" i="1"/>
  <c r="H41" i="10" l="1"/>
  <c r="J41" i="10" s="1"/>
  <c r="B117" i="1"/>
  <c r="A118" i="1"/>
  <c r="C117" i="1"/>
  <c r="H42" i="10" l="1"/>
  <c r="J42" i="10" s="1"/>
  <c r="C118" i="1"/>
  <c r="A119" i="1"/>
  <c r="B118" i="1"/>
  <c r="H43" i="10" l="1"/>
  <c r="J43" i="10" s="1"/>
  <c r="C119" i="1"/>
  <c r="D174" i="1" s="1"/>
  <c r="C174" i="1" s="1"/>
  <c r="B119" i="1"/>
  <c r="D145" i="41" l="1"/>
  <c r="Q145" i="41" s="1"/>
  <c r="P145" i="41" s="1"/>
  <c r="D145" i="43"/>
  <c r="Q145" i="43" s="1"/>
  <c r="P145" i="43" s="1"/>
  <c r="D145" i="42"/>
  <c r="Q145" i="42" s="1"/>
  <c r="P145" i="42" s="1"/>
  <c r="D145" i="31"/>
  <c r="Q145" i="31" s="1"/>
  <c r="P145" i="31" s="1"/>
  <c r="D145" i="32"/>
  <c r="Q145" i="32" s="1"/>
  <c r="P145" i="32" s="1"/>
  <c r="D145" i="7"/>
  <c r="D160" i="1"/>
  <c r="C160" i="1" s="1"/>
  <c r="D158" i="1"/>
  <c r="C158" i="1" s="1"/>
  <c r="D181" i="1"/>
  <c r="C181" i="1" s="1"/>
  <c r="D178" i="1"/>
  <c r="C178" i="1" s="1"/>
  <c r="H44" i="10"/>
  <c r="J44" i="10" s="1"/>
  <c r="D133" i="1"/>
  <c r="C133" i="1" s="1"/>
  <c r="D124" i="1"/>
  <c r="C124" i="1" s="1"/>
  <c r="D121" i="1"/>
  <c r="C121" i="1" s="1"/>
  <c r="D127" i="1"/>
  <c r="C127" i="1" s="1"/>
  <c r="D136" i="1"/>
  <c r="C136" i="1" s="1"/>
  <c r="D125" i="1"/>
  <c r="C125" i="1" s="1"/>
  <c r="D132" i="1"/>
  <c r="C132" i="1" s="1"/>
  <c r="D128" i="1"/>
  <c r="C128" i="1" s="1"/>
  <c r="D135" i="1"/>
  <c r="C135" i="1" s="1"/>
  <c r="D122" i="1"/>
  <c r="C122" i="1" s="1"/>
  <c r="D123" i="1"/>
  <c r="C123" i="1" s="1"/>
  <c r="D137" i="1"/>
  <c r="C137" i="1" s="1"/>
  <c r="D131" i="1"/>
  <c r="C131" i="1" s="1"/>
  <c r="D129" i="1"/>
  <c r="C129" i="1" s="1"/>
  <c r="D134" i="1"/>
  <c r="C134" i="1" s="1"/>
  <c r="D126" i="1"/>
  <c r="C126" i="1" s="1"/>
  <c r="D130" i="1"/>
  <c r="C130" i="1" s="1"/>
  <c r="D151" i="1"/>
  <c r="C151" i="1" s="1"/>
  <c r="D149" i="1"/>
  <c r="C149" i="1" s="1"/>
  <c r="D142" i="1"/>
  <c r="C142" i="1" s="1"/>
  <c r="D145" i="1"/>
  <c r="C145" i="1" s="1"/>
  <c r="D146" i="1"/>
  <c r="C146" i="1" s="1"/>
  <c r="D143" i="1"/>
  <c r="C143" i="1" s="1"/>
  <c r="D139" i="1"/>
  <c r="C139" i="1" s="1"/>
  <c r="D140" i="1"/>
  <c r="C140" i="1" s="1"/>
  <c r="D148" i="1"/>
  <c r="C148" i="1" s="1"/>
  <c r="D138" i="1"/>
  <c r="C138" i="1" s="1"/>
  <c r="D144" i="1"/>
  <c r="C144" i="1" s="1"/>
  <c r="D147" i="1"/>
  <c r="C147" i="1" s="1"/>
  <c r="D150" i="1"/>
  <c r="C150" i="1" s="1"/>
  <c r="D141" i="1"/>
  <c r="C141" i="1" s="1"/>
  <c r="D156" i="1"/>
  <c r="C156" i="1" s="1"/>
  <c r="D179" i="1"/>
  <c r="C179" i="1" s="1"/>
  <c r="D157" i="1"/>
  <c r="C157" i="1" s="1"/>
  <c r="D180" i="1"/>
  <c r="C180" i="1" s="1"/>
  <c r="D161" i="1"/>
  <c r="C161" i="1" s="1"/>
  <c r="D167" i="1"/>
  <c r="C167" i="1" s="1"/>
  <c r="D153" i="1"/>
  <c r="C153" i="1" s="1"/>
  <c r="D169" i="1"/>
  <c r="C169" i="1" s="1"/>
  <c r="D176" i="1"/>
  <c r="C176" i="1" s="1"/>
  <c r="D162" i="1"/>
  <c r="D173" i="1"/>
  <c r="C173" i="1" s="1"/>
  <c r="D152" i="1"/>
  <c r="C152" i="1" s="1"/>
  <c r="D168" i="1"/>
  <c r="C168" i="1" s="1"/>
  <c r="D165" i="1"/>
  <c r="C165" i="1" s="1"/>
  <c r="D159" i="1"/>
  <c r="C159" i="1" s="1"/>
  <c r="D164" i="1"/>
  <c r="C164" i="1" s="1"/>
  <c r="D171" i="1"/>
  <c r="C171" i="1" s="1"/>
  <c r="D175" i="1"/>
  <c r="C175" i="1" s="1"/>
  <c r="D172" i="1"/>
  <c r="C172" i="1" s="1"/>
  <c r="D154" i="1"/>
  <c r="C154" i="1" s="1"/>
  <c r="D155" i="1"/>
  <c r="C155" i="1" s="1"/>
  <c r="D177" i="1"/>
  <c r="C177" i="1" s="1"/>
  <c r="D170" i="1"/>
  <c r="C170" i="1" s="1"/>
  <c r="D163" i="1"/>
  <c r="C163" i="1" s="1"/>
  <c r="D166" i="1"/>
  <c r="C166" i="1" s="1"/>
  <c r="D402" i="41" l="1"/>
  <c r="D402" i="42"/>
  <c r="D402" i="43"/>
  <c r="D405" i="43"/>
  <c r="D405" i="41"/>
  <c r="D405" i="42"/>
  <c r="D227" i="43"/>
  <c r="D227" i="42"/>
  <c r="D227" i="41"/>
  <c r="D345" i="41"/>
  <c r="D345" i="43"/>
  <c r="D345" i="42"/>
  <c r="D337" i="43"/>
  <c r="D337" i="41"/>
  <c r="D337" i="42"/>
  <c r="D173" i="43"/>
  <c r="D173" i="41"/>
  <c r="D173" i="42"/>
  <c r="D100" i="42"/>
  <c r="D100" i="41"/>
  <c r="D100" i="43"/>
  <c r="D395" i="43"/>
  <c r="D395" i="42"/>
  <c r="D395" i="41"/>
  <c r="D167" i="43"/>
  <c r="D167" i="41"/>
  <c r="D167" i="42"/>
  <c r="D149" i="43"/>
  <c r="D149" i="42"/>
  <c r="D149" i="41"/>
  <c r="D277" i="42"/>
  <c r="D277" i="43"/>
  <c r="D277" i="41"/>
  <c r="D380" i="43"/>
  <c r="D380" i="42"/>
  <c r="D380" i="41"/>
  <c r="D330" i="43"/>
  <c r="D330" i="42"/>
  <c r="D330" i="41"/>
  <c r="D351" i="42"/>
  <c r="D351" i="43"/>
  <c r="D351" i="41"/>
  <c r="D370" i="43"/>
  <c r="D370" i="42"/>
  <c r="D370" i="41"/>
  <c r="D155" i="41"/>
  <c r="D155" i="43"/>
  <c r="D155" i="42"/>
  <c r="D152" i="41"/>
  <c r="D152" i="43"/>
  <c r="D152" i="42"/>
  <c r="D283" i="43"/>
  <c r="D283" i="42"/>
  <c r="D283" i="41"/>
  <c r="D364" i="42"/>
  <c r="D364" i="41"/>
  <c r="D364" i="43"/>
  <c r="D187" i="41"/>
  <c r="D187" i="42"/>
  <c r="D187" i="43"/>
  <c r="D237" i="42"/>
  <c r="D237" i="43"/>
  <c r="D237" i="41"/>
  <c r="D273" i="41"/>
  <c r="D273" i="43"/>
  <c r="D273" i="42"/>
  <c r="D217" i="42"/>
  <c r="D217" i="41"/>
  <c r="D217" i="43"/>
  <c r="D158" i="43"/>
  <c r="D158" i="41"/>
  <c r="D158" i="42"/>
  <c r="D161" i="43"/>
  <c r="D161" i="42"/>
  <c r="D161" i="41"/>
  <c r="D17" i="42"/>
  <c r="D17" i="43"/>
  <c r="D17" i="41"/>
  <c r="D351" i="31"/>
  <c r="D362" i="31" s="1"/>
  <c r="D351" i="32"/>
  <c r="D370" i="31"/>
  <c r="Q370" i="31" s="1"/>
  <c r="P370" i="31" s="1"/>
  <c r="D370" i="32"/>
  <c r="D402" i="31"/>
  <c r="Q402" i="31" s="1"/>
  <c r="P402" i="31" s="1"/>
  <c r="D402" i="32"/>
  <c r="D405" i="31"/>
  <c r="D406" i="31" s="1"/>
  <c r="D405" i="32"/>
  <c r="D227" i="31"/>
  <c r="D232" i="31" s="1"/>
  <c r="D227" i="32"/>
  <c r="D155" i="31"/>
  <c r="Q155" i="31" s="1"/>
  <c r="P155" i="31" s="1"/>
  <c r="D155" i="32"/>
  <c r="D152" i="31"/>
  <c r="D153" i="31" s="1"/>
  <c r="D152" i="32"/>
  <c r="D345" i="31"/>
  <c r="D349" i="31" s="1"/>
  <c r="D345" i="32"/>
  <c r="D283" i="31"/>
  <c r="D305" i="31" s="1"/>
  <c r="D283" i="32"/>
  <c r="D364" i="31"/>
  <c r="D366" i="31" s="1"/>
  <c r="D364" i="32"/>
  <c r="D337" i="31"/>
  <c r="Q337" i="31" s="1"/>
  <c r="P337" i="31" s="1"/>
  <c r="D337" i="32"/>
  <c r="D173" i="31"/>
  <c r="D174" i="31" s="1"/>
  <c r="Q174" i="31" s="1"/>
  <c r="P174" i="31" s="1"/>
  <c r="D173" i="32"/>
  <c r="D187" i="31"/>
  <c r="D197" i="31" s="1"/>
  <c r="D187" i="32"/>
  <c r="D100" i="31"/>
  <c r="D116" i="31" s="1"/>
  <c r="Q116" i="31" s="1"/>
  <c r="P116" i="31" s="1"/>
  <c r="D100" i="32"/>
  <c r="D395" i="31"/>
  <c r="D399" i="31" s="1"/>
  <c r="D395" i="32"/>
  <c r="D237" i="31"/>
  <c r="D239" i="31" s="1"/>
  <c r="D237" i="32"/>
  <c r="D149" i="31"/>
  <c r="Q149" i="31" s="1"/>
  <c r="P149" i="31" s="1"/>
  <c r="D149" i="32"/>
  <c r="D167" i="31"/>
  <c r="D170" i="31" s="1"/>
  <c r="S170" i="31" s="1"/>
  <c r="F170" i="31" s="1"/>
  <c r="D167" i="32"/>
  <c r="D273" i="31"/>
  <c r="D275" i="31" s="1"/>
  <c r="D273" i="32"/>
  <c r="D277" i="31"/>
  <c r="D278" i="31" s="1"/>
  <c r="D277" i="32"/>
  <c r="D217" i="31"/>
  <c r="Q217" i="31" s="1"/>
  <c r="P217" i="31" s="1"/>
  <c r="D217" i="32"/>
  <c r="D380" i="31"/>
  <c r="Q380" i="31" s="1"/>
  <c r="P380" i="31" s="1"/>
  <c r="D380" i="32"/>
  <c r="D158" i="31"/>
  <c r="Q158" i="31" s="1"/>
  <c r="P158" i="31" s="1"/>
  <c r="D158" i="32"/>
  <c r="D161" i="31"/>
  <c r="D163" i="31" s="1"/>
  <c r="D161" i="32"/>
  <c r="D17" i="31"/>
  <c r="D75" i="31" s="1"/>
  <c r="D17" i="32"/>
  <c r="D330" i="31"/>
  <c r="D335" i="31" s="1"/>
  <c r="D330" i="32"/>
  <c r="D370" i="7"/>
  <c r="V371" i="7" s="1"/>
  <c r="G371" i="7" s="1"/>
  <c r="D351" i="7"/>
  <c r="D360" i="7" s="1"/>
  <c r="D395" i="7"/>
  <c r="D400" i="7" s="1"/>
  <c r="S400" i="7" s="1"/>
  <c r="D237" i="7"/>
  <c r="V238" i="7" s="1"/>
  <c r="D167" i="7"/>
  <c r="V168" i="7" s="1"/>
  <c r="G168" i="7" s="1"/>
  <c r="G169" i="7" s="1"/>
  <c r="D277" i="7"/>
  <c r="D279" i="7" s="1"/>
  <c r="D217" i="7"/>
  <c r="D225" i="7" s="1"/>
  <c r="S225" i="7" s="1"/>
  <c r="D380" i="7"/>
  <c r="D384" i="7" s="1"/>
  <c r="D158" i="7"/>
  <c r="D159" i="7" s="1"/>
  <c r="S159" i="7" s="1"/>
  <c r="D161" i="7"/>
  <c r="V162" i="7" s="1"/>
  <c r="G162" i="7" s="1"/>
  <c r="G163" i="7" s="1"/>
  <c r="D17" i="7"/>
  <c r="D24" i="7" s="1"/>
  <c r="D330" i="7"/>
  <c r="V331" i="7" s="1"/>
  <c r="G331" i="7" s="1"/>
  <c r="D402" i="7"/>
  <c r="Q402" i="7" s="1"/>
  <c r="P402" i="7" s="1"/>
  <c r="D405" i="7"/>
  <c r="D406" i="7" s="1"/>
  <c r="D227" i="7"/>
  <c r="V228" i="7" s="1"/>
  <c r="G228" i="7" s="1"/>
  <c r="R228" i="7" s="1"/>
  <c r="D155" i="7"/>
  <c r="D156" i="7" s="1"/>
  <c r="S156" i="7" s="1"/>
  <c r="D273" i="7"/>
  <c r="Q273" i="7" s="1"/>
  <c r="P273" i="7" s="1"/>
  <c r="D152" i="7"/>
  <c r="D153" i="7" s="1"/>
  <c r="S153" i="7" s="1"/>
  <c r="D345" i="7"/>
  <c r="D347" i="7" s="1"/>
  <c r="D283" i="7"/>
  <c r="D312" i="7" s="1"/>
  <c r="D364" i="7"/>
  <c r="D365" i="7" s="1"/>
  <c r="D337" i="7"/>
  <c r="V338" i="7" s="1"/>
  <c r="D173" i="7"/>
  <c r="V174" i="7" s="1"/>
  <c r="G174" i="7" s="1"/>
  <c r="G175" i="7" s="1"/>
  <c r="D187" i="7"/>
  <c r="V188" i="7" s="1"/>
  <c r="V210" i="7" s="1"/>
  <c r="D100" i="7"/>
  <c r="S100" i="7" s="1"/>
  <c r="H45" i="10"/>
  <c r="J45" i="10" s="1"/>
  <c r="E162" i="1"/>
  <c r="C162" i="1"/>
  <c r="D149" i="7"/>
  <c r="S269" i="7"/>
  <c r="F269" i="7" s="1"/>
  <c r="V269" i="7" s="1"/>
  <c r="D274" i="31" l="1"/>
  <c r="Q274" i="31" s="1"/>
  <c r="P274" i="31" s="1"/>
  <c r="D357" i="31"/>
  <c r="Q357" i="31" s="1"/>
  <c r="P357" i="31" s="1"/>
  <c r="D403" i="7"/>
  <c r="S403" i="7" s="1"/>
  <c r="F403" i="7" s="1"/>
  <c r="F404" i="7" s="1"/>
  <c r="D189" i="31"/>
  <c r="D407" i="31"/>
  <c r="S407" i="31" s="1"/>
  <c r="D372" i="31"/>
  <c r="Q372" i="31" s="1"/>
  <c r="P372" i="31" s="1"/>
  <c r="D343" i="31"/>
  <c r="D344" i="31" s="1"/>
  <c r="Q344" i="31" s="1"/>
  <c r="P344" i="31" s="1"/>
  <c r="D105" i="31"/>
  <c r="Q105" i="31" s="1"/>
  <c r="P105" i="31" s="1"/>
  <c r="Q395" i="31"/>
  <c r="P395" i="31" s="1"/>
  <c r="D146" i="31"/>
  <c r="D147" i="31" s="1"/>
  <c r="D109" i="31"/>
  <c r="Q109" i="31" s="1"/>
  <c r="P109" i="31" s="1"/>
  <c r="D118" i="31"/>
  <c r="S118" i="31" s="1"/>
  <c r="D368" i="31"/>
  <c r="D369" i="31" s="1"/>
  <c r="Q369" i="31" s="1"/>
  <c r="P369" i="31" s="1"/>
  <c r="D23" i="7"/>
  <c r="S23" i="7" s="1"/>
  <c r="D92" i="7"/>
  <c r="S92" i="7" s="1"/>
  <c r="D96" i="7"/>
  <c r="S96" i="7" s="1"/>
  <c r="D63" i="7"/>
  <c r="S63" i="7" s="1"/>
  <c r="D36" i="7"/>
  <c r="D25" i="7"/>
  <c r="S25" i="7" s="1"/>
  <c r="F25" i="7" s="1"/>
  <c r="H25" i="7" s="1"/>
  <c r="D98" i="7"/>
  <c r="S98" i="7" s="1"/>
  <c r="D26" i="7"/>
  <c r="Q26" i="7" s="1"/>
  <c r="P26" i="7" s="1"/>
  <c r="D54" i="7"/>
  <c r="Q54" i="7" s="1"/>
  <c r="P54" i="7" s="1"/>
  <c r="D29" i="7"/>
  <c r="S29" i="7" s="1"/>
  <c r="F29" i="7" s="1"/>
  <c r="H29" i="7" s="1"/>
  <c r="D79" i="7"/>
  <c r="D74" i="7"/>
  <c r="Q74" i="7" s="1"/>
  <c r="P74" i="7" s="1"/>
  <c r="D66" i="7"/>
  <c r="S66" i="7" s="1"/>
  <c r="D56" i="7"/>
  <c r="S56" i="7" s="1"/>
  <c r="D94" i="7"/>
  <c r="Q94" i="7" s="1"/>
  <c r="P94" i="7" s="1"/>
  <c r="D286" i="31"/>
  <c r="S286" i="31" s="1"/>
  <c r="F286" i="31" s="1"/>
  <c r="D165" i="7"/>
  <c r="S165" i="7" s="1"/>
  <c r="D168" i="31"/>
  <c r="S168" i="31" s="1"/>
  <c r="F168" i="31" s="1"/>
  <c r="Q168" i="31" s="1"/>
  <c r="P168" i="31" s="1"/>
  <c r="D383" i="7"/>
  <c r="S383" i="7" s="1"/>
  <c r="D238" i="31"/>
  <c r="S238" i="31" s="1"/>
  <c r="F238" i="31" s="1"/>
  <c r="D67" i="31"/>
  <c r="S67" i="31" s="1"/>
  <c r="D92" i="31"/>
  <c r="D383" i="31"/>
  <c r="D331" i="31"/>
  <c r="Q331" i="31" s="1"/>
  <c r="P331" i="31" s="1"/>
  <c r="D387" i="31"/>
  <c r="Q387" i="31" s="1"/>
  <c r="P387" i="31" s="1"/>
  <c r="V168" i="31"/>
  <c r="G168" i="31" s="1"/>
  <c r="D132" i="31"/>
  <c r="Q132" i="31" s="1"/>
  <c r="P132" i="31" s="1"/>
  <c r="D138" i="31"/>
  <c r="Q138" i="31" s="1"/>
  <c r="P138" i="31" s="1"/>
  <c r="D127" i="31"/>
  <c r="Q127" i="31" s="1"/>
  <c r="P127" i="31" s="1"/>
  <c r="D130" i="31"/>
  <c r="Q130" i="31" s="1"/>
  <c r="P130" i="31" s="1"/>
  <c r="D367" i="31"/>
  <c r="S367" i="31" s="1"/>
  <c r="D374" i="31"/>
  <c r="S374" i="31" s="1"/>
  <c r="D333" i="31"/>
  <c r="S333" i="31" s="1"/>
  <c r="D384" i="31"/>
  <c r="Q384" i="31" s="1"/>
  <c r="P384" i="31" s="1"/>
  <c r="D391" i="31"/>
  <c r="Q391" i="31" s="1"/>
  <c r="P391" i="31" s="1"/>
  <c r="Q167" i="31"/>
  <c r="P167" i="31" s="1"/>
  <c r="D119" i="31"/>
  <c r="S119" i="31" s="1"/>
  <c r="D104" i="31"/>
  <c r="Q104" i="31" s="1"/>
  <c r="P104" i="31" s="1"/>
  <c r="D114" i="31"/>
  <c r="D115" i="31" s="1"/>
  <c r="Q115" i="31" s="1"/>
  <c r="P115" i="31" s="1"/>
  <c r="D142" i="31"/>
  <c r="Q142" i="31" s="1"/>
  <c r="P142" i="31" s="1"/>
  <c r="D378" i="31"/>
  <c r="D379" i="31" s="1"/>
  <c r="Q379" i="31" s="1"/>
  <c r="P379" i="31" s="1"/>
  <c r="Q330" i="31"/>
  <c r="P330" i="31" s="1"/>
  <c r="D388" i="31"/>
  <c r="Q388" i="31" s="1"/>
  <c r="P388" i="31" s="1"/>
  <c r="D381" i="31"/>
  <c r="Q381" i="31" s="1"/>
  <c r="P381" i="31" s="1"/>
  <c r="D171" i="31"/>
  <c r="D172" i="31" s="1"/>
  <c r="D112" i="31"/>
  <c r="Q112" i="31" s="1"/>
  <c r="P112" i="31" s="1"/>
  <c r="D110" i="31"/>
  <c r="D111" i="31" s="1"/>
  <c r="Q111" i="31" s="1"/>
  <c r="P111" i="31" s="1"/>
  <c r="D139" i="31"/>
  <c r="Q139" i="31" s="1"/>
  <c r="P139" i="31" s="1"/>
  <c r="D102" i="31"/>
  <c r="D103" i="31" s="1"/>
  <c r="D156" i="31"/>
  <c r="S156" i="31" s="1"/>
  <c r="D375" i="31"/>
  <c r="S375" i="31" s="1"/>
  <c r="D332" i="31"/>
  <c r="S332" i="31" s="1"/>
  <c r="D392" i="31"/>
  <c r="Q392" i="31" s="1"/>
  <c r="P392" i="31" s="1"/>
  <c r="D385" i="31"/>
  <c r="S385" i="31" s="1"/>
  <c r="D133" i="31"/>
  <c r="Q133" i="31" s="1"/>
  <c r="P133" i="31" s="1"/>
  <c r="D136" i="31"/>
  <c r="D137" i="31" s="1"/>
  <c r="Q137" i="31" s="1"/>
  <c r="P137" i="31" s="1"/>
  <c r="D143" i="31"/>
  <c r="Q143" i="31" s="1"/>
  <c r="P143" i="31" s="1"/>
  <c r="S100" i="31"/>
  <c r="D371" i="31"/>
  <c r="S371" i="31" s="1"/>
  <c r="F371" i="31" s="1"/>
  <c r="D334" i="31"/>
  <c r="S334" i="31" s="1"/>
  <c r="D382" i="31"/>
  <c r="Q382" i="31" s="1"/>
  <c r="P382" i="31" s="1"/>
  <c r="D389" i="31"/>
  <c r="Q389" i="31" s="1"/>
  <c r="P389" i="31" s="1"/>
  <c r="D121" i="31"/>
  <c r="D122" i="31" s="1"/>
  <c r="D140" i="31"/>
  <c r="Q140" i="31" s="1"/>
  <c r="P140" i="31" s="1"/>
  <c r="D123" i="31"/>
  <c r="Q123" i="31" s="1"/>
  <c r="P123" i="31" s="1"/>
  <c r="D373" i="31"/>
  <c r="V331" i="31"/>
  <c r="G331" i="31" s="1"/>
  <c r="D386" i="31"/>
  <c r="Q386" i="31" s="1"/>
  <c r="P386" i="31" s="1"/>
  <c r="D393" i="31"/>
  <c r="D394" i="31" s="1"/>
  <c r="Q394" i="31" s="1"/>
  <c r="P394" i="31" s="1"/>
  <c r="D101" i="31"/>
  <c r="S101" i="31" s="1"/>
  <c r="F101" i="31" s="1"/>
  <c r="Q101" i="31" s="1"/>
  <c r="P101" i="31" s="1"/>
  <c r="D131" i="31"/>
  <c r="Q131" i="31" s="1"/>
  <c r="P131" i="31" s="1"/>
  <c r="D117" i="31"/>
  <c r="S117" i="31" s="1"/>
  <c r="F117" i="31" s="1"/>
  <c r="Q117" i="31" s="1"/>
  <c r="P117" i="31" s="1"/>
  <c r="D376" i="31"/>
  <c r="Q376" i="31" s="1"/>
  <c r="P376" i="31" s="1"/>
  <c r="D390" i="31"/>
  <c r="S390" i="31" s="1"/>
  <c r="D125" i="31"/>
  <c r="Q125" i="31" s="1"/>
  <c r="P125" i="31" s="1"/>
  <c r="D113" i="31"/>
  <c r="Q113" i="31" s="1"/>
  <c r="P113" i="31" s="1"/>
  <c r="D128" i="31"/>
  <c r="Q128" i="31" s="1"/>
  <c r="P128" i="31" s="1"/>
  <c r="D126" i="31"/>
  <c r="Q126" i="31" s="1"/>
  <c r="P126" i="31" s="1"/>
  <c r="Q364" i="31"/>
  <c r="P364" i="31" s="1"/>
  <c r="D377" i="31"/>
  <c r="Q377" i="31" s="1"/>
  <c r="P377" i="31" s="1"/>
  <c r="D238" i="7"/>
  <c r="S238" i="7" s="1"/>
  <c r="F238" i="7" s="1"/>
  <c r="Q238" i="7" s="1"/>
  <c r="P238" i="7" s="1"/>
  <c r="D239" i="7"/>
  <c r="S239" i="7" s="1"/>
  <c r="Q237" i="7"/>
  <c r="P237" i="7" s="1"/>
  <c r="D53" i="31"/>
  <c r="S53" i="31" s="1"/>
  <c r="D76" i="31"/>
  <c r="Q76" i="31" s="1"/>
  <c r="P76" i="31" s="1"/>
  <c r="D211" i="31"/>
  <c r="Q211" i="31" s="1"/>
  <c r="P211" i="31" s="1"/>
  <c r="D315" i="31"/>
  <c r="Q315" i="31" s="1"/>
  <c r="P315" i="31" s="1"/>
  <c r="V228" i="31"/>
  <c r="G228" i="31" s="1"/>
  <c r="Q167" i="7"/>
  <c r="P167" i="7" s="1"/>
  <c r="D37" i="31"/>
  <c r="S37" i="31" s="1"/>
  <c r="D98" i="31"/>
  <c r="D99" i="31" s="1"/>
  <c r="Q99" i="31" s="1"/>
  <c r="P99" i="31" s="1"/>
  <c r="D206" i="31"/>
  <c r="D297" i="31"/>
  <c r="Q297" i="31" s="1"/>
  <c r="P297" i="31" s="1"/>
  <c r="D228" i="31"/>
  <c r="Q228" i="31" s="1"/>
  <c r="P228" i="31" s="1"/>
  <c r="D24" i="31"/>
  <c r="S24" i="31" s="1"/>
  <c r="D93" i="31"/>
  <c r="Q93" i="31" s="1"/>
  <c r="P93" i="31" s="1"/>
  <c r="D313" i="31"/>
  <c r="Q313" i="31" s="1"/>
  <c r="P313" i="31" s="1"/>
  <c r="Q364" i="7"/>
  <c r="P364" i="7" s="1"/>
  <c r="D71" i="31"/>
  <c r="S71" i="31" s="1"/>
  <c r="D42" i="31"/>
  <c r="S42" i="31" s="1"/>
  <c r="F42" i="31" s="1"/>
  <c r="Q42" i="31" s="1"/>
  <c r="P42" i="31" s="1"/>
  <c r="D61" i="31"/>
  <c r="S61" i="31" s="1"/>
  <c r="D150" i="31"/>
  <c r="S150" i="31" s="1"/>
  <c r="D304" i="31"/>
  <c r="S304" i="31" s="1"/>
  <c r="F304" i="31" s="1"/>
  <c r="D78" i="31"/>
  <c r="Q78" i="31" s="1"/>
  <c r="P78" i="31" s="1"/>
  <c r="Q17" i="31"/>
  <c r="P17" i="31" s="1"/>
  <c r="D51" i="31"/>
  <c r="Q51" i="31" s="1"/>
  <c r="P51" i="31" s="1"/>
  <c r="D325" i="31"/>
  <c r="S325" i="31" s="1"/>
  <c r="F325" i="31" s="1"/>
  <c r="D50" i="31"/>
  <c r="Q50" i="31" s="1"/>
  <c r="P50" i="31" s="1"/>
  <c r="D80" i="31"/>
  <c r="Q80" i="31" s="1"/>
  <c r="P80" i="31" s="1"/>
  <c r="D36" i="31"/>
  <c r="Q36" i="31" s="1"/>
  <c r="P36" i="31" s="1"/>
  <c r="D221" i="31"/>
  <c r="Q221" i="31" s="1"/>
  <c r="P221" i="31" s="1"/>
  <c r="D293" i="31"/>
  <c r="S293" i="31" s="1"/>
  <c r="F293" i="31" s="1"/>
  <c r="D28" i="31"/>
  <c r="D68" i="31"/>
  <c r="Q68" i="31" s="1"/>
  <c r="P68" i="31" s="1"/>
  <c r="D26" i="31"/>
  <c r="Q26" i="31" s="1"/>
  <c r="P26" i="31" s="1"/>
  <c r="D225" i="31"/>
  <c r="Q225" i="31" s="1"/>
  <c r="P225" i="31" s="1"/>
  <c r="D352" i="31"/>
  <c r="S352" i="31" s="1"/>
  <c r="D207" i="31"/>
  <c r="D327" i="31"/>
  <c r="Q327" i="31" s="1"/>
  <c r="P327" i="31" s="1"/>
  <c r="D222" i="7"/>
  <c r="S222" i="7" s="1"/>
  <c r="D169" i="31"/>
  <c r="D221" i="7"/>
  <c r="D281" i="31"/>
  <c r="D282" i="31" s="1"/>
  <c r="Q282" i="31" s="1"/>
  <c r="P282" i="31" s="1"/>
  <c r="D346" i="31"/>
  <c r="Q346" i="31" s="1"/>
  <c r="P346" i="31" s="1"/>
  <c r="D232" i="7"/>
  <c r="S232" i="7" s="1"/>
  <c r="V174" i="31"/>
  <c r="V186" i="31" s="1"/>
  <c r="D280" i="7"/>
  <c r="S280" i="7" s="1"/>
  <c r="D407" i="7"/>
  <c r="S407" i="7" s="1"/>
  <c r="D397" i="31"/>
  <c r="Q397" i="31" s="1"/>
  <c r="P397" i="31" s="1"/>
  <c r="D341" i="31"/>
  <c r="Q341" i="31" s="1"/>
  <c r="P341" i="31" s="1"/>
  <c r="Q152" i="31"/>
  <c r="P152" i="31" s="1"/>
  <c r="D338" i="31"/>
  <c r="Q338" i="31" s="1"/>
  <c r="P338" i="31" s="1"/>
  <c r="D340" i="31"/>
  <c r="Q340" i="31" s="1"/>
  <c r="P340" i="31" s="1"/>
  <c r="D388" i="7"/>
  <c r="Q388" i="7" s="1"/>
  <c r="P388" i="7" s="1"/>
  <c r="D159" i="31"/>
  <c r="Q159" i="31" s="1"/>
  <c r="P159" i="31" s="1"/>
  <c r="D342" i="31"/>
  <c r="S342" i="31" s="1"/>
  <c r="D400" i="31"/>
  <c r="D401" i="31" s="1"/>
  <c r="Q401" i="31" s="1"/>
  <c r="P401" i="31" s="1"/>
  <c r="V338" i="31"/>
  <c r="D396" i="31"/>
  <c r="S396" i="31" s="1"/>
  <c r="D398" i="31"/>
  <c r="D162" i="31"/>
  <c r="S162" i="31" s="1"/>
  <c r="F162" i="31" s="1"/>
  <c r="D279" i="31"/>
  <c r="Q279" i="31" s="1"/>
  <c r="P279" i="31" s="1"/>
  <c r="V238" i="31"/>
  <c r="G238" i="31" s="1"/>
  <c r="D185" i="31"/>
  <c r="Q185" i="31" s="1"/>
  <c r="P185" i="31" s="1"/>
  <c r="Q345" i="31"/>
  <c r="P345" i="31" s="1"/>
  <c r="D408" i="31"/>
  <c r="Q408" i="31" s="1"/>
  <c r="P408" i="31" s="1"/>
  <c r="D164" i="31"/>
  <c r="S164" i="31" s="1"/>
  <c r="F164" i="31" s="1"/>
  <c r="D280" i="31"/>
  <c r="S280" i="31" s="1"/>
  <c r="Q237" i="31"/>
  <c r="P237" i="31" s="1"/>
  <c r="D180" i="31"/>
  <c r="Q180" i="31" s="1"/>
  <c r="P180" i="31" s="1"/>
  <c r="D175" i="31"/>
  <c r="Q175" i="31" s="1"/>
  <c r="P175" i="31" s="1"/>
  <c r="D183" i="31"/>
  <c r="Q183" i="31" s="1"/>
  <c r="P183" i="31" s="1"/>
  <c r="V162" i="31"/>
  <c r="G162" i="31" s="1"/>
  <c r="D177" i="31"/>
  <c r="D178" i="31" s="1"/>
  <c r="D184" i="31"/>
  <c r="Q184" i="31" s="1"/>
  <c r="P184" i="31" s="1"/>
  <c r="D168" i="7"/>
  <c r="S168" i="7" s="1"/>
  <c r="F168" i="7" s="1"/>
  <c r="Q168" i="7" s="1"/>
  <c r="P168" i="7" s="1"/>
  <c r="D165" i="31"/>
  <c r="D166" i="31" s="1"/>
  <c r="D181" i="31"/>
  <c r="Q181" i="31" s="1"/>
  <c r="P181" i="31" s="1"/>
  <c r="D374" i="7"/>
  <c r="S374" i="7" s="1"/>
  <c r="D171" i="7"/>
  <c r="S171" i="7" s="1"/>
  <c r="Q161" i="31"/>
  <c r="P161" i="31" s="1"/>
  <c r="Q277" i="31"/>
  <c r="P277" i="31" s="1"/>
  <c r="D179" i="31"/>
  <c r="Q179" i="31" s="1"/>
  <c r="P179" i="31" s="1"/>
  <c r="D347" i="31"/>
  <c r="Q347" i="31" s="1"/>
  <c r="P347" i="31" s="1"/>
  <c r="D176" i="31"/>
  <c r="Q176" i="31" s="1"/>
  <c r="P176" i="31" s="1"/>
  <c r="D348" i="31"/>
  <c r="S348" i="31" s="1"/>
  <c r="D409" i="31"/>
  <c r="S409" i="31" s="1"/>
  <c r="D123" i="7"/>
  <c r="S123" i="7" s="1"/>
  <c r="D146" i="7"/>
  <c r="D147" i="7" s="1"/>
  <c r="S147" i="7" s="1"/>
  <c r="D117" i="7"/>
  <c r="S117" i="7" s="1"/>
  <c r="F117" i="7" s="1"/>
  <c r="H117" i="7" s="1"/>
  <c r="D134" i="7"/>
  <c r="Q134" i="7" s="1"/>
  <c r="P134" i="7" s="1"/>
  <c r="D367" i="7"/>
  <c r="D119" i="7"/>
  <c r="S119" i="7" s="1"/>
  <c r="D371" i="7"/>
  <c r="S371" i="7" s="1"/>
  <c r="F371" i="7" s="1"/>
  <c r="Q371" i="7" s="1"/>
  <c r="P371" i="7" s="1"/>
  <c r="Q158" i="7"/>
  <c r="P158" i="7" s="1"/>
  <c r="D391" i="7"/>
  <c r="Q391" i="7" s="1"/>
  <c r="P391" i="7" s="1"/>
  <c r="D131" i="7"/>
  <c r="S131" i="7" s="1"/>
  <c r="D105" i="7"/>
  <c r="D110" i="7"/>
  <c r="D62" i="31"/>
  <c r="S62" i="31" s="1"/>
  <c r="F62" i="31" s="1"/>
  <c r="F63" i="31" s="1"/>
  <c r="H63" i="31" s="1"/>
  <c r="D29" i="31"/>
  <c r="S29" i="31" s="1"/>
  <c r="F29" i="31" s="1"/>
  <c r="D52" i="31"/>
  <c r="Q52" i="31" s="1"/>
  <c r="P52" i="31" s="1"/>
  <c r="D58" i="31"/>
  <c r="Q58" i="31" s="1"/>
  <c r="P58" i="31" s="1"/>
  <c r="D60" i="31"/>
  <c r="Q60" i="31" s="1"/>
  <c r="P60" i="31" s="1"/>
  <c r="D41" i="31"/>
  <c r="Q41" i="31" s="1"/>
  <c r="P41" i="31" s="1"/>
  <c r="D69" i="31"/>
  <c r="Q69" i="31" s="1"/>
  <c r="P69" i="31" s="1"/>
  <c r="D88" i="31"/>
  <c r="Q88" i="31" s="1"/>
  <c r="P88" i="31" s="1"/>
  <c r="D45" i="31"/>
  <c r="S45" i="31" s="1"/>
  <c r="D20" i="31"/>
  <c r="S20" i="31" s="1"/>
  <c r="D224" i="31"/>
  <c r="Q224" i="31" s="1"/>
  <c r="P224" i="31" s="1"/>
  <c r="D361" i="31"/>
  <c r="Q361" i="31" s="1"/>
  <c r="P361" i="31" s="1"/>
  <c r="D205" i="31"/>
  <c r="D209" i="31"/>
  <c r="D210" i="31" s="1"/>
  <c r="D298" i="31"/>
  <c r="S298" i="31" s="1"/>
  <c r="F298" i="31" s="1"/>
  <c r="V298" i="31" s="1"/>
  <c r="G298" i="31" s="1"/>
  <c r="D312" i="31"/>
  <c r="S312" i="31" s="1"/>
  <c r="F312" i="31" s="1"/>
  <c r="D294" i="31"/>
  <c r="S294" i="31" s="1"/>
  <c r="F294" i="31" s="1"/>
  <c r="D307" i="31"/>
  <c r="Q307" i="31" s="1"/>
  <c r="P307" i="31" s="1"/>
  <c r="D290" i="31"/>
  <c r="Q290" i="31" s="1"/>
  <c r="P290" i="31" s="1"/>
  <c r="D393" i="7"/>
  <c r="S393" i="7" s="1"/>
  <c r="D128" i="7"/>
  <c r="S128" i="7" s="1"/>
  <c r="D112" i="7"/>
  <c r="Q112" i="7" s="1"/>
  <c r="P112" i="7" s="1"/>
  <c r="D106" i="7"/>
  <c r="D86" i="31"/>
  <c r="Q86" i="31" s="1"/>
  <c r="P86" i="31" s="1"/>
  <c r="D94" i="31"/>
  <c r="Q94" i="31" s="1"/>
  <c r="P94" i="31" s="1"/>
  <c r="D89" i="31"/>
  <c r="Q89" i="31" s="1"/>
  <c r="P89" i="31" s="1"/>
  <c r="D95" i="31"/>
  <c r="Q95" i="31" s="1"/>
  <c r="P95" i="31" s="1"/>
  <c r="D54" i="31"/>
  <c r="S54" i="31" s="1"/>
  <c r="D34" i="31"/>
  <c r="D57" i="31"/>
  <c r="Q57" i="31" s="1"/>
  <c r="P57" i="31" s="1"/>
  <c r="D84" i="31"/>
  <c r="Q84" i="31" s="1"/>
  <c r="P84" i="31" s="1"/>
  <c r="D31" i="31"/>
  <c r="Q31" i="31" s="1"/>
  <c r="P31" i="31" s="1"/>
  <c r="D22" i="31"/>
  <c r="S22" i="31" s="1"/>
  <c r="D222" i="31"/>
  <c r="Q222" i="31" s="1"/>
  <c r="P222" i="31" s="1"/>
  <c r="D355" i="31"/>
  <c r="Q355" i="31" s="1"/>
  <c r="P355" i="31" s="1"/>
  <c r="Q351" i="31"/>
  <c r="P351" i="31" s="1"/>
  <c r="D215" i="31"/>
  <c r="Q215" i="31" s="1"/>
  <c r="P215" i="31" s="1"/>
  <c r="D192" i="31"/>
  <c r="S192" i="31" s="1"/>
  <c r="D295" i="31"/>
  <c r="D285" i="31"/>
  <c r="S285" i="31" s="1"/>
  <c r="F285" i="31" s="1"/>
  <c r="D318" i="31"/>
  <c r="Q318" i="31" s="1"/>
  <c r="P318" i="31" s="1"/>
  <c r="D288" i="31"/>
  <c r="S288" i="31" s="1"/>
  <c r="F288" i="31" s="1"/>
  <c r="D300" i="31"/>
  <c r="S300" i="31" s="1"/>
  <c r="F300" i="31" s="1"/>
  <c r="D372" i="7"/>
  <c r="S372" i="7" s="1"/>
  <c r="D382" i="7"/>
  <c r="Q382" i="7" s="1"/>
  <c r="P382" i="7" s="1"/>
  <c r="D102" i="7"/>
  <c r="S102" i="7" s="1"/>
  <c r="D125" i="7"/>
  <c r="D136" i="7"/>
  <c r="S136" i="7" s="1"/>
  <c r="D65" i="31"/>
  <c r="S65" i="31" s="1"/>
  <c r="F66" i="31" s="1"/>
  <c r="H66" i="31" s="1"/>
  <c r="D85" i="31"/>
  <c r="Q85" i="31" s="1"/>
  <c r="P85" i="31" s="1"/>
  <c r="D39" i="31"/>
  <c r="Q39" i="31" s="1"/>
  <c r="P39" i="31" s="1"/>
  <c r="D74" i="31"/>
  <c r="S74" i="31" s="1"/>
  <c r="D33" i="31"/>
  <c r="S33" i="31" s="1"/>
  <c r="F33" i="31" s="1"/>
  <c r="H33" i="31" s="1"/>
  <c r="D66" i="31"/>
  <c r="S66" i="31" s="1"/>
  <c r="D32" i="31"/>
  <c r="S32" i="31" s="1"/>
  <c r="D73" i="31"/>
  <c r="Q73" i="31" s="1"/>
  <c r="P73" i="31" s="1"/>
  <c r="D97" i="31"/>
  <c r="S97" i="31" s="1"/>
  <c r="D18" i="31"/>
  <c r="S18" i="31" s="1"/>
  <c r="F18" i="31" s="1"/>
  <c r="Q18" i="31" s="1"/>
  <c r="P18" i="31" s="1"/>
  <c r="V218" i="31"/>
  <c r="G218" i="31" s="1"/>
  <c r="D359" i="31"/>
  <c r="Q359" i="31" s="1"/>
  <c r="P359" i="31" s="1"/>
  <c r="D356" i="31"/>
  <c r="S356" i="31" s="1"/>
  <c r="D199" i="31"/>
  <c r="D204" i="31"/>
  <c r="S204" i="31" s="1"/>
  <c r="D296" i="31"/>
  <c r="Q296" i="31" s="1"/>
  <c r="P296" i="31" s="1"/>
  <c r="D314" i="31"/>
  <c r="D324" i="31"/>
  <c r="S324" i="31" s="1"/>
  <c r="F324" i="31" s="1"/>
  <c r="D316" i="31"/>
  <c r="S316" i="31" s="1"/>
  <c r="F316" i="31" s="1"/>
  <c r="D320" i="31"/>
  <c r="S320" i="31" s="1"/>
  <c r="F320" i="31" s="1"/>
  <c r="D235" i="31"/>
  <c r="D236" i="31" s="1"/>
  <c r="Q236" i="31" s="1"/>
  <c r="P236" i="31" s="1"/>
  <c r="D116" i="7"/>
  <c r="Q116" i="7" s="1"/>
  <c r="P116" i="7" s="1"/>
  <c r="D211" i="7"/>
  <c r="Q211" i="7" s="1"/>
  <c r="P211" i="7" s="1"/>
  <c r="D376" i="7"/>
  <c r="S376" i="7" s="1"/>
  <c r="Q370" i="7"/>
  <c r="P370" i="7" s="1"/>
  <c r="D385" i="7"/>
  <c r="Q385" i="7" s="1"/>
  <c r="P385" i="7" s="1"/>
  <c r="D139" i="7"/>
  <c r="D126" i="7"/>
  <c r="D108" i="7"/>
  <c r="Q108" i="7" s="1"/>
  <c r="P108" i="7" s="1"/>
  <c r="D38" i="31"/>
  <c r="Q38" i="31" s="1"/>
  <c r="P38" i="31" s="1"/>
  <c r="D64" i="31"/>
  <c r="Q64" i="31" s="1"/>
  <c r="P64" i="31" s="1"/>
  <c r="D47" i="31"/>
  <c r="S47" i="31" s="1"/>
  <c r="D90" i="31"/>
  <c r="Q90" i="31" s="1"/>
  <c r="P90" i="31" s="1"/>
  <c r="D96" i="31"/>
  <c r="S96" i="31" s="1"/>
  <c r="D59" i="31"/>
  <c r="D63" i="31"/>
  <c r="S63" i="31" s="1"/>
  <c r="D35" i="31"/>
  <c r="S35" i="31" s="1"/>
  <c r="F35" i="31" s="1"/>
  <c r="H35" i="31" s="1"/>
  <c r="D81" i="31"/>
  <c r="S81" i="31" s="1"/>
  <c r="D21" i="31"/>
  <c r="S21" i="31" s="1"/>
  <c r="F21" i="31" s="1"/>
  <c r="H21" i="31" s="1"/>
  <c r="D219" i="31"/>
  <c r="Q219" i="31" s="1"/>
  <c r="P219" i="31" s="1"/>
  <c r="D354" i="31"/>
  <c r="Q354" i="31" s="1"/>
  <c r="P354" i="31" s="1"/>
  <c r="D360" i="31"/>
  <c r="S360" i="31" s="1"/>
  <c r="V188" i="31"/>
  <c r="D214" i="31"/>
  <c r="Q214" i="31" s="1"/>
  <c r="P214" i="31" s="1"/>
  <c r="D194" i="31"/>
  <c r="S194" i="31" s="1"/>
  <c r="D317" i="31"/>
  <c r="S317" i="31" s="1"/>
  <c r="F317" i="31" s="1"/>
  <c r="D328" i="31"/>
  <c r="D329" i="31" s="1"/>
  <c r="Q329" i="31" s="1"/>
  <c r="P329" i="31" s="1"/>
  <c r="D292" i="31"/>
  <c r="Q292" i="31" s="1"/>
  <c r="P292" i="31" s="1"/>
  <c r="D303" i="31"/>
  <c r="S303" i="31" s="1"/>
  <c r="F303" i="31" s="1"/>
  <c r="D231" i="31"/>
  <c r="Q231" i="31" s="1"/>
  <c r="P231" i="31" s="1"/>
  <c r="D127" i="7"/>
  <c r="Q127" i="7" s="1"/>
  <c r="P127" i="7" s="1"/>
  <c r="D373" i="7"/>
  <c r="S373" i="7" s="1"/>
  <c r="D381" i="7"/>
  <c r="Q381" i="7" s="1"/>
  <c r="P381" i="7" s="1"/>
  <c r="D275" i="7"/>
  <c r="S275" i="7" s="1"/>
  <c r="D118" i="7"/>
  <c r="S118" i="7" s="1"/>
  <c r="D142" i="7"/>
  <c r="Q142" i="7" s="1"/>
  <c r="P142" i="7" s="1"/>
  <c r="Q100" i="7"/>
  <c r="P100" i="7" s="1"/>
  <c r="D25" i="31"/>
  <c r="S25" i="31" s="1"/>
  <c r="F25" i="31" s="1"/>
  <c r="H25" i="31" s="1"/>
  <c r="D56" i="31"/>
  <c r="D72" i="31"/>
  <c r="S72" i="31" s="1"/>
  <c r="F72" i="31" s="1"/>
  <c r="H72" i="31" s="1"/>
  <c r="D79" i="31"/>
  <c r="Q79" i="31" s="1"/>
  <c r="P79" i="31" s="1"/>
  <c r="D91" i="31"/>
  <c r="S91" i="31" s="1"/>
  <c r="D49" i="31"/>
  <c r="S49" i="31" s="1"/>
  <c r="D55" i="31"/>
  <c r="S55" i="31" s="1"/>
  <c r="D27" i="31"/>
  <c r="S27" i="31" s="1"/>
  <c r="D48" i="31"/>
  <c r="S48" i="31" s="1"/>
  <c r="F49" i="31" s="1"/>
  <c r="H49" i="31" s="1"/>
  <c r="D23" i="31"/>
  <c r="S23" i="31" s="1"/>
  <c r="F23" i="31" s="1"/>
  <c r="H23" i="31" s="1"/>
  <c r="D218" i="31"/>
  <c r="S218" i="31" s="1"/>
  <c r="F218" i="31" s="1"/>
  <c r="D358" i="31"/>
  <c r="Q358" i="31" s="1"/>
  <c r="P358" i="31" s="1"/>
  <c r="D353" i="31"/>
  <c r="Q353" i="31" s="1"/>
  <c r="P353" i="31" s="1"/>
  <c r="D200" i="31"/>
  <c r="Q200" i="31" s="1"/>
  <c r="P200" i="31" s="1"/>
  <c r="D193" i="31"/>
  <c r="D190" i="31"/>
  <c r="S190" i="31" s="1"/>
  <c r="D326" i="31"/>
  <c r="S326" i="31" s="1"/>
  <c r="F326" i="31" s="1"/>
  <c r="D302" i="31"/>
  <c r="D306" i="31"/>
  <c r="Q306" i="31" s="1"/>
  <c r="P306" i="31" s="1"/>
  <c r="D322" i="31"/>
  <c r="S322" i="31" s="1"/>
  <c r="F322" i="31" s="1"/>
  <c r="Q227" i="31"/>
  <c r="P227" i="31" s="1"/>
  <c r="D375" i="7"/>
  <c r="Q375" i="7" s="1"/>
  <c r="P375" i="7" s="1"/>
  <c r="Q380" i="7"/>
  <c r="P380" i="7" s="1"/>
  <c r="D274" i="7"/>
  <c r="S274" i="7" s="1"/>
  <c r="F274" i="7" s="1"/>
  <c r="D124" i="7"/>
  <c r="D113" i="7"/>
  <c r="S113" i="7" s="1"/>
  <c r="F113" i="7" s="1"/>
  <c r="Q113" i="7" s="1"/>
  <c r="P113" i="7" s="1"/>
  <c r="D132" i="7"/>
  <c r="Q132" i="7" s="1"/>
  <c r="P132" i="7" s="1"/>
  <c r="Q155" i="7"/>
  <c r="P155" i="7" s="1"/>
  <c r="D83" i="31"/>
  <c r="S83" i="31" s="1"/>
  <c r="D82" i="31"/>
  <c r="Q82" i="31" s="1"/>
  <c r="P82" i="31" s="1"/>
  <c r="D46" i="31"/>
  <c r="Q46" i="31" s="1"/>
  <c r="P46" i="31" s="1"/>
  <c r="D30" i="31"/>
  <c r="S30" i="31" s="1"/>
  <c r="D87" i="31"/>
  <c r="Q87" i="31" s="1"/>
  <c r="P87" i="31" s="1"/>
  <c r="D43" i="31"/>
  <c r="S43" i="31" s="1"/>
  <c r="D19" i="31"/>
  <c r="S19" i="31" s="1"/>
  <c r="D70" i="31"/>
  <c r="S70" i="31" s="1"/>
  <c r="D44" i="31"/>
  <c r="S44" i="31" s="1"/>
  <c r="F44" i="31" s="1"/>
  <c r="Q44" i="31" s="1"/>
  <c r="P44" i="31" s="1"/>
  <c r="D201" i="31"/>
  <c r="D202" i="31" s="1"/>
  <c r="D188" i="31"/>
  <c r="S188" i="31" s="1"/>
  <c r="F188" i="31" s="1"/>
  <c r="Q187" i="31" s="1"/>
  <c r="P187" i="31" s="1"/>
  <c r="D208" i="31"/>
  <c r="S208" i="31" s="1"/>
  <c r="Q283" i="31"/>
  <c r="P283" i="31" s="1"/>
  <c r="D299" i="31"/>
  <c r="S299" i="31" s="1"/>
  <c r="F299" i="31" s="1"/>
  <c r="D323" i="31"/>
  <c r="Q323" i="31" s="1"/>
  <c r="P323" i="31" s="1"/>
  <c r="D319" i="31"/>
  <c r="Q319" i="31" s="1"/>
  <c r="P319" i="31" s="1"/>
  <c r="D234" i="31"/>
  <c r="Q234" i="31" s="1"/>
  <c r="P234" i="31" s="1"/>
  <c r="D197" i="7"/>
  <c r="D284" i="7"/>
  <c r="S284" i="7" s="1"/>
  <c r="D194" i="7"/>
  <c r="S194" i="7" s="1"/>
  <c r="D333" i="7"/>
  <c r="S333" i="7" s="1"/>
  <c r="D181" i="7"/>
  <c r="S181" i="7" s="1"/>
  <c r="D208" i="7"/>
  <c r="S208" i="7" s="1"/>
  <c r="D307" i="7"/>
  <c r="S307" i="7" s="1"/>
  <c r="D205" i="7"/>
  <c r="D322" i="7"/>
  <c r="S322" i="7" s="1"/>
  <c r="D189" i="7"/>
  <c r="D338" i="7"/>
  <c r="Q338" i="7" s="1"/>
  <c r="P338" i="7" s="1"/>
  <c r="D304" i="7"/>
  <c r="S304" i="7" s="1"/>
  <c r="D206" i="7"/>
  <c r="D313" i="7"/>
  <c r="S313" i="7" s="1"/>
  <c r="D212" i="7"/>
  <c r="S212" i="7" s="1"/>
  <c r="F212" i="7" s="1"/>
  <c r="H212" i="7" s="1"/>
  <c r="D321" i="7"/>
  <c r="S321" i="7" s="1"/>
  <c r="D343" i="7"/>
  <c r="D324" i="7"/>
  <c r="S324" i="7" s="1"/>
  <c r="D301" i="7"/>
  <c r="S301" i="7" s="1"/>
  <c r="D191" i="7"/>
  <c r="D185" i="7"/>
  <c r="S185" i="7" s="1"/>
  <c r="D299" i="7"/>
  <c r="S299" i="7" s="1"/>
  <c r="D298" i="7"/>
  <c r="S298" i="7" s="1"/>
  <c r="D215" i="7"/>
  <c r="S215" i="7" s="1"/>
  <c r="F215" i="7" s="1"/>
  <c r="H215" i="7" s="1"/>
  <c r="H216" i="7" s="1"/>
  <c r="D207" i="7"/>
  <c r="D196" i="7"/>
  <c r="S196" i="7" s="1"/>
  <c r="D314" i="7"/>
  <c r="S314" i="7" s="1"/>
  <c r="D311" i="7"/>
  <c r="S311" i="7" s="1"/>
  <c r="D323" i="7"/>
  <c r="S323" i="7" s="1"/>
  <c r="D377" i="7"/>
  <c r="S377" i="7" s="1"/>
  <c r="D37" i="7"/>
  <c r="S37" i="7" s="1"/>
  <c r="D60" i="7"/>
  <c r="Q60" i="7" s="1"/>
  <c r="P60" i="7" s="1"/>
  <c r="D389" i="7"/>
  <c r="Q389" i="7" s="1"/>
  <c r="P389" i="7" s="1"/>
  <c r="D392" i="7"/>
  <c r="Q392" i="7" s="1"/>
  <c r="P392" i="7" s="1"/>
  <c r="D170" i="7"/>
  <c r="S170" i="7" s="1"/>
  <c r="F170" i="7" s="1"/>
  <c r="V170" i="7" s="1"/>
  <c r="V172" i="7" s="1"/>
  <c r="Q395" i="7"/>
  <c r="P395" i="7" s="1"/>
  <c r="D138" i="7"/>
  <c r="D101" i="7"/>
  <c r="S101" i="7" s="1"/>
  <c r="F101" i="7" s="1"/>
  <c r="D140" i="7"/>
  <c r="Q140" i="7" s="1"/>
  <c r="P140" i="7" s="1"/>
  <c r="D141" i="7"/>
  <c r="Q141" i="7" s="1"/>
  <c r="P141" i="7" s="1"/>
  <c r="D204" i="7"/>
  <c r="S204" i="7" s="1"/>
  <c r="D188" i="7"/>
  <c r="S188" i="7" s="1"/>
  <c r="F188" i="7" s="1"/>
  <c r="D198" i="7"/>
  <c r="S198" i="7" s="1"/>
  <c r="D201" i="7"/>
  <c r="S201" i="7" s="1"/>
  <c r="D368" i="7"/>
  <c r="S368" i="7" s="1"/>
  <c r="D287" i="7"/>
  <c r="S287" i="7" s="1"/>
  <c r="D296" i="7"/>
  <c r="S296" i="7" s="1"/>
  <c r="D289" i="7"/>
  <c r="S289" i="7" s="1"/>
  <c r="D305" i="7"/>
  <c r="S305" i="7" s="1"/>
  <c r="D331" i="7"/>
  <c r="Q331" i="7" s="1"/>
  <c r="P331" i="7" s="1"/>
  <c r="D106" i="31"/>
  <c r="D107" i="31" s="1"/>
  <c r="Q107" i="31" s="1"/>
  <c r="P107" i="31" s="1"/>
  <c r="D108" i="31"/>
  <c r="Q108" i="31" s="1"/>
  <c r="P108" i="31" s="1"/>
  <c r="D124" i="31"/>
  <c r="Q124" i="31" s="1"/>
  <c r="P124" i="31" s="1"/>
  <c r="D135" i="31"/>
  <c r="Q135" i="31" s="1"/>
  <c r="P135" i="31" s="1"/>
  <c r="D134" i="31"/>
  <c r="Q134" i="31" s="1"/>
  <c r="P134" i="31" s="1"/>
  <c r="D191" i="31"/>
  <c r="Q191" i="31" s="1"/>
  <c r="P191" i="31" s="1"/>
  <c r="D195" i="31"/>
  <c r="D198" i="31"/>
  <c r="S198" i="31" s="1"/>
  <c r="D212" i="31"/>
  <c r="D213" i="31" s="1"/>
  <c r="Q213" i="31" s="1"/>
  <c r="P213" i="31" s="1"/>
  <c r="Q173" i="31"/>
  <c r="P173" i="31" s="1"/>
  <c r="D339" i="31"/>
  <c r="S339" i="31" s="1"/>
  <c r="D365" i="31"/>
  <c r="Q365" i="31" s="1"/>
  <c r="P365" i="31" s="1"/>
  <c r="D310" i="31"/>
  <c r="D301" i="31"/>
  <c r="Q301" i="31" s="1"/>
  <c r="P301" i="31" s="1"/>
  <c r="D291" i="31"/>
  <c r="Q291" i="31" s="1"/>
  <c r="P291" i="31" s="1"/>
  <c r="D287" i="31"/>
  <c r="Q287" i="31" s="1"/>
  <c r="P287" i="31" s="1"/>
  <c r="D309" i="31"/>
  <c r="S309" i="31" s="1"/>
  <c r="F309" i="31" s="1"/>
  <c r="D229" i="31"/>
  <c r="S229" i="31" s="1"/>
  <c r="Q405" i="31"/>
  <c r="P405" i="31" s="1"/>
  <c r="V371" i="31"/>
  <c r="G371" i="31" s="1"/>
  <c r="D219" i="41"/>
  <c r="D222" i="41"/>
  <c r="D218" i="41"/>
  <c r="D225" i="41"/>
  <c r="D224" i="41"/>
  <c r="Q224" i="41" s="1"/>
  <c r="P224" i="41" s="1"/>
  <c r="Q217" i="41"/>
  <c r="P217" i="41" s="1"/>
  <c r="D221" i="41"/>
  <c r="Q221" i="41" s="1"/>
  <c r="P221" i="41" s="1"/>
  <c r="V218" i="41"/>
  <c r="D239" i="42"/>
  <c r="Q237" i="42"/>
  <c r="P237" i="42" s="1"/>
  <c r="V238" i="42"/>
  <c r="D238" i="42"/>
  <c r="D365" i="42"/>
  <c r="D367" i="42"/>
  <c r="Q364" i="42"/>
  <c r="P364" i="42" s="1"/>
  <c r="D368" i="42"/>
  <c r="D366" i="42"/>
  <c r="Q152" i="41"/>
  <c r="P152" i="41" s="1"/>
  <c r="D153" i="41"/>
  <c r="D371" i="42"/>
  <c r="D374" i="42"/>
  <c r="D378" i="42"/>
  <c r="D375" i="42"/>
  <c r="D372" i="42"/>
  <c r="D377" i="42"/>
  <c r="D373" i="42"/>
  <c r="D376" i="42"/>
  <c r="V371" i="42"/>
  <c r="Q370" i="42"/>
  <c r="P370" i="42" s="1"/>
  <c r="D280" i="41"/>
  <c r="Q277" i="41"/>
  <c r="P277" i="41" s="1"/>
  <c r="D281" i="41"/>
  <c r="D278" i="41"/>
  <c r="D279" i="41"/>
  <c r="D174" i="43"/>
  <c r="Q174" i="43" s="1"/>
  <c r="P174" i="43" s="1"/>
  <c r="Q173" i="43"/>
  <c r="P173" i="43" s="1"/>
  <c r="D185" i="43"/>
  <c r="D184" i="43"/>
  <c r="Q184" i="43" s="1"/>
  <c r="P184" i="43" s="1"/>
  <c r="D179" i="43"/>
  <c r="Q179" i="43" s="1"/>
  <c r="P179" i="43" s="1"/>
  <c r="D181" i="43"/>
  <c r="D176" i="43"/>
  <c r="Q176" i="43" s="1"/>
  <c r="P176" i="43" s="1"/>
  <c r="D183" i="43"/>
  <c r="Q183" i="43" s="1"/>
  <c r="P183" i="43" s="1"/>
  <c r="D180" i="43"/>
  <c r="Q180" i="43" s="1"/>
  <c r="P180" i="43" s="1"/>
  <c r="D177" i="43"/>
  <c r="V174" i="43"/>
  <c r="D346" i="42"/>
  <c r="Q345" i="42"/>
  <c r="P345" i="42" s="1"/>
  <c r="D347" i="42"/>
  <c r="D349" i="42"/>
  <c r="D348" i="42"/>
  <c r="D203" i="7"/>
  <c r="D209" i="7"/>
  <c r="S209" i="7" s="1"/>
  <c r="D192" i="7"/>
  <c r="S192" i="7" s="1"/>
  <c r="D242" i="43"/>
  <c r="D242" i="42"/>
  <c r="D242" i="41"/>
  <c r="D294" i="7"/>
  <c r="S294" i="7" s="1"/>
  <c r="D303" i="7"/>
  <c r="S303" i="7" s="1"/>
  <c r="D285" i="7"/>
  <c r="S285" i="7" s="1"/>
  <c r="D316" i="7"/>
  <c r="S316" i="7" s="1"/>
  <c r="D334" i="7"/>
  <c r="S334" i="7" s="1"/>
  <c r="D88" i="42"/>
  <c r="Q88" i="42" s="1"/>
  <c r="P88" i="42" s="1"/>
  <c r="D71" i="42"/>
  <c r="D26" i="42"/>
  <c r="D22" i="42"/>
  <c r="D94" i="42"/>
  <c r="Q94" i="42" s="1"/>
  <c r="P94" i="42" s="1"/>
  <c r="D89" i="42"/>
  <c r="Q89" i="42" s="1"/>
  <c r="P89" i="42" s="1"/>
  <c r="D74" i="42"/>
  <c r="D29" i="42"/>
  <c r="S29" i="42" s="1"/>
  <c r="F29" i="42" s="1"/>
  <c r="D42" i="42"/>
  <c r="D35" i="42"/>
  <c r="D31" i="42"/>
  <c r="Q31" i="42" s="1"/>
  <c r="P31" i="42" s="1"/>
  <c r="D19" i="42"/>
  <c r="D79" i="42"/>
  <c r="Q79" i="42" s="1"/>
  <c r="P79" i="42" s="1"/>
  <c r="D73" i="42"/>
  <c r="D96" i="42"/>
  <c r="D91" i="42"/>
  <c r="D85" i="42"/>
  <c r="Q85" i="42" s="1"/>
  <c r="P85" i="42" s="1"/>
  <c r="D82" i="42"/>
  <c r="Q82" i="42" s="1"/>
  <c r="P82" i="42" s="1"/>
  <c r="D78" i="42"/>
  <c r="Q78" i="42" s="1"/>
  <c r="P78" i="42" s="1"/>
  <c r="D27" i="42"/>
  <c r="D98" i="42"/>
  <c r="D93" i="42"/>
  <c r="Q93" i="42" s="1"/>
  <c r="P93" i="42" s="1"/>
  <c r="D69" i="42"/>
  <c r="D48" i="42"/>
  <c r="D44" i="42"/>
  <c r="D25" i="42"/>
  <c r="D95" i="42"/>
  <c r="Q95" i="42" s="1"/>
  <c r="P95" i="42" s="1"/>
  <c r="D90" i="42"/>
  <c r="Q90" i="42" s="1"/>
  <c r="P90" i="42" s="1"/>
  <c r="D87" i="42"/>
  <c r="Q87" i="42" s="1"/>
  <c r="P87" i="42" s="1"/>
  <c r="D72" i="42"/>
  <c r="D60" i="42"/>
  <c r="D33" i="42"/>
  <c r="D57" i="42"/>
  <c r="D20" i="42"/>
  <c r="S20" i="42" s="1"/>
  <c r="F20" i="42" s="1"/>
  <c r="D23" i="42"/>
  <c r="D68" i="42"/>
  <c r="D54" i="42"/>
  <c r="D43" i="42"/>
  <c r="D86" i="42"/>
  <c r="Q86" i="42" s="1"/>
  <c r="P86" i="42" s="1"/>
  <c r="D32" i="42"/>
  <c r="D67" i="42"/>
  <c r="D64" i="42"/>
  <c r="D76" i="42"/>
  <c r="D41" i="42"/>
  <c r="Q41" i="42" s="1"/>
  <c r="P41" i="42" s="1"/>
  <c r="D46" i="42"/>
  <c r="D36" i="42"/>
  <c r="Q36" i="42" s="1"/>
  <c r="P36" i="42" s="1"/>
  <c r="D84" i="42"/>
  <c r="Q84" i="42" s="1"/>
  <c r="P84" i="42" s="1"/>
  <c r="Q17" i="42"/>
  <c r="P17" i="42" s="1"/>
  <c r="D56" i="42"/>
  <c r="D70" i="42"/>
  <c r="D39" i="42"/>
  <c r="D18" i="42"/>
  <c r="D61" i="42"/>
  <c r="D66" i="42"/>
  <c r="D24" i="42"/>
  <c r="D28" i="42"/>
  <c r="D63" i="42"/>
  <c r="D97" i="42"/>
  <c r="D51" i="42"/>
  <c r="Q51" i="42" s="1"/>
  <c r="P51" i="42" s="1"/>
  <c r="D62" i="42"/>
  <c r="S62" i="42" s="1"/>
  <c r="F62" i="42" s="1"/>
  <c r="D30" i="42"/>
  <c r="D50" i="42"/>
  <c r="Q50" i="42" s="1"/>
  <c r="P50" i="42" s="1"/>
  <c r="D52" i="42"/>
  <c r="D75" i="42"/>
  <c r="D92" i="42"/>
  <c r="D49" i="42"/>
  <c r="D59" i="42"/>
  <c r="D53" i="42"/>
  <c r="D21" i="42"/>
  <c r="D37" i="42"/>
  <c r="D80" i="42"/>
  <c r="D83" i="42"/>
  <c r="D38" i="42"/>
  <c r="Q38" i="42" s="1"/>
  <c r="P38" i="42" s="1"/>
  <c r="D47" i="42"/>
  <c r="D34" i="42"/>
  <c r="D55" i="42"/>
  <c r="D81" i="42"/>
  <c r="D58" i="42"/>
  <c r="D45" i="42"/>
  <c r="D65" i="42"/>
  <c r="D159" i="42"/>
  <c r="Q158" i="42"/>
  <c r="P158" i="42" s="1"/>
  <c r="D274" i="41"/>
  <c r="D275" i="41"/>
  <c r="Q273" i="41"/>
  <c r="P273" i="41" s="1"/>
  <c r="D198" i="43"/>
  <c r="D192" i="43"/>
  <c r="D206" i="43"/>
  <c r="D205" i="43"/>
  <c r="D203" i="43"/>
  <c r="D208" i="43"/>
  <c r="S208" i="43" s="1"/>
  <c r="D190" i="43"/>
  <c r="D200" i="43"/>
  <c r="Q200" i="43" s="1"/>
  <c r="P200" i="43" s="1"/>
  <c r="D215" i="43"/>
  <c r="D194" i="43"/>
  <c r="D188" i="43"/>
  <c r="D204" i="43"/>
  <c r="D191" i="43"/>
  <c r="Q191" i="43" s="1"/>
  <c r="P191" i="43" s="1"/>
  <c r="D212" i="43"/>
  <c r="D211" i="43"/>
  <c r="Q211" i="43" s="1"/>
  <c r="P211" i="43" s="1"/>
  <c r="D189" i="43"/>
  <c r="D199" i="43"/>
  <c r="D201" i="43"/>
  <c r="D214" i="43"/>
  <c r="Q214" i="43" s="1"/>
  <c r="P214" i="43" s="1"/>
  <c r="D193" i="43"/>
  <c r="D196" i="43"/>
  <c r="D209" i="43"/>
  <c r="D195" i="43"/>
  <c r="D207" i="43"/>
  <c r="D197" i="43"/>
  <c r="V188" i="43"/>
  <c r="Q155" i="42"/>
  <c r="P155" i="42" s="1"/>
  <c r="D156" i="42"/>
  <c r="D377" i="43"/>
  <c r="Q370" i="43"/>
  <c r="P370" i="43" s="1"/>
  <c r="V371" i="43"/>
  <c r="D373" i="43"/>
  <c r="D374" i="43"/>
  <c r="D375" i="43"/>
  <c r="D378" i="43"/>
  <c r="D376" i="43"/>
  <c r="D371" i="43"/>
  <c r="D372" i="43"/>
  <c r="D393" i="41"/>
  <c r="D383" i="41"/>
  <c r="D389" i="41"/>
  <c r="D391" i="41"/>
  <c r="D381" i="41"/>
  <c r="D387" i="41"/>
  <c r="D392" i="41"/>
  <c r="D390" i="41"/>
  <c r="D386" i="41"/>
  <c r="D384" i="41"/>
  <c r="D382" i="41"/>
  <c r="Q380" i="41"/>
  <c r="P380" i="41" s="1"/>
  <c r="D385" i="41"/>
  <c r="D388" i="41"/>
  <c r="D150" i="43"/>
  <c r="Q149" i="43"/>
  <c r="P149" i="43" s="1"/>
  <c r="D397" i="41"/>
  <c r="D400" i="41"/>
  <c r="D398" i="41"/>
  <c r="D399" i="41"/>
  <c r="Q395" i="41"/>
  <c r="P395" i="41" s="1"/>
  <c r="D396" i="41"/>
  <c r="D144" i="41"/>
  <c r="Q144" i="41" s="1"/>
  <c r="P144" i="41" s="1"/>
  <c r="D130" i="41"/>
  <c r="Q130" i="41" s="1"/>
  <c r="P130" i="41" s="1"/>
  <c r="D106" i="41"/>
  <c r="D102" i="41"/>
  <c r="D141" i="41"/>
  <c r="Q141" i="41" s="1"/>
  <c r="P141" i="41" s="1"/>
  <c r="D117" i="41"/>
  <c r="S117" i="41" s="1"/>
  <c r="F117" i="41" s="1"/>
  <c r="D114" i="41"/>
  <c r="D121" i="41"/>
  <c r="D119" i="41"/>
  <c r="D108" i="41"/>
  <c r="Q108" i="41" s="1"/>
  <c r="P108" i="41" s="1"/>
  <c r="D104" i="41"/>
  <c r="Q104" i="41" s="1"/>
  <c r="P104" i="41" s="1"/>
  <c r="D116" i="41"/>
  <c r="Q116" i="41" s="1"/>
  <c r="P116" i="41" s="1"/>
  <c r="D113" i="41"/>
  <c r="S113" i="41" s="1"/>
  <c r="F113" i="41" s="1"/>
  <c r="D101" i="41"/>
  <c r="D140" i="41"/>
  <c r="Q140" i="41" s="1"/>
  <c r="P140" i="41" s="1"/>
  <c r="D131" i="41"/>
  <c r="S100" i="41"/>
  <c r="D133" i="41"/>
  <c r="Q133" i="41" s="1"/>
  <c r="P133" i="41" s="1"/>
  <c r="D123" i="41"/>
  <c r="D118" i="41"/>
  <c r="S118" i="41" s="1"/>
  <c r="D110" i="41"/>
  <c r="Q100" i="41"/>
  <c r="P100" i="41" s="1"/>
  <c r="D135" i="41"/>
  <c r="Q135" i="41" s="1"/>
  <c r="P135" i="41" s="1"/>
  <c r="D143" i="41"/>
  <c r="Q143" i="41" s="1"/>
  <c r="P143" i="41" s="1"/>
  <c r="D138" i="41"/>
  <c r="Q138" i="41" s="1"/>
  <c r="P138" i="41" s="1"/>
  <c r="D112" i="41"/>
  <c r="Q112" i="41" s="1"/>
  <c r="P112" i="41" s="1"/>
  <c r="D146" i="41"/>
  <c r="D105" i="41"/>
  <c r="Q105" i="41" s="1"/>
  <c r="P105" i="41" s="1"/>
  <c r="D136" i="41"/>
  <c r="D109" i="41"/>
  <c r="Q109" i="41" s="1"/>
  <c r="P109" i="41" s="1"/>
  <c r="D142" i="41"/>
  <c r="Q142" i="41" s="1"/>
  <c r="P142" i="41" s="1"/>
  <c r="D124" i="41"/>
  <c r="Q124" i="41" s="1"/>
  <c r="P124" i="41" s="1"/>
  <c r="D132" i="41"/>
  <c r="Q132" i="41" s="1"/>
  <c r="P132" i="41" s="1"/>
  <c r="D125" i="41"/>
  <c r="Q125" i="41" s="1"/>
  <c r="P125" i="41" s="1"/>
  <c r="D134" i="41"/>
  <c r="Q134" i="41" s="1"/>
  <c r="P134" i="41" s="1"/>
  <c r="D126" i="41"/>
  <c r="Q126" i="41" s="1"/>
  <c r="P126" i="41" s="1"/>
  <c r="D128" i="41"/>
  <c r="D120" i="41"/>
  <c r="Q120" i="41" s="1"/>
  <c r="P120" i="41" s="1"/>
  <c r="D127" i="41"/>
  <c r="Q127" i="41" s="1"/>
  <c r="P127" i="41" s="1"/>
  <c r="D139" i="41"/>
  <c r="Q139" i="41" s="1"/>
  <c r="P139" i="41" s="1"/>
  <c r="D346" i="43"/>
  <c r="D348" i="43"/>
  <c r="D347" i="43"/>
  <c r="Q345" i="43"/>
  <c r="P345" i="43" s="1"/>
  <c r="D349" i="43"/>
  <c r="D231" i="41"/>
  <c r="Q231" i="41" s="1"/>
  <c r="P231" i="41" s="1"/>
  <c r="Q227" i="41"/>
  <c r="P227" i="41" s="1"/>
  <c r="D234" i="41"/>
  <c r="Q234" i="41" s="1"/>
  <c r="P234" i="41" s="1"/>
  <c r="V228" i="41"/>
  <c r="D232" i="41"/>
  <c r="D235" i="41"/>
  <c r="D228" i="41"/>
  <c r="D229" i="41"/>
  <c r="D408" i="43"/>
  <c r="Q405" i="43"/>
  <c r="P405" i="43" s="1"/>
  <c r="D407" i="43"/>
  <c r="D409" i="43"/>
  <c r="D406" i="43"/>
  <c r="Q161" i="41"/>
  <c r="P161" i="41" s="1"/>
  <c r="D165" i="41"/>
  <c r="D166" i="41" s="1"/>
  <c r="D163" i="41"/>
  <c r="D175" i="41"/>
  <c r="Q175" i="41" s="1"/>
  <c r="P175" i="41" s="1"/>
  <c r="D162" i="41"/>
  <c r="S162" i="41" s="1"/>
  <c r="F162" i="41" s="1"/>
  <c r="D164" i="41"/>
  <c r="D169" i="41"/>
  <c r="V162" i="41"/>
  <c r="V238" i="41"/>
  <c r="D238" i="41"/>
  <c r="D239" i="41"/>
  <c r="Q237" i="41"/>
  <c r="P237" i="41" s="1"/>
  <c r="Q155" i="43"/>
  <c r="P155" i="43" s="1"/>
  <c r="D156" i="43"/>
  <c r="D387" i="42"/>
  <c r="D386" i="42"/>
  <c r="D381" i="42"/>
  <c r="D382" i="42"/>
  <c r="D383" i="42"/>
  <c r="D392" i="42"/>
  <c r="D388" i="42"/>
  <c r="D384" i="42"/>
  <c r="D393" i="42"/>
  <c r="Q380" i="42"/>
  <c r="P380" i="42" s="1"/>
  <c r="D389" i="42"/>
  <c r="D391" i="42"/>
  <c r="D390" i="42"/>
  <c r="D385" i="42"/>
  <c r="D280" i="43"/>
  <c r="D279" i="43"/>
  <c r="D278" i="43"/>
  <c r="Q277" i="43"/>
  <c r="P277" i="43" s="1"/>
  <c r="D281" i="43"/>
  <c r="Q167" i="42"/>
  <c r="P167" i="42" s="1"/>
  <c r="D170" i="42"/>
  <c r="S170" i="42" s="1"/>
  <c r="F170" i="42" s="1"/>
  <c r="D168" i="42"/>
  <c r="S168" i="42" s="1"/>
  <c r="F168" i="42" s="1"/>
  <c r="D171" i="42"/>
  <c r="D172" i="42" s="1"/>
  <c r="V168" i="42"/>
  <c r="D341" i="42"/>
  <c r="V338" i="42"/>
  <c r="D340" i="42"/>
  <c r="D343" i="42"/>
  <c r="D338" i="42"/>
  <c r="Q337" i="42"/>
  <c r="P337" i="42" s="1"/>
  <c r="D339" i="42"/>
  <c r="D342" i="42"/>
  <c r="D318" i="7"/>
  <c r="S318" i="7" s="1"/>
  <c r="D327" i="7"/>
  <c r="S327" i="7" s="1"/>
  <c r="D130" i="7"/>
  <c r="D297" i="7"/>
  <c r="S297" i="7" s="1"/>
  <c r="Q330" i="7"/>
  <c r="P330" i="7" s="1"/>
  <c r="D164" i="42"/>
  <c r="V162" i="42"/>
  <c r="D175" i="42"/>
  <c r="Q175" i="42" s="1"/>
  <c r="P175" i="42" s="1"/>
  <c r="D163" i="42"/>
  <c r="D169" i="42"/>
  <c r="D165" i="42"/>
  <c r="D162" i="42"/>
  <c r="Q161" i="42"/>
  <c r="P161" i="42" s="1"/>
  <c r="D159" i="41"/>
  <c r="Q158" i="41"/>
  <c r="P158" i="41" s="1"/>
  <c r="D221" i="42"/>
  <c r="Q221" i="42" s="1"/>
  <c r="P221" i="42" s="1"/>
  <c r="Q217" i="42"/>
  <c r="P217" i="42" s="1"/>
  <c r="D224" i="42"/>
  <c r="Q224" i="42" s="1"/>
  <c r="P224" i="42" s="1"/>
  <c r="D225" i="42"/>
  <c r="V218" i="42"/>
  <c r="D218" i="42"/>
  <c r="D222" i="42"/>
  <c r="D219" i="42"/>
  <c r="D196" i="42"/>
  <c r="D195" i="42"/>
  <c r="D205" i="42"/>
  <c r="D203" i="42"/>
  <c r="D215" i="42"/>
  <c r="D193" i="42"/>
  <c r="D200" i="42"/>
  <c r="Q200" i="42" s="1"/>
  <c r="P200" i="42" s="1"/>
  <c r="D192" i="42"/>
  <c r="D188" i="42"/>
  <c r="D214" i="42"/>
  <c r="Q214" i="42" s="1"/>
  <c r="P214" i="42" s="1"/>
  <c r="D211" i="42"/>
  <c r="Q211" i="42" s="1"/>
  <c r="P211" i="42" s="1"/>
  <c r="D209" i="42"/>
  <c r="D208" i="42"/>
  <c r="S208" i="42" s="1"/>
  <c r="D204" i="42"/>
  <c r="D199" i="42"/>
  <c r="D212" i="42"/>
  <c r="D197" i="42"/>
  <c r="D190" i="42"/>
  <c r="D189" i="42"/>
  <c r="D198" i="42"/>
  <c r="D194" i="42"/>
  <c r="D206" i="42"/>
  <c r="D201" i="42"/>
  <c r="D207" i="42"/>
  <c r="D191" i="42"/>
  <c r="Q191" i="42" s="1"/>
  <c r="P191" i="42" s="1"/>
  <c r="V188" i="42"/>
  <c r="Q152" i="42"/>
  <c r="P152" i="42" s="1"/>
  <c r="D153" i="42"/>
  <c r="D335" i="41"/>
  <c r="D331" i="41"/>
  <c r="Q330" i="41"/>
  <c r="P330" i="41" s="1"/>
  <c r="D332" i="41"/>
  <c r="V331" i="41"/>
  <c r="D333" i="41"/>
  <c r="D334" i="41"/>
  <c r="D280" i="42"/>
  <c r="Q277" i="42"/>
  <c r="P277" i="42" s="1"/>
  <c r="D279" i="42"/>
  <c r="D281" i="42"/>
  <c r="D278" i="42"/>
  <c r="D171" i="41"/>
  <c r="D172" i="41" s="1"/>
  <c r="D168" i="41"/>
  <c r="Q167" i="41"/>
  <c r="P167" i="41" s="1"/>
  <c r="D170" i="41"/>
  <c r="S170" i="41" s="1"/>
  <c r="F170" i="41" s="1"/>
  <c r="V168" i="41"/>
  <c r="D396" i="42"/>
  <c r="D400" i="42"/>
  <c r="D398" i="42"/>
  <c r="Q395" i="42"/>
  <c r="P395" i="42" s="1"/>
  <c r="D397" i="42"/>
  <c r="D399" i="42"/>
  <c r="D124" i="42"/>
  <c r="Q124" i="42" s="1"/>
  <c r="P124" i="42" s="1"/>
  <c r="D120" i="42"/>
  <c r="Q120" i="42" s="1"/>
  <c r="P120" i="42" s="1"/>
  <c r="D125" i="42"/>
  <c r="Q125" i="42" s="1"/>
  <c r="P125" i="42" s="1"/>
  <c r="D102" i="42"/>
  <c r="D126" i="42"/>
  <c r="Q126" i="42" s="1"/>
  <c r="P126" i="42" s="1"/>
  <c r="D127" i="42"/>
  <c r="Q127" i="42" s="1"/>
  <c r="P127" i="42" s="1"/>
  <c r="D109" i="42"/>
  <c r="Q109" i="42" s="1"/>
  <c r="P109" i="42" s="1"/>
  <c r="D105" i="42"/>
  <c r="Q105" i="42" s="1"/>
  <c r="P105" i="42" s="1"/>
  <c r="D101" i="42"/>
  <c r="D104" i="42"/>
  <c r="Q104" i="42" s="1"/>
  <c r="P104" i="42" s="1"/>
  <c r="S100" i="42"/>
  <c r="D110" i="42"/>
  <c r="D106" i="42"/>
  <c r="D133" i="42"/>
  <c r="Q133" i="42" s="1"/>
  <c r="P133" i="42" s="1"/>
  <c r="D114" i="42"/>
  <c r="D136" i="42"/>
  <c r="D143" i="42"/>
  <c r="Q143" i="42" s="1"/>
  <c r="P143" i="42" s="1"/>
  <c r="D130" i="42"/>
  <c r="Q130" i="42" s="1"/>
  <c r="P130" i="42" s="1"/>
  <c r="Q100" i="42"/>
  <c r="P100" i="42" s="1"/>
  <c r="D128" i="42"/>
  <c r="D141" i="42"/>
  <c r="Q141" i="42" s="1"/>
  <c r="P141" i="42" s="1"/>
  <c r="D121" i="42"/>
  <c r="D138" i="42"/>
  <c r="Q138" i="42" s="1"/>
  <c r="P138" i="42" s="1"/>
  <c r="D112" i="42"/>
  <c r="Q112" i="42" s="1"/>
  <c r="P112" i="42" s="1"/>
  <c r="D139" i="42"/>
  <c r="Q139" i="42" s="1"/>
  <c r="P139" i="42" s="1"/>
  <c r="D119" i="42"/>
  <c r="D131" i="42"/>
  <c r="D108" i="42"/>
  <c r="Q108" i="42" s="1"/>
  <c r="P108" i="42" s="1"/>
  <c r="D144" i="42"/>
  <c r="Q144" i="42" s="1"/>
  <c r="P144" i="42" s="1"/>
  <c r="D116" i="42"/>
  <c r="Q116" i="42" s="1"/>
  <c r="P116" i="42" s="1"/>
  <c r="D123" i="42"/>
  <c r="D142" i="42"/>
  <c r="Q142" i="42" s="1"/>
  <c r="P142" i="42" s="1"/>
  <c r="D113" i="42"/>
  <c r="S113" i="42" s="1"/>
  <c r="F113" i="42" s="1"/>
  <c r="D134" i="42"/>
  <c r="Q134" i="42" s="1"/>
  <c r="P134" i="42" s="1"/>
  <c r="D146" i="42"/>
  <c r="D118" i="42"/>
  <c r="D132" i="42"/>
  <c r="Q132" i="42" s="1"/>
  <c r="P132" i="42" s="1"/>
  <c r="D135" i="42"/>
  <c r="Q135" i="42" s="1"/>
  <c r="P135" i="42" s="1"/>
  <c r="D117" i="42"/>
  <c r="S117" i="42" s="1"/>
  <c r="F117" i="42" s="1"/>
  <c r="D140" i="42"/>
  <c r="Q140" i="42" s="1"/>
  <c r="P140" i="42" s="1"/>
  <c r="D346" i="41"/>
  <c r="Q345" i="41"/>
  <c r="P345" i="41" s="1"/>
  <c r="D348" i="41"/>
  <c r="D347" i="41"/>
  <c r="D349" i="41"/>
  <c r="D229" i="42"/>
  <c r="D232" i="42"/>
  <c r="D235" i="42"/>
  <c r="D234" i="42"/>
  <c r="Q234" i="42" s="1"/>
  <c r="P234" i="42" s="1"/>
  <c r="V228" i="42"/>
  <c r="Q227" i="42"/>
  <c r="P227" i="42" s="1"/>
  <c r="D231" i="42"/>
  <c r="Q231" i="42" s="1"/>
  <c r="P231" i="42" s="1"/>
  <c r="D228" i="42"/>
  <c r="D241" i="42"/>
  <c r="D241" i="41"/>
  <c r="D241" i="43"/>
  <c r="D386" i="7"/>
  <c r="Q386" i="7" s="1"/>
  <c r="P386" i="7" s="1"/>
  <c r="D387" i="7"/>
  <c r="Q387" i="7" s="1"/>
  <c r="P387" i="7" s="1"/>
  <c r="D144" i="7"/>
  <c r="Q144" i="7" s="1"/>
  <c r="P144" i="7" s="1"/>
  <c r="D114" i="7"/>
  <c r="S114" i="7" s="1"/>
  <c r="D133" i="7"/>
  <c r="Q133" i="7" s="1"/>
  <c r="P133" i="7" s="1"/>
  <c r="D109" i="7"/>
  <c r="D190" i="7"/>
  <c r="Q190" i="7" s="1"/>
  <c r="P190" i="7" s="1"/>
  <c r="D199" i="7"/>
  <c r="D200" i="7"/>
  <c r="D184" i="7"/>
  <c r="D293" i="7"/>
  <c r="S293" i="7" s="1"/>
  <c r="D325" i="7"/>
  <c r="S325" i="7" s="1"/>
  <c r="D317" i="7"/>
  <c r="S317" i="7" s="1"/>
  <c r="D326" i="7"/>
  <c r="S326" i="7" s="1"/>
  <c r="D378" i="7"/>
  <c r="D379" i="7" s="1"/>
  <c r="D91" i="7"/>
  <c r="S91" i="7" s="1"/>
  <c r="D27" i="7"/>
  <c r="Q27" i="7" s="1"/>
  <c r="P27" i="7" s="1"/>
  <c r="D43" i="7"/>
  <c r="S43" i="7" s="1"/>
  <c r="D390" i="7"/>
  <c r="Q390" i="7" s="1"/>
  <c r="P390" i="7" s="1"/>
  <c r="D104" i="7"/>
  <c r="Q104" i="7" s="1"/>
  <c r="P104" i="7" s="1"/>
  <c r="D121" i="7"/>
  <c r="S121" i="7" s="1"/>
  <c r="D135" i="7"/>
  <c r="Q135" i="7" s="1"/>
  <c r="P135" i="7" s="1"/>
  <c r="D143" i="7"/>
  <c r="Q143" i="7" s="1"/>
  <c r="P143" i="7" s="1"/>
  <c r="D120" i="7"/>
  <c r="Q120" i="7" s="1"/>
  <c r="P120" i="7" s="1"/>
  <c r="D195" i="7"/>
  <c r="D193" i="7"/>
  <c r="D214" i="7"/>
  <c r="Q214" i="7" s="1"/>
  <c r="P214" i="7" s="1"/>
  <c r="D308" i="7"/>
  <c r="S308" i="7" s="1"/>
  <c r="D309" i="7"/>
  <c r="S309" i="7" s="1"/>
  <c r="D328" i="7"/>
  <c r="S328" i="7" s="1"/>
  <c r="D306" i="7"/>
  <c r="S306" i="7" s="1"/>
  <c r="D349" i="7"/>
  <c r="S349" i="7" s="1"/>
  <c r="F349" i="7" s="1"/>
  <c r="D144" i="31"/>
  <c r="Q144" i="31" s="1"/>
  <c r="P144" i="31" s="1"/>
  <c r="D141" i="31"/>
  <c r="Q141" i="31" s="1"/>
  <c r="P141" i="31" s="1"/>
  <c r="Q100" i="31"/>
  <c r="P100" i="31" s="1"/>
  <c r="D120" i="31"/>
  <c r="Q120" i="31" s="1"/>
  <c r="P120" i="31" s="1"/>
  <c r="D196" i="31"/>
  <c r="S196" i="31" s="1"/>
  <c r="D203" i="31"/>
  <c r="D311" i="31"/>
  <c r="S311" i="31" s="1"/>
  <c r="F311" i="31" s="1"/>
  <c r="D284" i="31"/>
  <c r="D321" i="31"/>
  <c r="Q321" i="31" s="1"/>
  <c r="P321" i="31" s="1"/>
  <c r="D308" i="31"/>
  <c r="S308" i="31" s="1"/>
  <c r="F308" i="31" s="1"/>
  <c r="V308" i="31" s="1"/>
  <c r="G308" i="31" s="1"/>
  <c r="D289" i="31"/>
  <c r="D403" i="31"/>
  <c r="Q403" i="31" s="1"/>
  <c r="P403" i="31" s="1"/>
  <c r="D162" i="43"/>
  <c r="Q161" i="43"/>
  <c r="P161" i="43" s="1"/>
  <c r="D169" i="43"/>
  <c r="D165" i="43"/>
  <c r="D166" i="43" s="1"/>
  <c r="D164" i="43"/>
  <c r="S164" i="43" s="1"/>
  <c r="F164" i="43" s="1"/>
  <c r="D175" i="43"/>
  <c r="Q175" i="43" s="1"/>
  <c r="P175" i="43" s="1"/>
  <c r="D163" i="43"/>
  <c r="V162" i="43"/>
  <c r="D200" i="41"/>
  <c r="Q200" i="41" s="1"/>
  <c r="P200" i="41" s="1"/>
  <c r="D192" i="41"/>
  <c r="D197" i="41"/>
  <c r="D195" i="41"/>
  <c r="D203" i="41"/>
  <c r="D194" i="41"/>
  <c r="D188" i="41"/>
  <c r="D212" i="41"/>
  <c r="D199" i="41"/>
  <c r="D198" i="41"/>
  <c r="D189" i="41"/>
  <c r="D196" i="41"/>
  <c r="D191" i="41"/>
  <c r="Q191" i="41" s="1"/>
  <c r="P191" i="41" s="1"/>
  <c r="D206" i="41"/>
  <c r="D201" i="41"/>
  <c r="D211" i="41"/>
  <c r="Q211" i="41" s="1"/>
  <c r="P211" i="41" s="1"/>
  <c r="D204" i="41"/>
  <c r="D209" i="41"/>
  <c r="D193" i="41"/>
  <c r="D207" i="41"/>
  <c r="D215" i="41"/>
  <c r="D208" i="41"/>
  <c r="D205" i="41"/>
  <c r="D190" i="41"/>
  <c r="D214" i="41"/>
  <c r="Q214" i="41" s="1"/>
  <c r="P214" i="41" s="1"/>
  <c r="V188" i="41"/>
  <c r="D307" i="41"/>
  <c r="D308" i="41"/>
  <c r="D289" i="41"/>
  <c r="D304" i="41"/>
  <c r="D298" i="41"/>
  <c r="D295" i="41"/>
  <c r="D285" i="41"/>
  <c r="D288" i="41"/>
  <c r="D297" i="41"/>
  <c r="D290" i="41"/>
  <c r="Q283" i="41"/>
  <c r="P283" i="41" s="1"/>
  <c r="D302" i="41"/>
  <c r="D328" i="41"/>
  <c r="D286" i="41"/>
  <c r="D287" i="41"/>
  <c r="D284" i="41"/>
  <c r="D320" i="41"/>
  <c r="D293" i="41"/>
  <c r="D323" i="41"/>
  <c r="D294" i="41"/>
  <c r="D299" i="41"/>
  <c r="D301" i="41"/>
  <c r="D319" i="41"/>
  <c r="D315" i="41"/>
  <c r="D326" i="41"/>
  <c r="D291" i="41"/>
  <c r="D310" i="41"/>
  <c r="D312" i="41"/>
  <c r="D296" i="41"/>
  <c r="D322" i="41"/>
  <c r="D321" i="41"/>
  <c r="D305" i="41"/>
  <c r="D318" i="41"/>
  <c r="D306" i="41"/>
  <c r="D303" i="41"/>
  <c r="D314" i="41"/>
  <c r="D313" i="41"/>
  <c r="D327" i="41"/>
  <c r="D311" i="41"/>
  <c r="D309" i="41"/>
  <c r="D325" i="41"/>
  <c r="D324" i="41"/>
  <c r="D292" i="41"/>
  <c r="D300" i="41"/>
  <c r="D317" i="41"/>
  <c r="D316" i="41"/>
  <c r="D361" i="41"/>
  <c r="D362" i="41"/>
  <c r="D353" i="41"/>
  <c r="D356" i="41"/>
  <c r="D358" i="41"/>
  <c r="Q351" i="41"/>
  <c r="P351" i="41" s="1"/>
  <c r="D360" i="41"/>
  <c r="D352" i="41"/>
  <c r="D355" i="41"/>
  <c r="D357" i="41"/>
  <c r="D359" i="41"/>
  <c r="D354" i="41"/>
  <c r="D391" i="43"/>
  <c r="D392" i="43"/>
  <c r="D389" i="43"/>
  <c r="D387" i="43"/>
  <c r="D388" i="43"/>
  <c r="D385" i="43"/>
  <c r="D386" i="43"/>
  <c r="D383" i="43"/>
  <c r="D384" i="43"/>
  <c r="D381" i="43"/>
  <c r="D382" i="43"/>
  <c r="Q380" i="43"/>
  <c r="P380" i="43" s="1"/>
  <c r="D393" i="43"/>
  <c r="D390" i="43"/>
  <c r="D171" i="43"/>
  <c r="D172" i="43" s="1"/>
  <c r="D170" i="43"/>
  <c r="Q167" i="43"/>
  <c r="P167" i="43" s="1"/>
  <c r="D168" i="43"/>
  <c r="V168" i="43"/>
  <c r="D399" i="43"/>
  <c r="D398" i="43"/>
  <c r="D396" i="43"/>
  <c r="D397" i="43"/>
  <c r="Q395" i="43"/>
  <c r="P395" i="43" s="1"/>
  <c r="D400" i="43"/>
  <c r="V338" i="41"/>
  <c r="D341" i="41"/>
  <c r="Q337" i="41"/>
  <c r="P337" i="41" s="1"/>
  <c r="D343" i="41"/>
  <c r="D342" i="41"/>
  <c r="D338" i="41"/>
  <c r="D339" i="41"/>
  <c r="D340" i="41"/>
  <c r="D231" i="43"/>
  <c r="Q231" i="43" s="1"/>
  <c r="P231" i="43" s="1"/>
  <c r="Q227" i="43"/>
  <c r="P227" i="43" s="1"/>
  <c r="D228" i="43"/>
  <c r="D232" i="43"/>
  <c r="V228" i="43"/>
  <c r="D234" i="43"/>
  <c r="Q234" i="43" s="1"/>
  <c r="P234" i="43" s="1"/>
  <c r="D235" i="43"/>
  <c r="D229" i="43"/>
  <c r="Q405" i="42"/>
  <c r="P405" i="42" s="1"/>
  <c r="D407" i="42"/>
  <c r="D409" i="42"/>
  <c r="D406" i="42"/>
  <c r="D408" i="42"/>
  <c r="D403" i="43"/>
  <c r="Q402" i="43"/>
  <c r="P402" i="43" s="1"/>
  <c r="D89" i="41"/>
  <c r="Q89" i="41" s="1"/>
  <c r="P89" i="41" s="1"/>
  <c r="D70" i="41"/>
  <c r="D46" i="41"/>
  <c r="D35" i="41"/>
  <c r="D83" i="41"/>
  <c r="D66" i="41"/>
  <c r="S66" i="41" s="1"/>
  <c r="D48" i="41"/>
  <c r="D41" i="41"/>
  <c r="Q41" i="41" s="1"/>
  <c r="P41" i="41" s="1"/>
  <c r="D34" i="41"/>
  <c r="D30" i="41"/>
  <c r="D27" i="41"/>
  <c r="D21" i="41"/>
  <c r="S21" i="41" s="1"/>
  <c r="D92" i="41"/>
  <c r="D78" i="41"/>
  <c r="Q78" i="41" s="1"/>
  <c r="P78" i="41" s="1"/>
  <c r="D59" i="41"/>
  <c r="D43" i="41"/>
  <c r="S43" i="41" s="1"/>
  <c r="D23" i="41"/>
  <c r="D62" i="41"/>
  <c r="D45" i="41"/>
  <c r="S45" i="41" s="1"/>
  <c r="D36" i="41"/>
  <c r="Q36" i="41" s="1"/>
  <c r="P36" i="41" s="1"/>
  <c r="D32" i="41"/>
  <c r="D85" i="41"/>
  <c r="Q85" i="41" s="1"/>
  <c r="P85" i="41" s="1"/>
  <c r="D76" i="41"/>
  <c r="D67" i="41"/>
  <c r="D47" i="41"/>
  <c r="D39" i="41"/>
  <c r="D31" i="41"/>
  <c r="Q31" i="41" s="1"/>
  <c r="P31" i="41" s="1"/>
  <c r="D18" i="41"/>
  <c r="D91" i="41"/>
  <c r="D42" i="41"/>
  <c r="D33" i="41"/>
  <c r="D29" i="41"/>
  <c r="D19" i="41"/>
  <c r="D80" i="41"/>
  <c r="D44" i="41"/>
  <c r="D38" i="41"/>
  <c r="Q38" i="41" s="1"/>
  <c r="P38" i="41" s="1"/>
  <c r="D26" i="41"/>
  <c r="D25" i="41"/>
  <c r="D24" i="41"/>
  <c r="D55" i="41"/>
  <c r="D65" i="41"/>
  <c r="D86" i="41"/>
  <c r="Q86" i="41" s="1"/>
  <c r="P86" i="41" s="1"/>
  <c r="D57" i="41"/>
  <c r="D28" i="41"/>
  <c r="D60" i="41"/>
  <c r="D64" i="41"/>
  <c r="D98" i="41"/>
  <c r="D37" i="41"/>
  <c r="D84" i="41"/>
  <c r="Q84" i="41" s="1"/>
  <c r="P84" i="41" s="1"/>
  <c r="D63" i="41"/>
  <c r="D54" i="41"/>
  <c r="D50" i="41"/>
  <c r="Q50" i="41" s="1"/>
  <c r="P50" i="41" s="1"/>
  <c r="D69" i="41"/>
  <c r="D49" i="41"/>
  <c r="D87" i="41"/>
  <c r="Q87" i="41" s="1"/>
  <c r="P87" i="41" s="1"/>
  <c r="D68" i="41"/>
  <c r="D95" i="41"/>
  <c r="Q95" i="41" s="1"/>
  <c r="P95" i="41" s="1"/>
  <c r="D71" i="41"/>
  <c r="D58" i="41"/>
  <c r="D20" i="41"/>
  <c r="D72" i="41"/>
  <c r="D51" i="41"/>
  <c r="Q51" i="41" s="1"/>
  <c r="P51" i="41" s="1"/>
  <c r="D93" i="41"/>
  <c r="Q93" i="41" s="1"/>
  <c r="P93" i="41" s="1"/>
  <c r="D74" i="41"/>
  <c r="D75" i="41"/>
  <c r="D97" i="41"/>
  <c r="D90" i="41"/>
  <c r="Q90" i="41" s="1"/>
  <c r="P90" i="41" s="1"/>
  <c r="D82" i="41"/>
  <c r="Q82" i="41" s="1"/>
  <c r="P82" i="41" s="1"/>
  <c r="D22" i="41"/>
  <c r="D53" i="41"/>
  <c r="D79" i="41"/>
  <c r="Q79" i="41" s="1"/>
  <c r="P79" i="41" s="1"/>
  <c r="D61" i="41"/>
  <c r="D88" i="41"/>
  <c r="Q88" i="41" s="1"/>
  <c r="P88" i="41" s="1"/>
  <c r="D96" i="41"/>
  <c r="D81" i="41"/>
  <c r="D56" i="41"/>
  <c r="D94" i="41"/>
  <c r="Q94" i="41" s="1"/>
  <c r="P94" i="41" s="1"/>
  <c r="D52" i="41"/>
  <c r="D73" i="41"/>
  <c r="Q17" i="41"/>
  <c r="P17" i="41" s="1"/>
  <c r="D275" i="42"/>
  <c r="Q273" i="42"/>
  <c r="P273" i="42" s="1"/>
  <c r="D274" i="42"/>
  <c r="D321" i="42"/>
  <c r="D307" i="42"/>
  <c r="D304" i="42"/>
  <c r="D323" i="42"/>
  <c r="D288" i="42"/>
  <c r="D316" i="42"/>
  <c r="D297" i="42"/>
  <c r="D294" i="42"/>
  <c r="D306" i="42"/>
  <c r="D303" i="42"/>
  <c r="D325" i="42"/>
  <c r="D290" i="42"/>
  <c r="D287" i="42"/>
  <c r="D318" i="42"/>
  <c r="D311" i="42"/>
  <c r="D308" i="42"/>
  <c r="D299" i="42"/>
  <c r="D296" i="42"/>
  <c r="D322" i="42"/>
  <c r="D312" i="42"/>
  <c r="D293" i="42"/>
  <c r="D327" i="42"/>
  <c r="D305" i="42"/>
  <c r="D326" i="42"/>
  <c r="D319" i="42"/>
  <c r="D298" i="42"/>
  <c r="D301" i="42"/>
  <c r="D324" i="42"/>
  <c r="D284" i="42"/>
  <c r="D320" i="42"/>
  <c r="D317" i="42"/>
  <c r="Q283" i="42"/>
  <c r="P283" i="42" s="1"/>
  <c r="D291" i="42"/>
  <c r="D289" i="42"/>
  <c r="D302" i="42"/>
  <c r="D315" i="42"/>
  <c r="D285" i="42"/>
  <c r="D310" i="42"/>
  <c r="D309" i="42"/>
  <c r="D295" i="42"/>
  <c r="D300" i="42"/>
  <c r="D292" i="42"/>
  <c r="D314" i="42"/>
  <c r="D313" i="42"/>
  <c r="D328" i="42"/>
  <c r="D286" i="42"/>
  <c r="D156" i="41"/>
  <c r="Q155" i="41"/>
  <c r="P155" i="41" s="1"/>
  <c r="D361" i="43"/>
  <c r="D352" i="43"/>
  <c r="Q351" i="43"/>
  <c r="P351" i="43" s="1"/>
  <c r="D354" i="43"/>
  <c r="D353" i="43"/>
  <c r="D355" i="43"/>
  <c r="D356" i="43"/>
  <c r="D358" i="43"/>
  <c r="D359" i="43"/>
  <c r="D360" i="43"/>
  <c r="D362" i="43"/>
  <c r="D357" i="43"/>
  <c r="Q330" i="42"/>
  <c r="P330" i="42" s="1"/>
  <c r="D333" i="42"/>
  <c r="D331" i="42"/>
  <c r="D335" i="42"/>
  <c r="D332" i="42"/>
  <c r="V331" i="42"/>
  <c r="D334" i="42"/>
  <c r="D150" i="41"/>
  <c r="Q149" i="41"/>
  <c r="P149" i="41" s="1"/>
  <c r="D184" i="42"/>
  <c r="Q184" i="42" s="1"/>
  <c r="P184" i="42" s="1"/>
  <c r="D181" i="42"/>
  <c r="D180" i="42"/>
  <c r="Q180" i="42" s="1"/>
  <c r="P180" i="42" s="1"/>
  <c r="D177" i="42"/>
  <c r="D179" i="42"/>
  <c r="Q179" i="42" s="1"/>
  <c r="P179" i="42" s="1"/>
  <c r="D176" i="42"/>
  <c r="Q176" i="42" s="1"/>
  <c r="P176" i="42" s="1"/>
  <c r="Q173" i="42"/>
  <c r="P173" i="42" s="1"/>
  <c r="D174" i="42"/>
  <c r="Q174" i="42" s="1"/>
  <c r="P174" i="42" s="1"/>
  <c r="D185" i="42"/>
  <c r="V174" i="42"/>
  <c r="D183" i="42"/>
  <c r="Q183" i="42" s="1"/>
  <c r="P183" i="42" s="1"/>
  <c r="D403" i="42"/>
  <c r="Q402" i="42"/>
  <c r="P402" i="42" s="1"/>
  <c r="D49" i="43"/>
  <c r="D89" i="43"/>
  <c r="Q89" i="43" s="1"/>
  <c r="P89" i="43" s="1"/>
  <c r="D83" i="43"/>
  <c r="D59" i="43"/>
  <c r="D86" i="43"/>
  <c r="Q86" i="43" s="1"/>
  <c r="P86" i="43" s="1"/>
  <c r="D61" i="43"/>
  <c r="D73" i="43"/>
  <c r="D34" i="43"/>
  <c r="D42" i="43"/>
  <c r="D47" i="43"/>
  <c r="D44" i="43"/>
  <c r="S44" i="43" s="1"/>
  <c r="F44" i="43" s="1"/>
  <c r="D22" i="43"/>
  <c r="D87" i="43"/>
  <c r="Q87" i="43" s="1"/>
  <c r="P87" i="43" s="1"/>
  <c r="D81" i="43"/>
  <c r="D95" i="43"/>
  <c r="Q95" i="43" s="1"/>
  <c r="P95" i="43" s="1"/>
  <c r="D82" i="43"/>
  <c r="Q82" i="43" s="1"/>
  <c r="P82" i="43" s="1"/>
  <c r="D90" i="43"/>
  <c r="Q90" i="43" s="1"/>
  <c r="P90" i="43" s="1"/>
  <c r="D33" i="43"/>
  <c r="D32" i="43"/>
  <c r="D39" i="43"/>
  <c r="D45" i="43"/>
  <c r="D56" i="43"/>
  <c r="D51" i="43"/>
  <c r="Q51" i="43" s="1"/>
  <c r="P51" i="43" s="1"/>
  <c r="D31" i="43"/>
  <c r="Q31" i="43" s="1"/>
  <c r="P31" i="43" s="1"/>
  <c r="D85" i="43"/>
  <c r="Q85" i="43" s="1"/>
  <c r="P85" i="43" s="1"/>
  <c r="D68" i="43"/>
  <c r="D79" i="43"/>
  <c r="Q79" i="43" s="1"/>
  <c r="P79" i="43" s="1"/>
  <c r="D74" i="43"/>
  <c r="D57" i="43"/>
  <c r="D29" i="43"/>
  <c r="S29" i="43" s="1"/>
  <c r="F29" i="43" s="1"/>
  <c r="D43" i="43"/>
  <c r="S43" i="43" s="1"/>
  <c r="D24" i="43"/>
  <c r="D58" i="43"/>
  <c r="D54" i="43"/>
  <c r="D46" i="43"/>
  <c r="D80" i="43"/>
  <c r="D98" i="43"/>
  <c r="D75" i="43"/>
  <c r="D72" i="43"/>
  <c r="D53" i="43"/>
  <c r="D27" i="43"/>
  <c r="D18" i="43"/>
  <c r="S18" i="43" s="1"/>
  <c r="F18" i="43" s="1"/>
  <c r="D78" i="43"/>
  <c r="Q78" i="43" s="1"/>
  <c r="P78" i="43" s="1"/>
  <c r="D88" i="43"/>
  <c r="Q88" i="43" s="1"/>
  <c r="P88" i="43" s="1"/>
  <c r="D63" i="43"/>
  <c r="D70" i="43"/>
  <c r="D50" i="43"/>
  <c r="Q50" i="43" s="1"/>
  <c r="P50" i="43" s="1"/>
  <c r="D26" i="43"/>
  <c r="Q17" i="43"/>
  <c r="P17" i="43" s="1"/>
  <c r="D28" i="43"/>
  <c r="D20" i="43"/>
  <c r="S20" i="43" s="1"/>
  <c r="F20" i="43" s="1"/>
  <c r="D96" i="43"/>
  <c r="D67" i="43"/>
  <c r="D71" i="43"/>
  <c r="D60" i="43"/>
  <c r="D66" i="43"/>
  <c r="D84" i="43"/>
  <c r="Q84" i="43" s="1"/>
  <c r="P84" i="43" s="1"/>
  <c r="D36" i="43"/>
  <c r="Q36" i="43" s="1"/>
  <c r="P36" i="43" s="1"/>
  <c r="D19" i="43"/>
  <c r="D21" i="43"/>
  <c r="D35" i="43"/>
  <c r="D23" i="43"/>
  <c r="D38" i="43"/>
  <c r="Q38" i="43" s="1"/>
  <c r="P38" i="43" s="1"/>
  <c r="D94" i="43"/>
  <c r="Q94" i="43" s="1"/>
  <c r="P94" i="43" s="1"/>
  <c r="D97" i="43"/>
  <c r="D65" i="43"/>
  <c r="D55" i="43"/>
  <c r="D64" i="43"/>
  <c r="D76" i="43"/>
  <c r="D30" i="43"/>
  <c r="D37" i="43"/>
  <c r="D25" i="43"/>
  <c r="D48" i="43"/>
  <c r="D91" i="43"/>
  <c r="D92" i="43"/>
  <c r="D62" i="43"/>
  <c r="S62" i="43" s="1"/>
  <c r="F62" i="43" s="1"/>
  <c r="D52" i="43"/>
  <c r="D93" i="43"/>
  <c r="Q93" i="43" s="1"/>
  <c r="P93" i="43" s="1"/>
  <c r="D69" i="43"/>
  <c r="D41" i="43"/>
  <c r="Q41" i="43" s="1"/>
  <c r="P41" i="43" s="1"/>
  <c r="D159" i="43"/>
  <c r="Q158" i="43"/>
  <c r="P158" i="43" s="1"/>
  <c r="D274" i="43"/>
  <c r="Q273" i="43"/>
  <c r="P273" i="43" s="1"/>
  <c r="D275" i="43"/>
  <c r="Q237" i="43"/>
  <c r="P237" i="43" s="1"/>
  <c r="D239" i="43"/>
  <c r="V238" i="43"/>
  <c r="D238" i="43"/>
  <c r="D366" i="43"/>
  <c r="D368" i="43"/>
  <c r="Q364" i="43"/>
  <c r="P364" i="43" s="1"/>
  <c r="D367" i="43"/>
  <c r="D365" i="43"/>
  <c r="D361" i="42"/>
  <c r="D359" i="42"/>
  <c r="D360" i="42"/>
  <c r="D362" i="42"/>
  <c r="D356" i="42"/>
  <c r="D354" i="42"/>
  <c r="Q351" i="42"/>
  <c r="P351" i="42" s="1"/>
  <c r="D352" i="42"/>
  <c r="D357" i="42"/>
  <c r="D358" i="42"/>
  <c r="D353" i="42"/>
  <c r="D355" i="42"/>
  <c r="D112" i="43"/>
  <c r="Q112" i="43" s="1"/>
  <c r="P112" i="43" s="1"/>
  <c r="D123" i="43"/>
  <c r="D109" i="43"/>
  <c r="Q109" i="43" s="1"/>
  <c r="P109" i="43" s="1"/>
  <c r="D139" i="43"/>
  <c r="Q139" i="43" s="1"/>
  <c r="P139" i="43" s="1"/>
  <c r="D108" i="43"/>
  <c r="Q108" i="43" s="1"/>
  <c r="P108" i="43" s="1"/>
  <c r="D141" i="43"/>
  <c r="Q141" i="43" s="1"/>
  <c r="P141" i="43" s="1"/>
  <c r="D130" i="43"/>
  <c r="Q130" i="43" s="1"/>
  <c r="P130" i="43" s="1"/>
  <c r="D105" i="43"/>
  <c r="Q105" i="43" s="1"/>
  <c r="P105" i="43" s="1"/>
  <c r="D132" i="43"/>
  <c r="Q132" i="43" s="1"/>
  <c r="P132" i="43" s="1"/>
  <c r="D113" i="43"/>
  <c r="S113" i="43" s="1"/>
  <c r="F113" i="43" s="1"/>
  <c r="D104" i="43"/>
  <c r="Q104" i="43" s="1"/>
  <c r="P104" i="43" s="1"/>
  <c r="S100" i="43"/>
  <c r="D127" i="43"/>
  <c r="Q127" i="43" s="1"/>
  <c r="P127" i="43" s="1"/>
  <c r="D136" i="43"/>
  <c r="D133" i="43"/>
  <c r="Q133" i="43" s="1"/>
  <c r="P133" i="43" s="1"/>
  <c r="D131" i="43"/>
  <c r="D124" i="43"/>
  <c r="Q124" i="43" s="1"/>
  <c r="P124" i="43" s="1"/>
  <c r="D116" i="43"/>
  <c r="Q116" i="43" s="1"/>
  <c r="P116" i="43" s="1"/>
  <c r="D138" i="43"/>
  <c r="Q138" i="43" s="1"/>
  <c r="P138" i="43" s="1"/>
  <c r="D118" i="43"/>
  <c r="D126" i="43"/>
  <c r="Q126" i="43" s="1"/>
  <c r="P126" i="43" s="1"/>
  <c r="D128" i="43"/>
  <c r="D144" i="43"/>
  <c r="Q144" i="43" s="1"/>
  <c r="P144" i="43" s="1"/>
  <c r="D117" i="43"/>
  <c r="D135" i="43"/>
  <c r="Q135" i="43" s="1"/>
  <c r="P135" i="43" s="1"/>
  <c r="D142" i="43"/>
  <c r="Q142" i="43" s="1"/>
  <c r="P142" i="43" s="1"/>
  <c r="D114" i="43"/>
  <c r="D140" i="43"/>
  <c r="Q140" i="43" s="1"/>
  <c r="P140" i="43" s="1"/>
  <c r="Q100" i="43"/>
  <c r="P100" i="43" s="1"/>
  <c r="D120" i="43"/>
  <c r="Q120" i="43" s="1"/>
  <c r="P120" i="43" s="1"/>
  <c r="D102" i="43"/>
  <c r="D110" i="43"/>
  <c r="D106" i="43"/>
  <c r="D134" i="43"/>
  <c r="Q134" i="43" s="1"/>
  <c r="P134" i="43" s="1"/>
  <c r="D101" i="43"/>
  <c r="S101" i="43" s="1"/>
  <c r="F101" i="43" s="1"/>
  <c r="D119" i="43"/>
  <c r="D143" i="43"/>
  <c r="Q143" i="43" s="1"/>
  <c r="P143" i="43" s="1"/>
  <c r="D146" i="43"/>
  <c r="D121" i="43"/>
  <c r="D125" i="43"/>
  <c r="Q125" i="43" s="1"/>
  <c r="P125" i="43" s="1"/>
  <c r="D340" i="43"/>
  <c r="Q337" i="43"/>
  <c r="P337" i="43" s="1"/>
  <c r="V338" i="43"/>
  <c r="D343" i="43"/>
  <c r="D339" i="43"/>
  <c r="D342" i="43"/>
  <c r="D338" i="43"/>
  <c r="D341" i="43"/>
  <c r="D408" i="41"/>
  <c r="D409" i="41"/>
  <c r="Q405" i="41"/>
  <c r="P405" i="41" s="1"/>
  <c r="D407" i="41"/>
  <c r="D406" i="41"/>
  <c r="Q402" i="41"/>
  <c r="P402" i="41" s="1"/>
  <c r="D403" i="41"/>
  <c r="D310" i="7"/>
  <c r="S310" i="7" s="1"/>
  <c r="D332" i="7"/>
  <c r="S332" i="7" s="1"/>
  <c r="D224" i="43"/>
  <c r="Q224" i="43" s="1"/>
  <c r="P224" i="43" s="1"/>
  <c r="D222" i="43"/>
  <c r="D218" i="43"/>
  <c r="Q217" i="43"/>
  <c r="P217" i="43" s="1"/>
  <c r="D219" i="43"/>
  <c r="V218" i="43"/>
  <c r="D221" i="43"/>
  <c r="Q221" i="43" s="1"/>
  <c r="P221" i="43" s="1"/>
  <c r="D225" i="43"/>
  <c r="D365" i="41"/>
  <c r="D367" i="41"/>
  <c r="D368" i="41"/>
  <c r="Q364" i="41"/>
  <c r="P364" i="41" s="1"/>
  <c r="D366" i="41"/>
  <c r="D328" i="43"/>
  <c r="D284" i="43"/>
  <c r="D308" i="43"/>
  <c r="Q283" i="43"/>
  <c r="P283" i="43" s="1"/>
  <c r="D292" i="43"/>
  <c r="D289" i="43"/>
  <c r="D291" i="43"/>
  <c r="D285" i="43"/>
  <c r="D299" i="43"/>
  <c r="D325" i="43"/>
  <c r="D295" i="43"/>
  <c r="D293" i="43"/>
  <c r="D319" i="43"/>
  <c r="D301" i="43"/>
  <c r="D317" i="43"/>
  <c r="D288" i="43"/>
  <c r="D322" i="43"/>
  <c r="D305" i="43"/>
  <c r="D321" i="43"/>
  <c r="D297" i="43"/>
  <c r="D315" i="43"/>
  <c r="D320" i="43"/>
  <c r="D303" i="43"/>
  <c r="D313" i="43"/>
  <c r="D290" i="43"/>
  <c r="D298" i="43"/>
  <c r="D311" i="43"/>
  <c r="D286" i="43"/>
  <c r="D309" i="43"/>
  <c r="D326" i="43"/>
  <c r="D323" i="43"/>
  <c r="D296" i="43"/>
  <c r="D294" i="43"/>
  <c r="D306" i="43"/>
  <c r="D307" i="43"/>
  <c r="D314" i="43"/>
  <c r="D310" i="43"/>
  <c r="D287" i="43"/>
  <c r="D324" i="43"/>
  <c r="D304" i="43"/>
  <c r="D312" i="43"/>
  <c r="D327" i="43"/>
  <c r="D316" i="43"/>
  <c r="D302" i="43"/>
  <c r="D300" i="43"/>
  <c r="D318" i="43"/>
  <c r="D153" i="43"/>
  <c r="Q152" i="43"/>
  <c r="P152" i="43" s="1"/>
  <c r="D377" i="41"/>
  <c r="D374" i="41"/>
  <c r="D372" i="41"/>
  <c r="Q370" i="41"/>
  <c r="P370" i="41" s="1"/>
  <c r="V371" i="41"/>
  <c r="D378" i="41"/>
  <c r="D375" i="41"/>
  <c r="D373" i="41"/>
  <c r="D371" i="41"/>
  <c r="D376" i="41"/>
  <c r="D335" i="43"/>
  <c r="V331" i="43"/>
  <c r="Q330" i="43"/>
  <c r="P330" i="43" s="1"/>
  <c r="D331" i="43"/>
  <c r="D332" i="43"/>
  <c r="D333" i="43"/>
  <c r="D334" i="43"/>
  <c r="D150" i="42"/>
  <c r="Q149" i="42"/>
  <c r="P149" i="42" s="1"/>
  <c r="D184" i="41"/>
  <c r="Q184" i="41" s="1"/>
  <c r="P184" i="41" s="1"/>
  <c r="D185" i="41"/>
  <c r="D176" i="41"/>
  <c r="Q176" i="41" s="1"/>
  <c r="P176" i="41" s="1"/>
  <c r="D174" i="41"/>
  <c r="Q174" i="41" s="1"/>
  <c r="P174" i="41" s="1"/>
  <c r="D177" i="41"/>
  <c r="D179" i="41"/>
  <c r="Q179" i="41" s="1"/>
  <c r="P179" i="41" s="1"/>
  <c r="D181" i="41"/>
  <c r="D180" i="41"/>
  <c r="Q180" i="41" s="1"/>
  <c r="P180" i="41" s="1"/>
  <c r="Q173" i="41"/>
  <c r="P173" i="41" s="1"/>
  <c r="D183" i="41"/>
  <c r="Q183" i="41" s="1"/>
  <c r="P183" i="41" s="1"/>
  <c r="V174" i="41"/>
  <c r="D163" i="7"/>
  <c r="D356" i="7"/>
  <c r="Q356" i="7" s="1"/>
  <c r="P356" i="7" s="1"/>
  <c r="D362" i="7"/>
  <c r="S362" i="7" s="1"/>
  <c r="D352" i="7"/>
  <c r="Q352" i="7" s="1"/>
  <c r="P352" i="7" s="1"/>
  <c r="Q273" i="31"/>
  <c r="P273" i="31" s="1"/>
  <c r="D228" i="7"/>
  <c r="S228" i="7" s="1"/>
  <c r="F228" i="7" s="1"/>
  <c r="Q228" i="7" s="1"/>
  <c r="P228" i="7" s="1"/>
  <c r="D229" i="7"/>
  <c r="S229" i="7" s="1"/>
  <c r="D21" i="7"/>
  <c r="S21" i="7" s="1"/>
  <c r="D81" i="7"/>
  <c r="S81" i="7" s="1"/>
  <c r="D48" i="7"/>
  <c r="Q48" i="7" s="1"/>
  <c r="P48" i="7" s="1"/>
  <c r="D64" i="7"/>
  <c r="S64" i="7" s="1"/>
  <c r="D34" i="7"/>
  <c r="D97" i="7"/>
  <c r="S97" i="7" s="1"/>
  <c r="D35" i="7"/>
  <c r="S35" i="7" s="1"/>
  <c r="F35" i="7" s="1"/>
  <c r="H35" i="7" s="1"/>
  <c r="D51" i="7"/>
  <c r="D93" i="7"/>
  <c r="Q93" i="7" s="1"/>
  <c r="P93" i="7" s="1"/>
  <c r="D82" i="7"/>
  <c r="D70" i="7"/>
  <c r="S70" i="7" s="1"/>
  <c r="D68" i="7"/>
  <c r="S68" i="7" s="1"/>
  <c r="D59" i="7"/>
  <c r="Q59" i="7" s="1"/>
  <c r="P59" i="7" s="1"/>
  <c r="D71" i="7"/>
  <c r="S71" i="7" s="1"/>
  <c r="D80" i="7"/>
  <c r="S80" i="7" s="1"/>
  <c r="D57" i="7"/>
  <c r="S57" i="7" s="1"/>
  <c r="H58" i="7" s="1"/>
  <c r="D89" i="7"/>
  <c r="Q89" i="7" s="1"/>
  <c r="P89" i="7" s="1"/>
  <c r="D67" i="7"/>
  <c r="S67" i="7" s="1"/>
  <c r="D47" i="7"/>
  <c r="S47" i="7" s="1"/>
  <c r="D33" i="7"/>
  <c r="S33" i="7" s="1"/>
  <c r="D218" i="7"/>
  <c r="S218" i="7" s="1"/>
  <c r="F218" i="7" s="1"/>
  <c r="D396" i="7"/>
  <c r="Q396" i="7" s="1"/>
  <c r="P396" i="7" s="1"/>
  <c r="Q173" i="7"/>
  <c r="P173" i="7" s="1"/>
  <c r="D176" i="7"/>
  <c r="Q345" i="7"/>
  <c r="P345" i="7" s="1"/>
  <c r="V218" i="7"/>
  <c r="G218" i="7" s="1"/>
  <c r="D49" i="7"/>
  <c r="S49" i="7" s="1"/>
  <c r="D52" i="7"/>
  <c r="Q52" i="7" s="1"/>
  <c r="P52" i="7" s="1"/>
  <c r="D20" i="7"/>
  <c r="S20" i="7" s="1"/>
  <c r="F20" i="7" s="1"/>
  <c r="H20" i="7" s="1"/>
  <c r="D88" i="7"/>
  <c r="Q88" i="7" s="1"/>
  <c r="P88" i="7" s="1"/>
  <c r="D85" i="7"/>
  <c r="Q85" i="7" s="1"/>
  <c r="P85" i="7" s="1"/>
  <c r="D45" i="7"/>
  <c r="S45" i="7" s="1"/>
  <c r="D42" i="7"/>
  <c r="S42" i="7" s="1"/>
  <c r="F42" i="7" s="1"/>
  <c r="H42" i="7" s="1"/>
  <c r="Q17" i="7"/>
  <c r="P17" i="7" s="1"/>
  <c r="D72" i="7"/>
  <c r="S72" i="7" s="1"/>
  <c r="D30" i="7"/>
  <c r="S30" i="7" s="1"/>
  <c r="D397" i="7"/>
  <c r="Q397" i="7" s="1"/>
  <c r="P397" i="7" s="1"/>
  <c r="D346" i="7"/>
  <c r="S346" i="7" s="1"/>
  <c r="Q227" i="7"/>
  <c r="P227" i="7" s="1"/>
  <c r="D231" i="7"/>
  <c r="D86" i="7"/>
  <c r="Q86" i="7" s="1"/>
  <c r="P86" i="7" s="1"/>
  <c r="D39" i="7"/>
  <c r="S39" i="7" s="1"/>
  <c r="D95" i="7"/>
  <c r="D83" i="7"/>
  <c r="Q83" i="7" s="1"/>
  <c r="P83" i="7" s="1"/>
  <c r="D50" i="7"/>
  <c r="D61" i="7"/>
  <c r="S61" i="7" s="1"/>
  <c r="D69" i="7"/>
  <c r="S69" i="7" s="1"/>
  <c r="D90" i="7"/>
  <c r="D84" i="7"/>
  <c r="D32" i="7"/>
  <c r="S32" i="7" s="1"/>
  <c r="D224" i="7"/>
  <c r="D219" i="7"/>
  <c r="S219" i="7" s="1"/>
  <c r="D398" i="7"/>
  <c r="S398" i="7" s="1"/>
  <c r="D180" i="7"/>
  <c r="D174" i="7"/>
  <c r="D235" i="7"/>
  <c r="S235" i="7" s="1"/>
  <c r="D234" i="7"/>
  <c r="D18" i="7"/>
  <c r="S18" i="7" s="1"/>
  <c r="F18" i="7" s="1"/>
  <c r="H18" i="7" s="1"/>
  <c r="D76" i="7"/>
  <c r="S76" i="7" s="1"/>
  <c r="D22" i="7"/>
  <c r="S22" i="7" s="1"/>
  <c r="D41" i="7"/>
  <c r="Q41" i="7" s="1"/>
  <c r="P41" i="7" s="1"/>
  <c r="D28" i="7"/>
  <c r="D31" i="7"/>
  <c r="D73" i="7"/>
  <c r="Q73" i="7" s="1"/>
  <c r="P73" i="7" s="1"/>
  <c r="D46" i="7"/>
  <c r="S46" i="7" s="1"/>
  <c r="D87" i="7"/>
  <c r="Q87" i="7" s="1"/>
  <c r="P87" i="7" s="1"/>
  <c r="D44" i="7"/>
  <c r="S44" i="7" s="1"/>
  <c r="F44" i="7" s="1"/>
  <c r="H44" i="7" s="1"/>
  <c r="D19" i="7"/>
  <c r="S19" i="7" s="1"/>
  <c r="D62" i="7"/>
  <c r="S62" i="7" s="1"/>
  <c r="F62" i="7" s="1"/>
  <c r="H62" i="7" s="1"/>
  <c r="D38" i="7"/>
  <c r="D75" i="7"/>
  <c r="Q75" i="7" s="1"/>
  <c r="P75" i="7" s="1"/>
  <c r="D58" i="7"/>
  <c r="S58" i="7" s="1"/>
  <c r="D53" i="7"/>
  <c r="S53" i="7" s="1"/>
  <c r="D78" i="7"/>
  <c r="D65" i="7"/>
  <c r="S65" i="7" s="1"/>
  <c r="D55" i="7"/>
  <c r="Q55" i="7" s="1"/>
  <c r="P55" i="7" s="1"/>
  <c r="Q217" i="7"/>
  <c r="P217" i="7" s="1"/>
  <c r="D399" i="7"/>
  <c r="Q399" i="7" s="1"/>
  <c r="P399" i="7" s="1"/>
  <c r="D183" i="7"/>
  <c r="Q183" i="7" s="1"/>
  <c r="P183" i="7" s="1"/>
  <c r="D177" i="7"/>
  <c r="S177" i="7" s="1"/>
  <c r="D179" i="7"/>
  <c r="Q179" i="7" s="1"/>
  <c r="P179" i="7" s="1"/>
  <c r="D348" i="7"/>
  <c r="Q348" i="7" s="1"/>
  <c r="P348" i="7" s="1"/>
  <c r="D335" i="32"/>
  <c r="Q330" i="32"/>
  <c r="P330" i="32" s="1"/>
  <c r="D331" i="32"/>
  <c r="D334" i="32"/>
  <c r="D332" i="32"/>
  <c r="V331" i="32"/>
  <c r="D333" i="32"/>
  <c r="D83" i="32"/>
  <c r="D21" i="32"/>
  <c r="S21" i="32" s="1"/>
  <c r="D18" i="32"/>
  <c r="D20" i="32"/>
  <c r="D31" i="32"/>
  <c r="Q31" i="32" s="1"/>
  <c r="P31" i="32" s="1"/>
  <c r="D45" i="32"/>
  <c r="D59" i="32"/>
  <c r="D66" i="32"/>
  <c r="D27" i="32"/>
  <c r="D35" i="32"/>
  <c r="D73" i="32"/>
  <c r="D55" i="32"/>
  <c r="D60" i="32"/>
  <c r="D75" i="32"/>
  <c r="D97" i="32"/>
  <c r="D95" i="32"/>
  <c r="Q95" i="32" s="1"/>
  <c r="P95" i="32" s="1"/>
  <c r="D90" i="32"/>
  <c r="Q90" i="32" s="1"/>
  <c r="P90" i="32" s="1"/>
  <c r="D86" i="32"/>
  <c r="Q86" i="32" s="1"/>
  <c r="P86" i="32" s="1"/>
  <c r="Q17" i="32"/>
  <c r="P17" i="32" s="1"/>
  <c r="D36" i="32"/>
  <c r="Q36" i="32" s="1"/>
  <c r="P36" i="32" s="1"/>
  <c r="D44" i="32"/>
  <c r="D48" i="32"/>
  <c r="D25" i="32"/>
  <c r="D47" i="32"/>
  <c r="D51" i="32"/>
  <c r="Q51" i="32" s="1"/>
  <c r="P51" i="32" s="1"/>
  <c r="D61" i="32"/>
  <c r="D70" i="32"/>
  <c r="D82" i="32"/>
  <c r="Q82" i="32" s="1"/>
  <c r="P82" i="32" s="1"/>
  <c r="D30" i="32"/>
  <c r="D38" i="32"/>
  <c r="Q38" i="32" s="1"/>
  <c r="P38" i="32" s="1"/>
  <c r="D56" i="32"/>
  <c r="D64" i="32"/>
  <c r="D78" i="32"/>
  <c r="Q78" i="32" s="1"/>
  <c r="P78" i="32" s="1"/>
  <c r="D29" i="32"/>
  <c r="S29" i="32" s="1"/>
  <c r="F29" i="32" s="1"/>
  <c r="D63" i="32"/>
  <c r="D92" i="32"/>
  <c r="D94" i="32"/>
  <c r="Q94" i="32" s="1"/>
  <c r="P94" i="32" s="1"/>
  <c r="D89" i="32"/>
  <c r="Q89" i="32" s="1"/>
  <c r="P89" i="32" s="1"/>
  <c r="D85" i="32"/>
  <c r="Q85" i="32" s="1"/>
  <c r="P85" i="32" s="1"/>
  <c r="D26" i="32"/>
  <c r="D37" i="32"/>
  <c r="D53" i="32"/>
  <c r="D72" i="32"/>
  <c r="D22" i="32"/>
  <c r="D62" i="32"/>
  <c r="S62" i="32" s="1"/>
  <c r="F62" i="32" s="1"/>
  <c r="D39" i="32"/>
  <c r="D65" i="32"/>
  <c r="D79" i="32"/>
  <c r="Q79" i="32" s="1"/>
  <c r="P79" i="32" s="1"/>
  <c r="D43" i="32"/>
  <c r="D49" i="32"/>
  <c r="D23" i="32"/>
  <c r="S23" i="32" s="1"/>
  <c r="F23" i="32" s="1"/>
  <c r="D34" i="32"/>
  <c r="D41" i="32"/>
  <c r="Q41" i="32" s="1"/>
  <c r="P41" i="32" s="1"/>
  <c r="D68" i="32"/>
  <c r="D19" i="32"/>
  <c r="D33" i="32"/>
  <c r="D54" i="32"/>
  <c r="D74" i="32"/>
  <c r="D96" i="32"/>
  <c r="D91" i="32"/>
  <c r="D87" i="32"/>
  <c r="Q87" i="32" s="1"/>
  <c r="P87" i="32" s="1"/>
  <c r="D80" i="32"/>
  <c r="D24" i="32"/>
  <c r="D32" i="32"/>
  <c r="D57" i="32"/>
  <c r="D69" i="32"/>
  <c r="D76" i="32"/>
  <c r="D52" i="32"/>
  <c r="D71" i="32"/>
  <c r="D88" i="32"/>
  <c r="Q88" i="32" s="1"/>
  <c r="P88" i="32" s="1"/>
  <c r="D28" i="32"/>
  <c r="D46" i="32"/>
  <c r="D67" i="32"/>
  <c r="D84" i="32"/>
  <c r="Q84" i="32" s="1"/>
  <c r="P84" i="32" s="1"/>
  <c r="D42" i="32"/>
  <c r="D58" i="32"/>
  <c r="D81" i="32"/>
  <c r="D98" i="32"/>
  <c r="D93" i="32"/>
  <c r="Q93" i="32" s="1"/>
  <c r="P93" i="32" s="1"/>
  <c r="D50" i="32"/>
  <c r="Q50" i="32" s="1"/>
  <c r="P50" i="32" s="1"/>
  <c r="D165" i="32"/>
  <c r="D166" i="32" s="1"/>
  <c r="D162" i="32"/>
  <c r="S162" i="32" s="1"/>
  <c r="F162" i="32" s="1"/>
  <c r="D163" i="32"/>
  <c r="Q161" i="32"/>
  <c r="P161" i="32" s="1"/>
  <c r="D164" i="32"/>
  <c r="S164" i="32" s="1"/>
  <c r="F164" i="32" s="1"/>
  <c r="D175" i="32"/>
  <c r="Q175" i="32" s="1"/>
  <c r="P175" i="32" s="1"/>
  <c r="D169" i="32"/>
  <c r="V162" i="32"/>
  <c r="D159" i="32"/>
  <c r="Q158" i="32"/>
  <c r="P158" i="32" s="1"/>
  <c r="Q380" i="32"/>
  <c r="P380" i="32" s="1"/>
  <c r="D386" i="32"/>
  <c r="D389" i="32"/>
  <c r="D381" i="32"/>
  <c r="D384" i="32"/>
  <c r="D388" i="32"/>
  <c r="D391" i="32"/>
  <c r="D387" i="32"/>
  <c r="D383" i="32"/>
  <c r="D390" i="32"/>
  <c r="D382" i="32"/>
  <c r="D393" i="32"/>
  <c r="D385" i="32"/>
  <c r="D392" i="32"/>
  <c r="D224" i="32"/>
  <c r="Q224" i="32" s="1"/>
  <c r="P224" i="32" s="1"/>
  <c r="D218" i="32"/>
  <c r="D222" i="32"/>
  <c r="Q217" i="32"/>
  <c r="P217" i="32" s="1"/>
  <c r="V218" i="32"/>
  <c r="D219" i="32"/>
  <c r="D225" i="32"/>
  <c r="D221" i="32"/>
  <c r="Q221" i="32" s="1"/>
  <c r="P221" i="32" s="1"/>
  <c r="D278" i="32"/>
  <c r="Q277" i="32"/>
  <c r="P277" i="32" s="1"/>
  <c r="D281" i="32"/>
  <c r="D279" i="32"/>
  <c r="D280" i="32"/>
  <c r="D275" i="32"/>
  <c r="D274" i="32"/>
  <c r="Q273" i="32"/>
  <c r="P273" i="32" s="1"/>
  <c r="Q167" i="32"/>
  <c r="P167" i="32" s="1"/>
  <c r="D168" i="32"/>
  <c r="D170" i="32"/>
  <c r="D171" i="32"/>
  <c r="V168" i="32"/>
  <c r="D150" i="32"/>
  <c r="Q149" i="32"/>
  <c r="P149" i="32" s="1"/>
  <c r="D238" i="32"/>
  <c r="Q237" i="32"/>
  <c r="P237" i="32" s="1"/>
  <c r="V238" i="32"/>
  <c r="D239" i="32"/>
  <c r="D397" i="32"/>
  <c r="Q395" i="32"/>
  <c r="P395" i="32" s="1"/>
  <c r="D396" i="32"/>
  <c r="D399" i="32"/>
  <c r="D398" i="32"/>
  <c r="D400" i="32"/>
  <c r="D144" i="32"/>
  <c r="Q144" i="32" s="1"/>
  <c r="P144" i="32" s="1"/>
  <c r="D102" i="32"/>
  <c r="D116" i="32"/>
  <c r="Q116" i="32" s="1"/>
  <c r="P116" i="32" s="1"/>
  <c r="D110" i="32"/>
  <c r="D123" i="32"/>
  <c r="D112" i="32"/>
  <c r="Q112" i="32" s="1"/>
  <c r="P112" i="32" s="1"/>
  <c r="D124" i="32"/>
  <c r="Q124" i="32" s="1"/>
  <c r="P124" i="32" s="1"/>
  <c r="D132" i="32"/>
  <c r="Q132" i="32" s="1"/>
  <c r="P132" i="32" s="1"/>
  <c r="D136" i="32"/>
  <c r="Q100" i="32"/>
  <c r="P100" i="32" s="1"/>
  <c r="D119" i="32"/>
  <c r="D139" i="32"/>
  <c r="Q139" i="32" s="1"/>
  <c r="P139" i="32" s="1"/>
  <c r="D143" i="32"/>
  <c r="Q143" i="32" s="1"/>
  <c r="P143" i="32" s="1"/>
  <c r="D104" i="32"/>
  <c r="Q104" i="32" s="1"/>
  <c r="P104" i="32" s="1"/>
  <c r="D120" i="32"/>
  <c r="Q120" i="32" s="1"/>
  <c r="P120" i="32" s="1"/>
  <c r="D113" i="32"/>
  <c r="Q113" i="32" s="1"/>
  <c r="P113" i="32" s="1"/>
  <c r="D128" i="32"/>
  <c r="D117" i="32"/>
  <c r="S117" i="32" s="1"/>
  <c r="F117" i="32" s="1"/>
  <c r="D125" i="32"/>
  <c r="Q125" i="32" s="1"/>
  <c r="P125" i="32" s="1"/>
  <c r="D133" i="32"/>
  <c r="Q133" i="32" s="1"/>
  <c r="P133" i="32" s="1"/>
  <c r="D105" i="32"/>
  <c r="Q105" i="32" s="1"/>
  <c r="P105" i="32" s="1"/>
  <c r="D121" i="32"/>
  <c r="D140" i="32"/>
  <c r="Q140" i="32" s="1"/>
  <c r="P140" i="32" s="1"/>
  <c r="S100" i="32"/>
  <c r="D108" i="32"/>
  <c r="Q108" i="32" s="1"/>
  <c r="P108" i="32" s="1"/>
  <c r="D138" i="32"/>
  <c r="Q138" i="32" s="1"/>
  <c r="P138" i="32" s="1"/>
  <c r="D101" i="32"/>
  <c r="D127" i="32"/>
  <c r="Q127" i="32" s="1"/>
  <c r="P127" i="32" s="1"/>
  <c r="D135" i="32"/>
  <c r="Q135" i="32" s="1"/>
  <c r="P135" i="32" s="1"/>
  <c r="D114" i="32"/>
  <c r="D130" i="32"/>
  <c r="Q130" i="32" s="1"/>
  <c r="P130" i="32" s="1"/>
  <c r="D142" i="32"/>
  <c r="Q142" i="32" s="1"/>
  <c r="P142" i="32" s="1"/>
  <c r="D118" i="32"/>
  <c r="D141" i="32"/>
  <c r="Q141" i="32" s="1"/>
  <c r="P141" i="32" s="1"/>
  <c r="D106" i="32"/>
  <c r="D131" i="32"/>
  <c r="D146" i="32"/>
  <c r="D126" i="32"/>
  <c r="Q126" i="32" s="1"/>
  <c r="P126" i="32" s="1"/>
  <c r="D109" i="32"/>
  <c r="Q109" i="32" s="1"/>
  <c r="P109" i="32" s="1"/>
  <c r="D134" i="32"/>
  <c r="Q134" i="32" s="1"/>
  <c r="P134" i="32" s="1"/>
  <c r="D211" i="32"/>
  <c r="Q211" i="32" s="1"/>
  <c r="P211" i="32" s="1"/>
  <c r="D195" i="32"/>
  <c r="D203" i="32"/>
  <c r="D215" i="32"/>
  <c r="D193" i="32"/>
  <c r="D201" i="32"/>
  <c r="D214" i="32"/>
  <c r="Q214" i="32" s="1"/>
  <c r="P214" i="32" s="1"/>
  <c r="D191" i="32"/>
  <c r="Q191" i="32" s="1"/>
  <c r="P191" i="32" s="1"/>
  <c r="D199" i="32"/>
  <c r="D212" i="32"/>
  <c r="D194" i="32"/>
  <c r="D205" i="32"/>
  <c r="D197" i="32"/>
  <c r="D192" i="32"/>
  <c r="D200" i="32"/>
  <c r="Q200" i="32" s="1"/>
  <c r="P200" i="32" s="1"/>
  <c r="D209" i="32"/>
  <c r="D189" i="32"/>
  <c r="D198" i="32"/>
  <c r="D196" i="32"/>
  <c r="D190" i="32"/>
  <c r="D207" i="32"/>
  <c r="D204" i="32"/>
  <c r="D188" i="32"/>
  <c r="D206" i="32"/>
  <c r="V188" i="32"/>
  <c r="D208" i="32"/>
  <c r="D185" i="32"/>
  <c r="D179" i="32"/>
  <c r="Q179" i="32" s="1"/>
  <c r="P179" i="32" s="1"/>
  <c r="D180" i="32"/>
  <c r="Q180" i="32" s="1"/>
  <c r="P180" i="32" s="1"/>
  <c r="D181" i="32"/>
  <c r="D177" i="32"/>
  <c r="D184" i="32"/>
  <c r="Q184" i="32" s="1"/>
  <c r="P184" i="32" s="1"/>
  <c r="D183" i="32"/>
  <c r="Q183" i="32" s="1"/>
  <c r="P183" i="32" s="1"/>
  <c r="D176" i="32"/>
  <c r="Q176" i="32" s="1"/>
  <c r="P176" i="32" s="1"/>
  <c r="Q173" i="32"/>
  <c r="P173" i="32" s="1"/>
  <c r="D174" i="32"/>
  <c r="Q174" i="32" s="1"/>
  <c r="P174" i="32" s="1"/>
  <c r="V174" i="32"/>
  <c r="D340" i="32"/>
  <c r="D342" i="32"/>
  <c r="D338" i="32"/>
  <c r="V338" i="32"/>
  <c r="Q337" i="32"/>
  <c r="P337" i="32" s="1"/>
  <c r="D341" i="32"/>
  <c r="D343" i="32"/>
  <c r="D339" i="32"/>
  <c r="D367" i="32"/>
  <c r="Q364" i="32"/>
  <c r="P364" i="32" s="1"/>
  <c r="D368" i="32"/>
  <c r="D366" i="32"/>
  <c r="D365" i="32"/>
  <c r="D325" i="32"/>
  <c r="D309" i="32"/>
  <c r="D324" i="32"/>
  <c r="D327" i="32"/>
  <c r="D311" i="32"/>
  <c r="D300" i="32"/>
  <c r="D289" i="32"/>
  <c r="D305" i="32"/>
  <c r="D288" i="32"/>
  <c r="D298" i="32"/>
  <c r="D310" i="32"/>
  <c r="D286" i="32"/>
  <c r="D321" i="32"/>
  <c r="D306" i="32"/>
  <c r="D320" i="32"/>
  <c r="D323" i="32"/>
  <c r="D308" i="32"/>
  <c r="D299" i="32"/>
  <c r="D285" i="32"/>
  <c r="D301" i="32"/>
  <c r="D284" i="32"/>
  <c r="D294" i="32"/>
  <c r="D304" i="32"/>
  <c r="D290" i="32"/>
  <c r="D313" i="32"/>
  <c r="D312" i="32"/>
  <c r="D307" i="32"/>
  <c r="D322" i="32"/>
  <c r="D303" i="32"/>
  <c r="D293" i="32"/>
  <c r="D302" i="32"/>
  <c r="D319" i="32"/>
  <c r="D296" i="32"/>
  <c r="D295" i="32"/>
  <c r="D287" i="32"/>
  <c r="D328" i="32"/>
  <c r="D291" i="32"/>
  <c r="D317" i="32"/>
  <c r="D316" i="32"/>
  <c r="D318" i="32"/>
  <c r="Q283" i="32"/>
  <c r="P283" i="32" s="1"/>
  <c r="D326" i="32"/>
  <c r="D297" i="32"/>
  <c r="D315" i="32"/>
  <c r="D292" i="32"/>
  <c r="D314" i="32"/>
  <c r="D346" i="32"/>
  <c r="D348" i="32"/>
  <c r="D347" i="32"/>
  <c r="Q345" i="32"/>
  <c r="P345" i="32" s="1"/>
  <c r="D349" i="32"/>
  <c r="D153" i="32"/>
  <c r="Q152" i="32"/>
  <c r="P152" i="32" s="1"/>
  <c r="D156" i="32"/>
  <c r="Q155" i="32"/>
  <c r="P155" i="32" s="1"/>
  <c r="D229" i="32"/>
  <c r="V228" i="32"/>
  <c r="D228" i="32"/>
  <c r="Q227" i="32"/>
  <c r="P227" i="32" s="1"/>
  <c r="D235" i="32"/>
  <c r="D234" i="32"/>
  <c r="Q234" i="32" s="1"/>
  <c r="P234" i="32" s="1"/>
  <c r="D232" i="32"/>
  <c r="D231" i="32"/>
  <c r="Q231" i="32" s="1"/>
  <c r="P231" i="32" s="1"/>
  <c r="D406" i="32"/>
  <c r="D409" i="32"/>
  <c r="D408" i="32"/>
  <c r="D407" i="32"/>
  <c r="Q405" i="32"/>
  <c r="P405" i="32" s="1"/>
  <c r="D403" i="32"/>
  <c r="Q402" i="32"/>
  <c r="P402" i="32" s="1"/>
  <c r="D373" i="32"/>
  <c r="D378" i="32"/>
  <c r="D375" i="32"/>
  <c r="D371" i="32"/>
  <c r="Q370" i="32"/>
  <c r="P370" i="32" s="1"/>
  <c r="V371" i="32"/>
  <c r="D372" i="32"/>
  <c r="D376" i="32"/>
  <c r="D377" i="32"/>
  <c r="D374" i="32"/>
  <c r="D359" i="32"/>
  <c r="D358" i="32"/>
  <c r="D352" i="32"/>
  <c r="D362" i="32"/>
  <c r="D361" i="32"/>
  <c r="D360" i="32"/>
  <c r="D354" i="32"/>
  <c r="D356" i="32"/>
  <c r="D353" i="32"/>
  <c r="Q351" i="32"/>
  <c r="P351" i="32" s="1"/>
  <c r="D355" i="32"/>
  <c r="D357" i="32"/>
  <c r="D242" i="31"/>
  <c r="D253" i="31" s="1"/>
  <c r="Q253" i="31" s="1"/>
  <c r="P253" i="31" s="1"/>
  <c r="D242" i="32"/>
  <c r="D241" i="31"/>
  <c r="D272" i="31" s="1"/>
  <c r="D241" i="32"/>
  <c r="D164" i="7"/>
  <c r="S164" i="7" s="1"/>
  <c r="F164" i="7" s="1"/>
  <c r="V164" i="7" s="1"/>
  <c r="V166" i="7" s="1"/>
  <c r="D175" i="7"/>
  <c r="D281" i="7"/>
  <c r="S281" i="7" s="1"/>
  <c r="D278" i="7"/>
  <c r="S278" i="7" s="1"/>
  <c r="F278" i="7" s="1"/>
  <c r="V278" i="7" s="1"/>
  <c r="D354" i="7"/>
  <c r="S354" i="7" s="1"/>
  <c r="F354" i="7" s="1"/>
  <c r="D358" i="7"/>
  <c r="Q358" i="7" s="1"/>
  <c r="P358" i="7" s="1"/>
  <c r="D359" i="7"/>
  <c r="Q359" i="7" s="1"/>
  <c r="P359" i="7" s="1"/>
  <c r="D340" i="7"/>
  <c r="Q340" i="7" s="1"/>
  <c r="P340" i="7" s="1"/>
  <c r="Q152" i="7"/>
  <c r="P152" i="7" s="1"/>
  <c r="D169" i="7"/>
  <c r="Q277" i="7"/>
  <c r="P277" i="7" s="1"/>
  <c r="D361" i="7"/>
  <c r="S361" i="7" s="1"/>
  <c r="Q351" i="7"/>
  <c r="P351" i="7" s="1"/>
  <c r="D353" i="7"/>
  <c r="Q353" i="7" s="1"/>
  <c r="P353" i="7" s="1"/>
  <c r="Q337" i="7"/>
  <c r="P337" i="7" s="1"/>
  <c r="D342" i="7"/>
  <c r="Q342" i="7" s="1"/>
  <c r="P342" i="7" s="1"/>
  <c r="D366" i="7"/>
  <c r="Q366" i="7" s="1"/>
  <c r="P366" i="7" s="1"/>
  <c r="D408" i="7"/>
  <c r="S408" i="7" s="1"/>
  <c r="Q405" i="7"/>
  <c r="P405" i="7" s="1"/>
  <c r="D409" i="7"/>
  <c r="S409" i="7" s="1"/>
  <c r="D162" i="7"/>
  <c r="S162" i="7" s="1"/>
  <c r="F162" i="7" s="1"/>
  <c r="Q161" i="7"/>
  <c r="P161" i="7" s="1"/>
  <c r="D357" i="7"/>
  <c r="Q357" i="7" s="1"/>
  <c r="P357" i="7" s="1"/>
  <c r="D355" i="7"/>
  <c r="S355" i="7" s="1"/>
  <c r="D339" i="7"/>
  <c r="Q339" i="7" s="1"/>
  <c r="P339" i="7" s="1"/>
  <c r="D341" i="7"/>
  <c r="Q341" i="7" s="1"/>
  <c r="P341" i="7" s="1"/>
  <c r="D320" i="7"/>
  <c r="S320" i="7" s="1"/>
  <c r="D315" i="7"/>
  <c r="S315" i="7" s="1"/>
  <c r="D288" i="7"/>
  <c r="S288" i="7" s="1"/>
  <c r="D302" i="7"/>
  <c r="S302" i="7" s="1"/>
  <c r="D319" i="7"/>
  <c r="S319" i="7" s="1"/>
  <c r="D300" i="7"/>
  <c r="S300" i="7" s="1"/>
  <c r="D290" i="7"/>
  <c r="S290" i="7" s="1"/>
  <c r="D295" i="7"/>
  <c r="S295" i="7" s="1"/>
  <c r="D291" i="7"/>
  <c r="S291" i="7" s="1"/>
  <c r="D292" i="7"/>
  <c r="S292" i="7" s="1"/>
  <c r="D286" i="7"/>
  <c r="S286" i="7" s="1"/>
  <c r="D335" i="7"/>
  <c r="D336" i="7" s="1"/>
  <c r="S366" i="31"/>
  <c r="Q366" i="31"/>
  <c r="P366" i="31" s="1"/>
  <c r="S305" i="31"/>
  <c r="F305" i="31" s="1"/>
  <c r="Q305" i="31"/>
  <c r="P305" i="31" s="1"/>
  <c r="D350" i="31"/>
  <c r="Q350" i="31" s="1"/>
  <c r="P350" i="31" s="1"/>
  <c r="S349" i="31"/>
  <c r="F349" i="31" s="1"/>
  <c r="Q349" i="31"/>
  <c r="P349" i="31" s="1"/>
  <c r="Q153" i="31"/>
  <c r="P153" i="31" s="1"/>
  <c r="S153" i="31"/>
  <c r="D154" i="31"/>
  <c r="Q154" i="31" s="1"/>
  <c r="P154" i="31" s="1"/>
  <c r="Q232" i="31"/>
  <c r="P232" i="31" s="1"/>
  <c r="S232" i="31"/>
  <c r="D233" i="31"/>
  <c r="Q233" i="31" s="1"/>
  <c r="P233" i="31" s="1"/>
  <c r="S406" i="31"/>
  <c r="Q406" i="31"/>
  <c r="P406" i="31" s="1"/>
  <c r="Q278" i="31"/>
  <c r="P278" i="31" s="1"/>
  <c r="S278" i="31"/>
  <c r="F278" i="31" s="1"/>
  <c r="S362" i="31"/>
  <c r="Q362" i="31"/>
  <c r="P362" i="31" s="1"/>
  <c r="D363" i="31"/>
  <c r="Q363" i="31" s="1"/>
  <c r="P363" i="31" s="1"/>
  <c r="S275" i="31"/>
  <c r="D276" i="31"/>
  <c r="Q276" i="31" s="1"/>
  <c r="P276" i="31" s="1"/>
  <c r="Q275" i="31"/>
  <c r="P275" i="31" s="1"/>
  <c r="D336" i="31"/>
  <c r="Q336" i="31" s="1"/>
  <c r="P336" i="31" s="1"/>
  <c r="S335" i="31"/>
  <c r="Q335" i="31"/>
  <c r="P335" i="31" s="1"/>
  <c r="Q75" i="31"/>
  <c r="P75" i="31" s="1"/>
  <c r="S75" i="31"/>
  <c r="Q170" i="31"/>
  <c r="P170" i="31" s="1"/>
  <c r="V170" i="31"/>
  <c r="G170" i="31" s="1"/>
  <c r="F171" i="31"/>
  <c r="S239" i="31"/>
  <c r="D240" i="31"/>
  <c r="Q240" i="31" s="1"/>
  <c r="P240" i="31" s="1"/>
  <c r="Q239" i="31"/>
  <c r="P239" i="31" s="1"/>
  <c r="Q399" i="31"/>
  <c r="P399" i="31" s="1"/>
  <c r="S399" i="31"/>
  <c r="Q156" i="7"/>
  <c r="P156" i="7" s="1"/>
  <c r="D157" i="7"/>
  <c r="Q157" i="7" s="1"/>
  <c r="P157" i="7" s="1"/>
  <c r="G188" i="7"/>
  <c r="D242" i="7"/>
  <c r="D269" i="7" s="1"/>
  <c r="Q269" i="7" s="1"/>
  <c r="P269" i="7" s="1"/>
  <c r="D241" i="7"/>
  <c r="V242" i="7" s="1"/>
  <c r="G242" i="7" s="1"/>
  <c r="R242" i="7" s="1"/>
  <c r="G269" i="7"/>
  <c r="H269" i="7" s="1"/>
  <c r="G238" i="7"/>
  <c r="H331" i="7"/>
  <c r="R331" i="7"/>
  <c r="S94" i="7"/>
  <c r="S51" i="7"/>
  <c r="S142" i="7"/>
  <c r="S109" i="7"/>
  <c r="F109" i="7" s="1"/>
  <c r="S134" i="7"/>
  <c r="S200" i="7"/>
  <c r="S312" i="7"/>
  <c r="Q347" i="7"/>
  <c r="P347" i="7" s="1"/>
  <c r="S347" i="7"/>
  <c r="S86" i="7"/>
  <c r="S88" i="7"/>
  <c r="S85" i="7"/>
  <c r="S50" i="7"/>
  <c r="F50" i="7" s="1"/>
  <c r="S84" i="7"/>
  <c r="S175" i="7"/>
  <c r="Q384" i="7"/>
  <c r="P384" i="7" s="1"/>
  <c r="S384" i="7"/>
  <c r="Q360" i="7"/>
  <c r="P360" i="7" s="1"/>
  <c r="S360" i="7"/>
  <c r="S135" i="7"/>
  <c r="S140" i="7"/>
  <c r="S143" i="7"/>
  <c r="S141" i="7"/>
  <c r="S120" i="7"/>
  <c r="S195" i="7"/>
  <c r="S193" i="7"/>
  <c r="S176" i="7"/>
  <c r="F176" i="7" s="1"/>
  <c r="V176" i="7" s="1"/>
  <c r="Q406" i="7"/>
  <c r="P406" i="7" s="1"/>
  <c r="S406" i="7"/>
  <c r="S79" i="7"/>
  <c r="S279" i="7"/>
  <c r="S126" i="7"/>
  <c r="S132" i="7"/>
  <c r="S191" i="7"/>
  <c r="F191" i="7" s="1"/>
  <c r="H191" i="7" s="1"/>
  <c r="S197" i="7"/>
  <c r="S205" i="7"/>
  <c r="S93" i="7"/>
  <c r="S82" i="7"/>
  <c r="S89" i="7"/>
  <c r="S163" i="7"/>
  <c r="S144" i="7"/>
  <c r="S133" i="7"/>
  <c r="S199" i="7"/>
  <c r="S184" i="7"/>
  <c r="F184" i="7" s="1"/>
  <c r="V184" i="7" s="1"/>
  <c r="G184" i="7" s="1"/>
  <c r="S87" i="7"/>
  <c r="Q24" i="7"/>
  <c r="P24" i="7" s="1"/>
  <c r="S24" i="7"/>
  <c r="S169" i="7"/>
  <c r="S139" i="7"/>
  <c r="S124" i="7"/>
  <c r="S105" i="7"/>
  <c r="F105" i="7" s="1"/>
  <c r="S125" i="7"/>
  <c r="S127" i="7"/>
  <c r="S189" i="7"/>
  <c r="F213" i="7"/>
  <c r="S180" i="7"/>
  <c r="F180" i="7" s="1"/>
  <c r="V180" i="7" s="1"/>
  <c r="G180" i="7" s="1"/>
  <c r="S174" i="7"/>
  <c r="F174" i="7" s="1"/>
  <c r="Q365" i="7"/>
  <c r="P365" i="7" s="1"/>
  <c r="S365" i="7"/>
  <c r="H46" i="10"/>
  <c r="J46" i="10" s="1"/>
  <c r="D226" i="7"/>
  <c r="Q153" i="7"/>
  <c r="P153" i="7" s="1"/>
  <c r="D154" i="7"/>
  <c r="Q154" i="7" s="1"/>
  <c r="P154" i="7" s="1"/>
  <c r="Q149" i="7"/>
  <c r="P149" i="7" s="1"/>
  <c r="D150" i="7"/>
  <c r="S150" i="7" s="1"/>
  <c r="D401" i="7"/>
  <c r="Q401" i="7" s="1"/>
  <c r="P401" i="7" s="1"/>
  <c r="Q400" i="7"/>
  <c r="P400" i="7" s="1"/>
  <c r="Q159" i="7"/>
  <c r="P159" i="7" s="1"/>
  <c r="D160" i="7"/>
  <c r="Q160" i="7" s="1"/>
  <c r="P160" i="7" s="1"/>
  <c r="S274" i="31" l="1"/>
  <c r="F274" i="31" s="1"/>
  <c r="F275" i="31" s="1"/>
  <c r="V275" i="31" s="1"/>
  <c r="G275" i="31" s="1"/>
  <c r="R275" i="31" s="1"/>
  <c r="D404" i="7"/>
  <c r="Q403" i="7"/>
  <c r="P403" i="7" s="1"/>
  <c r="H403" i="7"/>
  <c r="H404" i="7" s="1"/>
  <c r="S357" i="31"/>
  <c r="S343" i="31"/>
  <c r="Q343" i="31"/>
  <c r="P343" i="31" s="1"/>
  <c r="Q383" i="7"/>
  <c r="P383" i="7" s="1"/>
  <c r="Q286" i="31"/>
  <c r="P286" i="31" s="1"/>
  <c r="Q121" i="31"/>
  <c r="P121" i="31" s="1"/>
  <c r="S327" i="31"/>
  <c r="F327" i="31" s="1"/>
  <c r="Q342" i="31"/>
  <c r="P342" i="31" s="1"/>
  <c r="S341" i="31"/>
  <c r="Q98" i="31"/>
  <c r="P98" i="31" s="1"/>
  <c r="S80" i="31"/>
  <c r="S381" i="31"/>
  <c r="S376" i="31"/>
  <c r="F376" i="31" s="1"/>
  <c r="V376" i="31" s="1"/>
  <c r="G376" i="31" s="1"/>
  <c r="H376" i="31" s="1"/>
  <c r="N376" i="31" s="1"/>
  <c r="O376" i="31" s="1"/>
  <c r="S377" i="31"/>
  <c r="Q407" i="31"/>
  <c r="P407" i="31" s="1"/>
  <c r="S54" i="7"/>
  <c r="Q368" i="31"/>
  <c r="P368" i="31" s="1"/>
  <c r="S368" i="31"/>
  <c r="S386" i="31"/>
  <c r="Q146" i="31"/>
  <c r="P146" i="31" s="1"/>
  <c r="Q171" i="31"/>
  <c r="P171" i="31" s="1"/>
  <c r="S372" i="31"/>
  <c r="F372" i="31" s="1"/>
  <c r="V372" i="31" s="1"/>
  <c r="S26" i="7"/>
  <c r="Q177" i="31"/>
  <c r="P177" i="31" s="1"/>
  <c r="S408" i="31"/>
  <c r="S306" i="31"/>
  <c r="F306" i="31" s="1"/>
  <c r="F329" i="31" s="1"/>
  <c r="Q218" i="31"/>
  <c r="P218" i="31" s="1"/>
  <c r="F216" i="31"/>
  <c r="D99" i="7"/>
  <c r="S74" i="7"/>
  <c r="Q28" i="42"/>
  <c r="P28" i="42" s="1"/>
  <c r="S26" i="31"/>
  <c r="Q378" i="31"/>
  <c r="P378" i="31" s="1"/>
  <c r="G174" i="31"/>
  <c r="G175" i="31" s="1"/>
  <c r="H175" i="31" s="1"/>
  <c r="Q96" i="31"/>
  <c r="P96" i="31" s="1"/>
  <c r="D223" i="7"/>
  <c r="S331" i="31"/>
  <c r="F331" i="31" s="1"/>
  <c r="F334" i="31" s="1"/>
  <c r="V334" i="31" s="1"/>
  <c r="G334" i="31" s="1"/>
  <c r="S385" i="7"/>
  <c r="Q375" i="31"/>
  <c r="P375" i="31" s="1"/>
  <c r="S290" i="31"/>
  <c r="F290" i="31" s="1"/>
  <c r="V290" i="31" s="1"/>
  <c r="G290" i="31" s="1"/>
  <c r="S319" i="31"/>
  <c r="F319" i="31" s="1"/>
  <c r="Q407" i="7"/>
  <c r="P407" i="7" s="1"/>
  <c r="S397" i="31"/>
  <c r="S387" i="31"/>
  <c r="D160" i="31"/>
  <c r="Q160" i="31" s="1"/>
  <c r="P160" i="31" s="1"/>
  <c r="Q396" i="31"/>
  <c r="P396" i="31" s="1"/>
  <c r="S388" i="31"/>
  <c r="S389" i="31"/>
  <c r="Q385" i="31"/>
  <c r="P385" i="31" s="1"/>
  <c r="Q37" i="31"/>
  <c r="P37" i="31" s="1"/>
  <c r="S340" i="31"/>
  <c r="S64" i="31"/>
  <c r="S388" i="7"/>
  <c r="D186" i="31"/>
  <c r="Q186" i="31" s="1"/>
  <c r="P186" i="31" s="1"/>
  <c r="Q98" i="7"/>
  <c r="P98" i="7" s="1"/>
  <c r="Q238" i="31"/>
  <c r="P238" i="31" s="1"/>
  <c r="Q371" i="31"/>
  <c r="P371" i="31" s="1"/>
  <c r="Q304" i="31"/>
  <c r="P304" i="31" s="1"/>
  <c r="S393" i="31"/>
  <c r="Q393" i="31"/>
  <c r="P393" i="31" s="1"/>
  <c r="Q24" i="31"/>
  <c r="P24" i="31" s="1"/>
  <c r="D166" i="7"/>
  <c r="S315" i="31"/>
  <c r="F315" i="31" s="1"/>
  <c r="D172" i="7"/>
  <c r="Q333" i="31"/>
  <c r="P333" i="31" s="1"/>
  <c r="Q374" i="31"/>
  <c r="P374" i="31" s="1"/>
  <c r="S131" i="31"/>
  <c r="S391" i="31"/>
  <c r="Q281" i="31"/>
  <c r="P281" i="31" s="1"/>
  <c r="Q352" i="31"/>
  <c r="P352" i="31" s="1"/>
  <c r="D157" i="31"/>
  <c r="Q157" i="31" s="1"/>
  <c r="P157" i="31" s="1"/>
  <c r="S281" i="31"/>
  <c r="F281" i="31" s="1"/>
  <c r="V281" i="31" s="1"/>
  <c r="G281" i="31" s="1"/>
  <c r="Q156" i="31"/>
  <c r="P156" i="31" s="1"/>
  <c r="S382" i="31"/>
  <c r="S313" i="31"/>
  <c r="F313" i="31" s="1"/>
  <c r="S392" i="31"/>
  <c r="S307" i="31"/>
  <c r="F307" i="31" s="1"/>
  <c r="Q20" i="31"/>
  <c r="P20" i="31" s="1"/>
  <c r="D186" i="7"/>
  <c r="Q70" i="31"/>
  <c r="P70" i="31" s="1"/>
  <c r="S358" i="31"/>
  <c r="Q212" i="7"/>
  <c r="P212" i="7" s="1"/>
  <c r="D213" i="7"/>
  <c r="S318" i="31"/>
  <c r="F318" i="31" s="1"/>
  <c r="D129" i="31"/>
  <c r="Q129" i="31" s="1"/>
  <c r="P129" i="31" s="1"/>
  <c r="Q22" i="31"/>
  <c r="P22" i="31" s="1"/>
  <c r="Q332" i="31"/>
  <c r="P332" i="31" s="1"/>
  <c r="Q334" i="31"/>
  <c r="P334" i="31" s="1"/>
  <c r="D240" i="7"/>
  <c r="Q240" i="7" s="1"/>
  <c r="P240" i="7" s="1"/>
  <c r="Q360" i="31"/>
  <c r="P360" i="31" s="1"/>
  <c r="D103" i="7"/>
  <c r="S52" i="31"/>
  <c r="F53" i="31" s="1"/>
  <c r="H53" i="31" s="1"/>
  <c r="N53" i="31" s="1"/>
  <c r="O53" i="31" s="1"/>
  <c r="S384" i="31"/>
  <c r="Q67" i="31"/>
  <c r="P67" i="31" s="1"/>
  <c r="Q367" i="31"/>
  <c r="P367" i="31" s="1"/>
  <c r="D182" i="31"/>
  <c r="Q182" i="31" s="1"/>
  <c r="P182" i="31" s="1"/>
  <c r="S228" i="31"/>
  <c r="F228" i="31" s="1"/>
  <c r="F229" i="31" s="1"/>
  <c r="V229" i="31" s="1"/>
  <c r="Q293" i="31"/>
  <c r="P293" i="31" s="1"/>
  <c r="Q110" i="31"/>
  <c r="P110" i="31" s="1"/>
  <c r="Q150" i="31"/>
  <c r="P150" i="31" s="1"/>
  <c r="D151" i="31"/>
  <c r="Q151" i="31" s="1"/>
  <c r="P151" i="31" s="1"/>
  <c r="S338" i="31"/>
  <c r="F338" i="31" s="1"/>
  <c r="F344" i="31" s="1"/>
  <c r="S68" i="31"/>
  <c r="Q215" i="7"/>
  <c r="P215" i="7" s="1"/>
  <c r="J215" i="7"/>
  <c r="J216" i="7" s="1"/>
  <c r="S361" i="31"/>
  <c r="S60" i="7"/>
  <c r="S296" i="31"/>
  <c r="F296" i="31" s="1"/>
  <c r="S58" i="31"/>
  <c r="S301" i="31"/>
  <c r="F301" i="31" s="1"/>
  <c r="D216" i="7"/>
  <c r="Q216" i="7" s="1"/>
  <c r="P216" i="7" s="1"/>
  <c r="N215" i="7"/>
  <c r="N216" i="7" s="1"/>
  <c r="Q188" i="31"/>
  <c r="P188" i="31" s="1"/>
  <c r="S46" i="31"/>
  <c r="F47" i="31" s="1"/>
  <c r="Q47" i="31" s="1"/>
  <c r="P47" i="31" s="1"/>
  <c r="Q324" i="31"/>
  <c r="P324" i="31" s="1"/>
  <c r="Q128" i="7"/>
  <c r="P128" i="7" s="1"/>
  <c r="D129" i="7"/>
  <c r="D216" i="31"/>
  <c r="Q216" i="31" s="1"/>
  <c r="P216" i="31" s="1"/>
  <c r="F189" i="31"/>
  <c r="Q189" i="31" s="1"/>
  <c r="P189" i="31" s="1"/>
  <c r="S354" i="31"/>
  <c r="F354" i="31" s="1"/>
  <c r="F363" i="31" s="1"/>
  <c r="S338" i="7"/>
  <c r="F338" i="7" s="1"/>
  <c r="Q235" i="31"/>
  <c r="P235" i="31" s="1"/>
  <c r="F192" i="31"/>
  <c r="Q192" i="31" s="1"/>
  <c r="P192" i="31" s="1"/>
  <c r="Q190" i="31"/>
  <c r="P190" i="31" s="1"/>
  <c r="Q328" i="31"/>
  <c r="P328" i="31" s="1"/>
  <c r="Q27" i="31"/>
  <c r="P27" i="31" s="1"/>
  <c r="Q348" i="31"/>
  <c r="P348" i="31" s="1"/>
  <c r="S328" i="31"/>
  <c r="F328" i="31" s="1"/>
  <c r="S57" i="31"/>
  <c r="S69" i="31"/>
  <c r="S347" i="31"/>
  <c r="S292" i="31"/>
  <c r="F292" i="31" s="1"/>
  <c r="S279" i="31"/>
  <c r="F279" i="31" s="1"/>
  <c r="V279" i="31" s="1"/>
  <c r="G279" i="31" s="1"/>
  <c r="Q54" i="31"/>
  <c r="P54" i="31" s="1"/>
  <c r="S291" i="31"/>
  <c r="F291" i="31" s="1"/>
  <c r="Q311" i="31"/>
  <c r="P311" i="31" s="1"/>
  <c r="S389" i="7"/>
  <c r="D226" i="31"/>
  <c r="Q226" i="31" s="1"/>
  <c r="P226" i="31" s="1"/>
  <c r="D233" i="7"/>
  <c r="Q409" i="31"/>
  <c r="P409" i="31" s="1"/>
  <c r="D202" i="7"/>
  <c r="S235" i="31"/>
  <c r="Q299" i="31"/>
  <c r="P299" i="31" s="1"/>
  <c r="Q356" i="31"/>
  <c r="P356" i="31" s="1"/>
  <c r="D230" i="31"/>
  <c r="Q230" i="31" s="1"/>
  <c r="P230" i="31" s="1"/>
  <c r="Q303" i="31"/>
  <c r="P303" i="31" s="1"/>
  <c r="Q229" i="31"/>
  <c r="P229" i="31" s="1"/>
  <c r="S382" i="7"/>
  <c r="D410" i="31"/>
  <c r="Q410" i="31" s="1"/>
  <c r="P410" i="31" s="1"/>
  <c r="Q136" i="31"/>
  <c r="P136" i="31" s="1"/>
  <c r="Q320" i="31"/>
  <c r="P320" i="31" s="1"/>
  <c r="S359" i="31"/>
  <c r="Q74" i="31"/>
  <c r="P74" i="31" s="1"/>
  <c r="S219" i="31"/>
  <c r="F219" i="31" s="1"/>
  <c r="V219" i="31" s="1"/>
  <c r="D220" i="31"/>
  <c r="Q220" i="31" s="1"/>
  <c r="P220" i="31" s="1"/>
  <c r="D182" i="7"/>
  <c r="Q393" i="7"/>
  <c r="P393" i="7" s="1"/>
  <c r="Q377" i="7"/>
  <c r="P377" i="7" s="1"/>
  <c r="S353" i="31"/>
  <c r="S365" i="31"/>
  <c r="D394" i="7"/>
  <c r="Q394" i="7" s="1"/>
  <c r="P394" i="7" s="1"/>
  <c r="D276" i="7"/>
  <c r="Q91" i="31"/>
  <c r="P91" i="31" s="1"/>
  <c r="S391" i="7"/>
  <c r="S73" i="31"/>
  <c r="D137" i="7"/>
  <c r="S60" i="31"/>
  <c r="Q136" i="7"/>
  <c r="P136" i="7" s="1"/>
  <c r="Q325" i="31"/>
  <c r="P325" i="31" s="1"/>
  <c r="S297" i="31"/>
  <c r="F297" i="31" s="1"/>
  <c r="S123" i="31"/>
  <c r="S346" i="31"/>
  <c r="S400" i="31"/>
  <c r="Q114" i="31"/>
  <c r="P114" i="31" s="1"/>
  <c r="Q400" i="31"/>
  <c r="P400" i="31" s="1"/>
  <c r="Q390" i="31"/>
  <c r="P390" i="31" s="1"/>
  <c r="S76" i="31"/>
  <c r="Q55" i="31"/>
  <c r="P55" i="31" s="1"/>
  <c r="D77" i="31"/>
  <c r="Q317" i="31"/>
  <c r="P317" i="31" s="1"/>
  <c r="Q81" i="31"/>
  <c r="P81" i="31" s="1"/>
  <c r="Q83" i="31"/>
  <c r="P83" i="31" s="1"/>
  <c r="Q61" i="31"/>
  <c r="P61" i="31" s="1"/>
  <c r="Q146" i="7"/>
  <c r="P146" i="7" s="1"/>
  <c r="Q285" i="31"/>
  <c r="P285" i="31" s="1"/>
  <c r="Q294" i="31"/>
  <c r="P294" i="31" s="1"/>
  <c r="S381" i="7"/>
  <c r="Q316" i="31"/>
  <c r="P316" i="31" s="1"/>
  <c r="H62" i="31"/>
  <c r="N62" i="31" s="1"/>
  <c r="O62" i="31" s="1"/>
  <c r="S323" i="31"/>
  <c r="F323" i="31" s="1"/>
  <c r="Q322" i="31"/>
  <c r="P322" i="31" s="1"/>
  <c r="Q62" i="31"/>
  <c r="P62" i="31" s="1"/>
  <c r="S289" i="31"/>
  <c r="F289" i="31" s="1"/>
  <c r="Q289" i="31"/>
  <c r="P289" i="31" s="1"/>
  <c r="S343" i="7"/>
  <c r="Q343" i="7"/>
  <c r="P343" i="7" s="1"/>
  <c r="D344" i="7"/>
  <c r="Q344" i="7" s="1"/>
  <c r="P344" i="7" s="1"/>
  <c r="S302" i="31"/>
  <c r="F302" i="31" s="1"/>
  <c r="Q302" i="31"/>
  <c r="P302" i="31" s="1"/>
  <c r="Q56" i="31"/>
  <c r="P56" i="31" s="1"/>
  <c r="S56" i="31"/>
  <c r="V210" i="31"/>
  <c r="G188" i="31"/>
  <c r="G189" i="31" s="1"/>
  <c r="Q314" i="31"/>
  <c r="P314" i="31" s="1"/>
  <c r="S314" i="31"/>
  <c r="F314" i="31" s="1"/>
  <c r="S295" i="31"/>
  <c r="F295" i="31" s="1"/>
  <c r="Q295" i="31"/>
  <c r="P295" i="31" s="1"/>
  <c r="S106" i="7"/>
  <c r="F106" i="7" s="1"/>
  <c r="F107" i="7" s="1"/>
  <c r="D107" i="7"/>
  <c r="S110" i="7"/>
  <c r="F110" i="7" s="1"/>
  <c r="F111" i="7" s="1"/>
  <c r="D111" i="7"/>
  <c r="Q367" i="7"/>
  <c r="P367" i="7" s="1"/>
  <c r="S367" i="7"/>
  <c r="Q310" i="31"/>
  <c r="P310" i="31" s="1"/>
  <c r="S310" i="31"/>
  <c r="F310" i="31" s="1"/>
  <c r="V310" i="31" s="1"/>
  <c r="G310" i="31" s="1"/>
  <c r="H310" i="31" s="1"/>
  <c r="Q21" i="31"/>
  <c r="P21" i="31" s="1"/>
  <c r="Q280" i="31"/>
  <c r="P280" i="31" s="1"/>
  <c r="S387" i="7"/>
  <c r="Q308" i="31"/>
  <c r="P308" i="31" s="1"/>
  <c r="S386" i="7"/>
  <c r="S190" i="7"/>
  <c r="F196" i="31"/>
  <c r="Q196" i="31" s="1"/>
  <c r="P196" i="31" s="1"/>
  <c r="F198" i="31"/>
  <c r="Q198" i="31" s="1"/>
  <c r="P198" i="31" s="1"/>
  <c r="D122" i="7"/>
  <c r="Q212" i="31"/>
  <c r="P212" i="31" s="1"/>
  <c r="S321" i="31"/>
  <c r="F321" i="31" s="1"/>
  <c r="S27" i="7"/>
  <c r="Q309" i="31"/>
  <c r="P309" i="31" s="1"/>
  <c r="Q106" i="31"/>
  <c r="P106" i="31" s="1"/>
  <c r="S73" i="7"/>
  <c r="F19" i="31"/>
  <c r="Q19" i="31" s="1"/>
  <c r="P19" i="31" s="1"/>
  <c r="D410" i="7"/>
  <c r="Q410" i="7" s="1"/>
  <c r="P410" i="7" s="1"/>
  <c r="Q57" i="7"/>
  <c r="P57" i="7" s="1"/>
  <c r="Q59" i="31"/>
  <c r="P59" i="31" s="1"/>
  <c r="S59" i="31"/>
  <c r="S398" i="31"/>
  <c r="Q398" i="31"/>
  <c r="P398" i="31" s="1"/>
  <c r="S373" i="31"/>
  <c r="F373" i="31" s="1"/>
  <c r="V373" i="31" s="1"/>
  <c r="G373" i="31" s="1"/>
  <c r="H373" i="31" s="1"/>
  <c r="Q373" i="31"/>
  <c r="P373" i="31" s="1"/>
  <c r="Q383" i="31"/>
  <c r="P383" i="31" s="1"/>
  <c r="S383" i="31"/>
  <c r="Q354" i="7"/>
  <c r="P354" i="7" s="1"/>
  <c r="Q284" i="31"/>
  <c r="P284" i="31" s="1"/>
  <c r="S284" i="31"/>
  <c r="F284" i="31" s="1"/>
  <c r="S242" i="31"/>
  <c r="F242" i="31" s="1"/>
  <c r="Q242" i="31" s="1"/>
  <c r="P242" i="31" s="1"/>
  <c r="D255" i="31"/>
  <c r="Q255" i="31" s="1"/>
  <c r="P255" i="31" s="1"/>
  <c r="Q92" i="31"/>
  <c r="P92" i="31" s="1"/>
  <c r="S92" i="31"/>
  <c r="D244" i="31"/>
  <c r="Q244" i="31" s="1"/>
  <c r="P244" i="31" s="1"/>
  <c r="S39" i="31"/>
  <c r="D40" i="31"/>
  <c r="D40" i="7"/>
  <c r="S348" i="7"/>
  <c r="F208" i="31"/>
  <c r="H208" i="31" s="1"/>
  <c r="D282" i="7"/>
  <c r="S75" i="7"/>
  <c r="D255" i="7"/>
  <c r="Q31" i="7"/>
  <c r="P31" i="7" s="1"/>
  <c r="S352" i="7"/>
  <c r="Q121" i="7"/>
  <c r="P121" i="7" s="1"/>
  <c r="F204" i="31"/>
  <c r="Q203" i="31" s="1"/>
  <c r="P203" i="31" s="1"/>
  <c r="F194" i="31"/>
  <c r="H194" i="31" s="1"/>
  <c r="D178" i="7"/>
  <c r="Q312" i="31"/>
  <c r="P312" i="31" s="1"/>
  <c r="Q32" i="31"/>
  <c r="P32" i="31" s="1"/>
  <c r="S331" i="7"/>
  <c r="F331" i="7" s="1"/>
  <c r="F333" i="7" s="1"/>
  <c r="V333" i="7" s="1"/>
  <c r="S392" i="7"/>
  <c r="S355" i="31"/>
  <c r="Q300" i="31"/>
  <c r="P300" i="31" s="1"/>
  <c r="D236" i="7"/>
  <c r="D350" i="7"/>
  <c r="Q350" i="7" s="1"/>
  <c r="P350" i="7" s="1"/>
  <c r="S287" i="31"/>
  <c r="F287" i="31" s="1"/>
  <c r="D230" i="7"/>
  <c r="Q349" i="7"/>
  <c r="P349" i="7" s="1"/>
  <c r="Q76" i="7"/>
  <c r="P76" i="7" s="1"/>
  <c r="S359" i="7"/>
  <c r="V242" i="31"/>
  <c r="G242" i="31" s="1"/>
  <c r="Q48" i="31"/>
  <c r="P48" i="31" s="1"/>
  <c r="D258" i="7"/>
  <c r="S375" i="7"/>
  <c r="S48" i="7"/>
  <c r="F49" i="7" s="1"/>
  <c r="H49" i="7" s="1"/>
  <c r="N49" i="7" s="1"/>
  <c r="O49" i="7" s="1"/>
  <c r="Q97" i="31"/>
  <c r="P97" i="31" s="1"/>
  <c r="D261" i="7"/>
  <c r="D262" i="7"/>
  <c r="S356" i="7"/>
  <c r="S357" i="7"/>
  <c r="Q326" i="31"/>
  <c r="P326" i="31" s="1"/>
  <c r="Q201" i="31"/>
  <c r="P201" i="31" s="1"/>
  <c r="Q298" i="31"/>
  <c r="P298" i="31" s="1"/>
  <c r="S390" i="7"/>
  <c r="Q65" i="31"/>
  <c r="P65" i="31" s="1"/>
  <c r="D223" i="31"/>
  <c r="Q223" i="31" s="1"/>
  <c r="P223" i="31" s="1"/>
  <c r="Q288" i="31"/>
  <c r="P288" i="31" s="1"/>
  <c r="D246" i="7"/>
  <c r="D369" i="7"/>
  <c r="Q369" i="7" s="1"/>
  <c r="P369" i="7" s="1"/>
  <c r="Q339" i="31"/>
  <c r="P339" i="31" s="1"/>
  <c r="D210" i="7"/>
  <c r="D77" i="7"/>
  <c r="D247" i="7"/>
  <c r="Q368" i="7"/>
  <c r="P368" i="7" s="1"/>
  <c r="Q361" i="7"/>
  <c r="P361" i="7" s="1"/>
  <c r="D329" i="7"/>
  <c r="Q28" i="43"/>
  <c r="P28" i="43" s="1"/>
  <c r="D115" i="7"/>
  <c r="Q362" i="7"/>
  <c r="P362" i="7" s="1"/>
  <c r="D363" i="7"/>
  <c r="Q363" i="7" s="1"/>
  <c r="P363" i="7" s="1"/>
  <c r="D404" i="31"/>
  <c r="Q404" i="31" s="1"/>
  <c r="P404" i="31" s="1"/>
  <c r="S403" i="31"/>
  <c r="F403" i="31" s="1"/>
  <c r="F404" i="31" s="1"/>
  <c r="Q373" i="41"/>
  <c r="P373" i="41" s="1"/>
  <c r="S373" i="41"/>
  <c r="Q318" i="43"/>
  <c r="P318" i="43" s="1"/>
  <c r="S318" i="43"/>
  <c r="F318" i="43" s="1"/>
  <c r="S287" i="43"/>
  <c r="F287" i="43" s="1"/>
  <c r="Q287" i="43"/>
  <c r="P287" i="43" s="1"/>
  <c r="S326" i="43"/>
  <c r="F326" i="43" s="1"/>
  <c r="Q326" i="43"/>
  <c r="P326" i="43" s="1"/>
  <c r="S320" i="43"/>
  <c r="F320" i="43" s="1"/>
  <c r="Q320" i="43"/>
  <c r="P320" i="43" s="1"/>
  <c r="S301" i="43"/>
  <c r="F301" i="43" s="1"/>
  <c r="Q301" i="43"/>
  <c r="P301" i="43" s="1"/>
  <c r="Q289" i="43"/>
  <c r="P289" i="43" s="1"/>
  <c r="S289" i="43"/>
  <c r="F289" i="43" s="1"/>
  <c r="S367" i="41"/>
  <c r="Q367" i="41"/>
  <c r="P367" i="41" s="1"/>
  <c r="D147" i="43"/>
  <c r="Q146" i="43"/>
  <c r="P146" i="43" s="1"/>
  <c r="Q128" i="43"/>
  <c r="P128" i="43" s="1"/>
  <c r="D129" i="43"/>
  <c r="Q129" i="43" s="1"/>
  <c r="P129" i="43" s="1"/>
  <c r="D137" i="43"/>
  <c r="Q137" i="43" s="1"/>
  <c r="P137" i="43" s="1"/>
  <c r="Q136" i="43"/>
  <c r="P136" i="43" s="1"/>
  <c r="S354" i="42"/>
  <c r="F354" i="42" s="1"/>
  <c r="Q354" i="42"/>
  <c r="P354" i="42" s="1"/>
  <c r="S92" i="43"/>
  <c r="Q92" i="43"/>
  <c r="P92" i="43" s="1"/>
  <c r="S55" i="43"/>
  <c r="Q55" i="43"/>
  <c r="P55" i="43" s="1"/>
  <c r="S19" i="43"/>
  <c r="F19" i="43" s="1"/>
  <c r="Q20" i="43"/>
  <c r="P20" i="43" s="1"/>
  <c r="H20" i="43"/>
  <c r="S46" i="43"/>
  <c r="F47" i="43" s="1"/>
  <c r="H47" i="43" s="1"/>
  <c r="Q46" i="43"/>
  <c r="P46" i="43" s="1"/>
  <c r="S32" i="43"/>
  <c r="Q32" i="43"/>
  <c r="P32" i="43" s="1"/>
  <c r="Q44" i="43"/>
  <c r="P44" i="43" s="1"/>
  <c r="F45" i="43"/>
  <c r="H45" i="43" s="1"/>
  <c r="H44" i="43"/>
  <c r="Q83" i="43"/>
  <c r="P83" i="43" s="1"/>
  <c r="S83" i="43"/>
  <c r="G331" i="42"/>
  <c r="S355" i="43"/>
  <c r="Q355" i="43"/>
  <c r="P355" i="43" s="1"/>
  <c r="S313" i="42"/>
  <c r="F313" i="42" s="1"/>
  <c r="Q313" i="42"/>
  <c r="P313" i="42" s="1"/>
  <c r="Q315" i="42"/>
  <c r="P315" i="42" s="1"/>
  <c r="S315" i="42"/>
  <c r="F315" i="42" s="1"/>
  <c r="S324" i="42"/>
  <c r="F324" i="42" s="1"/>
  <c r="Q324" i="42"/>
  <c r="P324" i="42" s="1"/>
  <c r="S312" i="42"/>
  <c r="F312" i="42" s="1"/>
  <c r="Q312" i="42"/>
  <c r="P312" i="42" s="1"/>
  <c r="Q290" i="42"/>
  <c r="P290" i="42" s="1"/>
  <c r="S290" i="42"/>
  <c r="F290" i="42" s="1"/>
  <c r="V290" i="42" s="1"/>
  <c r="S323" i="42"/>
  <c r="F323" i="42" s="1"/>
  <c r="Q323" i="42"/>
  <c r="P323" i="42" s="1"/>
  <c r="S274" i="42"/>
  <c r="F274" i="42" s="1"/>
  <c r="Q274" i="42"/>
  <c r="P274" i="42" s="1"/>
  <c r="S81" i="41"/>
  <c r="Q81" i="41"/>
  <c r="P81" i="41" s="1"/>
  <c r="Q58" i="41"/>
  <c r="P58" i="41" s="1"/>
  <c r="S58" i="41"/>
  <c r="S54" i="41"/>
  <c r="Q54" i="41"/>
  <c r="P54" i="41" s="1"/>
  <c r="Q57" i="41"/>
  <c r="P57" i="41" s="1"/>
  <c r="S57" i="41"/>
  <c r="S44" i="41"/>
  <c r="F44" i="41" s="1"/>
  <c r="Q44" i="41" s="1"/>
  <c r="P44" i="41" s="1"/>
  <c r="S27" i="41"/>
  <c r="Q27" i="41"/>
  <c r="P27" i="41" s="1"/>
  <c r="S46" i="41"/>
  <c r="F47" i="41" s="1"/>
  <c r="H47" i="41" s="1"/>
  <c r="Q46" i="41"/>
  <c r="P46" i="41" s="1"/>
  <c r="D236" i="43"/>
  <c r="Q236" i="43" s="1"/>
  <c r="P236" i="43" s="1"/>
  <c r="S235" i="43"/>
  <c r="Q235" i="43"/>
  <c r="P235" i="43" s="1"/>
  <c r="S381" i="43"/>
  <c r="Q381" i="43"/>
  <c r="P381" i="43" s="1"/>
  <c r="S392" i="43"/>
  <c r="Q392" i="43"/>
  <c r="P392" i="43" s="1"/>
  <c r="Q300" i="41"/>
  <c r="P300" i="41" s="1"/>
  <c r="S300" i="41"/>
  <c r="F300" i="41" s="1"/>
  <c r="Q314" i="41"/>
  <c r="P314" i="41" s="1"/>
  <c r="S314" i="41"/>
  <c r="F314" i="41" s="1"/>
  <c r="Q312" i="41"/>
  <c r="P312" i="41" s="1"/>
  <c r="S312" i="41"/>
  <c r="F312" i="41" s="1"/>
  <c r="Q294" i="41"/>
  <c r="P294" i="41" s="1"/>
  <c r="S294" i="41"/>
  <c r="F294" i="41" s="1"/>
  <c r="S302" i="41"/>
  <c r="F302" i="41" s="1"/>
  <c r="Q302" i="41"/>
  <c r="P302" i="41" s="1"/>
  <c r="S304" i="41"/>
  <c r="F304" i="41" s="1"/>
  <c r="Q304" i="41"/>
  <c r="P304" i="41" s="1"/>
  <c r="S208" i="41"/>
  <c r="S194" i="41"/>
  <c r="D236" i="42"/>
  <c r="Q236" i="42" s="1"/>
  <c r="P236" i="42" s="1"/>
  <c r="S235" i="42"/>
  <c r="Q235" i="42"/>
  <c r="P235" i="42" s="1"/>
  <c r="Q136" i="42"/>
  <c r="P136" i="42" s="1"/>
  <c r="D137" i="42"/>
  <c r="Q137" i="42" s="1"/>
  <c r="P137" i="42" s="1"/>
  <c r="Q170" i="41"/>
  <c r="P170" i="41" s="1"/>
  <c r="F171" i="41"/>
  <c r="Q171" i="41" s="1"/>
  <c r="P171" i="41" s="1"/>
  <c r="V170" i="41"/>
  <c r="G170" i="41" s="1"/>
  <c r="Q331" i="41"/>
  <c r="P331" i="41" s="1"/>
  <c r="S331" i="41"/>
  <c r="F331" i="41" s="1"/>
  <c r="D213" i="42"/>
  <c r="Q213" i="42" s="1"/>
  <c r="P213" i="42" s="1"/>
  <c r="Q212" i="42"/>
  <c r="P212" i="42" s="1"/>
  <c r="S192" i="42"/>
  <c r="D160" i="41"/>
  <c r="Q160" i="41" s="1"/>
  <c r="P160" i="41" s="1"/>
  <c r="Q159" i="41"/>
  <c r="P159" i="41" s="1"/>
  <c r="S164" i="42"/>
  <c r="F164" i="42" s="1"/>
  <c r="Q164" i="42" s="1"/>
  <c r="P164" i="42" s="1"/>
  <c r="S341" i="42"/>
  <c r="Q341" i="42"/>
  <c r="P341" i="42" s="1"/>
  <c r="S384" i="42"/>
  <c r="Q384" i="42"/>
  <c r="P384" i="42" s="1"/>
  <c r="Q238" i="41"/>
  <c r="P238" i="41" s="1"/>
  <c r="S238" i="41"/>
  <c r="F238" i="41" s="1"/>
  <c r="S406" i="43"/>
  <c r="Q406" i="43"/>
  <c r="P406" i="43" s="1"/>
  <c r="D233" i="41"/>
  <c r="Q233" i="41" s="1"/>
  <c r="P233" i="41" s="1"/>
  <c r="S232" i="41"/>
  <c r="Q232" i="41"/>
  <c r="P232" i="41" s="1"/>
  <c r="S346" i="43"/>
  <c r="Q346" i="43"/>
  <c r="P346" i="43" s="1"/>
  <c r="Q128" i="41"/>
  <c r="P128" i="41" s="1"/>
  <c r="D129" i="41"/>
  <c r="Q129" i="41" s="1"/>
  <c r="P129" i="41" s="1"/>
  <c r="D137" i="41"/>
  <c r="Q137" i="41" s="1"/>
  <c r="P137" i="41" s="1"/>
  <c r="Q136" i="41"/>
  <c r="P136" i="41" s="1"/>
  <c r="D111" i="41"/>
  <c r="Q111" i="41" s="1"/>
  <c r="P111" i="41" s="1"/>
  <c r="Q110" i="41"/>
  <c r="P110" i="41" s="1"/>
  <c r="Q113" i="41"/>
  <c r="P113" i="41" s="1"/>
  <c r="H113" i="41"/>
  <c r="S390" i="41"/>
  <c r="Q390" i="41"/>
  <c r="P390" i="41" s="1"/>
  <c r="Q374" i="43"/>
  <c r="P374" i="43" s="1"/>
  <c r="S374" i="43"/>
  <c r="G188" i="43"/>
  <c r="V210" i="43"/>
  <c r="S188" i="43"/>
  <c r="F188" i="43" s="1"/>
  <c r="Q188" i="43" s="1"/>
  <c r="P188" i="43" s="1"/>
  <c r="S59" i="42"/>
  <c r="Q59" i="42"/>
  <c r="P59" i="42" s="1"/>
  <c r="D40" i="42"/>
  <c r="S39" i="42"/>
  <c r="Q39" i="42"/>
  <c r="P39" i="42" s="1"/>
  <c r="D77" i="42"/>
  <c r="S76" i="42"/>
  <c r="Q76" i="42"/>
  <c r="P76" i="42" s="1"/>
  <c r="S23" i="42"/>
  <c r="F23" i="42" s="1"/>
  <c r="H23" i="42" s="1"/>
  <c r="S26" i="42"/>
  <c r="Q26" i="42"/>
  <c r="P26" i="42" s="1"/>
  <c r="D258" i="41"/>
  <c r="Q258" i="41" s="1"/>
  <c r="P258" i="41" s="1"/>
  <c r="D248" i="41"/>
  <c r="Q248" i="41" s="1"/>
  <c r="P248" i="41" s="1"/>
  <c r="D243" i="41"/>
  <c r="Q243" i="41" s="1"/>
  <c r="P243" i="41" s="1"/>
  <c r="D259" i="41"/>
  <c r="Q259" i="41" s="1"/>
  <c r="P259" i="41" s="1"/>
  <c r="S242" i="41"/>
  <c r="F242" i="41" s="1"/>
  <c r="Q241" i="41" s="1"/>
  <c r="P241" i="41" s="1"/>
  <c r="D249" i="41"/>
  <c r="Q249" i="41" s="1"/>
  <c r="P249" i="41" s="1"/>
  <c r="D246" i="41"/>
  <c r="Q246" i="41" s="1"/>
  <c r="P246" i="41" s="1"/>
  <c r="D251" i="41"/>
  <c r="Q251" i="41" s="1"/>
  <c r="P251" i="41" s="1"/>
  <c r="D264" i="41"/>
  <c r="Q264" i="41" s="1"/>
  <c r="P264" i="41" s="1"/>
  <c r="D245" i="41"/>
  <c r="Q245" i="41" s="1"/>
  <c r="P245" i="41" s="1"/>
  <c r="D263" i="41"/>
  <c r="Q263" i="41" s="1"/>
  <c r="P263" i="41" s="1"/>
  <c r="D262" i="41"/>
  <c r="Q262" i="41" s="1"/>
  <c r="P262" i="41" s="1"/>
  <c r="D256" i="41"/>
  <c r="Q256" i="41" s="1"/>
  <c r="P256" i="41" s="1"/>
  <c r="D268" i="41"/>
  <c r="Q268" i="41" s="1"/>
  <c r="P268" i="41" s="1"/>
  <c r="D260" i="41"/>
  <c r="Q260" i="41" s="1"/>
  <c r="P260" i="41" s="1"/>
  <c r="D244" i="41"/>
  <c r="Q244" i="41" s="1"/>
  <c r="P244" i="41" s="1"/>
  <c r="D254" i="41"/>
  <c r="Q254" i="41" s="1"/>
  <c r="P254" i="41" s="1"/>
  <c r="D266" i="41"/>
  <c r="Q266" i="41" s="1"/>
  <c r="P266" i="41" s="1"/>
  <c r="D252" i="41"/>
  <c r="Q252" i="41" s="1"/>
  <c r="P252" i="41" s="1"/>
  <c r="D267" i="41"/>
  <c r="Q267" i="41" s="1"/>
  <c r="P267" i="41" s="1"/>
  <c r="D269" i="41"/>
  <c r="D257" i="41"/>
  <c r="Q257" i="41" s="1"/>
  <c r="P257" i="41" s="1"/>
  <c r="D265" i="41"/>
  <c r="Q265" i="41" s="1"/>
  <c r="P265" i="41" s="1"/>
  <c r="D261" i="41"/>
  <c r="Q261" i="41" s="1"/>
  <c r="P261" i="41" s="1"/>
  <c r="D253" i="41"/>
  <c r="Q253" i="41" s="1"/>
  <c r="P253" i="41" s="1"/>
  <c r="D255" i="41"/>
  <c r="Q255" i="41" s="1"/>
  <c r="P255" i="41" s="1"/>
  <c r="D247" i="41"/>
  <c r="Q247" i="41" s="1"/>
  <c r="P247" i="41" s="1"/>
  <c r="D250" i="41"/>
  <c r="Q250" i="41" s="1"/>
  <c r="P250" i="41" s="1"/>
  <c r="V186" i="43"/>
  <c r="G174" i="43"/>
  <c r="D186" i="43"/>
  <c r="Q186" i="43" s="1"/>
  <c r="P186" i="43" s="1"/>
  <c r="Q185" i="43"/>
  <c r="P185" i="43" s="1"/>
  <c r="Q378" i="42"/>
  <c r="P378" i="42" s="1"/>
  <c r="D379" i="42"/>
  <c r="Q379" i="42" s="1"/>
  <c r="P379" i="42" s="1"/>
  <c r="Q366" i="42"/>
  <c r="P366" i="42" s="1"/>
  <c r="S366" i="42"/>
  <c r="Q219" i="41"/>
  <c r="P219" i="41" s="1"/>
  <c r="S219" i="41"/>
  <c r="D220" i="41"/>
  <c r="Q220" i="41" s="1"/>
  <c r="P220" i="41" s="1"/>
  <c r="Q181" i="41"/>
  <c r="P181" i="41" s="1"/>
  <c r="D182" i="41"/>
  <c r="Q182" i="41" s="1"/>
  <c r="P182" i="41" s="1"/>
  <c r="Q334" i="43"/>
  <c r="P334" i="43" s="1"/>
  <c r="S334" i="43"/>
  <c r="S375" i="41"/>
  <c r="Q375" i="41"/>
  <c r="P375" i="41" s="1"/>
  <c r="S300" i="43"/>
  <c r="F300" i="43" s="1"/>
  <c r="Q300" i="43"/>
  <c r="P300" i="43" s="1"/>
  <c r="Q310" i="43"/>
  <c r="P310" i="43" s="1"/>
  <c r="S310" i="43"/>
  <c r="F310" i="43" s="1"/>
  <c r="V310" i="43" s="1"/>
  <c r="G310" i="43" s="1"/>
  <c r="S309" i="43"/>
  <c r="F309" i="43" s="1"/>
  <c r="Q309" i="43"/>
  <c r="P309" i="43" s="1"/>
  <c r="Q315" i="43"/>
  <c r="P315" i="43" s="1"/>
  <c r="S315" i="43"/>
  <c r="F315" i="43" s="1"/>
  <c r="Q319" i="43"/>
  <c r="P319" i="43" s="1"/>
  <c r="S319" i="43"/>
  <c r="F319" i="43" s="1"/>
  <c r="S292" i="43"/>
  <c r="F292" i="43" s="1"/>
  <c r="Q292" i="43"/>
  <c r="P292" i="43" s="1"/>
  <c r="S365" i="41"/>
  <c r="Q365" i="41"/>
  <c r="P365" i="41" s="1"/>
  <c r="G218" i="43"/>
  <c r="Q409" i="41"/>
  <c r="P409" i="41" s="1"/>
  <c r="D410" i="41"/>
  <c r="Q410" i="41" s="1"/>
  <c r="P410" i="41" s="1"/>
  <c r="S409" i="41"/>
  <c r="S340" i="43"/>
  <c r="Q340" i="43"/>
  <c r="P340" i="43" s="1"/>
  <c r="Q356" i="42"/>
  <c r="P356" i="42" s="1"/>
  <c r="S356" i="42"/>
  <c r="S91" i="43"/>
  <c r="Q91" i="43"/>
  <c r="P91" i="43" s="1"/>
  <c r="S65" i="43"/>
  <c r="F66" i="43" s="1"/>
  <c r="H66" i="43" s="1"/>
  <c r="Q65" i="43"/>
  <c r="P65" i="43" s="1"/>
  <c r="Q18" i="43"/>
  <c r="P18" i="43" s="1"/>
  <c r="H18" i="43"/>
  <c r="Q54" i="43"/>
  <c r="P54" i="43" s="1"/>
  <c r="S54" i="43"/>
  <c r="S68" i="43"/>
  <c r="F68" i="43" s="1"/>
  <c r="Q68" i="43" s="1"/>
  <c r="P68" i="43" s="1"/>
  <c r="S33" i="43"/>
  <c r="F33" i="43" s="1"/>
  <c r="H33" i="43" s="1"/>
  <c r="S47" i="43"/>
  <c r="S332" i="42"/>
  <c r="Q332" i="42"/>
  <c r="P332" i="42" s="1"/>
  <c r="Q353" i="43"/>
  <c r="P353" i="43" s="1"/>
  <c r="S353" i="43"/>
  <c r="Q314" i="42"/>
  <c r="P314" i="42" s="1"/>
  <c r="S314" i="42"/>
  <c r="F314" i="42" s="1"/>
  <c r="S302" i="42"/>
  <c r="F302" i="42" s="1"/>
  <c r="Q302" i="42"/>
  <c r="P302" i="42" s="1"/>
  <c r="Q301" i="42"/>
  <c r="P301" i="42" s="1"/>
  <c r="S301" i="42"/>
  <c r="F301" i="42" s="1"/>
  <c r="S322" i="42"/>
  <c r="F322" i="42" s="1"/>
  <c r="Q322" i="42"/>
  <c r="P322" i="42" s="1"/>
  <c r="Q325" i="42"/>
  <c r="P325" i="42" s="1"/>
  <c r="S325" i="42"/>
  <c r="F325" i="42" s="1"/>
  <c r="S304" i="42"/>
  <c r="F304" i="42" s="1"/>
  <c r="Q304" i="42"/>
  <c r="P304" i="42" s="1"/>
  <c r="S96" i="41"/>
  <c r="Q96" i="41"/>
  <c r="P96" i="41" s="1"/>
  <c r="S97" i="41"/>
  <c r="Q97" i="41"/>
  <c r="P97" i="41" s="1"/>
  <c r="S71" i="41"/>
  <c r="S63" i="41"/>
  <c r="S80" i="41"/>
  <c r="Q80" i="41"/>
  <c r="P80" i="41" s="1"/>
  <c r="D40" i="41"/>
  <c r="S39" i="41"/>
  <c r="Q39" i="41"/>
  <c r="P39" i="41" s="1"/>
  <c r="S62" i="41"/>
  <c r="F62" i="41" s="1"/>
  <c r="Q62" i="41" s="1"/>
  <c r="P62" i="41" s="1"/>
  <c r="S30" i="41"/>
  <c r="S70" i="41"/>
  <c r="Q70" i="41"/>
  <c r="P70" i="41" s="1"/>
  <c r="S341" i="41"/>
  <c r="Q341" i="41"/>
  <c r="P341" i="41" s="1"/>
  <c r="S400" i="43"/>
  <c r="Q400" i="43"/>
  <c r="P400" i="43" s="1"/>
  <c r="D401" i="43"/>
  <c r="Q401" i="43" s="1"/>
  <c r="P401" i="43" s="1"/>
  <c r="S170" i="43"/>
  <c r="F170" i="43" s="1"/>
  <c r="Q170" i="43" s="1"/>
  <c r="P170" i="43" s="1"/>
  <c r="S384" i="43"/>
  <c r="Q384" i="43"/>
  <c r="P384" i="43" s="1"/>
  <c r="S391" i="43"/>
  <c r="Q391" i="43"/>
  <c r="P391" i="43" s="1"/>
  <c r="S358" i="41"/>
  <c r="Q358" i="41"/>
  <c r="P358" i="41" s="1"/>
  <c r="S292" i="41"/>
  <c r="F292" i="41" s="1"/>
  <c r="Q292" i="41"/>
  <c r="P292" i="41" s="1"/>
  <c r="Q303" i="41"/>
  <c r="P303" i="41" s="1"/>
  <c r="S303" i="41"/>
  <c r="F303" i="41" s="1"/>
  <c r="S310" i="41"/>
  <c r="F310" i="41" s="1"/>
  <c r="V310" i="41" s="1"/>
  <c r="G310" i="41" s="1"/>
  <c r="Q310" i="41"/>
  <c r="P310" i="41" s="1"/>
  <c r="S323" i="41"/>
  <c r="F323" i="41" s="1"/>
  <c r="Q323" i="41"/>
  <c r="P323" i="41" s="1"/>
  <c r="S289" i="41"/>
  <c r="F289" i="41" s="1"/>
  <c r="Q289" i="41"/>
  <c r="P289" i="41" s="1"/>
  <c r="D216" i="41"/>
  <c r="Q216" i="41" s="1"/>
  <c r="P216" i="41" s="1"/>
  <c r="Q215" i="41"/>
  <c r="P215" i="41" s="1"/>
  <c r="S162" i="43"/>
  <c r="F162" i="43" s="1"/>
  <c r="Q162" i="43" s="1"/>
  <c r="P162" i="43" s="1"/>
  <c r="D272" i="41"/>
  <c r="V242" i="41"/>
  <c r="Q232" i="42"/>
  <c r="P232" i="42" s="1"/>
  <c r="D233" i="42"/>
  <c r="Q233" i="42" s="1"/>
  <c r="P233" i="42" s="1"/>
  <c r="S232" i="42"/>
  <c r="Q117" i="42"/>
  <c r="P117" i="42" s="1"/>
  <c r="H117" i="42"/>
  <c r="Q123" i="42"/>
  <c r="P123" i="42" s="1"/>
  <c r="S123" i="42"/>
  <c r="D115" i="42"/>
  <c r="S114" i="42"/>
  <c r="F114" i="42" s="1"/>
  <c r="H114" i="42" s="1"/>
  <c r="S278" i="42"/>
  <c r="F278" i="42" s="1"/>
  <c r="Q278" i="42"/>
  <c r="P278" i="42" s="1"/>
  <c r="D336" i="41"/>
  <c r="Q336" i="41" s="1"/>
  <c r="P336" i="41" s="1"/>
  <c r="Q335" i="41"/>
  <c r="P335" i="41" s="1"/>
  <c r="S335" i="41"/>
  <c r="D202" i="42"/>
  <c r="Q201" i="42"/>
  <c r="P201" i="42" s="1"/>
  <c r="Q219" i="42"/>
  <c r="P219" i="42" s="1"/>
  <c r="D220" i="42"/>
  <c r="Q220" i="42" s="1"/>
  <c r="P220" i="42" s="1"/>
  <c r="S219" i="42"/>
  <c r="Q342" i="42"/>
  <c r="P342" i="42" s="1"/>
  <c r="S342" i="42"/>
  <c r="G168" i="42"/>
  <c r="S388" i="42"/>
  <c r="Q388" i="42"/>
  <c r="P388" i="42" s="1"/>
  <c r="G238" i="41"/>
  <c r="D410" i="43"/>
  <c r="Q410" i="43" s="1"/>
  <c r="P410" i="43" s="1"/>
  <c r="S409" i="43"/>
  <c r="Q409" i="43"/>
  <c r="P409" i="43" s="1"/>
  <c r="G228" i="41"/>
  <c r="D103" i="41"/>
  <c r="S399" i="41"/>
  <c r="Q399" i="41"/>
  <c r="P399" i="41" s="1"/>
  <c r="S392" i="41"/>
  <c r="Q392" i="41"/>
  <c r="P392" i="41" s="1"/>
  <c r="Q373" i="43"/>
  <c r="P373" i="43" s="1"/>
  <c r="S373" i="43"/>
  <c r="Q201" i="43"/>
  <c r="P201" i="43" s="1"/>
  <c r="D202" i="43"/>
  <c r="S194" i="43"/>
  <c r="S192" i="43"/>
  <c r="D276" i="41"/>
  <c r="Q276" i="41" s="1"/>
  <c r="P276" i="41" s="1"/>
  <c r="S275" i="41"/>
  <c r="Q275" i="41"/>
  <c r="P275" i="41" s="1"/>
  <c r="S47" i="42"/>
  <c r="S49" i="42"/>
  <c r="S97" i="42"/>
  <c r="Q97" i="42"/>
  <c r="P97" i="42" s="1"/>
  <c r="S70" i="42"/>
  <c r="Q70" i="42"/>
  <c r="P70" i="42" s="1"/>
  <c r="S64" i="42"/>
  <c r="Q64" i="42"/>
  <c r="P64" i="42" s="1"/>
  <c r="Q20" i="42"/>
  <c r="P20" i="42" s="1"/>
  <c r="H20" i="42"/>
  <c r="S25" i="42"/>
  <c r="F25" i="42" s="1"/>
  <c r="H25" i="42" s="1"/>
  <c r="S35" i="42"/>
  <c r="F35" i="42" s="1"/>
  <c r="Q35" i="42" s="1"/>
  <c r="P35" i="42" s="1"/>
  <c r="S71" i="42"/>
  <c r="D178" i="43"/>
  <c r="Q177" i="43"/>
  <c r="P177" i="43" s="1"/>
  <c r="S279" i="41"/>
  <c r="Q279" i="41"/>
  <c r="P279" i="41" s="1"/>
  <c r="Q374" i="42"/>
  <c r="P374" i="42" s="1"/>
  <c r="S374" i="42"/>
  <c r="D369" i="42"/>
  <c r="Q369" i="42" s="1"/>
  <c r="P369" i="42" s="1"/>
  <c r="Q368" i="42"/>
  <c r="P368" i="42" s="1"/>
  <c r="S368" i="42"/>
  <c r="Q238" i="42"/>
  <c r="P238" i="42" s="1"/>
  <c r="S238" i="42"/>
  <c r="F238" i="42" s="1"/>
  <c r="G218" i="41"/>
  <c r="Q333" i="43"/>
  <c r="P333" i="43" s="1"/>
  <c r="S333" i="43"/>
  <c r="Q378" i="41"/>
  <c r="P378" i="41" s="1"/>
  <c r="D379" i="41"/>
  <c r="Q379" i="41" s="1"/>
  <c r="P379" i="41" s="1"/>
  <c r="S302" i="43"/>
  <c r="F302" i="43" s="1"/>
  <c r="Q302" i="43"/>
  <c r="P302" i="43" s="1"/>
  <c r="Q314" i="43"/>
  <c r="P314" i="43" s="1"/>
  <c r="S314" i="43"/>
  <c r="F314" i="43" s="1"/>
  <c r="S286" i="43"/>
  <c r="F286" i="43" s="1"/>
  <c r="Q286" i="43"/>
  <c r="P286" i="43" s="1"/>
  <c r="S297" i="43"/>
  <c r="F297" i="43" s="1"/>
  <c r="Q297" i="43"/>
  <c r="P297" i="43" s="1"/>
  <c r="S293" i="43"/>
  <c r="F293" i="43" s="1"/>
  <c r="Q293" i="43"/>
  <c r="P293" i="43" s="1"/>
  <c r="Q219" i="43"/>
  <c r="P219" i="43" s="1"/>
  <c r="S219" i="43"/>
  <c r="D220" i="43"/>
  <c r="Q220" i="43" s="1"/>
  <c r="P220" i="43" s="1"/>
  <c r="S408" i="41"/>
  <c r="Q408" i="41"/>
  <c r="P408" i="41" s="1"/>
  <c r="Q341" i="43"/>
  <c r="P341" i="43" s="1"/>
  <c r="S341" i="43"/>
  <c r="S119" i="43"/>
  <c r="S118" i="43"/>
  <c r="S355" i="42"/>
  <c r="Q355" i="42"/>
  <c r="P355" i="42" s="1"/>
  <c r="D363" i="42"/>
  <c r="Q363" i="42" s="1"/>
  <c r="P363" i="42" s="1"/>
  <c r="Q362" i="42"/>
  <c r="P362" i="42" s="1"/>
  <c r="S362" i="42"/>
  <c r="Q275" i="43"/>
  <c r="P275" i="43" s="1"/>
  <c r="D276" i="43"/>
  <c r="Q276" i="43" s="1"/>
  <c r="P276" i="43" s="1"/>
  <c r="S275" i="43"/>
  <c r="D160" i="43"/>
  <c r="Q160" i="43" s="1"/>
  <c r="P160" i="43" s="1"/>
  <c r="Q159" i="43"/>
  <c r="P159" i="43" s="1"/>
  <c r="Q48" i="43"/>
  <c r="P48" i="43" s="1"/>
  <c r="S48" i="43"/>
  <c r="F49" i="43" s="1"/>
  <c r="H49" i="43" s="1"/>
  <c r="Q97" i="43"/>
  <c r="P97" i="43" s="1"/>
  <c r="S97" i="43"/>
  <c r="Q27" i="43"/>
  <c r="P27" i="43" s="1"/>
  <c r="S27" i="43"/>
  <c r="Q58" i="43"/>
  <c r="P58" i="43" s="1"/>
  <c r="S58" i="43"/>
  <c r="S42" i="43"/>
  <c r="F42" i="43" s="1"/>
  <c r="Q42" i="43" s="1"/>
  <c r="P42" i="43" s="1"/>
  <c r="S49" i="43"/>
  <c r="D404" i="42"/>
  <c r="Q404" i="42" s="1"/>
  <c r="P404" i="42" s="1"/>
  <c r="S403" i="42"/>
  <c r="F403" i="42" s="1"/>
  <c r="Q403" i="42"/>
  <c r="P403" i="42" s="1"/>
  <c r="D151" i="41"/>
  <c r="Q151" i="41" s="1"/>
  <c r="P151" i="41" s="1"/>
  <c r="S150" i="41"/>
  <c r="Q150" i="41"/>
  <c r="P150" i="41" s="1"/>
  <c r="S335" i="42"/>
  <c r="D336" i="42"/>
  <c r="Q336" i="42" s="1"/>
  <c r="P336" i="42" s="1"/>
  <c r="Q335" i="42"/>
  <c r="P335" i="42" s="1"/>
  <c r="S357" i="43"/>
  <c r="Q357" i="43"/>
  <c r="P357" i="43" s="1"/>
  <c r="S354" i="43"/>
  <c r="F354" i="43" s="1"/>
  <c r="Q354" i="43"/>
  <c r="P354" i="43" s="1"/>
  <c r="S292" i="42"/>
  <c r="F292" i="42" s="1"/>
  <c r="Q292" i="42"/>
  <c r="P292" i="42" s="1"/>
  <c r="S289" i="42"/>
  <c r="F289" i="42" s="1"/>
  <c r="Q289" i="42"/>
  <c r="P289" i="42" s="1"/>
  <c r="S298" i="42"/>
  <c r="F298" i="42" s="1"/>
  <c r="V298" i="42" s="1"/>
  <c r="G298" i="42" s="1"/>
  <c r="Q298" i="42"/>
  <c r="P298" i="42" s="1"/>
  <c r="Q296" i="42"/>
  <c r="P296" i="42" s="1"/>
  <c r="S296" i="42"/>
  <c r="F296" i="42" s="1"/>
  <c r="Q303" i="42"/>
  <c r="P303" i="42" s="1"/>
  <c r="S303" i="42"/>
  <c r="F303" i="42" s="1"/>
  <c r="Q307" i="42"/>
  <c r="P307" i="42" s="1"/>
  <c r="S307" i="42"/>
  <c r="F307" i="42" s="1"/>
  <c r="D276" i="42"/>
  <c r="Q276" i="42" s="1"/>
  <c r="P276" i="42" s="1"/>
  <c r="S275" i="42"/>
  <c r="Q275" i="42"/>
  <c r="P275" i="42" s="1"/>
  <c r="Q75" i="41"/>
  <c r="P75" i="41" s="1"/>
  <c r="S75" i="41"/>
  <c r="S65" i="41"/>
  <c r="F66" i="41" s="1"/>
  <c r="Q65" i="41"/>
  <c r="P65" i="41" s="1"/>
  <c r="S19" i="41"/>
  <c r="S47" i="41"/>
  <c r="S23" i="41"/>
  <c r="F23" i="41" s="1"/>
  <c r="H23" i="41" s="1"/>
  <c r="Q403" i="43"/>
  <c r="P403" i="43" s="1"/>
  <c r="D404" i="43"/>
  <c r="Q404" i="43" s="1"/>
  <c r="P404" i="43" s="1"/>
  <c r="S403" i="43"/>
  <c r="F403" i="43" s="1"/>
  <c r="S408" i="42"/>
  <c r="Q408" i="42"/>
  <c r="P408" i="42" s="1"/>
  <c r="G228" i="43"/>
  <c r="S383" i="43"/>
  <c r="Q383" i="43"/>
  <c r="P383" i="43" s="1"/>
  <c r="Q354" i="41"/>
  <c r="P354" i="41" s="1"/>
  <c r="S354" i="41"/>
  <c r="F354" i="41" s="1"/>
  <c r="Q356" i="41"/>
  <c r="P356" i="41" s="1"/>
  <c r="S356" i="41"/>
  <c r="S324" i="41"/>
  <c r="F324" i="41" s="1"/>
  <c r="Q324" i="41"/>
  <c r="P324" i="41" s="1"/>
  <c r="Q306" i="41"/>
  <c r="P306" i="41" s="1"/>
  <c r="S306" i="41"/>
  <c r="F306" i="41" s="1"/>
  <c r="Q291" i="41"/>
  <c r="P291" i="41" s="1"/>
  <c r="S291" i="41"/>
  <c r="F291" i="41" s="1"/>
  <c r="S293" i="41"/>
  <c r="F293" i="41" s="1"/>
  <c r="Q293" i="41"/>
  <c r="P293" i="41" s="1"/>
  <c r="S290" i="41"/>
  <c r="F290" i="41" s="1"/>
  <c r="V290" i="41" s="1"/>
  <c r="Q290" i="41"/>
  <c r="P290" i="41" s="1"/>
  <c r="S308" i="41"/>
  <c r="F308" i="41" s="1"/>
  <c r="V308" i="41" s="1"/>
  <c r="G308" i="41" s="1"/>
  <c r="Q308" i="41"/>
  <c r="P308" i="41" s="1"/>
  <c r="S196" i="41"/>
  <c r="G162" i="43"/>
  <c r="D230" i="42"/>
  <c r="Q230" i="42" s="1"/>
  <c r="P230" i="42" s="1"/>
  <c r="S229" i="42"/>
  <c r="Q229" i="42"/>
  <c r="P229" i="42" s="1"/>
  <c r="S349" i="41"/>
  <c r="F349" i="41" s="1"/>
  <c r="Q349" i="41"/>
  <c r="P349" i="41" s="1"/>
  <c r="D350" i="41"/>
  <c r="Q350" i="41" s="1"/>
  <c r="P350" i="41" s="1"/>
  <c r="Q121" i="42"/>
  <c r="P121" i="42" s="1"/>
  <c r="D122" i="42"/>
  <c r="Q399" i="42"/>
  <c r="P399" i="42" s="1"/>
  <c r="S399" i="42"/>
  <c r="S168" i="41"/>
  <c r="F168" i="41" s="1"/>
  <c r="D282" i="42"/>
  <c r="Q282" i="42" s="1"/>
  <c r="P282" i="42" s="1"/>
  <c r="S281" i="42"/>
  <c r="Q281" i="42"/>
  <c r="P281" i="42" s="1"/>
  <c r="S204" i="42"/>
  <c r="D223" i="42"/>
  <c r="Q223" i="42" s="1"/>
  <c r="P223" i="42" s="1"/>
  <c r="Q222" i="42"/>
  <c r="P222" i="42" s="1"/>
  <c r="S162" i="42"/>
  <c r="F162" i="42" s="1"/>
  <c r="Q162" i="42" s="1"/>
  <c r="P162" i="42" s="1"/>
  <c r="Q339" i="42"/>
  <c r="P339" i="42" s="1"/>
  <c r="S339" i="42"/>
  <c r="S385" i="42"/>
  <c r="Q385" i="42"/>
  <c r="P385" i="42" s="1"/>
  <c r="S392" i="42"/>
  <c r="Q392" i="42"/>
  <c r="P392" i="42" s="1"/>
  <c r="S407" i="43"/>
  <c r="Q407" i="43"/>
  <c r="P407" i="43" s="1"/>
  <c r="D147" i="41"/>
  <c r="Q146" i="41"/>
  <c r="P146" i="41" s="1"/>
  <c r="S123" i="41"/>
  <c r="Q123" i="41"/>
  <c r="P123" i="41" s="1"/>
  <c r="D107" i="41"/>
  <c r="Q107" i="41" s="1"/>
  <c r="P107" i="41" s="1"/>
  <c r="Q106" i="41"/>
  <c r="P106" i="41" s="1"/>
  <c r="S398" i="41"/>
  <c r="Q398" i="41"/>
  <c r="P398" i="41" s="1"/>
  <c r="S388" i="41"/>
  <c r="Q388" i="41"/>
  <c r="P388" i="41" s="1"/>
  <c r="Q387" i="41"/>
  <c r="P387" i="41" s="1"/>
  <c r="S387" i="41"/>
  <c r="G371" i="43"/>
  <c r="Q215" i="43"/>
  <c r="P215" i="43" s="1"/>
  <c r="D216" i="43"/>
  <c r="Q216" i="43" s="1"/>
  <c r="P216" i="43" s="1"/>
  <c r="S198" i="43"/>
  <c r="S274" i="41"/>
  <c r="F274" i="41" s="1"/>
  <c r="Q274" i="41"/>
  <c r="P274" i="41" s="1"/>
  <c r="D160" i="42"/>
  <c r="Q160" i="42" s="1"/>
  <c r="P160" i="42" s="1"/>
  <c r="Q159" i="42"/>
  <c r="P159" i="42" s="1"/>
  <c r="S92" i="42"/>
  <c r="Q92" i="42"/>
  <c r="P92" i="42" s="1"/>
  <c r="S63" i="42"/>
  <c r="Q56" i="42"/>
  <c r="P56" i="42" s="1"/>
  <c r="S56" i="42"/>
  <c r="S67" i="42"/>
  <c r="S57" i="42"/>
  <c r="Q57" i="42"/>
  <c r="P57" i="42" s="1"/>
  <c r="S44" i="42"/>
  <c r="F44" i="42" s="1"/>
  <c r="Q44" i="42" s="1"/>
  <c r="P44" i="42" s="1"/>
  <c r="S42" i="42"/>
  <c r="F42" i="42" s="1"/>
  <c r="Q42" i="42" s="1"/>
  <c r="P42" i="42" s="1"/>
  <c r="Q348" i="42"/>
  <c r="P348" i="42" s="1"/>
  <c r="S348" i="42"/>
  <c r="Q278" i="41"/>
  <c r="P278" i="41" s="1"/>
  <c r="S278" i="41"/>
  <c r="F278" i="41" s="1"/>
  <c r="G371" i="42"/>
  <c r="S371" i="42"/>
  <c r="F371" i="42" s="1"/>
  <c r="Q371" i="42"/>
  <c r="P371" i="42" s="1"/>
  <c r="G238" i="42"/>
  <c r="D178" i="41"/>
  <c r="Q177" i="41"/>
  <c r="P177" i="41" s="1"/>
  <c r="Q332" i="43"/>
  <c r="P332" i="43" s="1"/>
  <c r="S332" i="43"/>
  <c r="G371" i="41"/>
  <c r="Q316" i="43"/>
  <c r="P316" i="43" s="1"/>
  <c r="S316" i="43"/>
  <c r="F316" i="43" s="1"/>
  <c r="Q307" i="43"/>
  <c r="P307" i="43" s="1"/>
  <c r="S307" i="43"/>
  <c r="F307" i="43" s="1"/>
  <c r="Q311" i="43"/>
  <c r="P311" i="43" s="1"/>
  <c r="S311" i="43"/>
  <c r="F311" i="43" s="1"/>
  <c r="S321" i="43"/>
  <c r="F321" i="43" s="1"/>
  <c r="Q321" i="43"/>
  <c r="P321" i="43" s="1"/>
  <c r="Q295" i="43"/>
  <c r="P295" i="43" s="1"/>
  <c r="S295" i="43"/>
  <c r="F295" i="43" s="1"/>
  <c r="S308" i="43"/>
  <c r="F308" i="43" s="1"/>
  <c r="V308" i="43" s="1"/>
  <c r="G308" i="43" s="1"/>
  <c r="Q308" i="43"/>
  <c r="P308" i="43" s="1"/>
  <c r="Q338" i="43"/>
  <c r="P338" i="43" s="1"/>
  <c r="S338" i="43"/>
  <c r="F338" i="43" s="1"/>
  <c r="Q101" i="43"/>
  <c r="P101" i="43" s="1"/>
  <c r="F102" i="43"/>
  <c r="H102" i="43" s="1"/>
  <c r="H101" i="43"/>
  <c r="S114" i="43"/>
  <c r="F114" i="43" s="1"/>
  <c r="H114" i="43" s="1"/>
  <c r="D115" i="43"/>
  <c r="Q353" i="42"/>
  <c r="P353" i="42" s="1"/>
  <c r="S353" i="42"/>
  <c r="Q360" i="42"/>
  <c r="P360" i="42" s="1"/>
  <c r="S360" i="42"/>
  <c r="S365" i="43"/>
  <c r="Q365" i="43"/>
  <c r="P365" i="43" s="1"/>
  <c r="S25" i="43"/>
  <c r="F25" i="43" s="1"/>
  <c r="H25" i="43" s="1"/>
  <c r="S66" i="43"/>
  <c r="S26" i="43"/>
  <c r="Q26" i="43"/>
  <c r="P26" i="43" s="1"/>
  <c r="S53" i="43"/>
  <c r="S24" i="43"/>
  <c r="Q24" i="43"/>
  <c r="P24" i="43" s="1"/>
  <c r="Q177" i="42"/>
  <c r="P177" i="42" s="1"/>
  <c r="D178" i="42"/>
  <c r="S331" i="42"/>
  <c r="F331" i="42" s="1"/>
  <c r="Q331" i="42"/>
  <c r="P331" i="42" s="1"/>
  <c r="Q362" i="43"/>
  <c r="P362" i="43" s="1"/>
  <c r="S362" i="43"/>
  <c r="D363" i="43"/>
  <c r="Q363" i="43" s="1"/>
  <c r="P363" i="43" s="1"/>
  <c r="D157" i="41"/>
  <c r="Q157" i="41" s="1"/>
  <c r="P157" i="41" s="1"/>
  <c r="Q156" i="41"/>
  <c r="P156" i="41" s="1"/>
  <c r="S156" i="41"/>
  <c r="Q300" i="42"/>
  <c r="P300" i="42" s="1"/>
  <c r="S300" i="42"/>
  <c r="F300" i="42" s="1"/>
  <c r="Q291" i="42"/>
  <c r="P291" i="42" s="1"/>
  <c r="S291" i="42"/>
  <c r="F291" i="42" s="1"/>
  <c r="Q319" i="42"/>
  <c r="P319" i="42" s="1"/>
  <c r="S319" i="42"/>
  <c r="F319" i="42" s="1"/>
  <c r="Q299" i="42"/>
  <c r="P299" i="42" s="1"/>
  <c r="S299" i="42"/>
  <c r="F299" i="42" s="1"/>
  <c r="Q306" i="42"/>
  <c r="P306" i="42" s="1"/>
  <c r="S306" i="42"/>
  <c r="F306" i="42" s="1"/>
  <c r="S321" i="42"/>
  <c r="F321" i="42" s="1"/>
  <c r="Q321" i="42"/>
  <c r="P321" i="42" s="1"/>
  <c r="S61" i="41"/>
  <c r="S74" i="41"/>
  <c r="Q74" i="41"/>
  <c r="P74" i="41" s="1"/>
  <c r="S68" i="41"/>
  <c r="F68" i="41" s="1"/>
  <c r="Q67" i="41" s="1"/>
  <c r="P67" i="41" s="1"/>
  <c r="S37" i="41"/>
  <c r="Q37" i="41"/>
  <c r="P37" i="41" s="1"/>
  <c r="S55" i="41"/>
  <c r="Q55" i="41"/>
  <c r="P55" i="41" s="1"/>
  <c r="S29" i="41"/>
  <c r="F29" i="41" s="1"/>
  <c r="Q29" i="41" s="1"/>
  <c r="P29" i="41" s="1"/>
  <c r="S67" i="41"/>
  <c r="S406" i="42"/>
  <c r="Q406" i="42"/>
  <c r="P406" i="42" s="1"/>
  <c r="Q232" i="43"/>
  <c r="P232" i="43" s="1"/>
  <c r="D233" i="43"/>
  <c r="Q233" i="43" s="1"/>
  <c r="P233" i="43" s="1"/>
  <c r="S232" i="43"/>
  <c r="Q340" i="41"/>
  <c r="P340" i="41" s="1"/>
  <c r="S340" i="41"/>
  <c r="S397" i="43"/>
  <c r="Q397" i="43"/>
  <c r="P397" i="43" s="1"/>
  <c r="S386" i="43"/>
  <c r="Q386" i="43"/>
  <c r="P386" i="43" s="1"/>
  <c r="S359" i="41"/>
  <c r="Q359" i="41"/>
  <c r="P359" i="41" s="1"/>
  <c r="Q353" i="41"/>
  <c r="P353" i="41" s="1"/>
  <c r="S353" i="41"/>
  <c r="Q325" i="41"/>
  <c r="P325" i="41" s="1"/>
  <c r="S325" i="41"/>
  <c r="F325" i="41" s="1"/>
  <c r="S318" i="41"/>
  <c r="F318" i="41" s="1"/>
  <c r="Q318" i="41"/>
  <c r="P318" i="41" s="1"/>
  <c r="S326" i="41"/>
  <c r="F326" i="41" s="1"/>
  <c r="Q326" i="41"/>
  <c r="P326" i="41" s="1"/>
  <c r="Q320" i="41"/>
  <c r="P320" i="41" s="1"/>
  <c r="S320" i="41"/>
  <c r="F320" i="41" s="1"/>
  <c r="S297" i="41"/>
  <c r="F297" i="41" s="1"/>
  <c r="Q297" i="41"/>
  <c r="P297" i="41" s="1"/>
  <c r="Q307" i="41"/>
  <c r="P307" i="41" s="1"/>
  <c r="S307" i="41"/>
  <c r="F307" i="41" s="1"/>
  <c r="G188" i="41"/>
  <c r="V210" i="41"/>
  <c r="S228" i="42"/>
  <c r="F228" i="42" s="1"/>
  <c r="Q228" i="42"/>
  <c r="P228" i="42" s="1"/>
  <c r="S347" i="41"/>
  <c r="Q347" i="41"/>
  <c r="P347" i="41" s="1"/>
  <c r="D107" i="42"/>
  <c r="Q107" i="42" s="1"/>
  <c r="P107" i="42" s="1"/>
  <c r="Q106" i="42"/>
  <c r="P106" i="42" s="1"/>
  <c r="Q397" i="42"/>
  <c r="P397" i="42" s="1"/>
  <c r="S397" i="42"/>
  <c r="S279" i="42"/>
  <c r="Q279" i="42"/>
  <c r="P279" i="42" s="1"/>
  <c r="S334" i="41"/>
  <c r="Q334" i="41"/>
  <c r="P334" i="41" s="1"/>
  <c r="S194" i="42"/>
  <c r="Q215" i="42"/>
  <c r="P215" i="42" s="1"/>
  <c r="D216" i="42"/>
  <c r="Q216" i="42" s="1"/>
  <c r="P216" i="42" s="1"/>
  <c r="S218" i="42"/>
  <c r="F218" i="42" s="1"/>
  <c r="Q218" i="42"/>
  <c r="P218" i="42" s="1"/>
  <c r="D166" i="42"/>
  <c r="Q168" i="42"/>
  <c r="P168" i="42" s="1"/>
  <c r="F169" i="42"/>
  <c r="Q169" i="42" s="1"/>
  <c r="P169" i="42" s="1"/>
  <c r="S281" i="43"/>
  <c r="Q281" i="43"/>
  <c r="P281" i="43" s="1"/>
  <c r="D282" i="43"/>
  <c r="Q282" i="43" s="1"/>
  <c r="P282" i="43" s="1"/>
  <c r="S390" i="42"/>
  <c r="Q390" i="42"/>
  <c r="P390" i="42" s="1"/>
  <c r="S383" i="42"/>
  <c r="Q383" i="42"/>
  <c r="P383" i="42" s="1"/>
  <c r="G162" i="41"/>
  <c r="D401" i="41"/>
  <c r="Q401" i="41" s="1"/>
  <c r="P401" i="41" s="1"/>
  <c r="S400" i="41"/>
  <c r="Q400" i="41"/>
  <c r="P400" i="41" s="1"/>
  <c r="S150" i="43"/>
  <c r="D151" i="43"/>
  <c r="Q151" i="43" s="1"/>
  <c r="P151" i="43" s="1"/>
  <c r="Q150" i="43"/>
  <c r="P150" i="43" s="1"/>
  <c r="S385" i="41"/>
  <c r="Q385" i="41"/>
  <c r="P385" i="41" s="1"/>
  <c r="S381" i="41"/>
  <c r="Q381" i="41"/>
  <c r="P381" i="41" s="1"/>
  <c r="S372" i="43"/>
  <c r="Q372" i="43"/>
  <c r="P372" i="43" s="1"/>
  <c r="D157" i="42"/>
  <c r="Q157" i="42" s="1"/>
  <c r="P157" i="42" s="1"/>
  <c r="Q156" i="42"/>
  <c r="P156" i="42" s="1"/>
  <c r="S156" i="42"/>
  <c r="Q65" i="42"/>
  <c r="P65" i="42" s="1"/>
  <c r="S65" i="42"/>
  <c r="F66" i="42" s="1"/>
  <c r="H66" i="42" s="1"/>
  <c r="Q83" i="42"/>
  <c r="P83" i="42" s="1"/>
  <c r="S83" i="42"/>
  <c r="S75" i="42"/>
  <c r="Q75" i="42"/>
  <c r="P75" i="42" s="1"/>
  <c r="S32" i="42"/>
  <c r="Q32" i="42"/>
  <c r="P32" i="42" s="1"/>
  <c r="S33" i="42"/>
  <c r="F33" i="42" s="1"/>
  <c r="H33" i="42" s="1"/>
  <c r="S48" i="42"/>
  <c r="F49" i="42" s="1"/>
  <c r="H49" i="42" s="1"/>
  <c r="Q48" i="42"/>
  <c r="P48" i="42" s="1"/>
  <c r="S91" i="42"/>
  <c r="Q91" i="42"/>
  <c r="P91" i="42" s="1"/>
  <c r="Q29" i="42"/>
  <c r="P29" i="42" s="1"/>
  <c r="H29" i="42"/>
  <c r="D266" i="42"/>
  <c r="Q266" i="42" s="1"/>
  <c r="P266" i="42" s="1"/>
  <c r="D243" i="42"/>
  <c r="Q243" i="42" s="1"/>
  <c r="P243" i="42" s="1"/>
  <c r="D262" i="42"/>
  <c r="Q262" i="42" s="1"/>
  <c r="P262" i="42" s="1"/>
  <c r="D249" i="42"/>
  <c r="Q249" i="42" s="1"/>
  <c r="P249" i="42" s="1"/>
  <c r="D258" i="42"/>
  <c r="Q258" i="42" s="1"/>
  <c r="P258" i="42" s="1"/>
  <c r="D252" i="42"/>
  <c r="Q252" i="42" s="1"/>
  <c r="P252" i="42" s="1"/>
  <c r="S242" i="42"/>
  <c r="F242" i="42" s="1"/>
  <c r="Q241" i="42" s="1"/>
  <c r="P241" i="42" s="1"/>
  <c r="D244" i="42"/>
  <c r="Q244" i="42" s="1"/>
  <c r="P244" i="42" s="1"/>
  <c r="D261" i="42"/>
  <c r="Q261" i="42" s="1"/>
  <c r="P261" i="42" s="1"/>
  <c r="D248" i="42"/>
  <c r="Q248" i="42" s="1"/>
  <c r="P248" i="42" s="1"/>
  <c r="D259" i="42"/>
  <c r="Q259" i="42" s="1"/>
  <c r="P259" i="42" s="1"/>
  <c r="D253" i="42"/>
  <c r="Q253" i="42" s="1"/>
  <c r="P253" i="42" s="1"/>
  <c r="D254" i="42"/>
  <c r="Q254" i="42" s="1"/>
  <c r="P254" i="42" s="1"/>
  <c r="D251" i="42"/>
  <c r="Q251" i="42" s="1"/>
  <c r="P251" i="42" s="1"/>
  <c r="D247" i="42"/>
  <c r="Q247" i="42" s="1"/>
  <c r="P247" i="42" s="1"/>
  <c r="D263" i="42"/>
  <c r="Q263" i="42" s="1"/>
  <c r="P263" i="42" s="1"/>
  <c r="D246" i="42"/>
  <c r="Q246" i="42" s="1"/>
  <c r="P246" i="42" s="1"/>
  <c r="D260" i="42"/>
  <c r="Q260" i="42" s="1"/>
  <c r="P260" i="42" s="1"/>
  <c r="D265" i="42"/>
  <c r="Q265" i="42" s="1"/>
  <c r="P265" i="42" s="1"/>
  <c r="D256" i="42"/>
  <c r="Q256" i="42" s="1"/>
  <c r="P256" i="42" s="1"/>
  <c r="D267" i="42"/>
  <c r="Q267" i="42" s="1"/>
  <c r="P267" i="42" s="1"/>
  <c r="D255" i="42"/>
  <c r="Q255" i="42" s="1"/>
  <c r="P255" i="42" s="1"/>
  <c r="D257" i="42"/>
  <c r="Q257" i="42" s="1"/>
  <c r="P257" i="42" s="1"/>
  <c r="D268" i="42"/>
  <c r="Q268" i="42" s="1"/>
  <c r="P268" i="42" s="1"/>
  <c r="D245" i="42"/>
  <c r="Q245" i="42" s="1"/>
  <c r="P245" i="42" s="1"/>
  <c r="D264" i="42"/>
  <c r="Q264" i="42" s="1"/>
  <c r="P264" i="42" s="1"/>
  <c r="D269" i="42"/>
  <c r="D250" i="42"/>
  <c r="Q250" i="42" s="1"/>
  <c r="P250" i="42" s="1"/>
  <c r="D350" i="42"/>
  <c r="Q350" i="42" s="1"/>
  <c r="P350" i="42" s="1"/>
  <c r="Q349" i="42"/>
  <c r="P349" i="42" s="1"/>
  <c r="S349" i="42"/>
  <c r="F349" i="42" s="1"/>
  <c r="S281" i="41"/>
  <c r="Q281" i="41"/>
  <c r="P281" i="41" s="1"/>
  <c r="D282" i="41"/>
  <c r="Q282" i="41" s="1"/>
  <c r="P282" i="41" s="1"/>
  <c r="Q376" i="42"/>
  <c r="P376" i="42" s="1"/>
  <c r="S376" i="42"/>
  <c r="Q367" i="42"/>
  <c r="P367" i="42" s="1"/>
  <c r="S367" i="42"/>
  <c r="Q331" i="43"/>
  <c r="P331" i="43" s="1"/>
  <c r="S331" i="43"/>
  <c r="F331" i="43" s="1"/>
  <c r="Q327" i="43"/>
  <c r="P327" i="43" s="1"/>
  <c r="S327" i="43"/>
  <c r="F327" i="43" s="1"/>
  <c r="S306" i="43"/>
  <c r="F306" i="43" s="1"/>
  <c r="Q306" i="43"/>
  <c r="P306" i="43" s="1"/>
  <c r="Q298" i="43"/>
  <c r="P298" i="43" s="1"/>
  <c r="S298" i="43"/>
  <c r="F298" i="43" s="1"/>
  <c r="V298" i="43" s="1"/>
  <c r="G298" i="43" s="1"/>
  <c r="S305" i="43"/>
  <c r="F305" i="43" s="1"/>
  <c r="Q305" i="43"/>
  <c r="P305" i="43" s="1"/>
  <c r="Q325" i="43"/>
  <c r="P325" i="43" s="1"/>
  <c r="S325" i="43"/>
  <c r="F325" i="43" s="1"/>
  <c r="S284" i="43"/>
  <c r="F284" i="43" s="1"/>
  <c r="Q284" i="43"/>
  <c r="P284" i="43" s="1"/>
  <c r="Q218" i="43"/>
  <c r="P218" i="43" s="1"/>
  <c r="S218" i="43"/>
  <c r="F218" i="43" s="1"/>
  <c r="S342" i="43"/>
  <c r="Q342" i="43"/>
  <c r="P342" i="43" s="1"/>
  <c r="Q113" i="43"/>
  <c r="P113" i="43" s="1"/>
  <c r="H113" i="43"/>
  <c r="S123" i="43"/>
  <c r="Q123" i="43"/>
  <c r="P123" i="43" s="1"/>
  <c r="S358" i="42"/>
  <c r="Q358" i="42"/>
  <c r="P358" i="42" s="1"/>
  <c r="S359" i="42"/>
  <c r="Q359" i="42"/>
  <c r="P359" i="42" s="1"/>
  <c r="S367" i="43"/>
  <c r="Q367" i="43"/>
  <c r="P367" i="43" s="1"/>
  <c r="S274" i="43"/>
  <c r="F274" i="43" s="1"/>
  <c r="Q274" i="43"/>
  <c r="P274" i="43" s="1"/>
  <c r="S69" i="43"/>
  <c r="Q69" i="43"/>
  <c r="P69" i="43" s="1"/>
  <c r="S37" i="43"/>
  <c r="Q37" i="43"/>
  <c r="P37" i="43" s="1"/>
  <c r="S60" i="43"/>
  <c r="Q60" i="43"/>
  <c r="P60" i="43" s="1"/>
  <c r="S72" i="43"/>
  <c r="S73" i="43"/>
  <c r="Q73" i="43"/>
  <c r="P73" i="43" s="1"/>
  <c r="S333" i="42"/>
  <c r="Q333" i="42"/>
  <c r="P333" i="42" s="1"/>
  <c r="Q360" i="43"/>
  <c r="P360" i="43" s="1"/>
  <c r="S360" i="43"/>
  <c r="Q352" i="43"/>
  <c r="P352" i="43" s="1"/>
  <c r="S352" i="43"/>
  <c r="S295" i="42"/>
  <c r="F295" i="42" s="1"/>
  <c r="Q295" i="42"/>
  <c r="P295" i="42" s="1"/>
  <c r="Q326" i="42"/>
  <c r="P326" i="42" s="1"/>
  <c r="S326" i="42"/>
  <c r="F326" i="42" s="1"/>
  <c r="S308" i="42"/>
  <c r="F308" i="42" s="1"/>
  <c r="V308" i="42" s="1"/>
  <c r="G308" i="42" s="1"/>
  <c r="Q308" i="42"/>
  <c r="P308" i="42" s="1"/>
  <c r="S294" i="42"/>
  <c r="F294" i="42" s="1"/>
  <c r="Q294" i="42"/>
  <c r="P294" i="42" s="1"/>
  <c r="S73" i="41"/>
  <c r="Q73" i="41"/>
  <c r="P73" i="41" s="1"/>
  <c r="D99" i="41"/>
  <c r="Q99" i="41" s="1"/>
  <c r="P99" i="41" s="1"/>
  <c r="Q98" i="41"/>
  <c r="P98" i="41" s="1"/>
  <c r="S24" i="41"/>
  <c r="Q24" i="41"/>
  <c r="P24" i="41" s="1"/>
  <c r="S33" i="41"/>
  <c r="F33" i="41" s="1"/>
  <c r="H33" i="41" s="1"/>
  <c r="D77" i="41"/>
  <c r="Q76" i="41"/>
  <c r="P76" i="41" s="1"/>
  <c r="S76" i="41"/>
  <c r="S59" i="41"/>
  <c r="Q59" i="41"/>
  <c r="P59" i="41" s="1"/>
  <c r="S48" i="41"/>
  <c r="F49" i="41" s="1"/>
  <c r="H49" i="41" s="1"/>
  <c r="Q48" i="41"/>
  <c r="P48" i="41" s="1"/>
  <c r="S409" i="42"/>
  <c r="Q409" i="42"/>
  <c r="P409" i="42" s="1"/>
  <c r="D410" i="42"/>
  <c r="Q410" i="42" s="1"/>
  <c r="P410" i="42" s="1"/>
  <c r="Q228" i="43"/>
  <c r="P228" i="43" s="1"/>
  <c r="S228" i="43"/>
  <c r="F228" i="43" s="1"/>
  <c r="Q339" i="41"/>
  <c r="P339" i="41" s="1"/>
  <c r="S339" i="41"/>
  <c r="S396" i="43"/>
  <c r="Q396" i="43"/>
  <c r="P396" i="43" s="1"/>
  <c r="Q390" i="43"/>
  <c r="P390" i="43" s="1"/>
  <c r="S390" i="43"/>
  <c r="S385" i="43"/>
  <c r="Q385" i="43"/>
  <c r="P385" i="43" s="1"/>
  <c r="S357" i="41"/>
  <c r="Q357" i="41"/>
  <c r="P357" i="41" s="1"/>
  <c r="S362" i="41"/>
  <c r="D363" i="41"/>
  <c r="Q363" i="41" s="1"/>
  <c r="P363" i="41" s="1"/>
  <c r="Q362" i="41"/>
  <c r="P362" i="41" s="1"/>
  <c r="Q309" i="41"/>
  <c r="P309" i="41" s="1"/>
  <c r="S309" i="41"/>
  <c r="F309" i="41" s="1"/>
  <c r="S305" i="41"/>
  <c r="F305" i="41" s="1"/>
  <c r="Q305" i="41"/>
  <c r="P305" i="41" s="1"/>
  <c r="Q315" i="41"/>
  <c r="P315" i="41" s="1"/>
  <c r="S315" i="41"/>
  <c r="F315" i="41" s="1"/>
  <c r="S284" i="41"/>
  <c r="F284" i="41" s="1"/>
  <c r="Q284" i="41"/>
  <c r="P284" i="41" s="1"/>
  <c r="S288" i="41"/>
  <c r="F288" i="41" s="1"/>
  <c r="Q288" i="41"/>
  <c r="P288" i="41" s="1"/>
  <c r="D210" i="41"/>
  <c r="S198" i="41"/>
  <c r="S192" i="41"/>
  <c r="D272" i="42"/>
  <c r="V242" i="42"/>
  <c r="S348" i="41"/>
  <c r="Q348" i="41"/>
  <c r="P348" i="41" s="1"/>
  <c r="S118" i="42"/>
  <c r="F118" i="42" s="1"/>
  <c r="D129" i="42"/>
  <c r="Q129" i="42" s="1"/>
  <c r="P129" i="42" s="1"/>
  <c r="Q128" i="42"/>
  <c r="P128" i="42" s="1"/>
  <c r="D111" i="42"/>
  <c r="Q111" i="42" s="1"/>
  <c r="P111" i="42" s="1"/>
  <c r="Q110" i="42"/>
  <c r="P110" i="42" s="1"/>
  <c r="D103" i="42"/>
  <c r="Q333" i="41"/>
  <c r="P333" i="41" s="1"/>
  <c r="S333" i="41"/>
  <c r="S153" i="42"/>
  <c r="Q153" i="42"/>
  <c r="P153" i="42" s="1"/>
  <c r="D154" i="42"/>
  <c r="Q154" i="42" s="1"/>
  <c r="P154" i="42" s="1"/>
  <c r="S198" i="42"/>
  <c r="D210" i="42"/>
  <c r="G218" i="42"/>
  <c r="S338" i="42"/>
  <c r="F338" i="42" s="1"/>
  <c r="Q338" i="42"/>
  <c r="P338" i="42" s="1"/>
  <c r="Q170" i="42"/>
  <c r="P170" i="42" s="1"/>
  <c r="V170" i="42"/>
  <c r="G170" i="42" s="1"/>
  <c r="F171" i="42"/>
  <c r="Q171" i="42" s="1"/>
  <c r="P171" i="42" s="1"/>
  <c r="S391" i="42"/>
  <c r="Q391" i="42"/>
  <c r="P391" i="42" s="1"/>
  <c r="S382" i="42"/>
  <c r="Q382" i="42"/>
  <c r="P382" i="42" s="1"/>
  <c r="S408" i="43"/>
  <c r="Q408" i="43"/>
  <c r="P408" i="43" s="1"/>
  <c r="D350" i="43"/>
  <c r="Q350" i="43" s="1"/>
  <c r="P350" i="43" s="1"/>
  <c r="S349" i="43"/>
  <c r="F349" i="43" s="1"/>
  <c r="Q349" i="43"/>
  <c r="P349" i="43" s="1"/>
  <c r="S119" i="41"/>
  <c r="F119" i="41" s="1"/>
  <c r="H119" i="41" s="1"/>
  <c r="S397" i="41"/>
  <c r="Q397" i="41"/>
  <c r="P397" i="41" s="1"/>
  <c r="S391" i="41"/>
  <c r="Q391" i="41"/>
  <c r="P391" i="41" s="1"/>
  <c r="Q371" i="43"/>
  <c r="P371" i="43" s="1"/>
  <c r="S371" i="43"/>
  <c r="F371" i="43" s="1"/>
  <c r="S377" i="43"/>
  <c r="Q377" i="43"/>
  <c r="P377" i="43" s="1"/>
  <c r="Q190" i="43"/>
  <c r="P190" i="43" s="1"/>
  <c r="S190" i="43"/>
  <c r="S45" i="42"/>
  <c r="S80" i="42"/>
  <c r="Q80" i="42"/>
  <c r="P80" i="42" s="1"/>
  <c r="S52" i="42"/>
  <c r="F53" i="42" s="1"/>
  <c r="H53" i="42" s="1"/>
  <c r="Q52" i="42"/>
  <c r="P52" i="42" s="1"/>
  <c r="S24" i="42"/>
  <c r="Q24" i="42"/>
  <c r="P24" i="42" s="1"/>
  <c r="S60" i="42"/>
  <c r="Q60" i="42"/>
  <c r="P60" i="42" s="1"/>
  <c r="S69" i="42"/>
  <c r="Q69" i="42"/>
  <c r="P69" i="42" s="1"/>
  <c r="S96" i="42"/>
  <c r="Q96" i="42"/>
  <c r="P96" i="42" s="1"/>
  <c r="S74" i="42"/>
  <c r="Q74" i="42"/>
  <c r="P74" i="42" s="1"/>
  <c r="Q347" i="42"/>
  <c r="P347" i="42" s="1"/>
  <c r="S347" i="42"/>
  <c r="S373" i="42"/>
  <c r="Q373" i="42"/>
  <c r="P373" i="42" s="1"/>
  <c r="Q365" i="42"/>
  <c r="P365" i="42" s="1"/>
  <c r="S365" i="42"/>
  <c r="Q239" i="42"/>
  <c r="P239" i="42" s="1"/>
  <c r="D240" i="42"/>
  <c r="Q240" i="42" s="1"/>
  <c r="P240" i="42" s="1"/>
  <c r="S239" i="42"/>
  <c r="G174" i="41"/>
  <c r="V186" i="41"/>
  <c r="S150" i="42"/>
  <c r="Q150" i="42"/>
  <c r="P150" i="42" s="1"/>
  <c r="D151" i="42"/>
  <c r="Q151" i="42" s="1"/>
  <c r="P151" i="42" s="1"/>
  <c r="Q372" i="41"/>
  <c r="P372" i="41" s="1"/>
  <c r="S372" i="41"/>
  <c r="Q153" i="43"/>
  <c r="P153" i="43" s="1"/>
  <c r="D154" i="43"/>
  <c r="Q154" i="43" s="1"/>
  <c r="P154" i="43" s="1"/>
  <c r="S153" i="43"/>
  <c r="S312" i="43"/>
  <c r="F312" i="43" s="1"/>
  <c r="Q312" i="43"/>
  <c r="P312" i="43" s="1"/>
  <c r="Q294" i="43"/>
  <c r="P294" i="43" s="1"/>
  <c r="S294" i="43"/>
  <c r="F294" i="43" s="1"/>
  <c r="Q290" i="43"/>
  <c r="P290" i="43" s="1"/>
  <c r="S290" i="43"/>
  <c r="F290" i="43" s="1"/>
  <c r="V290" i="43" s="1"/>
  <c r="Q322" i="43"/>
  <c r="P322" i="43" s="1"/>
  <c r="S322" i="43"/>
  <c r="F322" i="43" s="1"/>
  <c r="S299" i="43"/>
  <c r="F299" i="43" s="1"/>
  <c r="Q299" i="43"/>
  <c r="P299" i="43" s="1"/>
  <c r="S328" i="43"/>
  <c r="F328" i="43" s="1"/>
  <c r="Q328" i="43"/>
  <c r="P328" i="43" s="1"/>
  <c r="D329" i="43"/>
  <c r="Q329" i="43" s="1"/>
  <c r="P329" i="43" s="1"/>
  <c r="Q366" i="41"/>
  <c r="P366" i="41" s="1"/>
  <c r="S366" i="41"/>
  <c r="D223" i="43"/>
  <c r="Q223" i="43" s="1"/>
  <c r="P223" i="43" s="1"/>
  <c r="Q222" i="43"/>
  <c r="P222" i="43" s="1"/>
  <c r="Q403" i="41"/>
  <c r="P403" i="41" s="1"/>
  <c r="S403" i="41"/>
  <c r="F403" i="41" s="1"/>
  <c r="D404" i="41"/>
  <c r="Q404" i="41" s="1"/>
  <c r="P404" i="41" s="1"/>
  <c r="Q339" i="43"/>
  <c r="P339" i="43" s="1"/>
  <c r="S339" i="43"/>
  <c r="D107" i="43"/>
  <c r="Q107" i="43" s="1"/>
  <c r="P107" i="43" s="1"/>
  <c r="Q106" i="43"/>
  <c r="P106" i="43" s="1"/>
  <c r="S357" i="42"/>
  <c r="Q357" i="42"/>
  <c r="P357" i="42" s="1"/>
  <c r="S361" i="42"/>
  <c r="Q361" i="42"/>
  <c r="P361" i="42" s="1"/>
  <c r="S238" i="43"/>
  <c r="F238" i="43" s="1"/>
  <c r="Q238" i="43"/>
  <c r="P238" i="43" s="1"/>
  <c r="S30" i="43"/>
  <c r="F30" i="43" s="1"/>
  <c r="H30" i="43" s="1"/>
  <c r="S23" i="43"/>
  <c r="F23" i="43" s="1"/>
  <c r="H23" i="43" s="1"/>
  <c r="S71" i="43"/>
  <c r="S70" i="43"/>
  <c r="Q70" i="43"/>
  <c r="P70" i="43" s="1"/>
  <c r="Q75" i="43"/>
  <c r="P75" i="43" s="1"/>
  <c r="S75" i="43"/>
  <c r="Q29" i="43"/>
  <c r="P29" i="43" s="1"/>
  <c r="H29" i="43"/>
  <c r="Q56" i="43"/>
  <c r="P56" i="43" s="1"/>
  <c r="S56" i="43"/>
  <c r="S81" i="43"/>
  <c r="Q81" i="43"/>
  <c r="P81" i="43" s="1"/>
  <c r="S61" i="43"/>
  <c r="Q61" i="43"/>
  <c r="P61" i="43" s="1"/>
  <c r="V186" i="42"/>
  <c r="G174" i="42"/>
  <c r="Q181" i="42"/>
  <c r="P181" i="42" s="1"/>
  <c r="D182" i="42"/>
  <c r="Q182" i="42" s="1"/>
  <c r="P182" i="42" s="1"/>
  <c r="S359" i="43"/>
  <c r="Q359" i="43"/>
  <c r="P359" i="43" s="1"/>
  <c r="S361" i="43"/>
  <c r="Q361" i="43"/>
  <c r="P361" i="43" s="1"/>
  <c r="S309" i="42"/>
  <c r="F309" i="42" s="1"/>
  <c r="Q309" i="42"/>
  <c r="P309" i="42" s="1"/>
  <c r="Q317" i="42"/>
  <c r="P317" i="42" s="1"/>
  <c r="S317" i="42"/>
  <c r="F317" i="42" s="1"/>
  <c r="S305" i="42"/>
  <c r="F305" i="42" s="1"/>
  <c r="Q305" i="42"/>
  <c r="P305" i="42" s="1"/>
  <c r="S311" i="42"/>
  <c r="F311" i="42" s="1"/>
  <c r="Q311" i="42"/>
  <c r="P311" i="42" s="1"/>
  <c r="S297" i="42"/>
  <c r="F297" i="42" s="1"/>
  <c r="Q297" i="42"/>
  <c r="P297" i="42" s="1"/>
  <c r="S52" i="41"/>
  <c r="F53" i="41" s="1"/>
  <c r="H53" i="41" s="1"/>
  <c r="Q52" i="41"/>
  <c r="P52" i="41" s="1"/>
  <c r="S53" i="41"/>
  <c r="S49" i="41"/>
  <c r="S64" i="41"/>
  <c r="Q64" i="41"/>
  <c r="P64" i="41" s="1"/>
  <c r="S25" i="41"/>
  <c r="F25" i="41" s="1"/>
  <c r="H25" i="41" s="1"/>
  <c r="S42" i="41"/>
  <c r="F42" i="41" s="1"/>
  <c r="Q42" i="41" s="1"/>
  <c r="P42" i="41" s="1"/>
  <c r="S407" i="42"/>
  <c r="Q407" i="42"/>
  <c r="P407" i="42" s="1"/>
  <c r="S338" i="41"/>
  <c r="F338" i="41" s="1"/>
  <c r="Q338" i="41"/>
  <c r="P338" i="41" s="1"/>
  <c r="S398" i="43"/>
  <c r="Q398" i="43"/>
  <c r="P398" i="43" s="1"/>
  <c r="D394" i="43"/>
  <c r="Q394" i="43" s="1"/>
  <c r="P394" i="43" s="1"/>
  <c r="S393" i="43"/>
  <c r="Q393" i="43"/>
  <c r="P393" i="43" s="1"/>
  <c r="S388" i="43"/>
  <c r="Q388" i="43"/>
  <c r="P388" i="43" s="1"/>
  <c r="S355" i="41"/>
  <c r="Q355" i="41"/>
  <c r="P355" i="41" s="1"/>
  <c r="S361" i="41"/>
  <c r="Q361" i="41"/>
  <c r="P361" i="41" s="1"/>
  <c r="Q311" i="41"/>
  <c r="P311" i="41" s="1"/>
  <c r="S311" i="41"/>
  <c r="F311" i="41" s="1"/>
  <c r="S321" i="41"/>
  <c r="F321" i="41" s="1"/>
  <c r="Q321" i="41"/>
  <c r="P321" i="41" s="1"/>
  <c r="S319" i="41"/>
  <c r="F319" i="41" s="1"/>
  <c r="Q319" i="41"/>
  <c r="P319" i="41" s="1"/>
  <c r="S287" i="41"/>
  <c r="F287" i="41" s="1"/>
  <c r="Q287" i="41"/>
  <c r="P287" i="41" s="1"/>
  <c r="S285" i="41"/>
  <c r="F285" i="41" s="1"/>
  <c r="Q285" i="41"/>
  <c r="P285" i="41" s="1"/>
  <c r="S204" i="41"/>
  <c r="Q164" i="43"/>
  <c r="P164" i="43" s="1"/>
  <c r="F165" i="43"/>
  <c r="Q165" i="43" s="1"/>
  <c r="P165" i="43" s="1"/>
  <c r="V164" i="43"/>
  <c r="G164" i="43" s="1"/>
  <c r="Q146" i="42"/>
  <c r="P146" i="42" s="1"/>
  <c r="D147" i="42"/>
  <c r="Q131" i="42"/>
  <c r="P131" i="42" s="1"/>
  <c r="S131" i="42"/>
  <c r="Q398" i="42"/>
  <c r="P398" i="42" s="1"/>
  <c r="S398" i="42"/>
  <c r="S280" i="42"/>
  <c r="Q280" i="42"/>
  <c r="P280" i="42" s="1"/>
  <c r="G331" i="41"/>
  <c r="V210" i="42"/>
  <c r="G188" i="42"/>
  <c r="Q225" i="42"/>
  <c r="P225" i="42" s="1"/>
  <c r="D226" i="42"/>
  <c r="Q226" i="42" s="1"/>
  <c r="P226" i="42" s="1"/>
  <c r="S343" i="42"/>
  <c r="Q343" i="42"/>
  <c r="P343" i="42" s="1"/>
  <c r="D344" i="42"/>
  <c r="Q344" i="42" s="1"/>
  <c r="P344" i="42" s="1"/>
  <c r="S278" i="43"/>
  <c r="F278" i="43" s="1"/>
  <c r="Q278" i="43"/>
  <c r="P278" i="43" s="1"/>
  <c r="S389" i="42"/>
  <c r="Q389" i="42"/>
  <c r="P389" i="42" s="1"/>
  <c r="S381" i="42"/>
  <c r="Q381" i="42"/>
  <c r="P381" i="42" s="1"/>
  <c r="S164" i="41"/>
  <c r="F164" i="41" s="1"/>
  <c r="Q229" i="41"/>
  <c r="P229" i="41" s="1"/>
  <c r="D230" i="41"/>
  <c r="Q230" i="41" s="1"/>
  <c r="P230" i="41" s="1"/>
  <c r="S229" i="41"/>
  <c r="S131" i="41"/>
  <c r="Q131" i="41"/>
  <c r="P131" i="41" s="1"/>
  <c r="D122" i="41"/>
  <c r="Q121" i="41"/>
  <c r="P121" i="41" s="1"/>
  <c r="S382" i="41"/>
  <c r="Q382" i="41"/>
  <c r="P382" i="41" s="1"/>
  <c r="S389" i="41"/>
  <c r="Q389" i="41"/>
  <c r="P389" i="41" s="1"/>
  <c r="S376" i="43"/>
  <c r="Q376" i="43"/>
  <c r="P376" i="43" s="1"/>
  <c r="D210" i="43"/>
  <c r="Q212" i="43"/>
  <c r="P212" i="43" s="1"/>
  <c r="D213" i="43"/>
  <c r="Q213" i="43" s="1"/>
  <c r="P213" i="43" s="1"/>
  <c r="S58" i="42"/>
  <c r="Q58" i="42"/>
  <c r="P58" i="42" s="1"/>
  <c r="S37" i="42"/>
  <c r="Q37" i="42"/>
  <c r="P37" i="42" s="1"/>
  <c r="S66" i="42"/>
  <c r="S43" i="42"/>
  <c r="S72" i="42"/>
  <c r="S73" i="42"/>
  <c r="Q73" i="42"/>
  <c r="P73" i="42" s="1"/>
  <c r="D251" i="43"/>
  <c r="Q251" i="43" s="1"/>
  <c r="P251" i="43" s="1"/>
  <c r="D248" i="43"/>
  <c r="Q248" i="43" s="1"/>
  <c r="P248" i="43" s="1"/>
  <c r="D245" i="43"/>
  <c r="Q245" i="43" s="1"/>
  <c r="P245" i="43" s="1"/>
  <c r="D252" i="43"/>
  <c r="Q252" i="43" s="1"/>
  <c r="P252" i="43" s="1"/>
  <c r="S242" i="43"/>
  <c r="F242" i="43" s="1"/>
  <c r="Q242" i="43" s="1"/>
  <c r="P242" i="43" s="1"/>
  <c r="D249" i="43"/>
  <c r="Q249" i="43" s="1"/>
  <c r="P249" i="43" s="1"/>
  <c r="D262" i="43"/>
  <c r="Q262" i="43" s="1"/>
  <c r="P262" i="43" s="1"/>
  <c r="D255" i="43"/>
  <c r="Q255" i="43" s="1"/>
  <c r="P255" i="43" s="1"/>
  <c r="D246" i="43"/>
  <c r="Q246" i="43" s="1"/>
  <c r="P246" i="43" s="1"/>
  <c r="D266" i="43"/>
  <c r="Q266" i="43" s="1"/>
  <c r="P266" i="43" s="1"/>
  <c r="D260" i="43"/>
  <c r="Q260" i="43" s="1"/>
  <c r="P260" i="43" s="1"/>
  <c r="D267" i="43"/>
  <c r="Q267" i="43" s="1"/>
  <c r="P267" i="43" s="1"/>
  <c r="D258" i="43"/>
  <c r="Q258" i="43" s="1"/>
  <c r="P258" i="43" s="1"/>
  <c r="D261" i="43"/>
  <c r="Q261" i="43" s="1"/>
  <c r="P261" i="43" s="1"/>
  <c r="D247" i="43"/>
  <c r="Q247" i="43" s="1"/>
  <c r="P247" i="43" s="1"/>
  <c r="D243" i="43"/>
  <c r="Q243" i="43" s="1"/>
  <c r="P243" i="43" s="1"/>
  <c r="D257" i="43"/>
  <c r="Q257" i="43" s="1"/>
  <c r="P257" i="43" s="1"/>
  <c r="D269" i="43"/>
  <c r="D256" i="43"/>
  <c r="Q256" i="43" s="1"/>
  <c r="P256" i="43" s="1"/>
  <c r="D264" i="43"/>
  <c r="Q264" i="43" s="1"/>
  <c r="P264" i="43" s="1"/>
  <c r="D254" i="43"/>
  <c r="Q254" i="43" s="1"/>
  <c r="P254" i="43" s="1"/>
  <c r="D263" i="43"/>
  <c r="Q263" i="43" s="1"/>
  <c r="P263" i="43" s="1"/>
  <c r="D250" i="43"/>
  <c r="Q250" i="43" s="1"/>
  <c r="P250" i="43" s="1"/>
  <c r="D268" i="43"/>
  <c r="Q268" i="43" s="1"/>
  <c r="P268" i="43" s="1"/>
  <c r="D253" i="43"/>
  <c r="Q253" i="43" s="1"/>
  <c r="P253" i="43" s="1"/>
  <c r="D265" i="43"/>
  <c r="Q265" i="43" s="1"/>
  <c r="P265" i="43" s="1"/>
  <c r="D259" i="43"/>
  <c r="Q259" i="43" s="1"/>
  <c r="P259" i="43" s="1"/>
  <c r="D244" i="43"/>
  <c r="Q244" i="43" s="1"/>
  <c r="P244" i="43" s="1"/>
  <c r="D182" i="43"/>
  <c r="Q182" i="43" s="1"/>
  <c r="P182" i="43" s="1"/>
  <c r="Q181" i="43"/>
  <c r="P181" i="43" s="1"/>
  <c r="S280" i="41"/>
  <c r="Q280" i="41"/>
  <c r="P280" i="41" s="1"/>
  <c r="Q377" i="42"/>
  <c r="P377" i="42" s="1"/>
  <c r="S377" i="42"/>
  <c r="D226" i="41"/>
  <c r="Q226" i="41" s="1"/>
  <c r="P226" i="41" s="1"/>
  <c r="Q225" i="41"/>
  <c r="P225" i="41" s="1"/>
  <c r="D186" i="41"/>
  <c r="Q186" i="41" s="1"/>
  <c r="P186" i="41" s="1"/>
  <c r="Q185" i="41"/>
  <c r="P185" i="41" s="1"/>
  <c r="G331" i="43"/>
  <c r="S376" i="41"/>
  <c r="Q376" i="41"/>
  <c r="P376" i="41" s="1"/>
  <c r="Q374" i="41"/>
  <c r="P374" i="41" s="1"/>
  <c r="S374" i="41"/>
  <c r="S304" i="43"/>
  <c r="F304" i="43" s="1"/>
  <c r="Q304" i="43"/>
  <c r="P304" i="43" s="1"/>
  <c r="Q296" i="43"/>
  <c r="P296" i="43" s="1"/>
  <c r="S296" i="43"/>
  <c r="F296" i="43" s="1"/>
  <c r="S313" i="43"/>
  <c r="F313" i="43" s="1"/>
  <c r="Q313" i="43"/>
  <c r="P313" i="43" s="1"/>
  <c r="Q288" i="43"/>
  <c r="P288" i="43" s="1"/>
  <c r="S288" i="43"/>
  <c r="F288" i="43" s="1"/>
  <c r="S285" i="43"/>
  <c r="F285" i="43" s="1"/>
  <c r="Q285" i="43"/>
  <c r="P285" i="43" s="1"/>
  <c r="S406" i="41"/>
  <c r="Q406" i="41"/>
  <c r="P406" i="41" s="1"/>
  <c r="D344" i="43"/>
  <c r="Q344" i="43" s="1"/>
  <c r="P344" i="43" s="1"/>
  <c r="S343" i="43"/>
  <c r="Q343" i="43"/>
  <c r="P343" i="43" s="1"/>
  <c r="D111" i="43"/>
  <c r="Q111" i="43" s="1"/>
  <c r="P111" i="43" s="1"/>
  <c r="Q110" i="43"/>
  <c r="P110" i="43" s="1"/>
  <c r="S117" i="43"/>
  <c r="F117" i="43" s="1"/>
  <c r="Q117" i="43" s="1"/>
  <c r="P117" i="43" s="1"/>
  <c r="Q131" i="43"/>
  <c r="P131" i="43" s="1"/>
  <c r="S131" i="43"/>
  <c r="Q352" i="42"/>
  <c r="P352" i="42" s="1"/>
  <c r="S352" i="42"/>
  <c r="Q368" i="43"/>
  <c r="P368" i="43" s="1"/>
  <c r="D369" i="43"/>
  <c r="Q369" i="43" s="1"/>
  <c r="P369" i="43" s="1"/>
  <c r="S368" i="43"/>
  <c r="G238" i="43"/>
  <c r="Q52" i="43"/>
  <c r="P52" i="43" s="1"/>
  <c r="S52" i="43"/>
  <c r="F53" i="43" s="1"/>
  <c r="H53" i="43" s="1"/>
  <c r="Q76" i="43"/>
  <c r="P76" i="43" s="1"/>
  <c r="D77" i="43"/>
  <c r="S76" i="43"/>
  <c r="S35" i="43"/>
  <c r="F35" i="43" s="1"/>
  <c r="H35" i="43" s="1"/>
  <c r="S67" i="43"/>
  <c r="S63" i="43"/>
  <c r="D99" i="43"/>
  <c r="Q99" i="43" s="1"/>
  <c r="P99" i="43" s="1"/>
  <c r="Q98" i="43"/>
  <c r="P98" i="43" s="1"/>
  <c r="S57" i="43"/>
  <c r="Q57" i="43"/>
  <c r="P57" i="43" s="1"/>
  <c r="S45" i="43"/>
  <c r="D186" i="42"/>
  <c r="Q186" i="42" s="1"/>
  <c r="P186" i="42" s="1"/>
  <c r="Q185" i="42"/>
  <c r="P185" i="42" s="1"/>
  <c r="Q358" i="43"/>
  <c r="P358" i="43" s="1"/>
  <c r="S358" i="43"/>
  <c r="S286" i="42"/>
  <c r="F286" i="42" s="1"/>
  <c r="Q286" i="42"/>
  <c r="P286" i="42" s="1"/>
  <c r="S310" i="42"/>
  <c r="F310" i="42" s="1"/>
  <c r="V310" i="42" s="1"/>
  <c r="G310" i="42" s="1"/>
  <c r="Q310" i="42"/>
  <c r="P310" i="42" s="1"/>
  <c r="S320" i="42"/>
  <c r="F320" i="42" s="1"/>
  <c r="Q320" i="42"/>
  <c r="P320" i="42" s="1"/>
  <c r="Q327" i="42"/>
  <c r="P327" i="42" s="1"/>
  <c r="S327" i="42"/>
  <c r="F327" i="42" s="1"/>
  <c r="Q318" i="42"/>
  <c r="P318" i="42" s="1"/>
  <c r="S318" i="42"/>
  <c r="F318" i="42" s="1"/>
  <c r="Q316" i="42"/>
  <c r="P316" i="42" s="1"/>
  <c r="S316" i="42"/>
  <c r="F316" i="42" s="1"/>
  <c r="S22" i="41"/>
  <c r="Q22" i="41"/>
  <c r="P22" i="41" s="1"/>
  <c r="S72" i="41"/>
  <c r="S69" i="41"/>
  <c r="Q69" i="41"/>
  <c r="P69" i="41" s="1"/>
  <c r="S60" i="41"/>
  <c r="Q60" i="41"/>
  <c r="P60" i="41" s="1"/>
  <c r="S26" i="41"/>
  <c r="Q26" i="41"/>
  <c r="P26" i="41" s="1"/>
  <c r="S91" i="41"/>
  <c r="Q91" i="41"/>
  <c r="P91" i="41" s="1"/>
  <c r="S32" i="41"/>
  <c r="Q32" i="41"/>
  <c r="P32" i="41" s="1"/>
  <c r="S92" i="41"/>
  <c r="Q92" i="41"/>
  <c r="P92" i="41" s="1"/>
  <c r="S83" i="41"/>
  <c r="Q83" i="41"/>
  <c r="P83" i="41" s="1"/>
  <c r="S342" i="41"/>
  <c r="Q342" i="41"/>
  <c r="P342" i="41" s="1"/>
  <c r="S399" i="43"/>
  <c r="Q399" i="43"/>
  <c r="P399" i="43" s="1"/>
  <c r="G168" i="43"/>
  <c r="S387" i="43"/>
  <c r="Q387" i="43"/>
  <c r="P387" i="43" s="1"/>
  <c r="S352" i="41"/>
  <c r="Q352" i="41"/>
  <c r="P352" i="41" s="1"/>
  <c r="S316" i="41"/>
  <c r="F316" i="41" s="1"/>
  <c r="Q316" i="41"/>
  <c r="P316" i="41" s="1"/>
  <c r="S327" i="41"/>
  <c r="F327" i="41" s="1"/>
  <c r="Q327" i="41"/>
  <c r="P327" i="41" s="1"/>
  <c r="Q322" i="41"/>
  <c r="P322" i="41" s="1"/>
  <c r="S322" i="41"/>
  <c r="F322" i="41" s="1"/>
  <c r="S301" i="41"/>
  <c r="F301" i="41" s="1"/>
  <c r="Q301" i="41"/>
  <c r="P301" i="41" s="1"/>
  <c r="S286" i="41"/>
  <c r="F286" i="41" s="1"/>
  <c r="Q286" i="41"/>
  <c r="P286" i="41" s="1"/>
  <c r="S295" i="41"/>
  <c r="F295" i="41" s="1"/>
  <c r="Q295" i="41"/>
  <c r="P295" i="41" s="1"/>
  <c r="Q190" i="41"/>
  <c r="P190" i="41" s="1"/>
  <c r="S190" i="41"/>
  <c r="Q212" i="41"/>
  <c r="P212" i="41" s="1"/>
  <c r="D213" i="41"/>
  <c r="Q213" i="41" s="1"/>
  <c r="P213" i="41" s="1"/>
  <c r="G228" i="42"/>
  <c r="S346" i="41"/>
  <c r="Q346" i="41"/>
  <c r="P346" i="41" s="1"/>
  <c r="S119" i="42"/>
  <c r="F119" i="42" s="1"/>
  <c r="Q400" i="42"/>
  <c r="P400" i="42" s="1"/>
  <c r="D401" i="42"/>
  <c r="Q401" i="42" s="1"/>
  <c r="P401" i="42" s="1"/>
  <c r="S400" i="42"/>
  <c r="Q332" i="41"/>
  <c r="P332" i="41" s="1"/>
  <c r="S332" i="41"/>
  <c r="S190" i="42"/>
  <c r="Q190" i="42"/>
  <c r="P190" i="42" s="1"/>
  <c r="S340" i="42"/>
  <c r="Q340" i="42"/>
  <c r="P340" i="42" s="1"/>
  <c r="Q279" i="43"/>
  <c r="P279" i="43" s="1"/>
  <c r="S279" i="43"/>
  <c r="S386" i="42"/>
  <c r="Q386" i="42"/>
  <c r="P386" i="42" s="1"/>
  <c r="Q156" i="43"/>
  <c r="P156" i="43" s="1"/>
  <c r="S156" i="43"/>
  <c r="D157" i="43"/>
  <c r="Q157" i="43" s="1"/>
  <c r="P157" i="43" s="1"/>
  <c r="Q162" i="41"/>
  <c r="P162" i="41" s="1"/>
  <c r="F166" i="41"/>
  <c r="F163" i="41"/>
  <c r="Q163" i="41" s="1"/>
  <c r="P163" i="41" s="1"/>
  <c r="S228" i="41"/>
  <c r="F228" i="41" s="1"/>
  <c r="Q228" i="41"/>
  <c r="P228" i="41" s="1"/>
  <c r="S347" i="43"/>
  <c r="Q347" i="43"/>
  <c r="P347" i="43" s="1"/>
  <c r="D115" i="41"/>
  <c r="S114" i="41"/>
  <c r="F114" i="41" s="1"/>
  <c r="S384" i="41"/>
  <c r="Q384" i="41"/>
  <c r="P384" i="41" s="1"/>
  <c r="S383" i="41"/>
  <c r="Q383" i="41"/>
  <c r="P383" i="41" s="1"/>
  <c r="Q378" i="43"/>
  <c r="P378" i="43" s="1"/>
  <c r="D379" i="43"/>
  <c r="Q379" i="43" s="1"/>
  <c r="P379" i="43" s="1"/>
  <c r="S196" i="43"/>
  <c r="S81" i="42"/>
  <c r="Q81" i="42"/>
  <c r="P81" i="42" s="1"/>
  <c r="S21" i="42"/>
  <c r="F21" i="42" s="1"/>
  <c r="H21" i="42" s="1"/>
  <c r="S30" i="42"/>
  <c r="F30" i="42" s="1"/>
  <c r="S61" i="42"/>
  <c r="Q61" i="42"/>
  <c r="P61" i="42" s="1"/>
  <c r="S46" i="42"/>
  <c r="F47" i="42" s="1"/>
  <c r="H47" i="42" s="1"/>
  <c r="Q46" i="42"/>
  <c r="P46" i="42" s="1"/>
  <c r="Q54" i="42"/>
  <c r="P54" i="42" s="1"/>
  <c r="S54" i="42"/>
  <c r="Q98" i="42"/>
  <c r="P98" i="42" s="1"/>
  <c r="D99" i="42"/>
  <c r="Q99" i="42" s="1"/>
  <c r="P99" i="42" s="1"/>
  <c r="Q346" i="42"/>
  <c r="P346" i="42" s="1"/>
  <c r="S346" i="42"/>
  <c r="Q372" i="42"/>
  <c r="P372" i="42" s="1"/>
  <c r="S372" i="42"/>
  <c r="S218" i="41"/>
  <c r="F218" i="41" s="1"/>
  <c r="Q218" i="41"/>
  <c r="P218" i="41" s="1"/>
  <c r="S335" i="43"/>
  <c r="D336" i="43"/>
  <c r="Q336" i="43" s="1"/>
  <c r="P336" i="43" s="1"/>
  <c r="Q335" i="43"/>
  <c r="P335" i="43" s="1"/>
  <c r="Q371" i="41"/>
  <c r="P371" i="41" s="1"/>
  <c r="S371" i="41"/>
  <c r="F371" i="41" s="1"/>
  <c r="S377" i="41"/>
  <c r="Q377" i="41"/>
  <c r="P377" i="41" s="1"/>
  <c r="S324" i="43"/>
  <c r="F324" i="43" s="1"/>
  <c r="Q324" i="43"/>
  <c r="P324" i="43" s="1"/>
  <c r="Q323" i="43"/>
  <c r="P323" i="43" s="1"/>
  <c r="S323" i="43"/>
  <c r="F323" i="43" s="1"/>
  <c r="S303" i="43"/>
  <c r="F303" i="43" s="1"/>
  <c r="Q303" i="43"/>
  <c r="P303" i="43" s="1"/>
  <c r="S317" i="43"/>
  <c r="F317" i="43" s="1"/>
  <c r="Q317" i="43"/>
  <c r="P317" i="43" s="1"/>
  <c r="S291" i="43"/>
  <c r="F291" i="43" s="1"/>
  <c r="Q291" i="43"/>
  <c r="P291" i="43" s="1"/>
  <c r="D369" i="41"/>
  <c r="Q369" i="41" s="1"/>
  <c r="P369" i="41" s="1"/>
  <c r="S368" i="41"/>
  <c r="Q368" i="41"/>
  <c r="P368" i="41" s="1"/>
  <c r="Q225" i="43"/>
  <c r="P225" i="43" s="1"/>
  <c r="D226" i="43"/>
  <c r="Q226" i="43" s="1"/>
  <c r="P226" i="43" s="1"/>
  <c r="S407" i="41"/>
  <c r="Q407" i="41"/>
  <c r="P407" i="41" s="1"/>
  <c r="Q121" i="43"/>
  <c r="P121" i="43" s="1"/>
  <c r="D122" i="43"/>
  <c r="D103" i="43"/>
  <c r="S366" i="43"/>
  <c r="Q366" i="43"/>
  <c r="P366" i="43" s="1"/>
  <c r="D240" i="43"/>
  <c r="Q240" i="43" s="1"/>
  <c r="P240" i="43" s="1"/>
  <c r="S239" i="43"/>
  <c r="Q239" i="43"/>
  <c r="P239" i="43" s="1"/>
  <c r="Q62" i="43"/>
  <c r="P62" i="43" s="1"/>
  <c r="F63" i="43"/>
  <c r="H63" i="43" s="1"/>
  <c r="H62" i="43"/>
  <c r="Q64" i="43"/>
  <c r="P64" i="43" s="1"/>
  <c r="S64" i="43"/>
  <c r="S21" i="43"/>
  <c r="F21" i="43" s="1"/>
  <c r="S96" i="43"/>
  <c r="Q96" i="43"/>
  <c r="P96" i="43" s="1"/>
  <c r="S80" i="43"/>
  <c r="Q80" i="43"/>
  <c r="P80" i="43" s="1"/>
  <c r="S74" i="43"/>
  <c r="Q74" i="43"/>
  <c r="P74" i="43" s="1"/>
  <c r="D40" i="43"/>
  <c r="S39" i="43"/>
  <c r="Q39" i="43"/>
  <c r="P39" i="43" s="1"/>
  <c r="S22" i="43"/>
  <c r="Q22" i="43"/>
  <c r="P22" i="43" s="1"/>
  <c r="Q59" i="43"/>
  <c r="P59" i="43" s="1"/>
  <c r="S59" i="43"/>
  <c r="S334" i="42"/>
  <c r="Q334" i="42"/>
  <c r="P334" i="42" s="1"/>
  <c r="S356" i="43"/>
  <c r="Q356" i="43"/>
  <c r="P356" i="43" s="1"/>
  <c r="S328" i="42"/>
  <c r="F328" i="42" s="1"/>
  <c r="Q328" i="42"/>
  <c r="P328" i="42" s="1"/>
  <c r="D329" i="42"/>
  <c r="Q329" i="42" s="1"/>
  <c r="P329" i="42" s="1"/>
  <c r="S285" i="42"/>
  <c r="F285" i="42" s="1"/>
  <c r="Q285" i="42"/>
  <c r="P285" i="42" s="1"/>
  <c r="Q284" i="42"/>
  <c r="P284" i="42" s="1"/>
  <c r="S284" i="42"/>
  <c r="F284" i="42" s="1"/>
  <c r="Q293" i="42"/>
  <c r="P293" i="42" s="1"/>
  <c r="S293" i="42"/>
  <c r="F293" i="42" s="1"/>
  <c r="Q287" i="42"/>
  <c r="P287" i="42" s="1"/>
  <c r="S287" i="42"/>
  <c r="F287" i="42" s="1"/>
  <c r="S288" i="42"/>
  <c r="F288" i="42" s="1"/>
  <c r="Q288" i="42"/>
  <c r="P288" i="42" s="1"/>
  <c r="Q56" i="41"/>
  <c r="P56" i="41" s="1"/>
  <c r="S56" i="41"/>
  <c r="S20" i="41"/>
  <c r="F20" i="41" s="1"/>
  <c r="Q20" i="41" s="1"/>
  <c r="P20" i="41" s="1"/>
  <c r="S18" i="41"/>
  <c r="F18" i="41" s="1"/>
  <c r="Q18" i="41" s="1"/>
  <c r="P18" i="41" s="1"/>
  <c r="S35" i="41"/>
  <c r="F35" i="41" s="1"/>
  <c r="H35" i="41" s="1"/>
  <c r="Q229" i="43"/>
  <c r="P229" i="43" s="1"/>
  <c r="D230" i="43"/>
  <c r="Q230" i="43" s="1"/>
  <c r="P230" i="43" s="1"/>
  <c r="S229" i="43"/>
  <c r="S343" i="41"/>
  <c r="Q343" i="41"/>
  <c r="P343" i="41" s="1"/>
  <c r="D344" i="41"/>
  <c r="Q344" i="41" s="1"/>
  <c r="P344" i="41" s="1"/>
  <c r="S168" i="43"/>
  <c r="F168" i="43" s="1"/>
  <c r="F169" i="43" s="1"/>
  <c r="Q169" i="43" s="1"/>
  <c r="P169" i="43" s="1"/>
  <c r="S382" i="43"/>
  <c r="Q382" i="43"/>
  <c r="P382" i="43" s="1"/>
  <c r="Q389" i="43"/>
  <c r="P389" i="43" s="1"/>
  <c r="S389" i="43"/>
  <c r="Q360" i="41"/>
  <c r="P360" i="41" s="1"/>
  <c r="S360" i="41"/>
  <c r="Q317" i="41"/>
  <c r="P317" i="41" s="1"/>
  <c r="S317" i="41"/>
  <c r="F317" i="41" s="1"/>
  <c r="Q313" i="41"/>
  <c r="P313" i="41" s="1"/>
  <c r="S313" i="41"/>
  <c r="F313" i="41" s="1"/>
  <c r="Q296" i="41"/>
  <c r="P296" i="41" s="1"/>
  <c r="S296" i="41"/>
  <c r="F296" i="41" s="1"/>
  <c r="S299" i="41"/>
  <c r="F299" i="41" s="1"/>
  <c r="Q299" i="41"/>
  <c r="P299" i="41" s="1"/>
  <c r="Q328" i="41"/>
  <c r="P328" i="41" s="1"/>
  <c r="D329" i="41"/>
  <c r="Q329" i="41" s="1"/>
  <c r="P329" i="41" s="1"/>
  <c r="S328" i="41"/>
  <c r="F328" i="41" s="1"/>
  <c r="S298" i="41"/>
  <c r="F298" i="41" s="1"/>
  <c r="V298" i="41" s="1"/>
  <c r="G298" i="41" s="1"/>
  <c r="Q298" i="41"/>
  <c r="P298" i="41" s="1"/>
  <c r="D202" i="41"/>
  <c r="Q201" i="41"/>
  <c r="P201" i="41" s="1"/>
  <c r="S188" i="41"/>
  <c r="F188" i="41" s="1"/>
  <c r="Q188" i="41" s="1"/>
  <c r="P188" i="41" s="1"/>
  <c r="D272" i="43"/>
  <c r="V242" i="43"/>
  <c r="Q113" i="42"/>
  <c r="P113" i="42" s="1"/>
  <c r="H113" i="42"/>
  <c r="S101" i="42"/>
  <c r="F101" i="42" s="1"/>
  <c r="Q101" i="42" s="1"/>
  <c r="P101" i="42" s="1"/>
  <c r="Q396" i="42"/>
  <c r="P396" i="42" s="1"/>
  <c r="S396" i="42"/>
  <c r="G168" i="41"/>
  <c r="S188" i="42"/>
  <c r="F188" i="42" s="1"/>
  <c r="Q188" i="42" s="1"/>
  <c r="P188" i="42" s="1"/>
  <c r="S196" i="42"/>
  <c r="G162" i="42"/>
  <c r="S280" i="43"/>
  <c r="Q280" i="43"/>
  <c r="P280" i="43" s="1"/>
  <c r="Q393" i="42"/>
  <c r="P393" i="42" s="1"/>
  <c r="D394" i="42"/>
  <c r="Q394" i="42" s="1"/>
  <c r="P394" i="42" s="1"/>
  <c r="S393" i="42"/>
  <c r="S387" i="42"/>
  <c r="Q387" i="42"/>
  <c r="P387" i="42" s="1"/>
  <c r="D240" i="41"/>
  <c r="Q240" i="41" s="1"/>
  <c r="P240" i="41" s="1"/>
  <c r="Q239" i="41"/>
  <c r="P239" i="41" s="1"/>
  <c r="S239" i="41"/>
  <c r="S235" i="41"/>
  <c r="Q235" i="41"/>
  <c r="P235" i="41" s="1"/>
  <c r="D236" i="41"/>
  <c r="Q236" i="41" s="1"/>
  <c r="P236" i="41" s="1"/>
  <c r="Q348" i="43"/>
  <c r="P348" i="43" s="1"/>
  <c r="S348" i="43"/>
  <c r="S101" i="41"/>
  <c r="F101" i="41" s="1"/>
  <c r="Q101" i="41" s="1"/>
  <c r="P101" i="41" s="1"/>
  <c r="Q117" i="41"/>
  <c r="P117" i="41" s="1"/>
  <c r="F122" i="41"/>
  <c r="F118" i="41"/>
  <c r="H117" i="41"/>
  <c r="S396" i="41"/>
  <c r="Q396" i="41"/>
  <c r="P396" i="41" s="1"/>
  <c r="S386" i="41"/>
  <c r="Q386" i="41"/>
  <c r="P386" i="41" s="1"/>
  <c r="S393" i="41"/>
  <c r="Q393" i="41"/>
  <c r="P393" i="41" s="1"/>
  <c r="D394" i="41"/>
  <c r="Q394" i="41" s="1"/>
  <c r="P394" i="41" s="1"/>
  <c r="S375" i="43"/>
  <c r="Q375" i="43"/>
  <c r="P375" i="43" s="1"/>
  <c r="S204" i="43"/>
  <c r="S55" i="42"/>
  <c r="Q55" i="42"/>
  <c r="P55" i="42" s="1"/>
  <c r="S53" i="42"/>
  <c r="Q62" i="42"/>
  <c r="P62" i="42" s="1"/>
  <c r="F63" i="42"/>
  <c r="H63" i="42" s="1"/>
  <c r="H62" i="42"/>
  <c r="S18" i="42"/>
  <c r="F18" i="42" s="1"/>
  <c r="Q18" i="42" s="1"/>
  <c r="P18" i="42" s="1"/>
  <c r="S68" i="42"/>
  <c r="F68" i="42" s="1"/>
  <c r="Q68" i="42" s="1"/>
  <c r="P68" i="42" s="1"/>
  <c r="S27" i="42"/>
  <c r="Q27" i="42"/>
  <c r="P27" i="42" s="1"/>
  <c r="S19" i="42"/>
  <c r="S22" i="42"/>
  <c r="Q22" i="42"/>
  <c r="P22" i="42" s="1"/>
  <c r="Q375" i="42"/>
  <c r="P375" i="42" s="1"/>
  <c r="S375" i="42"/>
  <c r="S153" i="41"/>
  <c r="D154" i="41"/>
  <c r="Q154" i="41" s="1"/>
  <c r="P154" i="41" s="1"/>
  <c r="Q153" i="41"/>
  <c r="P153" i="41" s="1"/>
  <c r="D223" i="41"/>
  <c r="Q223" i="41" s="1"/>
  <c r="P223" i="41" s="1"/>
  <c r="Q222" i="41"/>
  <c r="P222" i="41" s="1"/>
  <c r="Q34" i="31"/>
  <c r="P34" i="31" s="1"/>
  <c r="D268" i="31"/>
  <c r="Q268" i="31" s="1"/>
  <c r="P268" i="31" s="1"/>
  <c r="D254" i="31"/>
  <c r="Q254" i="31" s="1"/>
  <c r="P254" i="31" s="1"/>
  <c r="D262" i="31"/>
  <c r="Q262" i="31" s="1"/>
  <c r="P262" i="31" s="1"/>
  <c r="D243" i="31"/>
  <c r="Q243" i="31" s="1"/>
  <c r="P243" i="31" s="1"/>
  <c r="D246" i="31"/>
  <c r="Q246" i="31" s="1"/>
  <c r="P246" i="31" s="1"/>
  <c r="D245" i="31"/>
  <c r="Q245" i="31" s="1"/>
  <c r="P245" i="31" s="1"/>
  <c r="D248" i="31"/>
  <c r="Q248" i="31" s="1"/>
  <c r="P248" i="31" s="1"/>
  <c r="D269" i="31"/>
  <c r="D271" i="31" s="1"/>
  <c r="Q271" i="31" s="1"/>
  <c r="P271" i="31" s="1"/>
  <c r="D267" i="31"/>
  <c r="Q267" i="31" s="1"/>
  <c r="P267" i="31" s="1"/>
  <c r="D256" i="31"/>
  <c r="Q256" i="31" s="1"/>
  <c r="P256" i="31" s="1"/>
  <c r="D258" i="31"/>
  <c r="Q258" i="31" s="1"/>
  <c r="P258" i="31" s="1"/>
  <c r="D260" i="31"/>
  <c r="Q260" i="31" s="1"/>
  <c r="P260" i="31" s="1"/>
  <c r="D257" i="31"/>
  <c r="Q257" i="31" s="1"/>
  <c r="P257" i="31" s="1"/>
  <c r="D247" i="31"/>
  <c r="Q247" i="31" s="1"/>
  <c r="P247" i="31" s="1"/>
  <c r="D266" i="31"/>
  <c r="Q266" i="31" s="1"/>
  <c r="P266" i="31" s="1"/>
  <c r="D259" i="31"/>
  <c r="Q259" i="31" s="1"/>
  <c r="P259" i="31" s="1"/>
  <c r="D251" i="31"/>
  <c r="Q251" i="31" s="1"/>
  <c r="P251" i="31" s="1"/>
  <c r="D250" i="31"/>
  <c r="Q250" i="31" s="1"/>
  <c r="P250" i="31" s="1"/>
  <c r="D265" i="31"/>
  <c r="Q265" i="31" s="1"/>
  <c r="P265" i="31" s="1"/>
  <c r="D249" i="31"/>
  <c r="Q249" i="31" s="1"/>
  <c r="P249" i="31" s="1"/>
  <c r="D261" i="31"/>
  <c r="Q261" i="31" s="1"/>
  <c r="P261" i="31" s="1"/>
  <c r="D263" i="31"/>
  <c r="Q263" i="31" s="1"/>
  <c r="P263" i="31" s="1"/>
  <c r="D252" i="31"/>
  <c r="Q252" i="31" s="1"/>
  <c r="P252" i="31" s="1"/>
  <c r="D264" i="31"/>
  <c r="Q264" i="31" s="1"/>
  <c r="P264" i="31" s="1"/>
  <c r="H188" i="7"/>
  <c r="Q398" i="7"/>
  <c r="P398" i="7" s="1"/>
  <c r="S397" i="7"/>
  <c r="S59" i="7"/>
  <c r="S366" i="7"/>
  <c r="S339" i="7"/>
  <c r="Q50" i="7"/>
  <c r="P50" i="7" s="1"/>
  <c r="Q346" i="7"/>
  <c r="P346" i="7" s="1"/>
  <c r="S396" i="7"/>
  <c r="Q408" i="7"/>
  <c r="P408" i="7" s="1"/>
  <c r="S52" i="7"/>
  <c r="F53" i="7" s="1"/>
  <c r="H53" i="7" s="1"/>
  <c r="N53" i="7" s="1"/>
  <c r="O53" i="7" s="1"/>
  <c r="Q355" i="7"/>
  <c r="P355" i="7" s="1"/>
  <c r="S55" i="7"/>
  <c r="H56" i="7" s="1"/>
  <c r="N56" i="7" s="1"/>
  <c r="O56" i="7" s="1"/>
  <c r="S341" i="7"/>
  <c r="S399" i="7"/>
  <c r="S83" i="7"/>
  <c r="D220" i="7"/>
  <c r="Q64" i="7"/>
  <c r="P64" i="7" s="1"/>
  <c r="Q28" i="32"/>
  <c r="P28" i="32" s="1"/>
  <c r="Q66" i="31"/>
  <c r="P66" i="31" s="1"/>
  <c r="S353" i="7"/>
  <c r="S335" i="7"/>
  <c r="S358" i="7"/>
  <c r="G189" i="7"/>
  <c r="S353" i="32"/>
  <c r="Q353" i="32"/>
  <c r="P353" i="32" s="1"/>
  <c r="Q361" i="32"/>
  <c r="P361" i="32" s="1"/>
  <c r="S361" i="32"/>
  <c r="Q359" i="32"/>
  <c r="P359" i="32" s="1"/>
  <c r="S359" i="32"/>
  <c r="Q372" i="32"/>
  <c r="P372" i="32" s="1"/>
  <c r="S372" i="32"/>
  <c r="Q375" i="32"/>
  <c r="P375" i="32" s="1"/>
  <c r="S375" i="32"/>
  <c r="Q403" i="32"/>
  <c r="P403" i="32" s="1"/>
  <c r="D404" i="32"/>
  <c r="Q404" i="32" s="1"/>
  <c r="P404" i="32" s="1"/>
  <c r="S403" i="32"/>
  <c r="F403" i="32" s="1"/>
  <c r="S409" i="32"/>
  <c r="D410" i="32"/>
  <c r="Q410" i="32" s="1"/>
  <c r="P410" i="32" s="1"/>
  <c r="Q409" i="32"/>
  <c r="P409" i="32" s="1"/>
  <c r="G228" i="32"/>
  <c r="S347" i="32"/>
  <c r="Q347" i="32"/>
  <c r="P347" i="32" s="1"/>
  <c r="Q292" i="32"/>
  <c r="P292" i="32" s="1"/>
  <c r="S292" i="32"/>
  <c r="F292" i="32" s="1"/>
  <c r="Q291" i="32"/>
  <c r="P291" i="32" s="1"/>
  <c r="S291" i="32"/>
  <c r="F291" i="32" s="1"/>
  <c r="Q296" i="32"/>
  <c r="P296" i="32" s="1"/>
  <c r="S296" i="32"/>
  <c r="F296" i="32" s="1"/>
  <c r="S303" i="32"/>
  <c r="F303" i="32" s="1"/>
  <c r="Q303" i="32"/>
  <c r="P303" i="32" s="1"/>
  <c r="S313" i="32"/>
  <c r="F313" i="32" s="1"/>
  <c r="Q313" i="32"/>
  <c r="P313" i="32" s="1"/>
  <c r="S284" i="32"/>
  <c r="F284" i="32" s="1"/>
  <c r="Q284" i="32"/>
  <c r="P284" i="32" s="1"/>
  <c r="S308" i="32"/>
  <c r="F308" i="32" s="1"/>
  <c r="V308" i="32" s="1"/>
  <c r="G308" i="32" s="1"/>
  <c r="Q308" i="32"/>
  <c r="P308" i="32" s="1"/>
  <c r="S321" i="32"/>
  <c r="F321" i="32" s="1"/>
  <c r="Q321" i="32"/>
  <c r="P321" i="32" s="1"/>
  <c r="Q288" i="32"/>
  <c r="P288" i="32" s="1"/>
  <c r="S288" i="32"/>
  <c r="F288" i="32" s="1"/>
  <c r="S311" i="32"/>
  <c r="F311" i="32" s="1"/>
  <c r="Q311" i="32"/>
  <c r="P311" i="32" s="1"/>
  <c r="Q325" i="32"/>
  <c r="P325" i="32" s="1"/>
  <c r="S325" i="32"/>
  <c r="F325" i="32" s="1"/>
  <c r="Q341" i="32"/>
  <c r="P341" i="32" s="1"/>
  <c r="S341" i="32"/>
  <c r="Q342" i="32"/>
  <c r="P342" i="32" s="1"/>
  <c r="S342" i="32"/>
  <c r="D178" i="32"/>
  <c r="Q177" i="32"/>
  <c r="P177" i="32" s="1"/>
  <c r="D186" i="32"/>
  <c r="Q186" i="32" s="1"/>
  <c r="P186" i="32" s="1"/>
  <c r="Q185" i="32"/>
  <c r="P185" i="32" s="1"/>
  <c r="Q190" i="32"/>
  <c r="P190" i="32" s="1"/>
  <c r="S190" i="32"/>
  <c r="D210" i="32"/>
  <c r="D216" i="32"/>
  <c r="Q216" i="32" s="1"/>
  <c r="P216" i="32" s="1"/>
  <c r="Q215" i="32"/>
  <c r="P215" i="32" s="1"/>
  <c r="Q131" i="32"/>
  <c r="P131" i="32" s="1"/>
  <c r="S131" i="32"/>
  <c r="Q110" i="32"/>
  <c r="P110" i="32" s="1"/>
  <c r="D111" i="32"/>
  <c r="Q111" i="32" s="1"/>
  <c r="P111" i="32" s="1"/>
  <c r="S400" i="32"/>
  <c r="D401" i="32"/>
  <c r="Q401" i="32" s="1"/>
  <c r="P401" i="32" s="1"/>
  <c r="Q400" i="32"/>
  <c r="P400" i="32" s="1"/>
  <c r="G168" i="32"/>
  <c r="Q280" i="32"/>
  <c r="P280" i="32" s="1"/>
  <c r="S280" i="32"/>
  <c r="S278" i="32"/>
  <c r="F278" i="32" s="1"/>
  <c r="Q278" i="32"/>
  <c r="P278" i="32" s="1"/>
  <c r="G218" i="32"/>
  <c r="S382" i="32"/>
  <c r="Q382" i="32"/>
  <c r="P382" i="32" s="1"/>
  <c r="S391" i="32"/>
  <c r="Q391" i="32"/>
  <c r="P391" i="32" s="1"/>
  <c r="Q389" i="32"/>
  <c r="P389" i="32" s="1"/>
  <c r="S389" i="32"/>
  <c r="D160" i="32"/>
  <c r="Q160" i="32" s="1"/>
  <c r="P160" i="32" s="1"/>
  <c r="Q159" i="32"/>
  <c r="P159" i="32" s="1"/>
  <c r="Q164" i="32"/>
  <c r="P164" i="32" s="1"/>
  <c r="V164" i="32"/>
  <c r="G164" i="32" s="1"/>
  <c r="F165" i="32"/>
  <c r="Q165" i="32" s="1"/>
  <c r="P165" i="32" s="1"/>
  <c r="S81" i="32"/>
  <c r="Q81" i="32"/>
  <c r="P81" i="32" s="1"/>
  <c r="S67" i="32"/>
  <c r="S71" i="32"/>
  <c r="Q57" i="32"/>
  <c r="P57" i="32" s="1"/>
  <c r="S57" i="32"/>
  <c r="Q54" i="32"/>
  <c r="P54" i="32" s="1"/>
  <c r="S54" i="32"/>
  <c r="S43" i="32"/>
  <c r="Q62" i="32"/>
  <c r="P62" i="32" s="1"/>
  <c r="F63" i="32"/>
  <c r="H63" i="32" s="1"/>
  <c r="H62" i="32"/>
  <c r="Q37" i="32"/>
  <c r="P37" i="32" s="1"/>
  <c r="S37" i="32"/>
  <c r="S30" i="32"/>
  <c r="F30" i="32" s="1"/>
  <c r="H30" i="32" s="1"/>
  <c r="S44" i="32"/>
  <c r="F44" i="32" s="1"/>
  <c r="Q44" i="32" s="1"/>
  <c r="P44" i="32" s="1"/>
  <c r="S60" i="32"/>
  <c r="Q60" i="32"/>
  <c r="P60" i="32" s="1"/>
  <c r="S27" i="32"/>
  <c r="Q27" i="32"/>
  <c r="P27" i="32" s="1"/>
  <c r="S83" i="32"/>
  <c r="Q83" i="32"/>
  <c r="P83" i="32" s="1"/>
  <c r="S334" i="32"/>
  <c r="Q334" i="32"/>
  <c r="P334" i="32" s="1"/>
  <c r="D272" i="7"/>
  <c r="D250" i="32"/>
  <c r="Q250" i="32" s="1"/>
  <c r="P250" i="32" s="1"/>
  <c r="D253" i="32"/>
  <c r="Q253" i="32" s="1"/>
  <c r="P253" i="32" s="1"/>
  <c r="D265" i="32"/>
  <c r="Q265" i="32" s="1"/>
  <c r="P265" i="32" s="1"/>
  <c r="D252" i="32"/>
  <c r="Q252" i="32" s="1"/>
  <c r="P252" i="32" s="1"/>
  <c r="D268" i="32"/>
  <c r="Q268" i="32" s="1"/>
  <c r="P268" i="32" s="1"/>
  <c r="D267" i="32"/>
  <c r="Q267" i="32" s="1"/>
  <c r="P267" i="32" s="1"/>
  <c r="D249" i="32"/>
  <c r="Q249" i="32" s="1"/>
  <c r="P249" i="32" s="1"/>
  <c r="D266" i="32"/>
  <c r="Q266" i="32" s="1"/>
  <c r="P266" i="32" s="1"/>
  <c r="D248" i="32"/>
  <c r="Q248" i="32" s="1"/>
  <c r="P248" i="32" s="1"/>
  <c r="D261" i="32"/>
  <c r="Q261" i="32" s="1"/>
  <c r="P261" i="32" s="1"/>
  <c r="D247" i="32"/>
  <c r="Q247" i="32" s="1"/>
  <c r="P247" i="32" s="1"/>
  <c r="D264" i="32"/>
  <c r="Q264" i="32" s="1"/>
  <c r="P264" i="32" s="1"/>
  <c r="D263" i="32"/>
  <c r="Q263" i="32" s="1"/>
  <c r="P263" i="32" s="1"/>
  <c r="D245" i="32"/>
  <c r="Q245" i="32" s="1"/>
  <c r="P245" i="32" s="1"/>
  <c r="D246" i="32"/>
  <c r="Q246" i="32" s="1"/>
  <c r="P246" i="32" s="1"/>
  <c r="D251" i="32"/>
  <c r="Q251" i="32" s="1"/>
  <c r="P251" i="32" s="1"/>
  <c r="D258" i="32"/>
  <c r="Q258" i="32" s="1"/>
  <c r="P258" i="32" s="1"/>
  <c r="D269" i="32"/>
  <c r="D256" i="32"/>
  <c r="Q256" i="32" s="1"/>
  <c r="P256" i="32" s="1"/>
  <c r="S242" i="32"/>
  <c r="F242" i="32" s="1"/>
  <c r="Q242" i="32" s="1"/>
  <c r="P242" i="32" s="1"/>
  <c r="D255" i="32"/>
  <c r="Q255" i="32" s="1"/>
  <c r="P255" i="32" s="1"/>
  <c r="D254" i="32"/>
  <c r="Q254" i="32" s="1"/>
  <c r="P254" i="32" s="1"/>
  <c r="D257" i="32"/>
  <c r="Q257" i="32" s="1"/>
  <c r="P257" i="32" s="1"/>
  <c r="D243" i="32"/>
  <c r="Q243" i="32" s="1"/>
  <c r="P243" i="32" s="1"/>
  <c r="D262" i="32"/>
  <c r="Q262" i="32" s="1"/>
  <c r="P262" i="32" s="1"/>
  <c r="D260" i="32"/>
  <c r="Q260" i="32" s="1"/>
  <c r="P260" i="32" s="1"/>
  <c r="D244" i="32"/>
  <c r="Q244" i="32" s="1"/>
  <c r="P244" i="32" s="1"/>
  <c r="D259" i="32"/>
  <c r="Q259" i="32" s="1"/>
  <c r="P259" i="32" s="1"/>
  <c r="Q357" i="32"/>
  <c r="P357" i="32" s="1"/>
  <c r="S357" i="32"/>
  <c r="Q356" i="32"/>
  <c r="P356" i="32" s="1"/>
  <c r="S356" i="32"/>
  <c r="Q362" i="32"/>
  <c r="P362" i="32" s="1"/>
  <c r="S362" i="32"/>
  <c r="D363" i="32"/>
  <c r="Q363" i="32" s="1"/>
  <c r="P363" i="32" s="1"/>
  <c r="Q374" i="32"/>
  <c r="P374" i="32" s="1"/>
  <c r="S374" i="32"/>
  <c r="G371" i="32"/>
  <c r="D379" i="32"/>
  <c r="Q379" i="32" s="1"/>
  <c r="P379" i="32" s="1"/>
  <c r="Q378" i="32"/>
  <c r="P378" i="32" s="1"/>
  <c r="S406" i="32"/>
  <c r="Q406" i="32"/>
  <c r="P406" i="32" s="1"/>
  <c r="D236" i="32"/>
  <c r="Q236" i="32" s="1"/>
  <c r="P236" i="32" s="1"/>
  <c r="S235" i="32"/>
  <c r="Q235" i="32"/>
  <c r="P235" i="32" s="1"/>
  <c r="S229" i="32"/>
  <c r="D230" i="32"/>
  <c r="Q230" i="32" s="1"/>
  <c r="P230" i="32" s="1"/>
  <c r="Q229" i="32"/>
  <c r="P229" i="32" s="1"/>
  <c r="D154" i="32"/>
  <c r="Q154" i="32" s="1"/>
  <c r="P154" i="32" s="1"/>
  <c r="S153" i="32"/>
  <c r="Q153" i="32"/>
  <c r="P153" i="32" s="1"/>
  <c r="Q348" i="32"/>
  <c r="P348" i="32" s="1"/>
  <c r="S348" i="32"/>
  <c r="S315" i="32"/>
  <c r="F315" i="32" s="1"/>
  <c r="Q315" i="32"/>
  <c r="P315" i="32" s="1"/>
  <c r="Q318" i="32"/>
  <c r="P318" i="32" s="1"/>
  <c r="S318" i="32"/>
  <c r="F318" i="32" s="1"/>
  <c r="S328" i="32"/>
  <c r="F328" i="32" s="1"/>
  <c r="Q328" i="32"/>
  <c r="P328" i="32" s="1"/>
  <c r="D329" i="32"/>
  <c r="Q329" i="32" s="1"/>
  <c r="P329" i="32" s="1"/>
  <c r="S319" i="32"/>
  <c r="F319" i="32" s="1"/>
  <c r="Q319" i="32"/>
  <c r="P319" i="32" s="1"/>
  <c r="Q322" i="32"/>
  <c r="P322" i="32" s="1"/>
  <c r="S322" i="32"/>
  <c r="F322" i="32" s="1"/>
  <c r="Q290" i="32"/>
  <c r="P290" i="32" s="1"/>
  <c r="S290" i="32"/>
  <c r="F290" i="32" s="1"/>
  <c r="V290" i="32" s="1"/>
  <c r="S301" i="32"/>
  <c r="F301" i="32" s="1"/>
  <c r="Q301" i="32"/>
  <c r="P301" i="32" s="1"/>
  <c r="Q323" i="32"/>
  <c r="P323" i="32" s="1"/>
  <c r="S323" i="32"/>
  <c r="F323" i="32" s="1"/>
  <c r="S286" i="32"/>
  <c r="F286" i="32" s="1"/>
  <c r="Q286" i="32"/>
  <c r="P286" i="32" s="1"/>
  <c r="S305" i="32"/>
  <c r="F305" i="32" s="1"/>
  <c r="Q305" i="32"/>
  <c r="P305" i="32" s="1"/>
  <c r="S327" i="32"/>
  <c r="F327" i="32" s="1"/>
  <c r="Q327" i="32"/>
  <c r="P327" i="32" s="1"/>
  <c r="S365" i="32"/>
  <c r="Q365" i="32"/>
  <c r="P365" i="32" s="1"/>
  <c r="S367" i="32"/>
  <c r="Q367" i="32"/>
  <c r="P367" i="32" s="1"/>
  <c r="Q340" i="32"/>
  <c r="P340" i="32" s="1"/>
  <c r="S340" i="32"/>
  <c r="Q181" i="32"/>
  <c r="P181" i="32" s="1"/>
  <c r="D182" i="32"/>
  <c r="Q182" i="32" s="1"/>
  <c r="P182" i="32" s="1"/>
  <c r="S188" i="32"/>
  <c r="F188" i="32" s="1"/>
  <c r="Q188" i="32" s="1"/>
  <c r="P188" i="32" s="1"/>
  <c r="S196" i="32"/>
  <c r="S194" i="32"/>
  <c r="D107" i="32"/>
  <c r="Q107" i="32" s="1"/>
  <c r="P107" i="32" s="1"/>
  <c r="Q106" i="32"/>
  <c r="P106" i="32" s="1"/>
  <c r="S101" i="32"/>
  <c r="F101" i="32" s="1"/>
  <c r="Q101" i="32" s="1"/>
  <c r="P101" i="32" s="1"/>
  <c r="S119" i="32"/>
  <c r="F119" i="32" s="1"/>
  <c r="H119" i="32" s="1"/>
  <c r="S398" i="32"/>
  <c r="Q398" i="32"/>
  <c r="P398" i="32" s="1"/>
  <c r="Q397" i="32"/>
  <c r="P397" i="32" s="1"/>
  <c r="S397" i="32"/>
  <c r="Q238" i="32"/>
  <c r="P238" i="32" s="1"/>
  <c r="S238" i="32"/>
  <c r="F238" i="32" s="1"/>
  <c r="D172" i="32"/>
  <c r="S279" i="32"/>
  <c r="Q279" i="32"/>
  <c r="P279" i="32" s="1"/>
  <c r="Q392" i="32"/>
  <c r="P392" i="32" s="1"/>
  <c r="S392" i="32"/>
  <c r="S390" i="32"/>
  <c r="Q390" i="32"/>
  <c r="P390" i="32" s="1"/>
  <c r="Q388" i="32"/>
  <c r="P388" i="32" s="1"/>
  <c r="S388" i="32"/>
  <c r="S386" i="32"/>
  <c r="Q386" i="32"/>
  <c r="P386" i="32" s="1"/>
  <c r="G162" i="32"/>
  <c r="Q58" i="32"/>
  <c r="P58" i="32" s="1"/>
  <c r="S58" i="32"/>
  <c r="Q46" i="32"/>
  <c r="P46" i="32" s="1"/>
  <c r="S46" i="32"/>
  <c r="F47" i="32" s="1"/>
  <c r="H47" i="32" s="1"/>
  <c r="Q52" i="32"/>
  <c r="P52" i="32" s="1"/>
  <c r="S52" i="32"/>
  <c r="F53" i="32" s="1"/>
  <c r="H53" i="32" s="1"/>
  <c r="S32" i="32"/>
  <c r="Q32" i="32"/>
  <c r="P32" i="32" s="1"/>
  <c r="S91" i="32"/>
  <c r="Q91" i="32"/>
  <c r="P91" i="32" s="1"/>
  <c r="S33" i="32"/>
  <c r="F33" i="32" s="1"/>
  <c r="H33" i="32" s="1"/>
  <c r="S22" i="32"/>
  <c r="Q22" i="32"/>
  <c r="P22" i="32" s="1"/>
  <c r="Q26" i="32"/>
  <c r="P26" i="32" s="1"/>
  <c r="S26" i="32"/>
  <c r="S92" i="32"/>
  <c r="Q92" i="32"/>
  <c r="P92" i="32" s="1"/>
  <c r="Q64" i="32"/>
  <c r="P64" i="32" s="1"/>
  <c r="S64" i="32"/>
  <c r="S47" i="32"/>
  <c r="S55" i="32"/>
  <c r="Q55" i="32"/>
  <c r="P55" i="32" s="1"/>
  <c r="S66" i="32"/>
  <c r="S20" i="32"/>
  <c r="F20" i="32" s="1"/>
  <c r="Q20" i="32" s="1"/>
  <c r="P20" i="32" s="1"/>
  <c r="Q333" i="32"/>
  <c r="P333" i="32" s="1"/>
  <c r="S333" i="32"/>
  <c r="S331" i="32"/>
  <c r="F331" i="32" s="1"/>
  <c r="Q331" i="32"/>
  <c r="P331" i="32" s="1"/>
  <c r="D272" i="32"/>
  <c r="V242" i="32"/>
  <c r="Q355" i="32"/>
  <c r="P355" i="32" s="1"/>
  <c r="S355" i="32"/>
  <c r="Q354" i="32"/>
  <c r="P354" i="32" s="1"/>
  <c r="S354" i="32"/>
  <c r="F354" i="32" s="1"/>
  <c r="Q352" i="32"/>
  <c r="P352" i="32" s="1"/>
  <c r="S352" i="32"/>
  <c r="S377" i="32"/>
  <c r="Q377" i="32"/>
  <c r="P377" i="32" s="1"/>
  <c r="Q373" i="32"/>
  <c r="P373" i="32" s="1"/>
  <c r="S373" i="32"/>
  <c r="Q407" i="32"/>
  <c r="P407" i="32" s="1"/>
  <c r="S407" i="32"/>
  <c r="S349" i="32"/>
  <c r="F349" i="32" s="1"/>
  <c r="Q349" i="32"/>
  <c r="P349" i="32" s="1"/>
  <c r="D350" i="32"/>
  <c r="Q350" i="32" s="1"/>
  <c r="P350" i="32" s="1"/>
  <c r="S346" i="32"/>
  <c r="Q346" i="32"/>
  <c r="P346" i="32" s="1"/>
  <c r="S297" i="32"/>
  <c r="F297" i="32" s="1"/>
  <c r="Q297" i="32"/>
  <c r="P297" i="32" s="1"/>
  <c r="S316" i="32"/>
  <c r="F316" i="32" s="1"/>
  <c r="Q316" i="32"/>
  <c r="P316" i="32" s="1"/>
  <c r="Q287" i="32"/>
  <c r="P287" i="32" s="1"/>
  <c r="S287" i="32"/>
  <c r="F287" i="32" s="1"/>
  <c r="Q302" i="32"/>
  <c r="P302" i="32" s="1"/>
  <c r="S302" i="32"/>
  <c r="F302" i="32" s="1"/>
  <c r="S307" i="32"/>
  <c r="F307" i="32" s="1"/>
  <c r="Q307" i="32"/>
  <c r="P307" i="32" s="1"/>
  <c r="Q304" i="32"/>
  <c r="P304" i="32" s="1"/>
  <c r="S304" i="32"/>
  <c r="F304" i="32" s="1"/>
  <c r="S285" i="32"/>
  <c r="F285" i="32" s="1"/>
  <c r="Q285" i="32"/>
  <c r="P285" i="32" s="1"/>
  <c r="S320" i="32"/>
  <c r="F320" i="32" s="1"/>
  <c r="Q320" i="32"/>
  <c r="P320" i="32" s="1"/>
  <c r="S310" i="32"/>
  <c r="F310" i="32" s="1"/>
  <c r="V310" i="32" s="1"/>
  <c r="G310" i="32" s="1"/>
  <c r="Q310" i="32"/>
  <c r="P310" i="32" s="1"/>
  <c r="Q289" i="32"/>
  <c r="P289" i="32" s="1"/>
  <c r="S289" i="32"/>
  <c r="F289" i="32" s="1"/>
  <c r="Q324" i="32"/>
  <c r="P324" i="32" s="1"/>
  <c r="S324" i="32"/>
  <c r="F324" i="32" s="1"/>
  <c r="Q366" i="32"/>
  <c r="P366" i="32" s="1"/>
  <c r="S366" i="32"/>
  <c r="Q339" i="32"/>
  <c r="P339" i="32" s="1"/>
  <c r="S339" i="32"/>
  <c r="G174" i="32"/>
  <c r="V186" i="32"/>
  <c r="S208" i="32"/>
  <c r="S204" i="32"/>
  <c r="S198" i="32"/>
  <c r="S192" i="32"/>
  <c r="Q212" i="32"/>
  <c r="P212" i="32" s="1"/>
  <c r="D213" i="32"/>
  <c r="Q213" i="32" s="1"/>
  <c r="P213" i="32" s="1"/>
  <c r="D202" i="32"/>
  <c r="Q201" i="32"/>
  <c r="P201" i="32" s="1"/>
  <c r="Q114" i="32"/>
  <c r="P114" i="32" s="1"/>
  <c r="D115" i="32"/>
  <c r="Q115" i="32" s="1"/>
  <c r="P115" i="32" s="1"/>
  <c r="D122" i="32"/>
  <c r="Q121" i="32"/>
  <c r="P121" i="32" s="1"/>
  <c r="Q117" i="32"/>
  <c r="P117" i="32" s="1"/>
  <c r="H117" i="32"/>
  <c r="F122" i="32"/>
  <c r="D103" i="32"/>
  <c r="S399" i="32"/>
  <c r="Q399" i="32"/>
  <c r="P399" i="32" s="1"/>
  <c r="S239" i="32"/>
  <c r="Q239" i="32"/>
  <c r="P239" i="32" s="1"/>
  <c r="D240" i="32"/>
  <c r="Q240" i="32" s="1"/>
  <c r="P240" i="32" s="1"/>
  <c r="S170" i="32"/>
  <c r="F170" i="32" s="1"/>
  <c r="Q170" i="32" s="1"/>
  <c r="P170" i="32" s="1"/>
  <c r="S274" i="32"/>
  <c r="F274" i="32" s="1"/>
  <c r="Q274" i="32"/>
  <c r="P274" i="32" s="1"/>
  <c r="Q281" i="32"/>
  <c r="P281" i="32" s="1"/>
  <c r="D282" i="32"/>
  <c r="Q282" i="32" s="1"/>
  <c r="P282" i="32" s="1"/>
  <c r="S281" i="32"/>
  <c r="D226" i="32"/>
  <c r="Q226" i="32" s="1"/>
  <c r="P226" i="32" s="1"/>
  <c r="Q225" i="32"/>
  <c r="P225" i="32" s="1"/>
  <c r="D223" i="32"/>
  <c r="Q223" i="32" s="1"/>
  <c r="P223" i="32" s="1"/>
  <c r="Q222" i="32"/>
  <c r="P222" i="32" s="1"/>
  <c r="Q385" i="32"/>
  <c r="P385" i="32" s="1"/>
  <c r="S385" i="32"/>
  <c r="S383" i="32"/>
  <c r="Q383" i="32"/>
  <c r="P383" i="32" s="1"/>
  <c r="Q384" i="32"/>
  <c r="P384" i="32" s="1"/>
  <c r="S384" i="32"/>
  <c r="S42" i="32"/>
  <c r="F42" i="32" s="1"/>
  <c r="Q42" i="32" s="1"/>
  <c r="P42" i="32" s="1"/>
  <c r="D77" i="32"/>
  <c r="S76" i="32"/>
  <c r="Q76" i="32"/>
  <c r="P76" i="32" s="1"/>
  <c r="S24" i="32"/>
  <c r="Q24" i="32"/>
  <c r="P24" i="32" s="1"/>
  <c r="S96" i="32"/>
  <c r="Q96" i="32"/>
  <c r="P96" i="32" s="1"/>
  <c r="S19" i="32"/>
  <c r="Q23" i="32"/>
  <c r="P23" i="32" s="1"/>
  <c r="H23" i="32"/>
  <c r="Q65" i="32"/>
  <c r="P65" i="32" s="1"/>
  <c r="S65" i="32"/>
  <c r="F66" i="32" s="1"/>
  <c r="H66" i="32" s="1"/>
  <c r="S72" i="32"/>
  <c r="S63" i="32"/>
  <c r="Q56" i="32"/>
  <c r="P56" i="32" s="1"/>
  <c r="S56" i="32"/>
  <c r="Q70" i="32"/>
  <c r="P70" i="32" s="1"/>
  <c r="S70" i="32"/>
  <c r="S25" i="32"/>
  <c r="F25" i="32" s="1"/>
  <c r="H25" i="32" s="1"/>
  <c r="Q97" i="32"/>
  <c r="P97" i="32" s="1"/>
  <c r="S97" i="32"/>
  <c r="S73" i="32"/>
  <c r="Q73" i="32"/>
  <c r="P73" i="32" s="1"/>
  <c r="Q59" i="32"/>
  <c r="P59" i="32" s="1"/>
  <c r="S59" i="32"/>
  <c r="S18" i="32"/>
  <c r="F18" i="32" s="1"/>
  <c r="H18" i="32" s="1"/>
  <c r="G331" i="32"/>
  <c r="Q360" i="32"/>
  <c r="P360" i="32" s="1"/>
  <c r="S360" i="32"/>
  <c r="Q358" i="32"/>
  <c r="P358" i="32" s="1"/>
  <c r="S358" i="32"/>
  <c r="Q376" i="32"/>
  <c r="P376" i="32" s="1"/>
  <c r="S376" i="32"/>
  <c r="Q371" i="32"/>
  <c r="P371" i="32" s="1"/>
  <c r="S371" i="32"/>
  <c r="F371" i="32" s="1"/>
  <c r="Q408" i="32"/>
  <c r="P408" i="32" s="1"/>
  <c r="S408" i="32"/>
  <c r="D233" i="32"/>
  <c r="Q233" i="32" s="1"/>
  <c r="P233" i="32" s="1"/>
  <c r="Q232" i="32"/>
  <c r="P232" i="32" s="1"/>
  <c r="S232" i="32"/>
  <c r="S228" i="32"/>
  <c r="F228" i="32" s="1"/>
  <c r="Q228" i="32"/>
  <c r="P228" i="32" s="1"/>
  <c r="Q156" i="32"/>
  <c r="P156" i="32" s="1"/>
  <c r="D157" i="32"/>
  <c r="Q157" i="32" s="1"/>
  <c r="P157" i="32" s="1"/>
  <c r="S156" i="32"/>
  <c r="S314" i="32"/>
  <c r="F314" i="32" s="1"/>
  <c r="Q314" i="32"/>
  <c r="P314" i="32" s="1"/>
  <c r="S326" i="32"/>
  <c r="F326" i="32" s="1"/>
  <c r="Q326" i="32"/>
  <c r="P326" i="32" s="1"/>
  <c r="S317" i="32"/>
  <c r="F317" i="32" s="1"/>
  <c r="Q317" i="32"/>
  <c r="P317" i="32" s="1"/>
  <c r="S295" i="32"/>
  <c r="F295" i="32" s="1"/>
  <c r="Q295" i="32"/>
  <c r="P295" i="32" s="1"/>
  <c r="Q293" i="32"/>
  <c r="P293" i="32" s="1"/>
  <c r="S293" i="32"/>
  <c r="F293" i="32" s="1"/>
  <c r="S312" i="32"/>
  <c r="F312" i="32" s="1"/>
  <c r="Q312" i="32"/>
  <c r="P312" i="32" s="1"/>
  <c r="Q294" i="32"/>
  <c r="P294" i="32" s="1"/>
  <c r="S294" i="32"/>
  <c r="F294" i="32" s="1"/>
  <c r="S299" i="32"/>
  <c r="F299" i="32" s="1"/>
  <c r="Q299" i="32"/>
  <c r="P299" i="32" s="1"/>
  <c r="Q306" i="32"/>
  <c r="P306" i="32" s="1"/>
  <c r="S306" i="32"/>
  <c r="F306" i="32" s="1"/>
  <c r="Q298" i="32"/>
  <c r="P298" i="32" s="1"/>
  <c r="S298" i="32"/>
  <c r="F298" i="32" s="1"/>
  <c r="V298" i="32" s="1"/>
  <c r="G298" i="32" s="1"/>
  <c r="Q300" i="32"/>
  <c r="P300" i="32" s="1"/>
  <c r="S300" i="32"/>
  <c r="F300" i="32" s="1"/>
  <c r="S309" i="32"/>
  <c r="F309" i="32" s="1"/>
  <c r="Q309" i="32"/>
  <c r="P309" i="32" s="1"/>
  <c r="Q368" i="32"/>
  <c r="P368" i="32" s="1"/>
  <c r="S368" i="32"/>
  <c r="D369" i="32"/>
  <c r="Q369" i="32" s="1"/>
  <c r="P369" i="32" s="1"/>
  <c r="Q343" i="32"/>
  <c r="P343" i="32" s="1"/>
  <c r="D344" i="32"/>
  <c r="Q344" i="32" s="1"/>
  <c r="P344" i="32" s="1"/>
  <c r="S343" i="32"/>
  <c r="Q338" i="32"/>
  <c r="P338" i="32" s="1"/>
  <c r="S338" i="32"/>
  <c r="F338" i="32" s="1"/>
  <c r="V210" i="32"/>
  <c r="G188" i="32"/>
  <c r="Q146" i="32"/>
  <c r="P146" i="32" s="1"/>
  <c r="D147" i="32"/>
  <c r="S118" i="32"/>
  <c r="F118" i="32" s="1"/>
  <c r="D129" i="32"/>
  <c r="Q129" i="32" s="1"/>
  <c r="P129" i="32" s="1"/>
  <c r="Q128" i="32"/>
  <c r="P128" i="32" s="1"/>
  <c r="Q136" i="32"/>
  <c r="P136" i="32" s="1"/>
  <c r="D137" i="32"/>
  <c r="Q137" i="32" s="1"/>
  <c r="P137" i="32" s="1"/>
  <c r="Q123" i="32"/>
  <c r="P123" i="32" s="1"/>
  <c r="S123" i="32"/>
  <c r="S396" i="32"/>
  <c r="Q396" i="32"/>
  <c r="P396" i="32" s="1"/>
  <c r="G238" i="32"/>
  <c r="Q150" i="32"/>
  <c r="P150" i="32" s="1"/>
  <c r="S150" i="32"/>
  <c r="D151" i="32"/>
  <c r="Q151" i="32" s="1"/>
  <c r="P151" i="32" s="1"/>
  <c r="S168" i="32"/>
  <c r="F168" i="32" s="1"/>
  <c r="Q168" i="32" s="1"/>
  <c r="P168" i="32" s="1"/>
  <c r="Q275" i="32"/>
  <c r="P275" i="32" s="1"/>
  <c r="D276" i="32"/>
  <c r="Q276" i="32" s="1"/>
  <c r="P276" i="32" s="1"/>
  <c r="S275" i="32"/>
  <c r="D220" i="32"/>
  <c r="Q220" i="32" s="1"/>
  <c r="P220" i="32" s="1"/>
  <c r="Q219" i="32"/>
  <c r="P219" i="32" s="1"/>
  <c r="S219" i="32"/>
  <c r="Q218" i="32"/>
  <c r="P218" i="32" s="1"/>
  <c r="S218" i="32"/>
  <c r="F218" i="32" s="1"/>
  <c r="D394" i="32"/>
  <c r="Q394" i="32" s="1"/>
  <c r="P394" i="32" s="1"/>
  <c r="S393" i="32"/>
  <c r="Q393" i="32"/>
  <c r="P393" i="32" s="1"/>
  <c r="S387" i="32"/>
  <c r="Q387" i="32"/>
  <c r="P387" i="32" s="1"/>
  <c r="Q381" i="32"/>
  <c r="P381" i="32" s="1"/>
  <c r="S381" i="32"/>
  <c r="Q162" i="32"/>
  <c r="P162" i="32" s="1"/>
  <c r="F166" i="32"/>
  <c r="F163" i="32"/>
  <c r="Q163" i="32" s="1"/>
  <c r="P163" i="32" s="1"/>
  <c r="Q98" i="32"/>
  <c r="P98" i="32" s="1"/>
  <c r="D99" i="32"/>
  <c r="Q99" i="32" s="1"/>
  <c r="P99" i="32" s="1"/>
  <c r="S69" i="32"/>
  <c r="Q69" i="32"/>
  <c r="P69" i="32" s="1"/>
  <c r="Q80" i="32"/>
  <c r="P80" i="32" s="1"/>
  <c r="S80" i="32"/>
  <c r="S74" i="32"/>
  <c r="Q74" i="32"/>
  <c r="P74" i="32" s="1"/>
  <c r="S68" i="32"/>
  <c r="F68" i="32" s="1"/>
  <c r="Q68" i="32" s="1"/>
  <c r="P68" i="32" s="1"/>
  <c r="S49" i="32"/>
  <c r="Q39" i="32"/>
  <c r="P39" i="32" s="1"/>
  <c r="D40" i="32"/>
  <c r="S39" i="32"/>
  <c r="S53" i="32"/>
  <c r="Q29" i="32"/>
  <c r="P29" i="32" s="1"/>
  <c r="H29" i="32"/>
  <c r="S61" i="32"/>
  <c r="Q61" i="32"/>
  <c r="P61" i="32" s="1"/>
  <c r="S48" i="32"/>
  <c r="F49" i="32" s="1"/>
  <c r="H49" i="32" s="1"/>
  <c r="Q48" i="32"/>
  <c r="P48" i="32" s="1"/>
  <c r="S75" i="32"/>
  <c r="Q75" i="32"/>
  <c r="P75" i="32" s="1"/>
  <c r="S35" i="32"/>
  <c r="F35" i="32" s="1"/>
  <c r="H35" i="32" s="1"/>
  <c r="S45" i="32"/>
  <c r="Q332" i="32"/>
  <c r="P332" i="32" s="1"/>
  <c r="S332" i="32"/>
  <c r="D336" i="32"/>
  <c r="Q336" i="32" s="1"/>
  <c r="P336" i="32" s="1"/>
  <c r="S335" i="32"/>
  <c r="Q335" i="32"/>
  <c r="P335" i="32" s="1"/>
  <c r="D267" i="7"/>
  <c r="D254" i="7"/>
  <c r="D248" i="7"/>
  <c r="S342" i="7"/>
  <c r="D266" i="7"/>
  <c r="D243" i="7"/>
  <c r="D256" i="7"/>
  <c r="D259" i="7"/>
  <c r="D263" i="7"/>
  <c r="D252" i="7"/>
  <c r="D257" i="7"/>
  <c r="D251" i="7"/>
  <c r="D244" i="7"/>
  <c r="D249" i="7"/>
  <c r="D264" i="7"/>
  <c r="S340" i="7"/>
  <c r="S242" i="7"/>
  <c r="F242" i="7" s="1"/>
  <c r="Q242" i="7" s="1"/>
  <c r="P242" i="7" s="1"/>
  <c r="D253" i="7"/>
  <c r="D268" i="7"/>
  <c r="D250" i="7"/>
  <c r="D245" i="7"/>
  <c r="D260" i="7"/>
  <c r="D265" i="7"/>
  <c r="Q409" i="7"/>
  <c r="P409" i="7" s="1"/>
  <c r="F30" i="31"/>
  <c r="H30" i="31" s="1"/>
  <c r="N30" i="31" s="1"/>
  <c r="O30" i="31" s="1"/>
  <c r="H371" i="31"/>
  <c r="H168" i="31"/>
  <c r="G169" i="31"/>
  <c r="F165" i="31"/>
  <c r="Q165" i="31" s="1"/>
  <c r="P165" i="31" s="1"/>
  <c r="V164" i="31"/>
  <c r="J72" i="31"/>
  <c r="K72" i="31" s="1"/>
  <c r="L72" i="31" s="1"/>
  <c r="N72" i="31"/>
  <c r="O72" i="31" s="1"/>
  <c r="J25" i="31"/>
  <c r="K25" i="31" s="1"/>
  <c r="L25" i="31" s="1"/>
  <c r="N25" i="31"/>
  <c r="O25" i="31" s="1"/>
  <c r="H298" i="31"/>
  <c r="R298" i="31"/>
  <c r="F166" i="31"/>
  <c r="F163" i="31"/>
  <c r="Q163" i="31" s="1"/>
  <c r="P163" i="31" s="1"/>
  <c r="Q28" i="31"/>
  <c r="P28" i="31" s="1"/>
  <c r="F239" i="31"/>
  <c r="V239" i="31" s="1"/>
  <c r="H218" i="31"/>
  <c r="F43" i="31"/>
  <c r="F77" i="31" s="1"/>
  <c r="H42" i="31"/>
  <c r="Q71" i="31"/>
  <c r="P71" i="31" s="1"/>
  <c r="G171" i="31"/>
  <c r="H171" i="31" s="1"/>
  <c r="H170" i="31"/>
  <c r="F222" i="31"/>
  <c r="H222" i="31" s="1"/>
  <c r="F226" i="31"/>
  <c r="F225" i="31"/>
  <c r="H225" i="31" s="1"/>
  <c r="Q23" i="31"/>
  <c r="P23" i="31" s="1"/>
  <c r="Q29" i="31"/>
  <c r="P29" i="31" s="1"/>
  <c r="R331" i="31"/>
  <c r="H331" i="31"/>
  <c r="H117" i="31"/>
  <c r="F122" i="31"/>
  <c r="F119" i="31"/>
  <c r="F118" i="31"/>
  <c r="F172" i="31"/>
  <c r="F169" i="31"/>
  <c r="Q169" i="31" s="1"/>
  <c r="P169" i="31" s="1"/>
  <c r="Q35" i="31"/>
  <c r="P35" i="31" s="1"/>
  <c r="F103" i="31"/>
  <c r="F102" i="31"/>
  <c r="H101" i="31"/>
  <c r="Q33" i="31"/>
  <c r="P33" i="31" s="1"/>
  <c r="F45" i="31"/>
  <c r="H44" i="31"/>
  <c r="N23" i="31"/>
  <c r="O23" i="31" s="1"/>
  <c r="J23" i="31"/>
  <c r="K23" i="31" s="1"/>
  <c r="L23" i="31" s="1"/>
  <c r="J49" i="31"/>
  <c r="K49" i="31" s="1"/>
  <c r="L49" i="31" s="1"/>
  <c r="N49" i="31"/>
  <c r="O49" i="31" s="1"/>
  <c r="N63" i="31"/>
  <c r="O63" i="31" s="1"/>
  <c r="J63" i="31"/>
  <c r="K63" i="31" s="1"/>
  <c r="F282" i="31"/>
  <c r="V278" i="31"/>
  <c r="F280" i="31"/>
  <c r="V280" i="31" s="1"/>
  <c r="G280" i="31" s="1"/>
  <c r="J35" i="31"/>
  <c r="K35" i="31" s="1"/>
  <c r="L35" i="31" s="1"/>
  <c r="N35" i="31"/>
  <c r="O35" i="31" s="1"/>
  <c r="R308" i="31"/>
  <c r="H308" i="31"/>
  <c r="D148" i="31"/>
  <c r="Q148" i="31" s="1"/>
  <c r="P148" i="31" s="1"/>
  <c r="Q147" i="31"/>
  <c r="P147" i="31" s="1"/>
  <c r="G163" i="31"/>
  <c r="H162" i="31"/>
  <c r="J33" i="31"/>
  <c r="K33" i="31" s="1"/>
  <c r="N33" i="31"/>
  <c r="O33" i="31" s="1"/>
  <c r="F374" i="31"/>
  <c r="V374" i="31" s="1"/>
  <c r="G374" i="31" s="1"/>
  <c r="H374" i="31" s="1"/>
  <c r="F379" i="31"/>
  <c r="F378" i="31"/>
  <c r="V378" i="31" s="1"/>
  <c r="G378" i="31" s="1"/>
  <c r="H378" i="31" s="1"/>
  <c r="H228" i="31"/>
  <c r="R228" i="31"/>
  <c r="V172" i="31"/>
  <c r="Q164" i="31"/>
  <c r="P164" i="31" s="1"/>
  <c r="Q49" i="31"/>
  <c r="P49" i="31" s="1"/>
  <c r="Q72" i="31"/>
  <c r="P72" i="31" s="1"/>
  <c r="Q25" i="31"/>
  <c r="P25" i="31" s="1"/>
  <c r="R238" i="31"/>
  <c r="H238" i="31"/>
  <c r="Q162" i="31"/>
  <c r="P162" i="31" s="1"/>
  <c r="J21" i="31"/>
  <c r="K21" i="31" s="1"/>
  <c r="L21" i="31" s="1"/>
  <c r="N21" i="31"/>
  <c r="O21" i="31" s="1"/>
  <c r="Q63" i="31"/>
  <c r="P63" i="31" s="1"/>
  <c r="N66" i="31"/>
  <c r="O66" i="31" s="1"/>
  <c r="J66" i="31"/>
  <c r="K66" i="31" s="1"/>
  <c r="L66" i="31" s="1"/>
  <c r="F102" i="7"/>
  <c r="H101" i="7"/>
  <c r="Q61" i="7"/>
  <c r="P61" i="7" s="1"/>
  <c r="D270" i="7"/>
  <c r="D271" i="7"/>
  <c r="S271" i="7" s="1"/>
  <c r="F271" i="7" s="1"/>
  <c r="V271" i="7" s="1"/>
  <c r="G271" i="7" s="1"/>
  <c r="H271" i="7" s="1"/>
  <c r="R269" i="7"/>
  <c r="Q274" i="7"/>
  <c r="P274" i="7" s="1"/>
  <c r="V274" i="7"/>
  <c r="G274" i="7" s="1"/>
  <c r="Q278" i="7"/>
  <c r="P278" i="7" s="1"/>
  <c r="H242" i="7"/>
  <c r="J242" i="7" s="1"/>
  <c r="J269" i="7"/>
  <c r="K269" i="7" s="1"/>
  <c r="L269" i="7" s="1"/>
  <c r="N269" i="7"/>
  <c r="O269" i="7" s="1"/>
  <c r="V186" i="7"/>
  <c r="H238" i="7"/>
  <c r="R238" i="7"/>
  <c r="Q174" i="7"/>
  <c r="P174" i="7" s="1"/>
  <c r="Q218" i="7"/>
  <c r="P218" i="7" s="1"/>
  <c r="G176" i="7"/>
  <c r="H176" i="7" s="1"/>
  <c r="Q164" i="7"/>
  <c r="P164" i="7" s="1"/>
  <c r="Q170" i="7"/>
  <c r="P170" i="7" s="1"/>
  <c r="N331" i="7"/>
  <c r="O331" i="7" s="1"/>
  <c r="J331" i="7"/>
  <c r="K331" i="7" s="1"/>
  <c r="Q80" i="7"/>
  <c r="P80" i="7" s="1"/>
  <c r="J83" i="7"/>
  <c r="K83" i="7" s="1"/>
  <c r="L83" i="7" s="1"/>
  <c r="N83" i="7"/>
  <c r="O83" i="7" s="1"/>
  <c r="Q82" i="7"/>
  <c r="P82" i="7" s="1"/>
  <c r="Q81" i="7"/>
  <c r="P81" i="7" s="1"/>
  <c r="F30" i="7"/>
  <c r="Q28" i="7"/>
  <c r="P28" i="7" s="1"/>
  <c r="N29" i="7"/>
  <c r="O29" i="7" s="1"/>
  <c r="J29" i="7"/>
  <c r="K29" i="7" s="1"/>
  <c r="L29" i="7" s="1"/>
  <c r="Q97" i="7"/>
  <c r="P97" i="7" s="1"/>
  <c r="F68" i="7"/>
  <c r="H68" i="7" s="1"/>
  <c r="Q92" i="7"/>
  <c r="P92" i="7" s="1"/>
  <c r="Q29" i="7"/>
  <c r="P29" i="7" s="1"/>
  <c r="Q84" i="7"/>
  <c r="P84" i="7" s="1"/>
  <c r="Q117" i="7"/>
  <c r="P117" i="7" s="1"/>
  <c r="F119" i="7"/>
  <c r="F118" i="7"/>
  <c r="H118" i="7" s="1"/>
  <c r="Q20" i="7"/>
  <c r="P20" i="7" s="1"/>
  <c r="N22" i="7"/>
  <c r="O22" i="7" s="1"/>
  <c r="F21" i="7"/>
  <c r="Q58" i="7"/>
  <c r="P58" i="7" s="1"/>
  <c r="F194" i="7"/>
  <c r="H194" i="7" s="1"/>
  <c r="F198" i="7"/>
  <c r="F199" i="7" s="1"/>
  <c r="H199" i="7" s="1"/>
  <c r="F204" i="7"/>
  <c r="Q25" i="7"/>
  <c r="P25" i="7" s="1"/>
  <c r="Q191" i="7"/>
  <c r="P191" i="7" s="1"/>
  <c r="S263" i="7"/>
  <c r="F263" i="7" s="1"/>
  <c r="V263" i="7" s="1"/>
  <c r="G263" i="7" s="1"/>
  <c r="S252" i="7"/>
  <c r="F252" i="7" s="1"/>
  <c r="V252" i="7" s="1"/>
  <c r="G252" i="7" s="1"/>
  <c r="S257" i="7"/>
  <c r="F257" i="7" s="1"/>
  <c r="V257" i="7" s="1"/>
  <c r="G257" i="7" s="1"/>
  <c r="S259" i="7"/>
  <c r="F259" i="7" s="1"/>
  <c r="V259" i="7" s="1"/>
  <c r="G259" i="7" s="1"/>
  <c r="H105" i="7"/>
  <c r="F275" i="7"/>
  <c r="F276" i="7"/>
  <c r="F19" i="7"/>
  <c r="F236" i="7"/>
  <c r="F232" i="7"/>
  <c r="F235" i="7"/>
  <c r="F229" i="7"/>
  <c r="V229" i="7" s="1"/>
  <c r="V230" i="7" s="1"/>
  <c r="H228" i="7"/>
  <c r="F363" i="7"/>
  <c r="H354" i="7"/>
  <c r="S268" i="7"/>
  <c r="F268" i="7" s="1"/>
  <c r="V268" i="7" s="1"/>
  <c r="G268" i="7" s="1"/>
  <c r="S251" i="7"/>
  <c r="F251" i="7" s="1"/>
  <c r="V251" i="7" s="1"/>
  <c r="G251" i="7" s="1"/>
  <c r="S249" i="7"/>
  <c r="F249" i="7" s="1"/>
  <c r="V249" i="7" s="1"/>
  <c r="G249" i="7" s="1"/>
  <c r="S264" i="7"/>
  <c r="F264" i="7" s="1"/>
  <c r="V264" i="7" s="1"/>
  <c r="G264" i="7" s="1"/>
  <c r="F181" i="7"/>
  <c r="H180" i="7"/>
  <c r="H213" i="7"/>
  <c r="J212" i="7"/>
  <c r="J213" i="7" s="1"/>
  <c r="N212" i="7"/>
  <c r="F45" i="7"/>
  <c r="F189" i="7"/>
  <c r="Q187" i="7"/>
  <c r="P187" i="7" s="1"/>
  <c r="F103" i="7"/>
  <c r="S246" i="7"/>
  <c r="F246" i="7" s="1"/>
  <c r="V246" i="7" s="1"/>
  <c r="G246" i="7" s="1"/>
  <c r="S255" i="7"/>
  <c r="F255" i="7" s="1"/>
  <c r="V255" i="7" s="1"/>
  <c r="G255" i="7" s="1"/>
  <c r="S260" i="7"/>
  <c r="F260" i="7" s="1"/>
  <c r="V260" i="7" s="1"/>
  <c r="G260" i="7" s="1"/>
  <c r="S266" i="7"/>
  <c r="F266" i="7" s="1"/>
  <c r="S243" i="7"/>
  <c r="F243" i="7" s="1"/>
  <c r="V243" i="7" s="1"/>
  <c r="S267" i="7"/>
  <c r="F267" i="7" s="1"/>
  <c r="V267" i="7" s="1"/>
  <c r="G267" i="7" s="1"/>
  <c r="S256" i="7"/>
  <c r="V256" i="7" s="1"/>
  <c r="G256" i="7" s="1"/>
  <c r="S261" i="7"/>
  <c r="F261" i="7" s="1"/>
  <c r="V261" i="7" s="1"/>
  <c r="G261" i="7" s="1"/>
  <c r="S258" i="7"/>
  <c r="F258" i="7" s="1"/>
  <c r="V258" i="7" s="1"/>
  <c r="G258" i="7" s="1"/>
  <c r="S262" i="7"/>
  <c r="F262" i="7" s="1"/>
  <c r="V262" i="7" s="1"/>
  <c r="G262" i="7" s="1"/>
  <c r="F175" i="7"/>
  <c r="F186" i="7" s="1"/>
  <c r="H174" i="7"/>
  <c r="F192" i="7"/>
  <c r="Q22" i="7"/>
  <c r="P22" i="7" s="1"/>
  <c r="F208" i="7"/>
  <c r="H208" i="7" s="1"/>
  <c r="J191" i="7"/>
  <c r="K191" i="7" s="1"/>
  <c r="L191" i="7" s="1"/>
  <c r="N191" i="7"/>
  <c r="O191" i="7" s="1"/>
  <c r="F122" i="7"/>
  <c r="J25" i="7"/>
  <c r="K25" i="7" s="1"/>
  <c r="N25" i="7"/>
  <c r="O25" i="7" s="1"/>
  <c r="F196" i="7"/>
  <c r="F169" i="7"/>
  <c r="F172" i="7" s="1"/>
  <c r="H168" i="7"/>
  <c r="F219" i="7"/>
  <c r="F225" i="7"/>
  <c r="F222" i="7"/>
  <c r="F226" i="7"/>
  <c r="H218" i="7"/>
  <c r="F165" i="7"/>
  <c r="F51" i="7"/>
  <c r="H50" i="7"/>
  <c r="S254" i="7"/>
  <c r="F254" i="7" s="1"/>
  <c r="V254" i="7" s="1"/>
  <c r="G254" i="7" s="1"/>
  <c r="S248" i="7"/>
  <c r="F248" i="7" s="1"/>
  <c r="V248" i="7" s="1"/>
  <c r="G248" i="7" s="1"/>
  <c r="F114" i="7"/>
  <c r="F115" i="7" s="1"/>
  <c r="H113" i="7"/>
  <c r="F66" i="7"/>
  <c r="H66" i="7" s="1"/>
  <c r="F373" i="7"/>
  <c r="V373" i="7" s="1"/>
  <c r="F376" i="7"/>
  <c r="V376" i="7" s="1"/>
  <c r="F378" i="7"/>
  <c r="V378" i="7" s="1"/>
  <c r="F374" i="7"/>
  <c r="V374" i="7" s="1"/>
  <c r="F372" i="7"/>
  <c r="V372" i="7" s="1"/>
  <c r="F379" i="7"/>
  <c r="H371" i="7"/>
  <c r="F185" i="7"/>
  <c r="H184" i="7"/>
  <c r="H109" i="7"/>
  <c r="F163" i="7"/>
  <c r="H162" i="7"/>
  <c r="S253" i="7"/>
  <c r="F253" i="7" s="1"/>
  <c r="V253" i="7" s="1"/>
  <c r="G253" i="7" s="1"/>
  <c r="S250" i="7"/>
  <c r="V250" i="7" s="1"/>
  <c r="G250" i="7" s="1"/>
  <c r="S244" i="7"/>
  <c r="F244" i="7" s="1"/>
  <c r="V244" i="7" s="1"/>
  <c r="G244" i="7" s="1"/>
  <c r="S270" i="7"/>
  <c r="F270" i="7" s="1"/>
  <c r="V270" i="7" s="1"/>
  <c r="Q105" i="7"/>
  <c r="P105" i="7" s="1"/>
  <c r="Q65" i="7"/>
  <c r="P65" i="7" s="1"/>
  <c r="F63" i="7"/>
  <c r="H63" i="7" s="1"/>
  <c r="F47" i="7"/>
  <c r="Q18" i="7"/>
  <c r="P18" i="7" s="1"/>
  <c r="Q184" i="7"/>
  <c r="P184" i="7" s="1"/>
  <c r="Q35" i="7"/>
  <c r="P35" i="7" s="1"/>
  <c r="F177" i="7"/>
  <c r="F280" i="7"/>
  <c r="Q280" i="7" s="1"/>
  <c r="P280" i="7" s="1"/>
  <c r="F281" i="7"/>
  <c r="Q281" i="7" s="1"/>
  <c r="P281" i="7" s="1"/>
  <c r="F279" i="7"/>
  <c r="V279" i="7" s="1"/>
  <c r="F282" i="7"/>
  <c r="F33" i="7"/>
  <c r="H33" i="7" s="1"/>
  <c r="F43" i="7"/>
  <c r="F77" i="7" s="1"/>
  <c r="F201" i="7"/>
  <c r="H200" i="7"/>
  <c r="Q109" i="7"/>
  <c r="P109" i="7" s="1"/>
  <c r="Q162" i="7"/>
  <c r="P162" i="7" s="1"/>
  <c r="S247" i="7"/>
  <c r="F247" i="7" s="1"/>
  <c r="S245" i="7"/>
  <c r="F245" i="7" s="1"/>
  <c r="V245" i="7" s="1"/>
  <c r="G245" i="7" s="1"/>
  <c r="S265" i="7"/>
  <c r="F265" i="7" s="1"/>
  <c r="V265" i="7" s="1"/>
  <c r="G265" i="7" s="1"/>
  <c r="Q180" i="7"/>
  <c r="P180" i="7" s="1"/>
  <c r="F239" i="7"/>
  <c r="V239" i="7" s="1"/>
  <c r="V240" i="7" s="1"/>
  <c r="Q62" i="7"/>
  <c r="P62" i="7" s="1"/>
  <c r="Q44" i="7"/>
  <c r="P44" i="7" s="1"/>
  <c r="Q46" i="7"/>
  <c r="P46" i="7" s="1"/>
  <c r="J58" i="7"/>
  <c r="K58" i="7" s="1"/>
  <c r="L58" i="7" s="1"/>
  <c r="N58" i="7"/>
  <c r="O58" i="7" s="1"/>
  <c r="Q34" i="7"/>
  <c r="P34" i="7" s="1"/>
  <c r="Q56" i="7"/>
  <c r="P56" i="7" s="1"/>
  <c r="Q176" i="7"/>
  <c r="P176" i="7" s="1"/>
  <c r="Q188" i="7"/>
  <c r="P188" i="7" s="1"/>
  <c r="Q101" i="7"/>
  <c r="P101" i="7" s="1"/>
  <c r="Q32" i="7"/>
  <c r="P32" i="7" s="1"/>
  <c r="Q42" i="7"/>
  <c r="P42" i="7" s="1"/>
  <c r="Q200" i="7"/>
  <c r="P200" i="7" s="1"/>
  <c r="F171" i="7"/>
  <c r="F23" i="7"/>
  <c r="H47" i="10"/>
  <c r="J47" i="10" s="1"/>
  <c r="Q150" i="7"/>
  <c r="P150" i="7" s="1"/>
  <c r="D151" i="7"/>
  <c r="Q151" i="7" s="1"/>
  <c r="P151" i="7" s="1"/>
  <c r="D148" i="7"/>
  <c r="Q148" i="7" s="1"/>
  <c r="P148" i="7" s="1"/>
  <c r="Q147" i="7"/>
  <c r="P147" i="7" s="1"/>
  <c r="F276" i="31" l="1"/>
  <c r="J403" i="7"/>
  <c r="J404" i="7" s="1"/>
  <c r="N403" i="7"/>
  <c r="V274" i="31"/>
  <c r="G274" i="31" s="1"/>
  <c r="Q404" i="7"/>
  <c r="P404" i="7" s="1"/>
  <c r="F339" i="31"/>
  <c r="V339" i="31" s="1"/>
  <c r="V306" i="31"/>
  <c r="G306" i="31" s="1"/>
  <c r="H306" i="31" s="1"/>
  <c r="F341" i="31"/>
  <c r="V341" i="31" s="1"/>
  <c r="F336" i="31"/>
  <c r="F333" i="31"/>
  <c r="V333" i="31" s="1"/>
  <c r="G333" i="31" s="1"/>
  <c r="H333" i="31" s="1"/>
  <c r="F335" i="31"/>
  <c r="V335" i="31" s="1"/>
  <c r="G335" i="31" s="1"/>
  <c r="H335" i="31" s="1"/>
  <c r="F332" i="31"/>
  <c r="V332" i="31" s="1"/>
  <c r="G332" i="31" s="1"/>
  <c r="F343" i="31"/>
  <c r="Q53" i="31"/>
  <c r="P53" i="31" s="1"/>
  <c r="F342" i="31"/>
  <c r="V342" i="31" s="1"/>
  <c r="Q213" i="7"/>
  <c r="P213" i="7" s="1"/>
  <c r="H198" i="31"/>
  <c r="J198" i="31" s="1"/>
  <c r="K198" i="31" s="1"/>
  <c r="L198" i="31" s="1"/>
  <c r="F193" i="31"/>
  <c r="H193" i="31" s="1"/>
  <c r="F340" i="31"/>
  <c r="V340" i="31" s="1"/>
  <c r="H188" i="31"/>
  <c r="N188" i="31" s="1"/>
  <c r="F199" i="31"/>
  <c r="H199" i="31" s="1"/>
  <c r="K215" i="7"/>
  <c r="K216" i="7" s="1"/>
  <c r="H192" i="31"/>
  <c r="J192" i="31" s="1"/>
  <c r="K192" i="31" s="1"/>
  <c r="L192" i="31" s="1"/>
  <c r="F341" i="7"/>
  <c r="V341" i="7" s="1"/>
  <c r="F339" i="7"/>
  <c r="V339" i="7" s="1"/>
  <c r="H47" i="31"/>
  <c r="J47" i="31" s="1"/>
  <c r="K47" i="31" s="1"/>
  <c r="L47" i="31" s="1"/>
  <c r="Q241" i="31"/>
  <c r="P241" i="31" s="1"/>
  <c r="J49" i="7"/>
  <c r="K49" i="7" s="1"/>
  <c r="Q49" i="7"/>
  <c r="P49" i="7" s="1"/>
  <c r="F205" i="31"/>
  <c r="H205" i="31" s="1"/>
  <c r="F343" i="7"/>
  <c r="F340" i="7"/>
  <c r="V340" i="7" s="1"/>
  <c r="F344" i="7"/>
  <c r="J62" i="31"/>
  <c r="K62" i="31" s="1"/>
  <c r="L62" i="31" s="1"/>
  <c r="F342" i="7"/>
  <c r="V342" i="7" s="1"/>
  <c r="F40" i="31"/>
  <c r="Q207" i="31"/>
  <c r="P207" i="31" s="1"/>
  <c r="Q208" i="31"/>
  <c r="P208" i="31" s="1"/>
  <c r="F209" i="31"/>
  <c r="H209" i="31" s="1"/>
  <c r="H210" i="31" s="1"/>
  <c r="Q210" i="31" s="1"/>
  <c r="P210" i="31" s="1"/>
  <c r="H189" i="31"/>
  <c r="N189" i="31" s="1"/>
  <c r="O189" i="31" s="1"/>
  <c r="F232" i="31"/>
  <c r="F235" i="31"/>
  <c r="F236" i="31"/>
  <c r="H204" i="31"/>
  <c r="J204" i="31" s="1"/>
  <c r="H354" i="31"/>
  <c r="N354" i="31" s="1"/>
  <c r="R310" i="31"/>
  <c r="H196" i="31"/>
  <c r="J196" i="31" s="1"/>
  <c r="K196" i="31" s="1"/>
  <c r="F197" i="31"/>
  <c r="H197" i="31" s="1"/>
  <c r="Q204" i="31"/>
  <c r="P204" i="31" s="1"/>
  <c r="Q194" i="31"/>
  <c r="P194" i="31" s="1"/>
  <c r="F195" i="31"/>
  <c r="H195" i="31" s="1"/>
  <c r="H403" i="31"/>
  <c r="H404" i="31" s="1"/>
  <c r="J53" i="31"/>
  <c r="K53" i="31" s="1"/>
  <c r="L53" i="31" s="1"/>
  <c r="O215" i="7"/>
  <c r="O216" i="7" s="1"/>
  <c r="F336" i="7"/>
  <c r="H174" i="31"/>
  <c r="J174" i="31" s="1"/>
  <c r="K174" i="31" s="1"/>
  <c r="F334" i="7"/>
  <c r="V334" i="7" s="1"/>
  <c r="G334" i="7" s="1"/>
  <c r="V272" i="31"/>
  <c r="F332" i="7"/>
  <c r="V332" i="7" s="1"/>
  <c r="G332" i="7" s="1"/>
  <c r="F335" i="7"/>
  <c r="V335" i="7" s="1"/>
  <c r="H19" i="31"/>
  <c r="N19" i="31" s="1"/>
  <c r="F204" i="43"/>
  <c r="F205" i="43" s="1"/>
  <c r="Q102" i="43"/>
  <c r="P102" i="43" s="1"/>
  <c r="F208" i="43"/>
  <c r="F209" i="43" s="1"/>
  <c r="Q53" i="42"/>
  <c r="P53" i="42" s="1"/>
  <c r="V172" i="41"/>
  <c r="Q67" i="43"/>
  <c r="P67" i="43" s="1"/>
  <c r="F198" i="32"/>
  <c r="Q198" i="32" s="1"/>
  <c r="P198" i="32" s="1"/>
  <c r="Q241" i="32"/>
  <c r="P241" i="32" s="1"/>
  <c r="J56" i="7"/>
  <c r="K56" i="7" s="1"/>
  <c r="L56" i="7" s="1"/>
  <c r="V166" i="32"/>
  <c r="Q241" i="43"/>
  <c r="P241" i="43" s="1"/>
  <c r="Q61" i="41"/>
  <c r="P61" i="41" s="1"/>
  <c r="Q63" i="32"/>
  <c r="P63" i="32" s="1"/>
  <c r="Q66" i="42"/>
  <c r="P66" i="42" s="1"/>
  <c r="Q66" i="43"/>
  <c r="P66" i="43" s="1"/>
  <c r="Q30" i="31"/>
  <c r="P30" i="31" s="1"/>
  <c r="Q269" i="31"/>
  <c r="P269" i="31" s="1"/>
  <c r="Q242" i="41"/>
  <c r="P242" i="41" s="1"/>
  <c r="D270" i="31"/>
  <c r="Q270" i="31" s="1"/>
  <c r="P270" i="31" s="1"/>
  <c r="H218" i="42"/>
  <c r="J218" i="42" s="1"/>
  <c r="Q45" i="43"/>
  <c r="P45" i="43" s="1"/>
  <c r="Q28" i="41"/>
  <c r="P28" i="41" s="1"/>
  <c r="F194" i="32"/>
  <c r="Q194" i="32" s="1"/>
  <c r="P194" i="32" s="1"/>
  <c r="F204" i="32"/>
  <c r="Q203" i="32" s="1"/>
  <c r="P203" i="32" s="1"/>
  <c r="F208" i="32"/>
  <c r="F209" i="32" s="1"/>
  <c r="Q47" i="41"/>
  <c r="P47" i="41" s="1"/>
  <c r="F192" i="32"/>
  <c r="Q192" i="32" s="1"/>
  <c r="P192" i="32" s="1"/>
  <c r="F196" i="32"/>
  <c r="Q196" i="32" s="1"/>
  <c r="P196" i="32" s="1"/>
  <c r="Q47" i="43"/>
  <c r="P47" i="43" s="1"/>
  <c r="Q242" i="42"/>
  <c r="P242" i="42" s="1"/>
  <c r="F194" i="43"/>
  <c r="Q194" i="43" s="1"/>
  <c r="P194" i="43" s="1"/>
  <c r="Q49" i="41"/>
  <c r="P49" i="41" s="1"/>
  <c r="Q53" i="7"/>
  <c r="P53" i="7" s="1"/>
  <c r="J53" i="7"/>
  <c r="K53" i="7" s="1"/>
  <c r="Q53" i="32"/>
  <c r="P53" i="32" s="1"/>
  <c r="Q49" i="43"/>
  <c r="P49" i="43" s="1"/>
  <c r="Q35" i="41"/>
  <c r="P35" i="41" s="1"/>
  <c r="Q30" i="43"/>
  <c r="P30" i="43" s="1"/>
  <c r="Q33" i="42"/>
  <c r="P33" i="42" s="1"/>
  <c r="H118" i="42"/>
  <c r="Q118" i="42"/>
  <c r="P118" i="42" s="1"/>
  <c r="H21" i="43"/>
  <c r="Q21" i="43"/>
  <c r="P21" i="43" s="1"/>
  <c r="H30" i="42"/>
  <c r="Q30" i="42"/>
  <c r="P30" i="42" s="1"/>
  <c r="H114" i="41"/>
  <c r="H115" i="41" s="1"/>
  <c r="F115" i="41"/>
  <c r="Q114" i="41"/>
  <c r="P114" i="41" s="1"/>
  <c r="H119" i="42"/>
  <c r="Q119" i="42"/>
  <c r="P119" i="42" s="1"/>
  <c r="Q118" i="41"/>
  <c r="P118" i="41" s="1"/>
  <c r="H118" i="41"/>
  <c r="N35" i="41"/>
  <c r="O35" i="41" s="1"/>
  <c r="J35" i="41"/>
  <c r="K35" i="41" s="1"/>
  <c r="N35" i="43"/>
  <c r="O35" i="43" s="1"/>
  <c r="J35" i="43"/>
  <c r="K35" i="43" s="1"/>
  <c r="L35" i="43" s="1"/>
  <c r="H188" i="42"/>
  <c r="G189" i="42"/>
  <c r="F404" i="41"/>
  <c r="H403" i="41"/>
  <c r="F379" i="43"/>
  <c r="F378" i="43"/>
  <c r="V378" i="43" s="1"/>
  <c r="G378" i="43" s="1"/>
  <c r="H378" i="43" s="1"/>
  <c r="F374" i="43"/>
  <c r="V374" i="43" s="1"/>
  <c r="G374" i="43" s="1"/>
  <c r="H374" i="43" s="1"/>
  <c r="F373" i="43"/>
  <c r="V373" i="43" s="1"/>
  <c r="G373" i="43" s="1"/>
  <c r="H373" i="43" s="1"/>
  <c r="F372" i="43"/>
  <c r="V372" i="43" s="1"/>
  <c r="F376" i="43"/>
  <c r="V376" i="43" s="1"/>
  <c r="G376" i="43" s="1"/>
  <c r="H376" i="43" s="1"/>
  <c r="F225" i="43"/>
  <c r="H225" i="43" s="1"/>
  <c r="F226" i="43"/>
  <c r="F219" i="43"/>
  <c r="V219" i="43" s="1"/>
  <c r="F222" i="43"/>
  <c r="H222" i="43" s="1"/>
  <c r="J66" i="42"/>
  <c r="K66" i="42" s="1"/>
  <c r="L66" i="42" s="1"/>
  <c r="N66" i="42"/>
  <c r="O66" i="42" s="1"/>
  <c r="F72" i="41"/>
  <c r="H68" i="41"/>
  <c r="Q53" i="43"/>
  <c r="P53" i="43" s="1"/>
  <c r="N101" i="43"/>
  <c r="J101" i="43"/>
  <c r="K101" i="43" s="1"/>
  <c r="H103" i="43"/>
  <c r="Q103" i="43" s="1"/>
  <c r="P103" i="43" s="1"/>
  <c r="F379" i="42"/>
  <c r="F373" i="42"/>
  <c r="V373" i="42" s="1"/>
  <c r="G373" i="42" s="1"/>
  <c r="H373" i="42" s="1"/>
  <c r="F374" i="42"/>
  <c r="V374" i="42" s="1"/>
  <c r="G374" i="42" s="1"/>
  <c r="H374" i="42" s="1"/>
  <c r="F372" i="42"/>
  <c r="V372" i="42" s="1"/>
  <c r="F378" i="42"/>
  <c r="V378" i="42" s="1"/>
  <c r="G378" i="42" s="1"/>
  <c r="H378" i="42" s="1"/>
  <c r="F376" i="42"/>
  <c r="V376" i="42" s="1"/>
  <c r="G376" i="42" s="1"/>
  <c r="H376" i="42" s="1"/>
  <c r="F279" i="41"/>
  <c r="V279" i="41" s="1"/>
  <c r="G279" i="41" s="1"/>
  <c r="V278" i="41"/>
  <c r="F282" i="41"/>
  <c r="F281" i="41"/>
  <c r="V281" i="41" s="1"/>
  <c r="G281" i="41" s="1"/>
  <c r="F280" i="41"/>
  <c r="V280" i="41" s="1"/>
  <c r="G280" i="41" s="1"/>
  <c r="H371" i="43"/>
  <c r="F169" i="41"/>
  <c r="F172" i="41"/>
  <c r="F43" i="43"/>
  <c r="H42" i="43"/>
  <c r="J25" i="42"/>
  <c r="K25" i="42" s="1"/>
  <c r="L25" i="42" s="1"/>
  <c r="N25" i="42"/>
  <c r="O25" i="42" s="1"/>
  <c r="R228" i="41"/>
  <c r="H228" i="41"/>
  <c r="R238" i="41"/>
  <c r="H238" i="41"/>
  <c r="G169" i="42"/>
  <c r="H169" i="42" s="1"/>
  <c r="H168" i="42"/>
  <c r="N18" i="43"/>
  <c r="J18" i="43"/>
  <c r="K18" i="43" s="1"/>
  <c r="Q23" i="42"/>
  <c r="P23" i="42" s="1"/>
  <c r="F363" i="42"/>
  <c r="H354" i="42"/>
  <c r="J119" i="41"/>
  <c r="N119" i="41"/>
  <c r="O119" i="41" s="1"/>
  <c r="Q21" i="42"/>
  <c r="P21" i="42" s="1"/>
  <c r="R238" i="43"/>
  <c r="H238" i="43"/>
  <c r="F192" i="41"/>
  <c r="J113" i="43"/>
  <c r="K113" i="43" s="1"/>
  <c r="H115" i="43"/>
  <c r="Q115" i="43" s="1"/>
  <c r="P115" i="43" s="1"/>
  <c r="N113" i="43"/>
  <c r="N29" i="42"/>
  <c r="O29" i="42" s="1"/>
  <c r="J29" i="42"/>
  <c r="K29" i="42" s="1"/>
  <c r="L29" i="42" s="1"/>
  <c r="N33" i="42"/>
  <c r="O33" i="42" s="1"/>
  <c r="J33" i="42"/>
  <c r="K33" i="42" s="1"/>
  <c r="L33" i="42" s="1"/>
  <c r="F235" i="42"/>
  <c r="F229" i="42"/>
  <c r="V229" i="42" s="1"/>
  <c r="F232" i="42"/>
  <c r="F236" i="42"/>
  <c r="N102" i="43"/>
  <c r="O102" i="43" s="1"/>
  <c r="J102" i="43"/>
  <c r="K102" i="43" s="1"/>
  <c r="F43" i="42"/>
  <c r="H42" i="42"/>
  <c r="F404" i="43"/>
  <c r="H403" i="43"/>
  <c r="H218" i="41"/>
  <c r="J20" i="42"/>
  <c r="K20" i="42" s="1"/>
  <c r="L20" i="42" s="1"/>
  <c r="N20" i="42"/>
  <c r="O20" i="42" s="1"/>
  <c r="Q49" i="42"/>
  <c r="P49" i="42" s="1"/>
  <c r="G242" i="41"/>
  <c r="V272" i="41"/>
  <c r="F166" i="43"/>
  <c r="F163" i="43"/>
  <c r="Q163" i="43" s="1"/>
  <c r="P163" i="43" s="1"/>
  <c r="F40" i="43"/>
  <c r="H19" i="43"/>
  <c r="D271" i="41"/>
  <c r="Q271" i="41" s="1"/>
  <c r="P271" i="41" s="1"/>
  <c r="Q269" i="41"/>
  <c r="P269" i="41" s="1"/>
  <c r="D270" i="41"/>
  <c r="Q270" i="41" s="1"/>
  <c r="P270" i="41" s="1"/>
  <c r="J23" i="42"/>
  <c r="K23" i="42" s="1"/>
  <c r="L23" i="42" s="1"/>
  <c r="N23" i="42"/>
  <c r="O23" i="42" s="1"/>
  <c r="G189" i="43"/>
  <c r="H188" i="43"/>
  <c r="N47" i="43"/>
  <c r="O47" i="43" s="1"/>
  <c r="J47" i="43"/>
  <c r="K47" i="43" s="1"/>
  <c r="D148" i="43"/>
  <c r="Q148" i="43" s="1"/>
  <c r="P148" i="43" s="1"/>
  <c r="Q147" i="43"/>
  <c r="P147" i="43" s="1"/>
  <c r="F72" i="42"/>
  <c r="H68" i="42"/>
  <c r="G169" i="41"/>
  <c r="H168" i="41"/>
  <c r="F216" i="41"/>
  <c r="F189" i="41"/>
  <c r="Q189" i="41" s="1"/>
  <c r="P189" i="41" s="1"/>
  <c r="Q187" i="41"/>
  <c r="P187" i="41" s="1"/>
  <c r="H18" i="41"/>
  <c r="F19" i="41"/>
  <c r="J21" i="42"/>
  <c r="K21" i="42" s="1"/>
  <c r="N21" i="42"/>
  <c r="O21" i="42" s="1"/>
  <c r="F235" i="41"/>
  <c r="F229" i="41"/>
  <c r="V229" i="41" s="1"/>
  <c r="F232" i="41"/>
  <c r="F236" i="41"/>
  <c r="R228" i="42"/>
  <c r="H228" i="42"/>
  <c r="H168" i="43"/>
  <c r="G169" i="43"/>
  <c r="H169" i="43" s="1"/>
  <c r="R331" i="41"/>
  <c r="H331" i="41"/>
  <c r="D148" i="42"/>
  <c r="Q148" i="42" s="1"/>
  <c r="P148" i="42" s="1"/>
  <c r="Q147" i="42"/>
  <c r="P147" i="42" s="1"/>
  <c r="F43" i="41"/>
  <c r="H42" i="41"/>
  <c r="Q53" i="41"/>
  <c r="P53" i="41" s="1"/>
  <c r="G175" i="42"/>
  <c r="H175" i="42" s="1"/>
  <c r="H174" i="42"/>
  <c r="H308" i="42"/>
  <c r="R308" i="42"/>
  <c r="N114" i="43"/>
  <c r="O114" i="43" s="1"/>
  <c r="J114" i="43"/>
  <c r="K114" i="43" s="1"/>
  <c r="H29" i="41"/>
  <c r="F30" i="41"/>
  <c r="V306" i="42"/>
  <c r="G306" i="42" s="1"/>
  <c r="F329" i="42"/>
  <c r="H238" i="42"/>
  <c r="R238" i="42"/>
  <c r="H371" i="42"/>
  <c r="Q63" i="42"/>
  <c r="P63" i="42" s="1"/>
  <c r="F363" i="41"/>
  <c r="H354" i="41"/>
  <c r="Q34" i="41"/>
  <c r="P34" i="41" s="1"/>
  <c r="Q66" i="41"/>
  <c r="P66" i="41" s="1"/>
  <c r="H66" i="41"/>
  <c r="Q33" i="43"/>
  <c r="P33" i="43" s="1"/>
  <c r="F239" i="41"/>
  <c r="V239" i="41" s="1"/>
  <c r="F194" i="41"/>
  <c r="R298" i="41"/>
  <c r="H298" i="41"/>
  <c r="F226" i="41"/>
  <c r="F225" i="41"/>
  <c r="H225" i="41" s="1"/>
  <c r="F222" i="41"/>
  <c r="H222" i="41" s="1"/>
  <c r="F219" i="41"/>
  <c r="V219" i="41" s="1"/>
  <c r="R310" i="42"/>
  <c r="H310" i="42"/>
  <c r="Q63" i="43"/>
  <c r="P63" i="43" s="1"/>
  <c r="F282" i="43"/>
  <c r="V278" i="43"/>
  <c r="F279" i="43"/>
  <c r="V279" i="43" s="1"/>
  <c r="G279" i="43" s="1"/>
  <c r="F281" i="43"/>
  <c r="V281" i="43" s="1"/>
  <c r="G281" i="43" s="1"/>
  <c r="F280" i="43"/>
  <c r="V280" i="43" s="1"/>
  <c r="G280" i="43" s="1"/>
  <c r="G165" i="43"/>
  <c r="H165" i="43" s="1"/>
  <c r="H164" i="43"/>
  <c r="Q25" i="41"/>
  <c r="P25" i="41" s="1"/>
  <c r="N29" i="43"/>
  <c r="O29" i="43" s="1"/>
  <c r="J29" i="43"/>
  <c r="K29" i="43" s="1"/>
  <c r="L29" i="43" s="1"/>
  <c r="G175" i="41"/>
  <c r="H175" i="41" s="1"/>
  <c r="H174" i="41"/>
  <c r="F198" i="41"/>
  <c r="F45" i="42"/>
  <c r="H44" i="42"/>
  <c r="F166" i="42"/>
  <c r="F163" i="42"/>
  <c r="Q163" i="42" s="1"/>
  <c r="P163" i="42" s="1"/>
  <c r="F196" i="41"/>
  <c r="Q23" i="41"/>
  <c r="P23" i="41" s="1"/>
  <c r="R298" i="42"/>
  <c r="H298" i="42"/>
  <c r="F239" i="42"/>
  <c r="V239" i="42" s="1"/>
  <c r="Q47" i="42"/>
  <c r="P47" i="42" s="1"/>
  <c r="J117" i="42"/>
  <c r="N117" i="42"/>
  <c r="R310" i="41"/>
  <c r="H310" i="41"/>
  <c r="J33" i="43"/>
  <c r="K33" i="43" s="1"/>
  <c r="L33" i="43" s="1"/>
  <c r="N33" i="43"/>
  <c r="O33" i="43" s="1"/>
  <c r="H218" i="43"/>
  <c r="R310" i="43"/>
  <c r="H310" i="43"/>
  <c r="F336" i="41"/>
  <c r="F335" i="41"/>
  <c r="V335" i="41" s="1"/>
  <c r="G335" i="41" s="1"/>
  <c r="F334" i="41"/>
  <c r="V334" i="41" s="1"/>
  <c r="G334" i="41" s="1"/>
  <c r="F333" i="41"/>
  <c r="V333" i="41" s="1"/>
  <c r="G333" i="41" s="1"/>
  <c r="F332" i="41"/>
  <c r="V332" i="41" s="1"/>
  <c r="F45" i="41"/>
  <c r="H44" i="41"/>
  <c r="G290" i="42"/>
  <c r="N44" i="43"/>
  <c r="O44" i="43" s="1"/>
  <c r="J44" i="43"/>
  <c r="K44" i="43" s="1"/>
  <c r="L44" i="43" s="1"/>
  <c r="J20" i="43"/>
  <c r="K20" i="43" s="1"/>
  <c r="L20" i="43" s="1"/>
  <c r="N20" i="43"/>
  <c r="O20" i="43" s="1"/>
  <c r="F19" i="42"/>
  <c r="H18" i="42"/>
  <c r="F102" i="42"/>
  <c r="H101" i="42"/>
  <c r="G242" i="43"/>
  <c r="V272" i="43"/>
  <c r="J62" i="43"/>
  <c r="K62" i="43" s="1"/>
  <c r="N62" i="43"/>
  <c r="O62" i="43" s="1"/>
  <c r="J47" i="42"/>
  <c r="K47" i="42" s="1"/>
  <c r="L47" i="42" s="1"/>
  <c r="N47" i="42"/>
  <c r="O47" i="42" s="1"/>
  <c r="N53" i="43"/>
  <c r="O53" i="43" s="1"/>
  <c r="J53" i="43"/>
  <c r="K53" i="43" s="1"/>
  <c r="L53" i="43" s="1"/>
  <c r="R331" i="43"/>
  <c r="H331" i="43"/>
  <c r="V164" i="41"/>
  <c r="F165" i="41"/>
  <c r="Q165" i="41" s="1"/>
  <c r="P165" i="41" s="1"/>
  <c r="N25" i="41"/>
  <c r="O25" i="41" s="1"/>
  <c r="J25" i="41"/>
  <c r="K25" i="41" s="1"/>
  <c r="L25" i="41" s="1"/>
  <c r="J53" i="41"/>
  <c r="K53" i="41" s="1"/>
  <c r="L53" i="41" s="1"/>
  <c r="N53" i="41"/>
  <c r="O53" i="41" s="1"/>
  <c r="N30" i="43"/>
  <c r="O30" i="43" s="1"/>
  <c r="J30" i="43"/>
  <c r="K30" i="43" s="1"/>
  <c r="Q23" i="43"/>
  <c r="P23" i="43" s="1"/>
  <c r="V272" i="42"/>
  <c r="G242" i="42"/>
  <c r="F235" i="43"/>
  <c r="F229" i="43"/>
  <c r="V229" i="43" s="1"/>
  <c r="F232" i="43"/>
  <c r="F236" i="43"/>
  <c r="R298" i="43"/>
  <c r="H298" i="43"/>
  <c r="H371" i="41"/>
  <c r="V306" i="41"/>
  <c r="G306" i="41" s="1"/>
  <c r="F329" i="41"/>
  <c r="J23" i="41"/>
  <c r="K23" i="41" s="1"/>
  <c r="L23" i="41" s="1"/>
  <c r="N23" i="41"/>
  <c r="O23" i="41" s="1"/>
  <c r="J66" i="43"/>
  <c r="K66" i="43" s="1"/>
  <c r="L66" i="43" s="1"/>
  <c r="N66" i="43"/>
  <c r="O66" i="43" s="1"/>
  <c r="F208" i="41"/>
  <c r="F275" i="42"/>
  <c r="V275" i="42" s="1"/>
  <c r="G275" i="42" s="1"/>
  <c r="V274" i="42"/>
  <c r="F276" i="42"/>
  <c r="J45" i="43"/>
  <c r="K45" i="43" s="1"/>
  <c r="L45" i="43" s="1"/>
  <c r="N45" i="43"/>
  <c r="O45" i="43" s="1"/>
  <c r="N62" i="42"/>
  <c r="O62" i="42" s="1"/>
  <c r="J62" i="42"/>
  <c r="K62" i="42" s="1"/>
  <c r="L62" i="42" s="1"/>
  <c r="F102" i="41"/>
  <c r="F103" i="41"/>
  <c r="H101" i="41"/>
  <c r="J113" i="42"/>
  <c r="K113" i="42" s="1"/>
  <c r="N113" i="42"/>
  <c r="F21" i="41"/>
  <c r="H20" i="41"/>
  <c r="N63" i="43"/>
  <c r="O63" i="43" s="1"/>
  <c r="J63" i="43"/>
  <c r="K63" i="43" s="1"/>
  <c r="L63" i="43" s="1"/>
  <c r="F376" i="41"/>
  <c r="V376" i="41" s="1"/>
  <c r="G376" i="41" s="1"/>
  <c r="H376" i="41" s="1"/>
  <c r="F379" i="41"/>
  <c r="F378" i="41"/>
  <c r="V378" i="41" s="1"/>
  <c r="G378" i="41" s="1"/>
  <c r="H378" i="41" s="1"/>
  <c r="F374" i="41"/>
  <c r="V374" i="41" s="1"/>
  <c r="G374" i="41" s="1"/>
  <c r="H374" i="41" s="1"/>
  <c r="F373" i="41"/>
  <c r="V373" i="41" s="1"/>
  <c r="G373" i="41" s="1"/>
  <c r="H373" i="41" s="1"/>
  <c r="F372" i="41"/>
  <c r="V372" i="41" s="1"/>
  <c r="Q164" i="41"/>
  <c r="P164" i="41" s="1"/>
  <c r="F204" i="41"/>
  <c r="F344" i="41"/>
  <c r="F339" i="41"/>
  <c r="V339" i="41" s="1"/>
  <c r="F340" i="41"/>
  <c r="V340" i="41" s="1"/>
  <c r="F341" i="41"/>
  <c r="V341" i="41" s="1"/>
  <c r="F342" i="41"/>
  <c r="V342" i="41" s="1"/>
  <c r="F343" i="41"/>
  <c r="J23" i="43"/>
  <c r="K23" i="43" s="1"/>
  <c r="L23" i="43" s="1"/>
  <c r="N23" i="43"/>
  <c r="O23" i="43" s="1"/>
  <c r="Q33" i="41"/>
  <c r="P33" i="41" s="1"/>
  <c r="F332" i="42"/>
  <c r="V332" i="42" s="1"/>
  <c r="F335" i="42"/>
  <c r="V335" i="42" s="1"/>
  <c r="G335" i="42" s="1"/>
  <c r="F333" i="42"/>
  <c r="V333" i="42" s="1"/>
  <c r="G333" i="42" s="1"/>
  <c r="F336" i="42"/>
  <c r="F334" i="42"/>
  <c r="V334" i="42" s="1"/>
  <c r="G334" i="42" s="1"/>
  <c r="Q34" i="43"/>
  <c r="P34" i="43" s="1"/>
  <c r="Q114" i="43"/>
  <c r="P114" i="43" s="1"/>
  <c r="R308" i="43"/>
  <c r="H308" i="43"/>
  <c r="Q147" i="41"/>
  <c r="P147" i="41" s="1"/>
  <c r="D148" i="41"/>
  <c r="Q148" i="41" s="1"/>
  <c r="P148" i="41" s="1"/>
  <c r="V166" i="43"/>
  <c r="R308" i="41"/>
  <c r="H308" i="41"/>
  <c r="R228" i="43"/>
  <c r="H228" i="43"/>
  <c r="F363" i="43"/>
  <c r="H354" i="43"/>
  <c r="F404" i="42"/>
  <c r="H403" i="42"/>
  <c r="F281" i="42"/>
  <c r="V281" i="42" s="1"/>
  <c r="G281" i="42" s="1"/>
  <c r="V278" i="42"/>
  <c r="F280" i="42"/>
  <c r="V280" i="42" s="1"/>
  <c r="G280" i="42" s="1"/>
  <c r="F279" i="42"/>
  <c r="V279" i="42" s="1"/>
  <c r="G279" i="42" s="1"/>
  <c r="F282" i="42"/>
  <c r="H62" i="41"/>
  <c r="F63" i="41"/>
  <c r="F72" i="43"/>
  <c r="H68" i="43"/>
  <c r="Q19" i="43"/>
  <c r="P19" i="43" s="1"/>
  <c r="J63" i="42"/>
  <c r="K63" i="42" s="1"/>
  <c r="L63" i="42" s="1"/>
  <c r="N63" i="42"/>
  <c r="O63" i="42" s="1"/>
  <c r="G163" i="42"/>
  <c r="H162" i="42"/>
  <c r="H115" i="42"/>
  <c r="Q115" i="42" s="1"/>
  <c r="P115" i="42" s="1"/>
  <c r="N114" i="42"/>
  <c r="O114" i="42" s="1"/>
  <c r="J114" i="42"/>
  <c r="Q168" i="43"/>
  <c r="P168" i="43" s="1"/>
  <c r="F239" i="43"/>
  <c r="V239" i="43" s="1"/>
  <c r="J53" i="42"/>
  <c r="K53" i="42" s="1"/>
  <c r="N53" i="42"/>
  <c r="O53" i="42" s="1"/>
  <c r="Q119" i="41"/>
  <c r="P119" i="41" s="1"/>
  <c r="N33" i="41"/>
  <c r="O33" i="41" s="1"/>
  <c r="J33" i="41"/>
  <c r="K33" i="41" s="1"/>
  <c r="L33" i="41" s="1"/>
  <c r="D270" i="42"/>
  <c r="Q270" i="42" s="1"/>
  <c r="P270" i="42" s="1"/>
  <c r="D271" i="42"/>
  <c r="Q271" i="42" s="1"/>
  <c r="P271" i="42" s="1"/>
  <c r="Q269" i="42"/>
  <c r="P269" i="42" s="1"/>
  <c r="G163" i="41"/>
  <c r="H163" i="41" s="1"/>
  <c r="H162" i="41"/>
  <c r="F226" i="42"/>
  <c r="F225" i="42"/>
  <c r="H225" i="42" s="1"/>
  <c r="F219" i="42"/>
  <c r="V219" i="42" s="1"/>
  <c r="F222" i="42"/>
  <c r="H222" i="42" s="1"/>
  <c r="H188" i="41"/>
  <c r="G189" i="41"/>
  <c r="Q25" i="43"/>
  <c r="P25" i="43" s="1"/>
  <c r="F339" i="43"/>
  <c r="V339" i="43" s="1"/>
  <c r="F344" i="43"/>
  <c r="F341" i="43"/>
  <c r="V341" i="43" s="1"/>
  <c r="F342" i="43"/>
  <c r="V342" i="43" s="1"/>
  <c r="F343" i="43"/>
  <c r="F340" i="43"/>
  <c r="V340" i="43" s="1"/>
  <c r="Q67" i="42"/>
  <c r="P67" i="42" s="1"/>
  <c r="G163" i="43"/>
  <c r="H162" i="43"/>
  <c r="Q34" i="42"/>
  <c r="P34" i="42" s="1"/>
  <c r="H35" i="42"/>
  <c r="Q114" i="42"/>
  <c r="P114" i="42" s="1"/>
  <c r="G175" i="43"/>
  <c r="H175" i="43" s="1"/>
  <c r="H174" i="43"/>
  <c r="J113" i="41"/>
  <c r="K113" i="41" s="1"/>
  <c r="L113" i="41" s="1"/>
  <c r="N113" i="41"/>
  <c r="R331" i="42"/>
  <c r="H331" i="42"/>
  <c r="J117" i="41"/>
  <c r="K117" i="41" s="1"/>
  <c r="N117" i="41"/>
  <c r="F196" i="42"/>
  <c r="F204" i="42"/>
  <c r="F194" i="42"/>
  <c r="F192" i="42"/>
  <c r="F198" i="42"/>
  <c r="F189" i="42"/>
  <c r="Q189" i="42" s="1"/>
  <c r="P189" i="42" s="1"/>
  <c r="Q187" i="42"/>
  <c r="P187" i="42" s="1"/>
  <c r="Q35" i="43"/>
  <c r="P35" i="43" s="1"/>
  <c r="F118" i="43"/>
  <c r="F119" i="43"/>
  <c r="H117" i="43"/>
  <c r="D271" i="43"/>
  <c r="Q271" i="43" s="1"/>
  <c r="P271" i="43" s="1"/>
  <c r="D270" i="43"/>
  <c r="Q270" i="43" s="1"/>
  <c r="P270" i="43" s="1"/>
  <c r="Q269" i="43"/>
  <c r="P269" i="43" s="1"/>
  <c r="G290" i="43"/>
  <c r="G171" i="42"/>
  <c r="H171" i="42" s="1"/>
  <c r="H170" i="42"/>
  <c r="F343" i="42"/>
  <c r="F342" i="42"/>
  <c r="V342" i="42" s="1"/>
  <c r="F344" i="42"/>
  <c r="F340" i="42"/>
  <c r="V340" i="42" s="1"/>
  <c r="F339" i="42"/>
  <c r="V339" i="42" s="1"/>
  <c r="F341" i="42"/>
  <c r="V341" i="42" s="1"/>
  <c r="N49" i="41"/>
  <c r="O49" i="41" s="1"/>
  <c r="J49" i="41"/>
  <c r="K49" i="41" s="1"/>
  <c r="L49" i="41" s="1"/>
  <c r="F275" i="43"/>
  <c r="V275" i="43" s="1"/>
  <c r="G275" i="43" s="1"/>
  <c r="V274" i="43"/>
  <c r="F276" i="43"/>
  <c r="V306" i="43"/>
  <c r="G306" i="43" s="1"/>
  <c r="F329" i="43"/>
  <c r="F334" i="43"/>
  <c r="V334" i="43" s="1"/>
  <c r="G334" i="43" s="1"/>
  <c r="F333" i="43"/>
  <c r="V333" i="43" s="1"/>
  <c r="G333" i="43" s="1"/>
  <c r="F332" i="43"/>
  <c r="V332" i="43" s="1"/>
  <c r="F336" i="43"/>
  <c r="F335" i="43"/>
  <c r="V335" i="43" s="1"/>
  <c r="G335" i="43" s="1"/>
  <c r="N49" i="42"/>
  <c r="O49" i="42" s="1"/>
  <c r="J49" i="42"/>
  <c r="K49" i="42" s="1"/>
  <c r="L49" i="42" s="1"/>
  <c r="F208" i="42"/>
  <c r="Q68" i="41"/>
  <c r="P68" i="41" s="1"/>
  <c r="N25" i="43"/>
  <c r="O25" i="43" s="1"/>
  <c r="J25" i="43"/>
  <c r="K25" i="43" s="1"/>
  <c r="V274" i="41"/>
  <c r="F276" i="41"/>
  <c r="F275" i="41"/>
  <c r="V275" i="41" s="1"/>
  <c r="G275" i="41" s="1"/>
  <c r="Q168" i="41"/>
  <c r="P168" i="41" s="1"/>
  <c r="G290" i="41"/>
  <c r="J49" i="43"/>
  <c r="K49" i="43" s="1"/>
  <c r="L49" i="43" s="1"/>
  <c r="N49" i="43"/>
  <c r="O49" i="43" s="1"/>
  <c r="Q25" i="42"/>
  <c r="P25" i="42" s="1"/>
  <c r="V172" i="42"/>
  <c r="F171" i="43"/>
  <c r="Q171" i="43" s="1"/>
  <c r="P171" i="43" s="1"/>
  <c r="V170" i="43"/>
  <c r="F198" i="43"/>
  <c r="F189" i="43"/>
  <c r="Q189" i="43" s="1"/>
  <c r="P189" i="43" s="1"/>
  <c r="F196" i="43"/>
  <c r="F192" i="43"/>
  <c r="Q187" i="43"/>
  <c r="P187" i="43" s="1"/>
  <c r="F165" i="42"/>
  <c r="Q165" i="42" s="1"/>
  <c r="P165" i="42" s="1"/>
  <c r="V164" i="42"/>
  <c r="G171" i="41"/>
  <c r="H171" i="41" s="1"/>
  <c r="H170" i="41"/>
  <c r="J47" i="41"/>
  <c r="K47" i="41" s="1"/>
  <c r="L47" i="41" s="1"/>
  <c r="N47" i="41"/>
  <c r="O47" i="41" s="1"/>
  <c r="H275" i="31"/>
  <c r="J275" i="31" s="1"/>
  <c r="K275" i="31" s="1"/>
  <c r="L275" i="31" s="1"/>
  <c r="F240" i="31"/>
  <c r="J376" i="31"/>
  <c r="K376" i="31" s="1"/>
  <c r="L376" i="31" s="1"/>
  <c r="Q33" i="32"/>
  <c r="P33" i="32" s="1"/>
  <c r="H189" i="7"/>
  <c r="Q241" i="7"/>
  <c r="P241" i="7" s="1"/>
  <c r="F281" i="32"/>
  <c r="V281" i="32" s="1"/>
  <c r="G281" i="32" s="1"/>
  <c r="R281" i="32" s="1"/>
  <c r="F279" i="32"/>
  <c r="V279" i="32" s="1"/>
  <c r="G279" i="32" s="1"/>
  <c r="R279" i="32" s="1"/>
  <c r="Q47" i="32"/>
  <c r="P47" i="32" s="1"/>
  <c r="F280" i="32"/>
  <c r="V280" i="32" s="1"/>
  <c r="G280" i="32" s="1"/>
  <c r="H280" i="32" s="1"/>
  <c r="H118" i="32"/>
  <c r="H122" i="32" s="1"/>
  <c r="Q122" i="32" s="1"/>
  <c r="P122" i="32" s="1"/>
  <c r="Q118" i="32"/>
  <c r="P118" i="32" s="1"/>
  <c r="N35" i="32"/>
  <c r="O35" i="32" s="1"/>
  <c r="J35" i="32"/>
  <c r="K35" i="32" s="1"/>
  <c r="L35" i="32" s="1"/>
  <c r="N49" i="32"/>
  <c r="O49" i="32" s="1"/>
  <c r="J49" i="32"/>
  <c r="K49" i="32" s="1"/>
  <c r="L49" i="32" s="1"/>
  <c r="N30" i="32"/>
  <c r="O30" i="32" s="1"/>
  <c r="J30" i="32"/>
  <c r="K30" i="32" s="1"/>
  <c r="L30" i="32" s="1"/>
  <c r="Q49" i="32"/>
  <c r="P49" i="32" s="1"/>
  <c r="Q18" i="32"/>
  <c r="P18" i="32" s="1"/>
  <c r="Q25" i="32"/>
  <c r="P25" i="32" s="1"/>
  <c r="N23" i="32"/>
  <c r="O23" i="32" s="1"/>
  <c r="J23" i="32"/>
  <c r="K23" i="32" s="1"/>
  <c r="L23" i="32" s="1"/>
  <c r="F43" i="32"/>
  <c r="H42" i="32"/>
  <c r="N117" i="32"/>
  <c r="J117" i="32"/>
  <c r="K117" i="32" s="1"/>
  <c r="G175" i="32"/>
  <c r="H175" i="32" s="1"/>
  <c r="H174" i="32"/>
  <c r="Q34" i="32"/>
  <c r="P34" i="32" s="1"/>
  <c r="F103" i="32"/>
  <c r="F102" i="32"/>
  <c r="H101" i="32"/>
  <c r="G290" i="32"/>
  <c r="N63" i="32"/>
  <c r="O63" i="32" s="1"/>
  <c r="J63" i="32"/>
  <c r="K63" i="32" s="1"/>
  <c r="L63" i="32" s="1"/>
  <c r="F282" i="32"/>
  <c r="V278" i="32"/>
  <c r="H308" i="32"/>
  <c r="R308" i="32"/>
  <c r="H228" i="32"/>
  <c r="R228" i="32"/>
  <c r="F404" i="32"/>
  <c r="H403" i="32"/>
  <c r="F219" i="32"/>
  <c r="V219" i="32" s="1"/>
  <c r="F225" i="32"/>
  <c r="H225" i="32" s="1"/>
  <c r="F226" i="32"/>
  <c r="F222" i="32"/>
  <c r="H222" i="32" s="1"/>
  <c r="F344" i="32"/>
  <c r="F340" i="32"/>
  <c r="V340" i="32" s="1"/>
  <c r="F339" i="32"/>
  <c r="V339" i="32" s="1"/>
  <c r="F341" i="32"/>
  <c r="V341" i="32" s="1"/>
  <c r="F343" i="32"/>
  <c r="F342" i="32"/>
  <c r="V342" i="32" s="1"/>
  <c r="R298" i="32"/>
  <c r="H298" i="32"/>
  <c r="F235" i="32"/>
  <c r="F236" i="32"/>
  <c r="F229" i="32"/>
  <c r="V229" i="32" s="1"/>
  <c r="F232" i="32"/>
  <c r="F376" i="32"/>
  <c r="V376" i="32" s="1"/>
  <c r="G376" i="32" s="1"/>
  <c r="H376" i="32" s="1"/>
  <c r="J18" i="32"/>
  <c r="N18" i="32"/>
  <c r="N25" i="32"/>
  <c r="O25" i="32" s="1"/>
  <c r="J25" i="32"/>
  <c r="K25" i="32" s="1"/>
  <c r="L25" i="32" s="1"/>
  <c r="F171" i="32"/>
  <c r="Q171" i="32" s="1"/>
  <c r="P171" i="32" s="1"/>
  <c r="V170" i="32"/>
  <c r="J119" i="32"/>
  <c r="K119" i="32" s="1"/>
  <c r="L119" i="32" s="1"/>
  <c r="N119" i="32"/>
  <c r="O119" i="32" s="1"/>
  <c r="F363" i="32"/>
  <c r="H354" i="32"/>
  <c r="F336" i="32"/>
  <c r="F334" i="32"/>
  <c r="V334" i="32" s="1"/>
  <c r="G334" i="32" s="1"/>
  <c r="F335" i="32"/>
  <c r="V335" i="32" s="1"/>
  <c r="G335" i="32" s="1"/>
  <c r="F332" i="32"/>
  <c r="V332" i="32" s="1"/>
  <c r="F333" i="32"/>
  <c r="V333" i="32" s="1"/>
  <c r="G333" i="32" s="1"/>
  <c r="F21" i="32"/>
  <c r="H20" i="32"/>
  <c r="N47" i="32"/>
  <c r="O47" i="32" s="1"/>
  <c r="J47" i="32"/>
  <c r="K47" i="32" s="1"/>
  <c r="G163" i="32"/>
  <c r="H163" i="32" s="1"/>
  <c r="H162" i="32"/>
  <c r="Q119" i="32"/>
  <c r="P119" i="32" s="1"/>
  <c r="F216" i="32"/>
  <c r="F189" i="32"/>
  <c r="Q189" i="32" s="1"/>
  <c r="P189" i="32" s="1"/>
  <c r="Q187" i="32"/>
  <c r="P187" i="32" s="1"/>
  <c r="H371" i="32"/>
  <c r="F372" i="32"/>
  <c r="V372" i="32" s="1"/>
  <c r="F72" i="32"/>
  <c r="H68" i="32"/>
  <c r="F169" i="32"/>
  <c r="Q169" i="32" s="1"/>
  <c r="P169" i="32" s="1"/>
  <c r="F172" i="32"/>
  <c r="Q147" i="32"/>
  <c r="P147" i="32" s="1"/>
  <c r="D148" i="32"/>
  <c r="Q148" i="32" s="1"/>
  <c r="P148" i="32" s="1"/>
  <c r="J66" i="32"/>
  <c r="K66" i="32" s="1"/>
  <c r="N66" i="32"/>
  <c r="O66" i="32" s="1"/>
  <c r="G242" i="32"/>
  <c r="V272" i="32"/>
  <c r="Q66" i="32"/>
  <c r="P66" i="32" s="1"/>
  <c r="J33" i="32"/>
  <c r="K33" i="32" s="1"/>
  <c r="N33" i="32"/>
  <c r="O33" i="32" s="1"/>
  <c r="F374" i="32"/>
  <c r="V374" i="32" s="1"/>
  <c r="G374" i="32" s="1"/>
  <c r="H374" i="32" s="1"/>
  <c r="Q269" i="32"/>
  <c r="P269" i="32" s="1"/>
  <c r="D270" i="32"/>
  <c r="Q270" i="32" s="1"/>
  <c r="P270" i="32" s="1"/>
  <c r="D271" i="32"/>
  <c r="Q271" i="32" s="1"/>
  <c r="P271" i="32" s="1"/>
  <c r="F45" i="32"/>
  <c r="H44" i="32"/>
  <c r="Q67" i="32"/>
  <c r="P67" i="32" s="1"/>
  <c r="H218" i="32"/>
  <c r="Q35" i="32"/>
  <c r="P35" i="32" s="1"/>
  <c r="N29" i="32"/>
  <c r="O29" i="32" s="1"/>
  <c r="J29" i="32"/>
  <c r="K29" i="32" s="1"/>
  <c r="L29" i="32" s="1"/>
  <c r="H238" i="32"/>
  <c r="R238" i="32"/>
  <c r="G189" i="32"/>
  <c r="H188" i="32"/>
  <c r="F329" i="32"/>
  <c r="V306" i="32"/>
  <c r="G306" i="32" s="1"/>
  <c r="F379" i="32"/>
  <c r="F378" i="32"/>
  <c r="V378" i="32" s="1"/>
  <c r="G378" i="32" s="1"/>
  <c r="H378" i="32" s="1"/>
  <c r="F373" i="32"/>
  <c r="V373" i="32" s="1"/>
  <c r="G373" i="32" s="1"/>
  <c r="H373" i="32" s="1"/>
  <c r="H331" i="32"/>
  <c r="R331" i="32"/>
  <c r="F19" i="32"/>
  <c r="F276" i="32"/>
  <c r="V274" i="32"/>
  <c r="F275" i="32"/>
  <c r="V275" i="32" s="1"/>
  <c r="G275" i="32" s="1"/>
  <c r="R310" i="32"/>
  <c r="H310" i="32"/>
  <c r="J53" i="32"/>
  <c r="K53" i="32" s="1"/>
  <c r="N53" i="32"/>
  <c r="O53" i="32" s="1"/>
  <c r="F239" i="32"/>
  <c r="V239" i="32" s="1"/>
  <c r="Q30" i="32"/>
  <c r="P30" i="32" s="1"/>
  <c r="N62" i="32"/>
  <c r="O62" i="32" s="1"/>
  <c r="J62" i="32"/>
  <c r="K62" i="32" s="1"/>
  <c r="L62" i="32" s="1"/>
  <c r="G165" i="32"/>
  <c r="H165" i="32" s="1"/>
  <c r="H164" i="32"/>
  <c r="H168" i="32"/>
  <c r="G169" i="32"/>
  <c r="H163" i="31"/>
  <c r="N163" i="31" s="1"/>
  <c r="O163" i="31" s="1"/>
  <c r="J30" i="31"/>
  <c r="K30" i="31" s="1"/>
  <c r="L30" i="31" s="1"/>
  <c r="N171" i="31"/>
  <c r="O171" i="31" s="1"/>
  <c r="J171" i="31"/>
  <c r="K171" i="31" s="1"/>
  <c r="R334" i="31"/>
  <c r="H334" i="31"/>
  <c r="N168" i="31"/>
  <c r="J168" i="31"/>
  <c r="J208" i="31"/>
  <c r="K208" i="31" s="1"/>
  <c r="N208" i="31"/>
  <c r="R290" i="31"/>
  <c r="H290" i="31"/>
  <c r="G229" i="31"/>
  <c r="H229" i="31" s="1"/>
  <c r="V230" i="31"/>
  <c r="N162" i="31"/>
  <c r="J162" i="31"/>
  <c r="J308" i="31"/>
  <c r="K308" i="31" s="1"/>
  <c r="L308" i="31" s="1"/>
  <c r="N308" i="31"/>
  <c r="O308" i="31" s="1"/>
  <c r="H281" i="31"/>
  <c r="R281" i="31"/>
  <c r="N44" i="31"/>
  <c r="O44" i="31" s="1"/>
  <c r="J44" i="31"/>
  <c r="K44" i="31" s="1"/>
  <c r="L44" i="31" s="1"/>
  <c r="J331" i="31"/>
  <c r="K331" i="31" s="1"/>
  <c r="N331" i="31"/>
  <c r="J238" i="31"/>
  <c r="N238" i="31"/>
  <c r="G372" i="31"/>
  <c r="H372" i="31" s="1"/>
  <c r="H379" i="31" s="1"/>
  <c r="V379" i="31"/>
  <c r="J378" i="31"/>
  <c r="K378" i="31" s="1"/>
  <c r="N378" i="31"/>
  <c r="O378" i="31" s="1"/>
  <c r="L33" i="31"/>
  <c r="H45" i="31"/>
  <c r="Q45" i="31"/>
  <c r="P45" i="31" s="1"/>
  <c r="J117" i="31"/>
  <c r="N117" i="31"/>
  <c r="J225" i="31"/>
  <c r="J226" i="31" s="1"/>
  <c r="N225" i="31"/>
  <c r="H226" i="31"/>
  <c r="H242" i="31"/>
  <c r="R242" i="31"/>
  <c r="J42" i="31"/>
  <c r="N42" i="31"/>
  <c r="G239" i="31"/>
  <c r="V240" i="31"/>
  <c r="G219" i="31"/>
  <c r="H219" i="31" s="1"/>
  <c r="H220" i="31" s="1"/>
  <c r="V220" i="31"/>
  <c r="G164" i="31"/>
  <c r="V166" i="31"/>
  <c r="N310" i="31"/>
  <c r="O310" i="31" s="1"/>
  <c r="J310" i="31"/>
  <c r="K310" i="31" s="1"/>
  <c r="L310" i="31" s="1"/>
  <c r="N228" i="31"/>
  <c r="J228" i="31"/>
  <c r="R280" i="31"/>
  <c r="H280" i="31"/>
  <c r="H279" i="31"/>
  <c r="R279" i="31"/>
  <c r="J101" i="31"/>
  <c r="K101" i="31" s="1"/>
  <c r="N101" i="31"/>
  <c r="H118" i="31"/>
  <c r="Q118" i="31"/>
  <c r="P118" i="31" s="1"/>
  <c r="Q43" i="31"/>
  <c r="P43" i="31" s="1"/>
  <c r="H43" i="31"/>
  <c r="J175" i="31"/>
  <c r="K175" i="31" s="1"/>
  <c r="L175" i="31" s="1"/>
  <c r="N175" i="31"/>
  <c r="O175" i="31" s="1"/>
  <c r="N374" i="31"/>
  <c r="O374" i="31" s="1"/>
  <c r="J374" i="31"/>
  <c r="K374" i="31" s="1"/>
  <c r="J373" i="31"/>
  <c r="N373" i="31"/>
  <c r="O373" i="31" s="1"/>
  <c r="V282" i="31"/>
  <c r="G278" i="31"/>
  <c r="L63" i="31"/>
  <c r="H102" i="31"/>
  <c r="H103" i="31" s="1"/>
  <c r="Q103" i="31" s="1"/>
  <c r="P103" i="31" s="1"/>
  <c r="Q102" i="31"/>
  <c r="P102" i="31" s="1"/>
  <c r="H119" i="31"/>
  <c r="Q119" i="31"/>
  <c r="P119" i="31" s="1"/>
  <c r="H223" i="31"/>
  <c r="J222" i="31"/>
  <c r="J223" i="31" s="1"/>
  <c r="N222" i="31"/>
  <c r="J170" i="31"/>
  <c r="K170" i="31" s="1"/>
  <c r="N170" i="31"/>
  <c r="O170" i="31" s="1"/>
  <c r="N218" i="31"/>
  <c r="J218" i="31"/>
  <c r="N298" i="31"/>
  <c r="O298" i="31" s="1"/>
  <c r="J298" i="31"/>
  <c r="K298" i="31" s="1"/>
  <c r="L298" i="31" s="1"/>
  <c r="H169" i="31"/>
  <c r="N371" i="31"/>
  <c r="J371" i="31"/>
  <c r="K371" i="31" s="1"/>
  <c r="J194" i="31"/>
  <c r="K194" i="31" s="1"/>
  <c r="N194" i="31"/>
  <c r="O194" i="31" s="1"/>
  <c r="H119" i="7"/>
  <c r="J119" i="7" s="1"/>
  <c r="K119" i="7" s="1"/>
  <c r="L119" i="7" s="1"/>
  <c r="Q203" i="7"/>
  <c r="P203" i="7" s="1"/>
  <c r="H204" i="7"/>
  <c r="J204" i="7" s="1"/>
  <c r="H30" i="7"/>
  <c r="N30" i="7" s="1"/>
  <c r="O30" i="7" s="1"/>
  <c r="Q67" i="7"/>
  <c r="P67" i="7" s="1"/>
  <c r="F72" i="7"/>
  <c r="R271" i="7"/>
  <c r="Q271" i="7"/>
  <c r="P271" i="7" s="1"/>
  <c r="G270" i="7"/>
  <c r="R270" i="7" s="1"/>
  <c r="Q270" i="7"/>
  <c r="P270" i="7" s="1"/>
  <c r="H274" i="7"/>
  <c r="R274" i="7"/>
  <c r="V247" i="7"/>
  <c r="G247" i="7" s="1"/>
  <c r="R247" i="7" s="1"/>
  <c r="Q275" i="7"/>
  <c r="P275" i="7" s="1"/>
  <c r="V275" i="7"/>
  <c r="N242" i="7"/>
  <c r="O242" i="7" s="1"/>
  <c r="Q250" i="7"/>
  <c r="P250" i="7" s="1"/>
  <c r="Q257" i="7"/>
  <c r="P257" i="7" s="1"/>
  <c r="Q256" i="7"/>
  <c r="P256" i="7" s="1"/>
  <c r="Q265" i="7"/>
  <c r="P265" i="7" s="1"/>
  <c r="Q248" i="7"/>
  <c r="P248" i="7" s="1"/>
  <c r="Q247" i="7"/>
  <c r="P247" i="7" s="1"/>
  <c r="Q258" i="7"/>
  <c r="P258" i="7" s="1"/>
  <c r="Q263" i="7"/>
  <c r="P263" i="7" s="1"/>
  <c r="G243" i="7"/>
  <c r="R243" i="7" s="1"/>
  <c r="H245" i="7"/>
  <c r="R245" i="7"/>
  <c r="H253" i="7"/>
  <c r="R253" i="7"/>
  <c r="R254" i="7"/>
  <c r="H254" i="7"/>
  <c r="R262" i="7"/>
  <c r="H262" i="7"/>
  <c r="R267" i="7"/>
  <c r="H267" i="7"/>
  <c r="R260" i="7"/>
  <c r="H260" i="7" s="1"/>
  <c r="R259" i="7"/>
  <c r="H259" i="7" s="1"/>
  <c r="G279" i="7"/>
  <c r="Q279" i="7"/>
  <c r="P279" i="7" s="1"/>
  <c r="Q253" i="7"/>
  <c r="P253" i="7" s="1"/>
  <c r="Q254" i="7"/>
  <c r="P254" i="7" s="1"/>
  <c r="Q261" i="7"/>
  <c r="P261" i="7" s="1"/>
  <c r="Q267" i="7"/>
  <c r="P267" i="7" s="1"/>
  <c r="R251" i="7"/>
  <c r="H251" i="7" s="1"/>
  <c r="Q259" i="7"/>
  <c r="P259" i="7" s="1"/>
  <c r="Q252" i="7"/>
  <c r="P252" i="7" s="1"/>
  <c r="N271" i="7"/>
  <c r="O271" i="7" s="1"/>
  <c r="J271" i="7"/>
  <c r="K271" i="7" s="1"/>
  <c r="L271" i="7" s="1"/>
  <c r="R265" i="7"/>
  <c r="H265" i="7"/>
  <c r="R250" i="7"/>
  <c r="H250" i="7" s="1"/>
  <c r="R248" i="7"/>
  <c r="H248" i="7" s="1"/>
  <c r="R258" i="7"/>
  <c r="H258" i="7" s="1"/>
  <c r="R256" i="7"/>
  <c r="H256" i="7" s="1"/>
  <c r="R246" i="7"/>
  <c r="H246" i="7"/>
  <c r="R268" i="7"/>
  <c r="H268" i="7"/>
  <c r="R257" i="7"/>
  <c r="H257" i="7" s="1"/>
  <c r="R263" i="7"/>
  <c r="H263" i="7"/>
  <c r="R244" i="7"/>
  <c r="H244" i="7"/>
  <c r="H261" i="7"/>
  <c r="R261" i="7"/>
  <c r="R249" i="7"/>
  <c r="H249" i="7" s="1"/>
  <c r="R252" i="7"/>
  <c r="H252" i="7" s="1"/>
  <c r="Q245" i="7"/>
  <c r="P245" i="7" s="1"/>
  <c r="Q244" i="7"/>
  <c r="P244" i="7" s="1"/>
  <c r="Q262" i="7"/>
  <c r="P262" i="7" s="1"/>
  <c r="R255" i="7"/>
  <c r="H255" i="7" s="1"/>
  <c r="R264" i="7"/>
  <c r="H264" i="7"/>
  <c r="V266" i="7"/>
  <c r="G266" i="7" s="1"/>
  <c r="F272" i="7"/>
  <c r="Q266" i="7"/>
  <c r="P266" i="7" s="1"/>
  <c r="Q255" i="7"/>
  <c r="P255" i="7" s="1"/>
  <c r="Q264" i="7"/>
  <c r="P264" i="7" s="1"/>
  <c r="Q251" i="7"/>
  <c r="P251" i="7" s="1"/>
  <c r="Q260" i="7"/>
  <c r="P260" i="7" s="1"/>
  <c r="Q246" i="7"/>
  <c r="P246" i="7" s="1"/>
  <c r="Q249" i="7"/>
  <c r="P249" i="7" s="1"/>
  <c r="Q268" i="7"/>
  <c r="P268" i="7" s="1"/>
  <c r="Q243" i="7"/>
  <c r="P243" i="7" s="1"/>
  <c r="V379" i="7"/>
  <c r="V280" i="7"/>
  <c r="V219" i="7"/>
  <c r="V220" i="7" s="1"/>
  <c r="N238" i="7"/>
  <c r="O238" i="7" s="1"/>
  <c r="J238" i="7"/>
  <c r="K238" i="7" s="1"/>
  <c r="L238" i="7" s="1"/>
  <c r="V281" i="7"/>
  <c r="G281" i="7" s="1"/>
  <c r="H281" i="7" s="1"/>
  <c r="G239" i="7"/>
  <c r="G229" i="7"/>
  <c r="H229" i="7" s="1"/>
  <c r="N229" i="7" s="1"/>
  <c r="O229" i="7" s="1"/>
  <c r="G164" i="7"/>
  <c r="G170" i="7"/>
  <c r="L331" i="7"/>
  <c r="Q332" i="7"/>
  <c r="P332" i="7" s="1"/>
  <c r="Q333" i="7"/>
  <c r="P333" i="7" s="1"/>
  <c r="G333" i="7"/>
  <c r="Q334" i="7"/>
  <c r="P334" i="7" s="1"/>
  <c r="Q335" i="7"/>
  <c r="P335" i="7" s="1"/>
  <c r="G376" i="7"/>
  <c r="H376" i="7" s="1"/>
  <c r="J376" i="7" s="1"/>
  <c r="K376" i="7" s="1"/>
  <c r="L376" i="7" s="1"/>
  <c r="Q376" i="7"/>
  <c r="P376" i="7" s="1"/>
  <c r="G372" i="7"/>
  <c r="H372" i="7" s="1"/>
  <c r="Q372" i="7"/>
  <c r="P372" i="7" s="1"/>
  <c r="G373" i="7"/>
  <c r="H373" i="7" s="1"/>
  <c r="N373" i="7" s="1"/>
  <c r="O373" i="7" s="1"/>
  <c r="Q373" i="7"/>
  <c r="P373" i="7" s="1"/>
  <c r="G374" i="7"/>
  <c r="H374" i="7" s="1"/>
  <c r="J374" i="7" s="1"/>
  <c r="K374" i="7" s="1"/>
  <c r="L374" i="7" s="1"/>
  <c r="Q374" i="7"/>
  <c r="P374" i="7" s="1"/>
  <c r="G378" i="7"/>
  <c r="H378" i="7" s="1"/>
  <c r="J378" i="7" s="1"/>
  <c r="K378" i="7" s="1"/>
  <c r="L378" i="7" s="1"/>
  <c r="Q378" i="7"/>
  <c r="P378" i="7" s="1"/>
  <c r="F240" i="7"/>
  <c r="Q239" i="7"/>
  <c r="P239" i="7" s="1"/>
  <c r="G126" i="7"/>
  <c r="G125" i="7"/>
  <c r="Q123" i="7"/>
  <c r="P123" i="7" s="1"/>
  <c r="F124" i="7"/>
  <c r="F129" i="7" s="1"/>
  <c r="K242" i="7"/>
  <c r="H225" i="7"/>
  <c r="H226" i="7" s="1"/>
  <c r="Q226" i="7" s="1"/>
  <c r="P226" i="7" s="1"/>
  <c r="Q224" i="7"/>
  <c r="P224" i="7" s="1"/>
  <c r="Q225" i="7"/>
  <c r="P225" i="7" s="1"/>
  <c r="Q219" i="7"/>
  <c r="P219" i="7" s="1"/>
  <c r="H222" i="7"/>
  <c r="N222" i="7" s="1"/>
  <c r="Q221" i="7"/>
  <c r="P221" i="7" s="1"/>
  <c r="Q222" i="7"/>
  <c r="P222" i="7" s="1"/>
  <c r="H81" i="7"/>
  <c r="J81" i="7" s="1"/>
  <c r="K81" i="7" s="1"/>
  <c r="N80" i="7"/>
  <c r="O80" i="7" s="1"/>
  <c r="Q96" i="7"/>
  <c r="P96" i="7" s="1"/>
  <c r="Q95" i="7"/>
  <c r="P95" i="7" s="1"/>
  <c r="Q90" i="7"/>
  <c r="P90" i="7" s="1"/>
  <c r="Q91" i="7"/>
  <c r="P91" i="7" s="1"/>
  <c r="Q78" i="7"/>
  <c r="P78" i="7" s="1"/>
  <c r="Q79" i="7"/>
  <c r="P79" i="7" s="1"/>
  <c r="H79" i="7"/>
  <c r="H82" i="7"/>
  <c r="H139" i="7"/>
  <c r="J139" i="7" s="1"/>
  <c r="J145" i="7" s="1"/>
  <c r="Q30" i="7"/>
  <c r="P30" i="7" s="1"/>
  <c r="J97" i="7"/>
  <c r="K97" i="7" s="1"/>
  <c r="L97" i="7" s="1"/>
  <c r="N131" i="7"/>
  <c r="Q198" i="7"/>
  <c r="P198" i="7" s="1"/>
  <c r="Q69" i="7"/>
  <c r="P69" i="7" s="1"/>
  <c r="Q68" i="7"/>
  <c r="P68" i="7" s="1"/>
  <c r="J68" i="7"/>
  <c r="K68" i="7" s="1"/>
  <c r="F137" i="7"/>
  <c r="Q131" i="7"/>
  <c r="P131" i="7" s="1"/>
  <c r="Q130" i="7"/>
  <c r="P130" i="7" s="1"/>
  <c r="H198" i="7"/>
  <c r="N198" i="7" s="1"/>
  <c r="O198" i="7" s="1"/>
  <c r="F145" i="7"/>
  <c r="Q138" i="7"/>
  <c r="P138" i="7" s="1"/>
  <c r="Q139" i="7"/>
  <c r="P139" i="7" s="1"/>
  <c r="H84" i="7"/>
  <c r="F99" i="7"/>
  <c r="Q118" i="7"/>
  <c r="P118" i="7" s="1"/>
  <c r="Q119" i="7"/>
  <c r="P119" i="7" s="1"/>
  <c r="J118" i="7"/>
  <c r="K118" i="7" s="1"/>
  <c r="N118" i="7"/>
  <c r="O118" i="7" s="1"/>
  <c r="J22" i="7"/>
  <c r="K22" i="7" s="1"/>
  <c r="L22" i="7" s="1"/>
  <c r="F195" i="7"/>
  <c r="H195" i="7" s="1"/>
  <c r="Q229" i="7"/>
  <c r="P229" i="7" s="1"/>
  <c r="H232" i="7"/>
  <c r="J232" i="7" s="1"/>
  <c r="J233" i="7" s="1"/>
  <c r="Q232" i="7"/>
  <c r="P232" i="7" s="1"/>
  <c r="Q231" i="7"/>
  <c r="P231" i="7" s="1"/>
  <c r="H235" i="7"/>
  <c r="J235" i="7" s="1"/>
  <c r="J236" i="7" s="1"/>
  <c r="Q234" i="7"/>
  <c r="P234" i="7" s="1"/>
  <c r="Q235" i="7"/>
  <c r="P235" i="7" s="1"/>
  <c r="F40" i="7"/>
  <c r="Q194" i="7"/>
  <c r="P194" i="7" s="1"/>
  <c r="J20" i="7"/>
  <c r="K20" i="7" s="1"/>
  <c r="L20" i="7" s="1"/>
  <c r="N20" i="7"/>
  <c r="O20" i="7" s="1"/>
  <c r="H21" i="7"/>
  <c r="Q21" i="7"/>
  <c r="P21" i="7" s="1"/>
  <c r="F205" i="7"/>
  <c r="Q204" i="7"/>
  <c r="P204" i="7" s="1"/>
  <c r="L25" i="7"/>
  <c r="O403" i="7"/>
  <c r="O404" i="7" s="1"/>
  <c r="N404" i="7"/>
  <c r="J32" i="7"/>
  <c r="K32" i="7" s="1"/>
  <c r="L32" i="7" s="1"/>
  <c r="N32" i="7"/>
  <c r="O32" i="7" s="1"/>
  <c r="J176" i="7"/>
  <c r="K176" i="7" s="1"/>
  <c r="L176" i="7" s="1"/>
  <c r="N176" i="7"/>
  <c r="O176" i="7" s="1"/>
  <c r="Q38" i="7"/>
  <c r="P38" i="7" s="1"/>
  <c r="Q39" i="7"/>
  <c r="P39" i="7" s="1"/>
  <c r="J50" i="7"/>
  <c r="K50" i="7" s="1"/>
  <c r="L50" i="7" s="1"/>
  <c r="N50" i="7"/>
  <c r="O50" i="7" s="1"/>
  <c r="N218" i="7"/>
  <c r="J218" i="7"/>
  <c r="K218" i="7" s="1"/>
  <c r="F197" i="7"/>
  <c r="H197" i="7" s="1"/>
  <c r="H196" i="7"/>
  <c r="Q196" i="7"/>
  <c r="P196" i="7" s="1"/>
  <c r="N117" i="7"/>
  <c r="J117" i="7"/>
  <c r="F209" i="7"/>
  <c r="H209" i="7" s="1"/>
  <c r="Q208" i="7"/>
  <c r="P208" i="7" s="1"/>
  <c r="Q207" i="7"/>
  <c r="P207" i="7" s="1"/>
  <c r="H175" i="7"/>
  <c r="Q175" i="7"/>
  <c r="P175" i="7" s="1"/>
  <c r="Q199" i="7"/>
  <c r="P199" i="7" s="1"/>
  <c r="J44" i="7"/>
  <c r="K44" i="7" s="1"/>
  <c r="N44" i="7"/>
  <c r="O44" i="7" s="1"/>
  <c r="Q33" i="7"/>
  <c r="P33" i="7" s="1"/>
  <c r="H177" i="7"/>
  <c r="Q177" i="7"/>
  <c r="P177" i="7" s="1"/>
  <c r="N62" i="7"/>
  <c r="O62" i="7" s="1"/>
  <c r="J62" i="7"/>
  <c r="K62" i="7" s="1"/>
  <c r="L62" i="7" s="1"/>
  <c r="J188" i="7"/>
  <c r="N188" i="7"/>
  <c r="H45" i="7"/>
  <c r="Q45" i="7"/>
  <c r="P45" i="7" s="1"/>
  <c r="N228" i="7"/>
  <c r="J228" i="7"/>
  <c r="J18" i="7"/>
  <c r="K18" i="7" s="1"/>
  <c r="N18" i="7"/>
  <c r="Q171" i="7"/>
  <c r="P171" i="7" s="1"/>
  <c r="J42" i="7"/>
  <c r="N42" i="7"/>
  <c r="N194" i="7"/>
  <c r="O194" i="7" s="1"/>
  <c r="J194" i="7"/>
  <c r="K194" i="7" s="1"/>
  <c r="L194" i="7" s="1"/>
  <c r="Q63" i="7"/>
  <c r="P63" i="7" s="1"/>
  <c r="N162" i="7"/>
  <c r="J162" i="7"/>
  <c r="K162" i="7" s="1"/>
  <c r="J35" i="7"/>
  <c r="K35" i="7" s="1"/>
  <c r="L35" i="7" s="1"/>
  <c r="N35" i="7"/>
  <c r="O35" i="7" s="1"/>
  <c r="H185" i="7"/>
  <c r="H186" i="7" s="1"/>
  <c r="Q186" i="7" s="1"/>
  <c r="P186" i="7" s="1"/>
  <c r="Q185" i="7"/>
  <c r="P185" i="7" s="1"/>
  <c r="N65" i="7"/>
  <c r="O65" i="7" s="1"/>
  <c r="J65" i="7"/>
  <c r="H114" i="7"/>
  <c r="H115" i="7" s="1"/>
  <c r="Q115" i="7" s="1"/>
  <c r="P115" i="7" s="1"/>
  <c r="Q114" i="7"/>
  <c r="P114" i="7" s="1"/>
  <c r="J168" i="7"/>
  <c r="N168" i="7"/>
  <c r="J174" i="7"/>
  <c r="N174" i="7"/>
  <c r="J101" i="7"/>
  <c r="N101" i="7"/>
  <c r="F216" i="7"/>
  <c r="Q189" i="7"/>
  <c r="P189" i="7" s="1"/>
  <c r="K212" i="7"/>
  <c r="N180" i="7"/>
  <c r="J180" i="7"/>
  <c r="K180" i="7" s="1"/>
  <c r="H19" i="7"/>
  <c r="Q19" i="7"/>
  <c r="P19" i="7" s="1"/>
  <c r="J105" i="7"/>
  <c r="K105" i="7" s="1"/>
  <c r="N105" i="7"/>
  <c r="H201" i="7"/>
  <c r="Q201" i="7"/>
  <c r="P201" i="7" s="1"/>
  <c r="H47" i="7"/>
  <c r="Q47" i="7"/>
  <c r="P47" i="7" s="1"/>
  <c r="H163" i="7"/>
  <c r="Q163" i="7"/>
  <c r="P163" i="7" s="1"/>
  <c r="H23" i="7"/>
  <c r="Q23" i="7"/>
  <c r="P23" i="7" s="1"/>
  <c r="H110" i="7"/>
  <c r="H111" i="7" s="1"/>
  <c r="Q111" i="7" s="1"/>
  <c r="P111" i="7" s="1"/>
  <c r="Q110" i="7"/>
  <c r="P110" i="7" s="1"/>
  <c r="N184" i="7"/>
  <c r="J184" i="7"/>
  <c r="N113" i="7"/>
  <c r="J113" i="7"/>
  <c r="K113" i="7" s="1"/>
  <c r="H51" i="7"/>
  <c r="Q51" i="7"/>
  <c r="P51" i="7" s="1"/>
  <c r="F193" i="7"/>
  <c r="H193" i="7" s="1"/>
  <c r="H192" i="7"/>
  <c r="Q192" i="7"/>
  <c r="P192" i="7" s="1"/>
  <c r="J200" i="7"/>
  <c r="K200" i="7" s="1"/>
  <c r="N200" i="7"/>
  <c r="O200" i="7" s="1"/>
  <c r="H43" i="7"/>
  <c r="Q43" i="7"/>
  <c r="P43" i="7" s="1"/>
  <c r="N46" i="7"/>
  <c r="O46" i="7" s="1"/>
  <c r="J46" i="7"/>
  <c r="K46" i="7" s="1"/>
  <c r="F166" i="7"/>
  <c r="N109" i="7"/>
  <c r="J109" i="7"/>
  <c r="Q36" i="7"/>
  <c r="P36" i="7" s="1"/>
  <c r="Q37" i="7"/>
  <c r="P37" i="7" s="1"/>
  <c r="N371" i="7"/>
  <c r="J371" i="7"/>
  <c r="Q66" i="7"/>
  <c r="P66" i="7" s="1"/>
  <c r="Q165" i="7"/>
  <c r="P165" i="7" s="1"/>
  <c r="H169" i="7"/>
  <c r="Q169" i="7"/>
  <c r="P169" i="7" s="1"/>
  <c r="H102" i="7"/>
  <c r="H103" i="7" s="1"/>
  <c r="Q103" i="7" s="1"/>
  <c r="P103" i="7" s="1"/>
  <c r="Q102" i="7"/>
  <c r="P102" i="7" s="1"/>
  <c r="O212" i="7"/>
  <c r="O213" i="7" s="1"/>
  <c r="N213" i="7"/>
  <c r="H181" i="7"/>
  <c r="Q181" i="7"/>
  <c r="P181" i="7" s="1"/>
  <c r="N354" i="7"/>
  <c r="H363" i="7"/>
  <c r="J354" i="7"/>
  <c r="H106" i="7"/>
  <c r="H107" i="7" s="1"/>
  <c r="Q107" i="7" s="1"/>
  <c r="P107" i="7" s="1"/>
  <c r="Q106" i="7"/>
  <c r="P106" i="7" s="1"/>
  <c r="H48" i="10"/>
  <c r="J48" i="10" s="1"/>
  <c r="N192" i="31" l="1"/>
  <c r="O192" i="31" s="1"/>
  <c r="L215" i="7"/>
  <c r="L216" i="7" s="1"/>
  <c r="K403" i="7"/>
  <c r="K404" i="7" s="1"/>
  <c r="H363" i="31"/>
  <c r="V276" i="31"/>
  <c r="J354" i="31"/>
  <c r="K354" i="31" s="1"/>
  <c r="Q199" i="31"/>
  <c r="P199" i="31" s="1"/>
  <c r="N204" i="31"/>
  <c r="O204" i="31" s="1"/>
  <c r="V343" i="31"/>
  <c r="R306" i="31"/>
  <c r="V328" i="31"/>
  <c r="R333" i="31"/>
  <c r="N47" i="31"/>
  <c r="O47" i="31" s="1"/>
  <c r="L49" i="7"/>
  <c r="R335" i="31"/>
  <c r="J403" i="31"/>
  <c r="J404" i="31" s="1"/>
  <c r="Q195" i="31"/>
  <c r="P195" i="31" s="1"/>
  <c r="V336" i="31"/>
  <c r="J188" i="31"/>
  <c r="K188" i="31" s="1"/>
  <c r="Q205" i="31"/>
  <c r="P205" i="31" s="1"/>
  <c r="J189" i="31"/>
  <c r="K189" i="31" s="1"/>
  <c r="N174" i="31"/>
  <c r="N178" i="31" s="1"/>
  <c r="Q193" i="31"/>
  <c r="P193" i="31" s="1"/>
  <c r="F411" i="31"/>
  <c r="H178" i="31"/>
  <c r="Q178" i="31" s="1"/>
  <c r="P178" i="31" s="1"/>
  <c r="N198" i="31"/>
  <c r="O198" i="31" s="1"/>
  <c r="V343" i="7"/>
  <c r="N403" i="31"/>
  <c r="O403" i="31" s="1"/>
  <c r="O404" i="31" s="1"/>
  <c r="Q209" i="31"/>
  <c r="P209" i="31" s="1"/>
  <c r="Q197" i="31"/>
  <c r="P197" i="31" s="1"/>
  <c r="N196" i="31"/>
  <c r="O196" i="31" s="1"/>
  <c r="Q208" i="43"/>
  <c r="P208" i="43" s="1"/>
  <c r="Q207" i="43"/>
  <c r="P207" i="43" s="1"/>
  <c r="H208" i="43"/>
  <c r="J208" i="43" s="1"/>
  <c r="K208" i="43" s="1"/>
  <c r="L208" i="43" s="1"/>
  <c r="H40" i="31"/>
  <c r="Q40" i="31" s="1"/>
  <c r="P40" i="31" s="1"/>
  <c r="J19" i="31"/>
  <c r="J40" i="31" s="1"/>
  <c r="W35" i="7"/>
  <c r="W113" i="7"/>
  <c r="W117" i="7"/>
  <c r="W20" i="7"/>
  <c r="W44" i="7"/>
  <c r="W29" i="7"/>
  <c r="W42" i="7"/>
  <c r="W18" i="7"/>
  <c r="W168" i="7"/>
  <c r="W188" i="7"/>
  <c r="W101" i="7"/>
  <c r="H122" i="41"/>
  <c r="W62" i="7"/>
  <c r="Q115" i="41"/>
  <c r="P115" i="41" s="1"/>
  <c r="W68" i="7"/>
  <c r="V336" i="7"/>
  <c r="Q203" i="43"/>
  <c r="P203" i="43" s="1"/>
  <c r="Q204" i="43"/>
  <c r="P204" i="43" s="1"/>
  <c r="H204" i="43"/>
  <c r="J204" i="43" s="1"/>
  <c r="H198" i="32"/>
  <c r="N198" i="32" s="1"/>
  <c r="O198" i="32" s="1"/>
  <c r="F199" i="32"/>
  <c r="H199" i="32" s="1"/>
  <c r="H194" i="32"/>
  <c r="N194" i="32" s="1"/>
  <c r="O194" i="32" s="1"/>
  <c r="F195" i="32"/>
  <c r="H195" i="32" s="1"/>
  <c r="H189" i="41"/>
  <c r="N189" i="41" s="1"/>
  <c r="O189" i="41" s="1"/>
  <c r="H196" i="32"/>
  <c r="J196" i="32" s="1"/>
  <c r="K196" i="32" s="1"/>
  <c r="L196" i="32" s="1"/>
  <c r="F197" i="32"/>
  <c r="H197" i="32" s="1"/>
  <c r="H192" i="32"/>
  <c r="N192" i="32" s="1"/>
  <c r="O192" i="32" s="1"/>
  <c r="F193" i="32"/>
  <c r="Q193" i="32" s="1"/>
  <c r="P193" i="32" s="1"/>
  <c r="V328" i="42"/>
  <c r="H281" i="32"/>
  <c r="J281" i="32" s="1"/>
  <c r="K281" i="32" s="1"/>
  <c r="Q207" i="32"/>
  <c r="P207" i="32" s="1"/>
  <c r="L53" i="7"/>
  <c r="Q204" i="32"/>
  <c r="P204" i="32" s="1"/>
  <c r="F205" i="32"/>
  <c r="H205" i="32" s="1"/>
  <c r="H204" i="32"/>
  <c r="N204" i="32" s="1"/>
  <c r="Q208" i="32"/>
  <c r="P208" i="32" s="1"/>
  <c r="H208" i="32"/>
  <c r="J208" i="32" s="1"/>
  <c r="K208" i="32" s="1"/>
  <c r="N218" i="42"/>
  <c r="O218" i="42" s="1"/>
  <c r="V328" i="41"/>
  <c r="H194" i="43"/>
  <c r="N194" i="43" s="1"/>
  <c r="O194" i="43" s="1"/>
  <c r="F195" i="43"/>
  <c r="Q195" i="43" s="1"/>
  <c r="P195" i="43" s="1"/>
  <c r="H122" i="42"/>
  <c r="Q122" i="42" s="1"/>
  <c r="P122" i="42" s="1"/>
  <c r="H163" i="43"/>
  <c r="H166" i="43" s="1"/>
  <c r="Q166" i="43" s="1"/>
  <c r="P166" i="43" s="1"/>
  <c r="H163" i="42"/>
  <c r="N163" i="42" s="1"/>
  <c r="O163" i="42" s="1"/>
  <c r="H279" i="32"/>
  <c r="N279" i="32" s="1"/>
  <c r="O279" i="32" s="1"/>
  <c r="N275" i="31"/>
  <c r="O275" i="31" s="1"/>
  <c r="H40" i="43"/>
  <c r="Q40" i="43" s="1"/>
  <c r="P40" i="43" s="1"/>
  <c r="F240" i="42"/>
  <c r="R280" i="32"/>
  <c r="H189" i="32"/>
  <c r="N189" i="32" s="1"/>
  <c r="O189" i="32" s="1"/>
  <c r="F240" i="43"/>
  <c r="F411" i="43" s="1"/>
  <c r="J115" i="42"/>
  <c r="L53" i="42"/>
  <c r="L30" i="43"/>
  <c r="L113" i="43"/>
  <c r="L113" i="42"/>
  <c r="L62" i="43"/>
  <c r="L47" i="43"/>
  <c r="L35" i="41"/>
  <c r="K103" i="43"/>
  <c r="L101" i="43"/>
  <c r="F193" i="43"/>
  <c r="H192" i="43"/>
  <c r="Q192" i="43"/>
  <c r="P192" i="43" s="1"/>
  <c r="L25" i="43"/>
  <c r="V276" i="43"/>
  <c r="G274" i="43"/>
  <c r="F205" i="42"/>
  <c r="H204" i="42"/>
  <c r="Q204" i="42"/>
  <c r="P204" i="42" s="1"/>
  <c r="Q203" i="42"/>
  <c r="P203" i="42" s="1"/>
  <c r="N35" i="42"/>
  <c r="O35" i="42" s="1"/>
  <c r="J35" i="42"/>
  <c r="K35" i="42" s="1"/>
  <c r="L35" i="42" s="1"/>
  <c r="J163" i="41"/>
  <c r="K163" i="41" s="1"/>
  <c r="L163" i="41" s="1"/>
  <c r="N163" i="41"/>
  <c r="O163" i="41" s="1"/>
  <c r="N354" i="43"/>
  <c r="J354" i="43"/>
  <c r="J363" i="43" s="1"/>
  <c r="H363" i="43"/>
  <c r="R335" i="42"/>
  <c r="H335" i="42"/>
  <c r="K218" i="42"/>
  <c r="L218" i="42" s="1"/>
  <c r="N376" i="41"/>
  <c r="O376" i="41" s="1"/>
  <c r="J376" i="41"/>
  <c r="K376" i="41" s="1"/>
  <c r="L376" i="41" s="1"/>
  <c r="O113" i="42"/>
  <c r="O115" i="42" s="1"/>
  <c r="N115" i="42"/>
  <c r="H102" i="41"/>
  <c r="H103" i="41" s="1"/>
  <c r="Q102" i="41"/>
  <c r="P102" i="41" s="1"/>
  <c r="J331" i="43"/>
  <c r="K331" i="43" s="1"/>
  <c r="L331" i="43" s="1"/>
  <c r="N331" i="43"/>
  <c r="N310" i="43"/>
  <c r="O310" i="43" s="1"/>
  <c r="J310" i="43"/>
  <c r="K310" i="43" s="1"/>
  <c r="J175" i="41"/>
  <c r="K175" i="41" s="1"/>
  <c r="L175" i="41" s="1"/>
  <c r="N175" i="41"/>
  <c r="O175" i="41" s="1"/>
  <c r="F195" i="41"/>
  <c r="H194" i="41"/>
  <c r="Q194" i="41"/>
  <c r="P194" i="41" s="1"/>
  <c r="N371" i="42"/>
  <c r="J371" i="42"/>
  <c r="K371" i="42" s="1"/>
  <c r="L371" i="42" s="1"/>
  <c r="N29" i="41"/>
  <c r="O29" i="41" s="1"/>
  <c r="J29" i="41"/>
  <c r="K29" i="41" s="1"/>
  <c r="J308" i="42"/>
  <c r="K308" i="42" s="1"/>
  <c r="L308" i="42" s="1"/>
  <c r="N308" i="42"/>
  <c r="O308" i="42" s="1"/>
  <c r="N42" i="41"/>
  <c r="J42" i="41"/>
  <c r="K42" i="41" s="1"/>
  <c r="N218" i="41"/>
  <c r="J218" i="41"/>
  <c r="K218" i="41" s="1"/>
  <c r="J222" i="43"/>
  <c r="J223" i="43" s="1"/>
  <c r="H223" i="43"/>
  <c r="N222" i="43"/>
  <c r="N376" i="43"/>
  <c r="O376" i="43" s="1"/>
  <c r="J376" i="43"/>
  <c r="F197" i="43"/>
  <c r="H196" i="43"/>
  <c r="Q196" i="43"/>
  <c r="P196" i="43" s="1"/>
  <c r="R335" i="43"/>
  <c r="H335" i="43"/>
  <c r="R306" i="43"/>
  <c r="H306" i="43"/>
  <c r="R275" i="43"/>
  <c r="H275" i="43"/>
  <c r="V328" i="43"/>
  <c r="F197" i="42"/>
  <c r="H196" i="42"/>
  <c r="Q196" i="42"/>
  <c r="P196" i="42" s="1"/>
  <c r="N188" i="41"/>
  <c r="J188" i="41"/>
  <c r="K188" i="41" s="1"/>
  <c r="G239" i="43"/>
  <c r="V240" i="43"/>
  <c r="J162" i="42"/>
  <c r="N162" i="42"/>
  <c r="R279" i="42"/>
  <c r="H279" i="42"/>
  <c r="G332" i="42"/>
  <c r="V336" i="42"/>
  <c r="G274" i="42"/>
  <c r="V276" i="42"/>
  <c r="J218" i="43"/>
  <c r="K218" i="43" s="1"/>
  <c r="N218" i="43"/>
  <c r="J164" i="43"/>
  <c r="K164" i="43" s="1"/>
  <c r="L164" i="43" s="1"/>
  <c r="N164" i="43"/>
  <c r="O164" i="43" s="1"/>
  <c r="R280" i="43"/>
  <c r="H280" i="43"/>
  <c r="J310" i="42"/>
  <c r="K310" i="42" s="1"/>
  <c r="N310" i="42"/>
  <c r="O310" i="42" s="1"/>
  <c r="G219" i="41"/>
  <c r="H219" i="41" s="1"/>
  <c r="V220" i="41"/>
  <c r="Q43" i="41"/>
  <c r="P43" i="41" s="1"/>
  <c r="H43" i="41"/>
  <c r="N169" i="43"/>
  <c r="O169" i="43" s="1"/>
  <c r="J169" i="43"/>
  <c r="K169" i="43" s="1"/>
  <c r="L169" i="43" s="1"/>
  <c r="K115" i="43"/>
  <c r="K119" i="41"/>
  <c r="L119" i="41" s="1"/>
  <c r="J228" i="41"/>
  <c r="K228" i="41" s="1"/>
  <c r="L228" i="41" s="1"/>
  <c r="N228" i="41"/>
  <c r="J371" i="43"/>
  <c r="K371" i="43" s="1"/>
  <c r="N371" i="43"/>
  <c r="R280" i="41"/>
  <c r="H280" i="41"/>
  <c r="G219" i="43"/>
  <c r="H219" i="43" s="1"/>
  <c r="V220" i="43"/>
  <c r="G372" i="43"/>
  <c r="H372" i="43" s="1"/>
  <c r="V379" i="43"/>
  <c r="J118" i="41"/>
  <c r="K118" i="41" s="1"/>
  <c r="L118" i="41" s="1"/>
  <c r="N118" i="41"/>
  <c r="O118" i="41" s="1"/>
  <c r="R290" i="43"/>
  <c r="H290" i="43"/>
  <c r="J117" i="43"/>
  <c r="K117" i="43" s="1"/>
  <c r="N117" i="43"/>
  <c r="L117" i="41"/>
  <c r="H178" i="43"/>
  <c r="Q178" i="43" s="1"/>
  <c r="P178" i="43" s="1"/>
  <c r="N174" i="43"/>
  <c r="J174" i="43"/>
  <c r="K174" i="43" s="1"/>
  <c r="L174" i="43" s="1"/>
  <c r="N162" i="43"/>
  <c r="J162" i="43"/>
  <c r="N68" i="43"/>
  <c r="O68" i="43" s="1"/>
  <c r="J68" i="43"/>
  <c r="K68" i="43" s="1"/>
  <c r="L68" i="43" s="1"/>
  <c r="R280" i="42"/>
  <c r="H280" i="42"/>
  <c r="J403" i="42"/>
  <c r="J404" i="42" s="1"/>
  <c r="H404" i="42"/>
  <c r="N403" i="42"/>
  <c r="N228" i="43"/>
  <c r="J228" i="43"/>
  <c r="N20" i="41"/>
  <c r="O20" i="41" s="1"/>
  <c r="J20" i="41"/>
  <c r="K20" i="41" s="1"/>
  <c r="R275" i="42"/>
  <c r="H275" i="42"/>
  <c r="N298" i="43"/>
  <c r="O298" i="43" s="1"/>
  <c r="J298" i="43"/>
  <c r="K298" i="43" s="1"/>
  <c r="G229" i="43"/>
  <c r="H229" i="43" s="1"/>
  <c r="V230" i="43"/>
  <c r="O117" i="42"/>
  <c r="J298" i="42"/>
  <c r="N298" i="42"/>
  <c r="O298" i="42" s="1"/>
  <c r="J165" i="43"/>
  <c r="K165" i="43" s="1"/>
  <c r="L165" i="43" s="1"/>
  <c r="N165" i="43"/>
  <c r="O165" i="43" s="1"/>
  <c r="R281" i="43"/>
  <c r="H281" i="43"/>
  <c r="H223" i="41"/>
  <c r="N222" i="41"/>
  <c r="J222" i="41"/>
  <c r="J223" i="41" s="1"/>
  <c r="G239" i="41"/>
  <c r="V240" i="41"/>
  <c r="N331" i="41"/>
  <c r="J331" i="41"/>
  <c r="K331" i="41" s="1"/>
  <c r="N168" i="43"/>
  <c r="J168" i="43"/>
  <c r="K168" i="43" s="1"/>
  <c r="N19" i="43"/>
  <c r="O19" i="43" s="1"/>
  <c r="J19" i="43"/>
  <c r="K19" i="43" s="1"/>
  <c r="L19" i="43" s="1"/>
  <c r="N42" i="42"/>
  <c r="J42" i="42"/>
  <c r="K42" i="42" s="1"/>
  <c r="L42" i="42" s="1"/>
  <c r="J238" i="43"/>
  <c r="K238" i="43" s="1"/>
  <c r="N238" i="43"/>
  <c r="J354" i="42"/>
  <c r="J363" i="42" s="1"/>
  <c r="N354" i="42"/>
  <c r="H363" i="42"/>
  <c r="L18" i="43"/>
  <c r="H281" i="41"/>
  <c r="R281" i="41"/>
  <c r="N376" i="42"/>
  <c r="O376" i="42" s="1"/>
  <c r="J376" i="42"/>
  <c r="K376" i="42" s="1"/>
  <c r="L376" i="42" s="1"/>
  <c r="J373" i="43"/>
  <c r="K373" i="43" s="1"/>
  <c r="L373" i="43" s="1"/>
  <c r="N373" i="43"/>
  <c r="O373" i="43" s="1"/>
  <c r="J118" i="42"/>
  <c r="K118" i="42" s="1"/>
  <c r="N118" i="42"/>
  <c r="O118" i="42" s="1"/>
  <c r="F199" i="43"/>
  <c r="H198" i="43"/>
  <c r="Q198" i="43"/>
  <c r="P198" i="43" s="1"/>
  <c r="G332" i="43"/>
  <c r="V336" i="43"/>
  <c r="N170" i="42"/>
  <c r="O170" i="42" s="1"/>
  <c r="J170" i="42"/>
  <c r="K170" i="42" s="1"/>
  <c r="L170" i="42" s="1"/>
  <c r="H119" i="43"/>
  <c r="Q119" i="43"/>
  <c r="P119" i="43" s="1"/>
  <c r="N331" i="42"/>
  <c r="J331" i="42"/>
  <c r="J175" i="43"/>
  <c r="K175" i="43" s="1"/>
  <c r="N175" i="43"/>
  <c r="O175" i="43" s="1"/>
  <c r="J222" i="42"/>
  <c r="J223" i="42" s="1"/>
  <c r="H223" i="42"/>
  <c r="N222" i="42"/>
  <c r="H72" i="43"/>
  <c r="Q72" i="43"/>
  <c r="P72" i="43" s="1"/>
  <c r="Q71" i="43"/>
  <c r="P71" i="43" s="1"/>
  <c r="H63" i="41"/>
  <c r="Q63" i="41"/>
  <c r="P63" i="41" s="1"/>
  <c r="G278" i="42"/>
  <c r="V282" i="42"/>
  <c r="G372" i="41"/>
  <c r="H372" i="41" s="1"/>
  <c r="H379" i="41" s="1"/>
  <c r="V379" i="41"/>
  <c r="Q21" i="41"/>
  <c r="P21" i="41" s="1"/>
  <c r="H21" i="41"/>
  <c r="F209" i="41"/>
  <c r="H208" i="41"/>
  <c r="Q207" i="41"/>
  <c r="P207" i="41" s="1"/>
  <c r="Q208" i="41"/>
  <c r="P208" i="41" s="1"/>
  <c r="G164" i="41"/>
  <c r="V166" i="41"/>
  <c r="J310" i="41"/>
  <c r="K310" i="41" s="1"/>
  <c r="L310" i="41" s="1"/>
  <c r="N310" i="41"/>
  <c r="O310" i="41" s="1"/>
  <c r="K117" i="42"/>
  <c r="G239" i="42"/>
  <c r="V240" i="42"/>
  <c r="R279" i="43"/>
  <c r="H279" i="43"/>
  <c r="J225" i="41"/>
  <c r="J226" i="41" s="1"/>
  <c r="H226" i="41"/>
  <c r="N225" i="41"/>
  <c r="F240" i="41"/>
  <c r="N66" i="41"/>
  <c r="O66" i="41" s="1"/>
  <c r="J66" i="41"/>
  <c r="K66" i="41" s="1"/>
  <c r="L66" i="41" s="1"/>
  <c r="J238" i="42"/>
  <c r="K238" i="42" s="1"/>
  <c r="L238" i="42" s="1"/>
  <c r="N238" i="42"/>
  <c r="L114" i="43"/>
  <c r="N228" i="42"/>
  <c r="J228" i="42"/>
  <c r="K228" i="42" s="1"/>
  <c r="J168" i="41"/>
  <c r="K168" i="41" s="1"/>
  <c r="L168" i="41" s="1"/>
  <c r="N168" i="41"/>
  <c r="H43" i="42"/>
  <c r="Q43" i="42"/>
  <c r="P43" i="42" s="1"/>
  <c r="G229" i="42"/>
  <c r="H229" i="42" s="1"/>
  <c r="V230" i="42"/>
  <c r="O113" i="43"/>
  <c r="O115" i="43" s="1"/>
  <c r="N115" i="43"/>
  <c r="F193" i="41"/>
  <c r="H192" i="41"/>
  <c r="Q192" i="41"/>
  <c r="P192" i="41" s="1"/>
  <c r="N168" i="42"/>
  <c r="J168" i="42"/>
  <c r="H172" i="42"/>
  <c r="Q172" i="42" s="1"/>
  <c r="P172" i="42" s="1"/>
  <c r="N238" i="41"/>
  <c r="J238" i="41"/>
  <c r="J378" i="42"/>
  <c r="K378" i="42" s="1"/>
  <c r="L378" i="42" s="1"/>
  <c r="N378" i="42"/>
  <c r="O378" i="42" s="1"/>
  <c r="N68" i="41"/>
  <c r="O68" i="41" s="1"/>
  <c r="J68" i="41"/>
  <c r="K68" i="41" s="1"/>
  <c r="L68" i="41" s="1"/>
  <c r="J225" i="43"/>
  <c r="J226" i="43" s="1"/>
  <c r="N225" i="43"/>
  <c r="H226" i="43"/>
  <c r="J374" i="43"/>
  <c r="K374" i="43" s="1"/>
  <c r="L374" i="43" s="1"/>
  <c r="N374" i="43"/>
  <c r="O374" i="43" s="1"/>
  <c r="J170" i="41"/>
  <c r="N170" i="41"/>
  <c r="O170" i="41" s="1"/>
  <c r="G164" i="42"/>
  <c r="V166" i="42"/>
  <c r="R275" i="41"/>
  <c r="H275" i="41"/>
  <c r="R333" i="43"/>
  <c r="H333" i="43"/>
  <c r="J171" i="42"/>
  <c r="K171" i="42" s="1"/>
  <c r="L171" i="42" s="1"/>
  <c r="N171" i="42"/>
  <c r="O171" i="42" s="1"/>
  <c r="H118" i="43"/>
  <c r="Q118" i="43"/>
  <c r="P118" i="43" s="1"/>
  <c r="G219" i="42"/>
  <c r="H219" i="42" s="1"/>
  <c r="V220" i="42"/>
  <c r="N62" i="41"/>
  <c r="O62" i="41" s="1"/>
  <c r="J62" i="41"/>
  <c r="K62" i="41" s="1"/>
  <c r="L62" i="41" s="1"/>
  <c r="H281" i="42"/>
  <c r="R281" i="42"/>
  <c r="J373" i="41"/>
  <c r="K373" i="41" s="1"/>
  <c r="L373" i="41" s="1"/>
  <c r="N373" i="41"/>
  <c r="O373" i="41" s="1"/>
  <c r="R242" i="43"/>
  <c r="H242" i="43"/>
  <c r="G332" i="41"/>
  <c r="V336" i="41"/>
  <c r="G278" i="43"/>
  <c r="V282" i="43"/>
  <c r="N298" i="41"/>
  <c r="O298" i="41" s="1"/>
  <c r="J298" i="41"/>
  <c r="K298" i="41" s="1"/>
  <c r="L298" i="41" s="1"/>
  <c r="H19" i="41"/>
  <c r="F40" i="41"/>
  <c r="Q19" i="41"/>
  <c r="P19" i="41" s="1"/>
  <c r="N68" i="42"/>
  <c r="O68" i="42" s="1"/>
  <c r="J68" i="42"/>
  <c r="K68" i="42" s="1"/>
  <c r="L68" i="42" s="1"/>
  <c r="J188" i="43"/>
  <c r="K188" i="43" s="1"/>
  <c r="N188" i="43"/>
  <c r="O18" i="43"/>
  <c r="J169" i="42"/>
  <c r="K169" i="42" s="1"/>
  <c r="L169" i="42" s="1"/>
  <c r="N169" i="42"/>
  <c r="O169" i="42" s="1"/>
  <c r="J42" i="43"/>
  <c r="N42" i="43"/>
  <c r="G278" i="41"/>
  <c r="V282" i="41"/>
  <c r="G372" i="42"/>
  <c r="H372" i="42" s="1"/>
  <c r="V379" i="42"/>
  <c r="J103" i="43"/>
  <c r="H72" i="41"/>
  <c r="Q72" i="41"/>
  <c r="P72" i="41" s="1"/>
  <c r="Q71" i="41"/>
  <c r="P71" i="41" s="1"/>
  <c r="J378" i="43"/>
  <c r="N378" i="43"/>
  <c r="O378" i="43" s="1"/>
  <c r="N119" i="42"/>
  <c r="O119" i="42" s="1"/>
  <c r="J119" i="42"/>
  <c r="J171" i="41"/>
  <c r="K171" i="41" s="1"/>
  <c r="L171" i="41" s="1"/>
  <c r="N171" i="41"/>
  <c r="O171" i="41" s="1"/>
  <c r="G170" i="43"/>
  <c r="V172" i="43"/>
  <c r="R290" i="41"/>
  <c r="H290" i="41"/>
  <c r="R334" i="43"/>
  <c r="H334" i="43"/>
  <c r="V343" i="42"/>
  <c r="F199" i="42"/>
  <c r="H198" i="42"/>
  <c r="Q198" i="42"/>
  <c r="P198" i="42" s="1"/>
  <c r="O117" i="41"/>
  <c r="J225" i="42"/>
  <c r="J226" i="42" s="1"/>
  <c r="H226" i="42"/>
  <c r="N225" i="42"/>
  <c r="R334" i="42"/>
  <c r="H334" i="42"/>
  <c r="Q203" i="41"/>
  <c r="P203" i="41" s="1"/>
  <c r="F205" i="41"/>
  <c r="H204" i="41"/>
  <c r="Q204" i="41"/>
  <c r="P204" i="41" s="1"/>
  <c r="J374" i="41"/>
  <c r="K374" i="41" s="1"/>
  <c r="L374" i="41" s="1"/>
  <c r="N374" i="41"/>
  <c r="O374" i="41" s="1"/>
  <c r="J371" i="41"/>
  <c r="N371" i="41"/>
  <c r="N101" i="42"/>
  <c r="J101" i="42"/>
  <c r="K101" i="42" s="1"/>
  <c r="N44" i="41"/>
  <c r="O44" i="41" s="1"/>
  <c r="J44" i="41"/>
  <c r="K44" i="41" s="1"/>
  <c r="L44" i="41" s="1"/>
  <c r="R333" i="41"/>
  <c r="H333" i="41"/>
  <c r="F197" i="41"/>
  <c r="H196" i="41"/>
  <c r="Q196" i="41"/>
  <c r="P196" i="41" s="1"/>
  <c r="J354" i="41"/>
  <c r="J363" i="41" s="1"/>
  <c r="N354" i="41"/>
  <c r="H363" i="41"/>
  <c r="H178" i="42"/>
  <c r="Q178" i="42" s="1"/>
  <c r="P178" i="42" s="1"/>
  <c r="N174" i="42"/>
  <c r="J174" i="42"/>
  <c r="G229" i="41"/>
  <c r="H229" i="41" s="1"/>
  <c r="H230" i="41" s="1"/>
  <c r="V230" i="41"/>
  <c r="N18" i="41"/>
  <c r="J18" i="41"/>
  <c r="H72" i="42"/>
  <c r="Q71" i="42"/>
  <c r="P71" i="42" s="1"/>
  <c r="Q72" i="42"/>
  <c r="P72" i="42" s="1"/>
  <c r="H189" i="43"/>
  <c r="J115" i="43"/>
  <c r="Q43" i="43"/>
  <c r="P43" i="43" s="1"/>
  <c r="H43" i="43"/>
  <c r="R279" i="41"/>
  <c r="H279" i="41"/>
  <c r="J374" i="42"/>
  <c r="N374" i="42"/>
  <c r="O374" i="42" s="1"/>
  <c r="O101" i="43"/>
  <c r="O103" i="43" s="1"/>
  <c r="N103" i="43"/>
  <c r="H189" i="42"/>
  <c r="J114" i="41"/>
  <c r="J115" i="41" s="1"/>
  <c r="N114" i="41"/>
  <c r="O114" i="41" s="1"/>
  <c r="N30" i="42"/>
  <c r="O30" i="42" s="1"/>
  <c r="J30" i="42"/>
  <c r="K30" i="42" s="1"/>
  <c r="L30" i="42" s="1"/>
  <c r="J21" i="43"/>
  <c r="K21" i="43" s="1"/>
  <c r="L21" i="43" s="1"/>
  <c r="N21" i="43"/>
  <c r="O21" i="43" s="1"/>
  <c r="V276" i="41"/>
  <c r="G274" i="41"/>
  <c r="F193" i="42"/>
  <c r="H192" i="42"/>
  <c r="Q192" i="42"/>
  <c r="P192" i="42" s="1"/>
  <c r="K114" i="42"/>
  <c r="L114" i="42" s="1"/>
  <c r="H209" i="43"/>
  <c r="Q209" i="43"/>
  <c r="P209" i="43" s="1"/>
  <c r="J378" i="41"/>
  <c r="K378" i="41" s="1"/>
  <c r="L378" i="41" s="1"/>
  <c r="N378" i="41"/>
  <c r="O378" i="41" s="1"/>
  <c r="J101" i="41"/>
  <c r="K101" i="41" s="1"/>
  <c r="N101" i="41"/>
  <c r="H102" i="42"/>
  <c r="Q102" i="42"/>
  <c r="P102" i="42" s="1"/>
  <c r="J18" i="42"/>
  <c r="K18" i="42" s="1"/>
  <c r="N18" i="42"/>
  <c r="R290" i="42"/>
  <c r="H290" i="42"/>
  <c r="Q45" i="41"/>
  <c r="P45" i="41" s="1"/>
  <c r="H45" i="41"/>
  <c r="R334" i="41"/>
  <c r="H334" i="41"/>
  <c r="J44" i="42"/>
  <c r="K44" i="42" s="1"/>
  <c r="L44" i="42" s="1"/>
  <c r="N44" i="42"/>
  <c r="O44" i="42" s="1"/>
  <c r="R306" i="42"/>
  <c r="H306" i="42"/>
  <c r="N175" i="42"/>
  <c r="O175" i="42" s="1"/>
  <c r="J175" i="42"/>
  <c r="K175" i="42" s="1"/>
  <c r="L175" i="42" s="1"/>
  <c r="H404" i="43"/>
  <c r="N403" i="43"/>
  <c r="J403" i="43"/>
  <c r="J404" i="43" s="1"/>
  <c r="N373" i="42"/>
  <c r="O373" i="42" s="1"/>
  <c r="J373" i="42"/>
  <c r="K373" i="42" s="1"/>
  <c r="J188" i="42"/>
  <c r="K188" i="42" s="1"/>
  <c r="N188" i="42"/>
  <c r="Q208" i="42"/>
  <c r="P208" i="42" s="1"/>
  <c r="F209" i="42"/>
  <c r="H208" i="42"/>
  <c r="Q207" i="42"/>
  <c r="P207" i="42" s="1"/>
  <c r="F195" i="42"/>
  <c r="H194" i="42"/>
  <c r="Q194" i="42"/>
  <c r="P194" i="42" s="1"/>
  <c r="O113" i="41"/>
  <c r="V343" i="43"/>
  <c r="N162" i="41"/>
  <c r="J162" i="41"/>
  <c r="K162" i="41" s="1"/>
  <c r="J308" i="41"/>
  <c r="K308" i="41" s="1"/>
  <c r="L308" i="41" s="1"/>
  <c r="N308" i="41"/>
  <c r="O308" i="41" s="1"/>
  <c r="N308" i="43"/>
  <c r="O308" i="43" s="1"/>
  <c r="J308" i="43"/>
  <c r="K308" i="43" s="1"/>
  <c r="L308" i="43" s="1"/>
  <c r="R333" i="42"/>
  <c r="H333" i="42"/>
  <c r="V343" i="41"/>
  <c r="H306" i="41"/>
  <c r="R306" i="41"/>
  <c r="H242" i="42"/>
  <c r="R242" i="42"/>
  <c r="F40" i="42"/>
  <c r="H19" i="42"/>
  <c r="H40" i="42" s="1"/>
  <c r="Q19" i="42"/>
  <c r="P19" i="42" s="1"/>
  <c r="R335" i="41"/>
  <c r="H335" i="41"/>
  <c r="H45" i="42"/>
  <c r="Q45" i="42"/>
  <c r="P45" i="42" s="1"/>
  <c r="F199" i="41"/>
  <c r="H198" i="41"/>
  <c r="Q198" i="41"/>
  <c r="P198" i="41" s="1"/>
  <c r="J174" i="41"/>
  <c r="H178" i="41"/>
  <c r="Q178" i="41" s="1"/>
  <c r="P178" i="41" s="1"/>
  <c r="N174" i="41"/>
  <c r="H30" i="41"/>
  <c r="Q30" i="41"/>
  <c r="P30" i="41" s="1"/>
  <c r="L21" i="42"/>
  <c r="R242" i="41"/>
  <c r="H242" i="41"/>
  <c r="L102" i="43"/>
  <c r="H205" i="43"/>
  <c r="Q205" i="43"/>
  <c r="P205" i="43" s="1"/>
  <c r="H169" i="41"/>
  <c r="Q169" i="41"/>
  <c r="P169" i="41" s="1"/>
  <c r="H404" i="41"/>
  <c r="N403" i="41"/>
  <c r="J403" i="41"/>
  <c r="J404" i="41" s="1"/>
  <c r="H169" i="32"/>
  <c r="N169" i="32" s="1"/>
  <c r="O169" i="32" s="1"/>
  <c r="F240" i="32"/>
  <c r="K18" i="32"/>
  <c r="L18" i="32" s="1"/>
  <c r="V343" i="32"/>
  <c r="L117" i="32"/>
  <c r="N168" i="32"/>
  <c r="J168" i="32"/>
  <c r="K168" i="32" s="1"/>
  <c r="L168" i="32" s="1"/>
  <c r="J310" i="32"/>
  <c r="K310" i="32" s="1"/>
  <c r="L310" i="32" s="1"/>
  <c r="N310" i="32"/>
  <c r="O310" i="32" s="1"/>
  <c r="N331" i="32"/>
  <c r="J331" i="32"/>
  <c r="K331" i="32" s="1"/>
  <c r="R333" i="32"/>
  <c r="H333" i="32"/>
  <c r="G170" i="32"/>
  <c r="V172" i="32"/>
  <c r="O18" i="32"/>
  <c r="N225" i="32"/>
  <c r="H226" i="32"/>
  <c r="J225" i="32"/>
  <c r="J226" i="32" s="1"/>
  <c r="J228" i="32"/>
  <c r="K228" i="32" s="1"/>
  <c r="N228" i="32"/>
  <c r="H290" i="32"/>
  <c r="R290" i="32"/>
  <c r="N174" i="32"/>
  <c r="J174" i="32"/>
  <c r="K174" i="32" s="1"/>
  <c r="H178" i="32"/>
  <c r="Q178" i="32" s="1"/>
  <c r="P178" i="32" s="1"/>
  <c r="N42" i="32"/>
  <c r="J42" i="32"/>
  <c r="K42" i="32" s="1"/>
  <c r="N164" i="32"/>
  <c r="O164" i="32" s="1"/>
  <c r="J164" i="32"/>
  <c r="K164" i="32" s="1"/>
  <c r="L164" i="32" s="1"/>
  <c r="R275" i="32"/>
  <c r="H275" i="32"/>
  <c r="R306" i="32"/>
  <c r="H306" i="32"/>
  <c r="J44" i="32"/>
  <c r="K44" i="32" s="1"/>
  <c r="L44" i="32" s="1"/>
  <c r="N44" i="32"/>
  <c r="O44" i="32" s="1"/>
  <c r="G372" i="32"/>
  <c r="H372" i="32" s="1"/>
  <c r="H379" i="32" s="1"/>
  <c r="V379" i="32"/>
  <c r="N162" i="32"/>
  <c r="J162" i="32"/>
  <c r="K162" i="32" s="1"/>
  <c r="H166" i="32"/>
  <c r="Q166" i="32" s="1"/>
  <c r="P166" i="32" s="1"/>
  <c r="G332" i="32"/>
  <c r="V336" i="32"/>
  <c r="J376" i="32"/>
  <c r="K376" i="32" s="1"/>
  <c r="N376" i="32"/>
  <c r="O376" i="32" s="1"/>
  <c r="G219" i="32"/>
  <c r="H219" i="32" s="1"/>
  <c r="H220" i="32" s="1"/>
  <c r="V220" i="32"/>
  <c r="H404" i="32"/>
  <c r="N403" i="32"/>
  <c r="J403" i="32"/>
  <c r="J404" i="32" s="1"/>
  <c r="N101" i="32"/>
  <c r="J101" i="32"/>
  <c r="N175" i="32"/>
  <c r="O175" i="32" s="1"/>
  <c r="J175" i="32"/>
  <c r="K175" i="32" s="1"/>
  <c r="L175" i="32" s="1"/>
  <c r="H43" i="32"/>
  <c r="Q43" i="32"/>
  <c r="P43" i="32" s="1"/>
  <c r="J165" i="32"/>
  <c r="K165" i="32" s="1"/>
  <c r="L165" i="32" s="1"/>
  <c r="N165" i="32"/>
  <c r="O165" i="32" s="1"/>
  <c r="G274" i="32"/>
  <c r="V276" i="32"/>
  <c r="F40" i="32"/>
  <c r="H19" i="32"/>
  <c r="Q19" i="32"/>
  <c r="P19" i="32" s="1"/>
  <c r="J373" i="32"/>
  <c r="K373" i="32" s="1"/>
  <c r="L373" i="32" s="1"/>
  <c r="N373" i="32"/>
  <c r="O373" i="32" s="1"/>
  <c r="J238" i="32"/>
  <c r="K238" i="32" s="1"/>
  <c r="N238" i="32"/>
  <c r="H45" i="32"/>
  <c r="Q45" i="32"/>
  <c r="P45" i="32" s="1"/>
  <c r="N374" i="32"/>
  <c r="O374" i="32" s="1"/>
  <c r="J374" i="32"/>
  <c r="K374" i="32" s="1"/>
  <c r="L66" i="32"/>
  <c r="N68" i="32"/>
  <c r="O68" i="32" s="1"/>
  <c r="J68" i="32"/>
  <c r="K68" i="32" s="1"/>
  <c r="J280" i="32"/>
  <c r="K280" i="32" s="1"/>
  <c r="L280" i="32" s="1"/>
  <c r="N280" i="32"/>
  <c r="O280" i="32" s="1"/>
  <c r="J371" i="32"/>
  <c r="K371" i="32" s="1"/>
  <c r="N371" i="32"/>
  <c r="J163" i="32"/>
  <c r="K163" i="32" s="1"/>
  <c r="L163" i="32" s="1"/>
  <c r="N163" i="32"/>
  <c r="O163" i="32" s="1"/>
  <c r="J20" i="32"/>
  <c r="K20" i="32" s="1"/>
  <c r="L20" i="32" s="1"/>
  <c r="N20" i="32"/>
  <c r="O20" i="32" s="1"/>
  <c r="R335" i="32"/>
  <c r="H335" i="32"/>
  <c r="H209" i="32"/>
  <c r="Q209" i="32"/>
  <c r="P209" i="32" s="1"/>
  <c r="N298" i="32"/>
  <c r="O298" i="32" s="1"/>
  <c r="J298" i="32"/>
  <c r="N222" i="32"/>
  <c r="J222" i="32"/>
  <c r="J223" i="32" s="1"/>
  <c r="H223" i="32"/>
  <c r="N308" i="32"/>
  <c r="O308" i="32" s="1"/>
  <c r="J308" i="32"/>
  <c r="K308" i="32" s="1"/>
  <c r="H102" i="32"/>
  <c r="H103" i="32" s="1"/>
  <c r="Q103" i="32" s="1"/>
  <c r="P103" i="32" s="1"/>
  <c r="Q102" i="32"/>
  <c r="P102" i="32" s="1"/>
  <c r="J163" i="31"/>
  <c r="K163" i="31" s="1"/>
  <c r="L163" i="31" s="1"/>
  <c r="G239" i="32"/>
  <c r="V240" i="32"/>
  <c r="L53" i="32"/>
  <c r="J378" i="32"/>
  <c r="K378" i="32" s="1"/>
  <c r="L378" i="32" s="1"/>
  <c r="N378" i="32"/>
  <c r="O378" i="32" s="1"/>
  <c r="N188" i="32"/>
  <c r="J188" i="32"/>
  <c r="K188" i="32" s="1"/>
  <c r="N218" i="32"/>
  <c r="J218" i="32"/>
  <c r="K218" i="32" s="1"/>
  <c r="L33" i="32"/>
  <c r="R242" i="32"/>
  <c r="H242" i="32"/>
  <c r="H72" i="32"/>
  <c r="Q71" i="32"/>
  <c r="P71" i="32" s="1"/>
  <c r="Q72" i="32"/>
  <c r="P72" i="32" s="1"/>
  <c r="L47" i="32"/>
  <c r="Q21" i="32"/>
  <c r="P21" i="32" s="1"/>
  <c r="H21" i="32"/>
  <c r="R334" i="32"/>
  <c r="H334" i="32"/>
  <c r="N354" i="32"/>
  <c r="J354" i="32"/>
  <c r="J363" i="32" s="1"/>
  <c r="H363" i="32"/>
  <c r="G229" i="32"/>
  <c r="H229" i="32" s="1"/>
  <c r="V230" i="32"/>
  <c r="G278" i="32"/>
  <c r="V282" i="32"/>
  <c r="V328" i="32"/>
  <c r="O117" i="32"/>
  <c r="J118" i="32"/>
  <c r="K118" i="32" s="1"/>
  <c r="K122" i="32" s="1"/>
  <c r="N118" i="32"/>
  <c r="O118" i="32" s="1"/>
  <c r="L194" i="31"/>
  <c r="H77" i="31"/>
  <c r="Q77" i="31" s="1"/>
  <c r="P77" i="31" s="1"/>
  <c r="L171" i="31"/>
  <c r="K228" i="31"/>
  <c r="L228" i="31" s="1"/>
  <c r="L374" i="31"/>
  <c r="L371" i="31"/>
  <c r="L170" i="31"/>
  <c r="N169" i="31"/>
  <c r="O169" i="31" s="1"/>
  <c r="J169" i="31"/>
  <c r="K169" i="31" s="1"/>
  <c r="L169" i="31" s="1"/>
  <c r="R278" i="31"/>
  <c r="H278" i="31"/>
  <c r="K178" i="31"/>
  <c r="J242" i="31"/>
  <c r="J272" i="31" s="1"/>
  <c r="H272" i="31"/>
  <c r="Q272" i="31" s="1"/>
  <c r="P272" i="31" s="1"/>
  <c r="N242" i="31"/>
  <c r="O218" i="31"/>
  <c r="N119" i="31"/>
  <c r="O119" i="31" s="1"/>
  <c r="J119" i="31"/>
  <c r="K119" i="31" s="1"/>
  <c r="L119" i="31" s="1"/>
  <c r="N118" i="31"/>
  <c r="O118" i="31" s="1"/>
  <c r="J118" i="31"/>
  <c r="K118" i="31" s="1"/>
  <c r="L118" i="31" s="1"/>
  <c r="O228" i="31"/>
  <c r="K117" i="31"/>
  <c r="L117" i="31" s="1"/>
  <c r="N229" i="31"/>
  <c r="O229" i="31" s="1"/>
  <c r="J229" i="31"/>
  <c r="K229" i="31" s="1"/>
  <c r="R332" i="31"/>
  <c r="H332" i="31"/>
  <c r="K373" i="31"/>
  <c r="L373" i="31" s="1"/>
  <c r="O19" i="31"/>
  <c r="O40" i="31" s="1"/>
  <c r="N40" i="31"/>
  <c r="G165" i="31"/>
  <c r="H165" i="31" s="1"/>
  <c r="H164" i="31"/>
  <c r="N333" i="31"/>
  <c r="O333" i="31" s="1"/>
  <c r="J333" i="31"/>
  <c r="K333" i="31" s="1"/>
  <c r="L333" i="31" s="1"/>
  <c r="H122" i="31"/>
  <c r="Q122" i="31" s="1"/>
  <c r="P122" i="31" s="1"/>
  <c r="N45" i="31"/>
  <c r="O45" i="31" s="1"/>
  <c r="J45" i="31"/>
  <c r="K45" i="31" s="1"/>
  <c r="L45" i="31" s="1"/>
  <c r="O238" i="31"/>
  <c r="L331" i="31"/>
  <c r="H329" i="31"/>
  <c r="N290" i="31"/>
  <c r="J290" i="31"/>
  <c r="K290" i="31" s="1"/>
  <c r="K168" i="31"/>
  <c r="N209" i="31"/>
  <c r="O209" i="31" s="1"/>
  <c r="J209" i="31"/>
  <c r="J210" i="31" s="1"/>
  <c r="O371" i="31"/>
  <c r="K218" i="31"/>
  <c r="L218" i="31" s="1"/>
  <c r="N102" i="31"/>
  <c r="O102" i="31" s="1"/>
  <c r="J102" i="31"/>
  <c r="J103" i="31" s="1"/>
  <c r="L196" i="31"/>
  <c r="N195" i="31"/>
  <c r="O195" i="31" s="1"/>
  <c r="J195" i="31"/>
  <c r="K195" i="31" s="1"/>
  <c r="L195" i="31" s="1"/>
  <c r="N335" i="31"/>
  <c r="O335" i="31" s="1"/>
  <c r="J335" i="31"/>
  <c r="K335" i="31" s="1"/>
  <c r="L335" i="31" s="1"/>
  <c r="J43" i="31"/>
  <c r="K43" i="31" s="1"/>
  <c r="L43" i="31" s="1"/>
  <c r="N43" i="31"/>
  <c r="O43" i="31" s="1"/>
  <c r="N193" i="31"/>
  <c r="O193" i="31" s="1"/>
  <c r="J193" i="31"/>
  <c r="K193" i="31" s="1"/>
  <c r="L193" i="31" s="1"/>
  <c r="N199" i="31"/>
  <c r="O199" i="31" s="1"/>
  <c r="J199" i="31"/>
  <c r="K199" i="31" s="1"/>
  <c r="J178" i="31"/>
  <c r="K42" i="31"/>
  <c r="H274" i="31"/>
  <c r="R274" i="31"/>
  <c r="K225" i="31"/>
  <c r="L378" i="31"/>
  <c r="J281" i="31"/>
  <c r="K281" i="31" s="1"/>
  <c r="L281" i="31" s="1"/>
  <c r="N281" i="31"/>
  <c r="O281" i="31" s="1"/>
  <c r="O162" i="31"/>
  <c r="K204" i="31"/>
  <c r="L204" i="31" s="1"/>
  <c r="O168" i="31"/>
  <c r="N205" i="31"/>
  <c r="O205" i="31" s="1"/>
  <c r="J205" i="31"/>
  <c r="K205" i="31" s="1"/>
  <c r="O222" i="31"/>
  <c r="O223" i="31" s="1"/>
  <c r="N223" i="31"/>
  <c r="H202" i="31"/>
  <c r="Q202" i="31" s="1"/>
  <c r="P202" i="31" s="1"/>
  <c r="J197" i="31"/>
  <c r="K197" i="31" s="1"/>
  <c r="N197" i="31"/>
  <c r="O197" i="31" s="1"/>
  <c r="O354" i="31"/>
  <c r="O363" i="31" s="1"/>
  <c r="N363" i="31"/>
  <c r="O101" i="31"/>
  <c r="N280" i="31"/>
  <c r="O280" i="31" s="1"/>
  <c r="J280" i="31"/>
  <c r="K280" i="31" s="1"/>
  <c r="O208" i="31"/>
  <c r="K222" i="31"/>
  <c r="K223" i="31" s="1"/>
  <c r="L101" i="31"/>
  <c r="N279" i="31"/>
  <c r="O279" i="31" s="1"/>
  <c r="J279" i="31"/>
  <c r="K279" i="31" s="1"/>
  <c r="J306" i="31"/>
  <c r="K306" i="31" s="1"/>
  <c r="L306" i="31" s="1"/>
  <c r="N306" i="31"/>
  <c r="O306" i="31" s="1"/>
  <c r="H230" i="31"/>
  <c r="L174" i="31"/>
  <c r="L178" i="31" s="1"/>
  <c r="J219" i="31"/>
  <c r="K219" i="31" s="1"/>
  <c r="L219" i="31" s="1"/>
  <c r="N219" i="31"/>
  <c r="O219" i="31" s="1"/>
  <c r="R239" i="31"/>
  <c r="H239" i="31"/>
  <c r="O42" i="31"/>
  <c r="N226" i="31"/>
  <c r="O225" i="31"/>
  <c r="O226" i="31" s="1"/>
  <c r="O117" i="31"/>
  <c r="N372" i="31"/>
  <c r="O372" i="31" s="1"/>
  <c r="J372" i="31"/>
  <c r="J379" i="31" s="1"/>
  <c r="K238" i="31"/>
  <c r="L238" i="31" s="1"/>
  <c r="O331" i="31"/>
  <c r="K162" i="31"/>
  <c r="L162" i="31" s="1"/>
  <c r="H206" i="31"/>
  <c r="Q206" i="31" s="1"/>
  <c r="P206" i="31" s="1"/>
  <c r="L208" i="31"/>
  <c r="H172" i="31"/>
  <c r="Q172" i="31" s="1"/>
  <c r="P172" i="31" s="1"/>
  <c r="J334" i="31"/>
  <c r="K334" i="31" s="1"/>
  <c r="L334" i="31" s="1"/>
  <c r="N334" i="31"/>
  <c r="O334" i="31" s="1"/>
  <c r="O188" i="31"/>
  <c r="H122" i="7"/>
  <c r="Q122" i="7" s="1"/>
  <c r="P122" i="7" s="1"/>
  <c r="N119" i="7"/>
  <c r="O119" i="7" s="1"/>
  <c r="Q71" i="7"/>
  <c r="P71" i="7" s="1"/>
  <c r="H72" i="7"/>
  <c r="J72" i="7" s="1"/>
  <c r="K72" i="7" s="1"/>
  <c r="L72" i="7" s="1"/>
  <c r="J30" i="7"/>
  <c r="K30" i="7" s="1"/>
  <c r="L30" i="7" s="1"/>
  <c r="Q205" i="7"/>
  <c r="P205" i="7" s="1"/>
  <c r="H205" i="7"/>
  <c r="N205" i="7" s="1"/>
  <c r="O205" i="7" s="1"/>
  <c r="H170" i="7"/>
  <c r="N170" i="7" s="1"/>
  <c r="O170" i="7" s="1"/>
  <c r="G171" i="7"/>
  <c r="H171" i="7" s="1"/>
  <c r="V272" i="7"/>
  <c r="H270" i="7"/>
  <c r="N270" i="7" s="1"/>
  <c r="O270" i="7" s="1"/>
  <c r="V276" i="7"/>
  <c r="G275" i="7"/>
  <c r="N274" i="7"/>
  <c r="J274" i="7"/>
  <c r="K274" i="7" s="1"/>
  <c r="H247" i="7"/>
  <c r="J247" i="7" s="1"/>
  <c r="K247" i="7" s="1"/>
  <c r="L247" i="7" s="1"/>
  <c r="F328" i="7"/>
  <c r="Q328" i="7" s="1"/>
  <c r="P328" i="7" s="1"/>
  <c r="F321" i="7"/>
  <c r="Q321" i="7" s="1"/>
  <c r="P321" i="7" s="1"/>
  <c r="F308" i="7"/>
  <c r="F315" i="7"/>
  <c r="Q315" i="7" s="1"/>
  <c r="P315" i="7" s="1"/>
  <c r="F309" i="7"/>
  <c r="Q309" i="7" s="1"/>
  <c r="P309" i="7" s="1"/>
  <c r="F324" i="7"/>
  <c r="Q324" i="7" s="1"/>
  <c r="P324" i="7" s="1"/>
  <c r="F310" i="7"/>
  <c r="F304" i="7"/>
  <c r="Q304" i="7" s="1"/>
  <c r="P304" i="7" s="1"/>
  <c r="F326" i="7"/>
  <c r="Q326" i="7" s="1"/>
  <c r="P326" i="7" s="1"/>
  <c r="F293" i="7"/>
  <c r="Q293" i="7" s="1"/>
  <c r="P293" i="7" s="1"/>
  <c r="F323" i="7"/>
  <c r="Q323" i="7" s="1"/>
  <c r="P323" i="7" s="1"/>
  <c r="F322" i="7"/>
  <c r="Q322" i="7" s="1"/>
  <c r="P322" i="7" s="1"/>
  <c r="F287" i="7"/>
  <c r="Q287" i="7" s="1"/>
  <c r="P287" i="7" s="1"/>
  <c r="F298" i="7"/>
  <c r="F318" i="7"/>
  <c r="Q318" i="7" s="1"/>
  <c r="P318" i="7" s="1"/>
  <c r="F291" i="7"/>
  <c r="Q291" i="7" s="1"/>
  <c r="P291" i="7" s="1"/>
  <c r="F317" i="7"/>
  <c r="Q317" i="7" s="1"/>
  <c r="P317" i="7" s="1"/>
  <c r="F290" i="7"/>
  <c r="F313" i="7"/>
  <c r="Q313" i="7" s="1"/>
  <c r="P313" i="7" s="1"/>
  <c r="F300" i="7"/>
  <c r="Q300" i="7" s="1"/>
  <c r="P300" i="7" s="1"/>
  <c r="F286" i="7"/>
  <c r="Q286" i="7" s="1"/>
  <c r="P286" i="7" s="1"/>
  <c r="F325" i="7"/>
  <c r="Q325" i="7" s="1"/>
  <c r="P325" i="7" s="1"/>
  <c r="F299" i="7"/>
  <c r="Q299" i="7" s="1"/>
  <c r="P299" i="7" s="1"/>
  <c r="F306" i="7"/>
  <c r="F301" i="7"/>
  <c r="Q301" i="7" s="1"/>
  <c r="P301" i="7" s="1"/>
  <c r="F307" i="7"/>
  <c r="Q307" i="7" s="1"/>
  <c r="P307" i="7" s="1"/>
  <c r="F288" i="7"/>
  <c r="Q288" i="7" s="1"/>
  <c r="P288" i="7" s="1"/>
  <c r="F311" i="7"/>
  <c r="Q311" i="7" s="1"/>
  <c r="P311" i="7" s="1"/>
  <c r="F320" i="7"/>
  <c r="Q320" i="7" s="1"/>
  <c r="P320" i="7" s="1"/>
  <c r="F289" i="7"/>
  <c r="Q289" i="7" s="1"/>
  <c r="P289" i="7" s="1"/>
  <c r="F327" i="7"/>
  <c r="Q327" i="7" s="1"/>
  <c r="P327" i="7" s="1"/>
  <c r="F297" i="7"/>
  <c r="Q297" i="7" s="1"/>
  <c r="P297" i="7" s="1"/>
  <c r="F314" i="7"/>
  <c r="Q314" i="7" s="1"/>
  <c r="P314" i="7" s="1"/>
  <c r="F305" i="7"/>
  <c r="Q305" i="7" s="1"/>
  <c r="P305" i="7" s="1"/>
  <c r="F296" i="7"/>
  <c r="Q296" i="7" s="1"/>
  <c r="P296" i="7" s="1"/>
  <c r="F292" i="7"/>
  <c r="Q292" i="7" s="1"/>
  <c r="P292" i="7" s="1"/>
  <c r="F284" i="7"/>
  <c r="F285" i="7"/>
  <c r="Q285" i="7" s="1"/>
  <c r="P285" i="7" s="1"/>
  <c r="F295" i="7"/>
  <c r="Q295" i="7" s="1"/>
  <c r="P295" i="7" s="1"/>
  <c r="F316" i="7"/>
  <c r="Q316" i="7" s="1"/>
  <c r="P316" i="7" s="1"/>
  <c r="F294" i="7"/>
  <c r="Q294" i="7" s="1"/>
  <c r="P294" i="7" s="1"/>
  <c r="F303" i="7"/>
  <c r="Q303" i="7" s="1"/>
  <c r="P303" i="7" s="1"/>
  <c r="F319" i="7"/>
  <c r="Q319" i="7" s="1"/>
  <c r="P319" i="7" s="1"/>
  <c r="F312" i="7"/>
  <c r="Q312" i="7" s="1"/>
  <c r="P312" i="7" s="1"/>
  <c r="F302" i="7"/>
  <c r="Q302" i="7" s="1"/>
  <c r="P302" i="7" s="1"/>
  <c r="G280" i="7"/>
  <c r="H280" i="7" s="1"/>
  <c r="N280" i="7" s="1"/>
  <c r="O280" i="7" s="1"/>
  <c r="V282" i="7"/>
  <c r="H243" i="7"/>
  <c r="J243" i="7" s="1"/>
  <c r="N246" i="7"/>
  <c r="O246" i="7" s="1"/>
  <c r="J246" i="7"/>
  <c r="K246" i="7" s="1"/>
  <c r="J248" i="7"/>
  <c r="K248" i="7" s="1"/>
  <c r="L248" i="7" s="1"/>
  <c r="N248" i="7"/>
  <c r="O248" i="7" s="1"/>
  <c r="J265" i="7"/>
  <c r="K265" i="7" s="1"/>
  <c r="L265" i="7" s="1"/>
  <c r="N265" i="7"/>
  <c r="O265" i="7" s="1"/>
  <c r="N260" i="7"/>
  <c r="O260" i="7" s="1"/>
  <c r="J260" i="7"/>
  <c r="K260" i="7" s="1"/>
  <c r="L260" i="7" s="1"/>
  <c r="J255" i="7"/>
  <c r="K255" i="7" s="1"/>
  <c r="L255" i="7" s="1"/>
  <c r="N255" i="7"/>
  <c r="O255" i="7" s="1"/>
  <c r="J257" i="7"/>
  <c r="K257" i="7" s="1"/>
  <c r="L257" i="7" s="1"/>
  <c r="N257" i="7"/>
  <c r="O257" i="7" s="1"/>
  <c r="N253" i="7"/>
  <c r="O253" i="7" s="1"/>
  <c r="J253" i="7"/>
  <c r="K253" i="7" s="1"/>
  <c r="L253" i="7" s="1"/>
  <c r="J264" i="7"/>
  <c r="K264" i="7" s="1"/>
  <c r="L264" i="7" s="1"/>
  <c r="N264" i="7"/>
  <c r="O264" i="7" s="1"/>
  <c r="J261" i="7"/>
  <c r="K261" i="7" s="1"/>
  <c r="L261" i="7" s="1"/>
  <c r="N261" i="7"/>
  <c r="O261" i="7" s="1"/>
  <c r="N263" i="7"/>
  <c r="O263" i="7" s="1"/>
  <c r="J263" i="7"/>
  <c r="K263" i="7" s="1"/>
  <c r="L263" i="7" s="1"/>
  <c r="J268" i="7"/>
  <c r="K268" i="7" s="1"/>
  <c r="L268" i="7" s="1"/>
  <c r="N268" i="7"/>
  <c r="O268" i="7" s="1"/>
  <c r="N267" i="7"/>
  <c r="O267" i="7" s="1"/>
  <c r="J267" i="7"/>
  <c r="K267" i="7" s="1"/>
  <c r="L267" i="7" s="1"/>
  <c r="N254" i="7"/>
  <c r="O254" i="7" s="1"/>
  <c r="J254" i="7"/>
  <c r="K254" i="7" s="1"/>
  <c r="J249" i="7"/>
  <c r="K249" i="7" s="1"/>
  <c r="L249" i="7" s="1"/>
  <c r="N249" i="7"/>
  <c r="O249" i="7" s="1"/>
  <c r="N256" i="7"/>
  <c r="O256" i="7" s="1"/>
  <c r="J256" i="7"/>
  <c r="K256" i="7" s="1"/>
  <c r="L256" i="7" s="1"/>
  <c r="J262" i="7"/>
  <c r="K262" i="7" s="1"/>
  <c r="N262" i="7"/>
  <c r="O262" i="7" s="1"/>
  <c r="R266" i="7"/>
  <c r="H266" i="7" s="1"/>
  <c r="J252" i="7"/>
  <c r="K252" i="7" s="1"/>
  <c r="L252" i="7" s="1"/>
  <c r="N252" i="7"/>
  <c r="O252" i="7" s="1"/>
  <c r="N244" i="7"/>
  <c r="O244" i="7" s="1"/>
  <c r="J244" i="7"/>
  <c r="K244" i="7" s="1"/>
  <c r="L244" i="7" s="1"/>
  <c r="J258" i="7"/>
  <c r="K258" i="7" s="1"/>
  <c r="N258" i="7"/>
  <c r="O258" i="7" s="1"/>
  <c r="N250" i="7"/>
  <c r="O250" i="7" s="1"/>
  <c r="J250" i="7"/>
  <c r="K250" i="7" s="1"/>
  <c r="J251" i="7"/>
  <c r="K251" i="7" s="1"/>
  <c r="L251" i="7" s="1"/>
  <c r="N251" i="7"/>
  <c r="O251" i="7" s="1"/>
  <c r="N259" i="7"/>
  <c r="O259" i="7" s="1"/>
  <c r="J259" i="7"/>
  <c r="K259" i="7" s="1"/>
  <c r="L259" i="7" s="1"/>
  <c r="N245" i="7"/>
  <c r="O245" i="7" s="1"/>
  <c r="J245" i="7"/>
  <c r="K245" i="7" s="1"/>
  <c r="L245" i="7" s="1"/>
  <c r="R281" i="7"/>
  <c r="G219" i="7"/>
  <c r="H219" i="7" s="1"/>
  <c r="H220" i="7" s="1"/>
  <c r="Q220" i="7" s="1"/>
  <c r="P220" i="7" s="1"/>
  <c r="H239" i="7"/>
  <c r="R239" i="7"/>
  <c r="J373" i="7"/>
  <c r="K373" i="7" s="1"/>
  <c r="L373" i="7" s="1"/>
  <c r="N378" i="7"/>
  <c r="O378" i="7" s="1"/>
  <c r="N376" i="7"/>
  <c r="O376" i="7" s="1"/>
  <c r="G165" i="7"/>
  <c r="H165" i="7" s="1"/>
  <c r="J165" i="7" s="1"/>
  <c r="K165" i="7" s="1"/>
  <c r="L165" i="7" s="1"/>
  <c r="H164" i="7"/>
  <c r="N281" i="7"/>
  <c r="O281" i="7" s="1"/>
  <c r="J281" i="7"/>
  <c r="K281" i="7" s="1"/>
  <c r="L281" i="7" s="1"/>
  <c r="H279" i="7"/>
  <c r="R279" i="7"/>
  <c r="R332" i="7"/>
  <c r="H332" i="7"/>
  <c r="H333" i="7"/>
  <c r="R333" i="7"/>
  <c r="R334" i="7"/>
  <c r="H334" i="7"/>
  <c r="G335" i="7"/>
  <c r="H379" i="7"/>
  <c r="Q379" i="7" s="1"/>
  <c r="P379" i="7" s="1"/>
  <c r="N374" i="7"/>
  <c r="O374" i="7" s="1"/>
  <c r="N81" i="7"/>
  <c r="O81" i="7" s="1"/>
  <c r="Q124" i="7"/>
  <c r="P124" i="7" s="1"/>
  <c r="F125" i="7"/>
  <c r="F126" i="7"/>
  <c r="G124" i="7"/>
  <c r="H124" i="7" s="1"/>
  <c r="J225" i="7"/>
  <c r="J226" i="7" s="1"/>
  <c r="N225" i="7"/>
  <c r="N226" i="7" s="1"/>
  <c r="H223" i="7"/>
  <c r="Q223" i="7" s="1"/>
  <c r="P223" i="7" s="1"/>
  <c r="L242" i="7"/>
  <c r="J222" i="7"/>
  <c r="J223" i="7" s="1"/>
  <c r="J80" i="7"/>
  <c r="K80" i="7" s="1"/>
  <c r="L80" i="7" s="1"/>
  <c r="N79" i="7"/>
  <c r="O79" i="7" s="1"/>
  <c r="J79" i="7"/>
  <c r="J91" i="7"/>
  <c r="K91" i="7" s="1"/>
  <c r="L91" i="7" s="1"/>
  <c r="N91" i="7"/>
  <c r="O91" i="7" s="1"/>
  <c r="N96" i="7"/>
  <c r="O96" i="7" s="1"/>
  <c r="J96" i="7"/>
  <c r="K96" i="7" s="1"/>
  <c r="L96" i="7" s="1"/>
  <c r="N82" i="7"/>
  <c r="O82" i="7" s="1"/>
  <c r="J82" i="7"/>
  <c r="K82" i="7" s="1"/>
  <c r="L82" i="7" s="1"/>
  <c r="L81" i="7"/>
  <c r="J70" i="7"/>
  <c r="K70" i="7" s="1"/>
  <c r="L70" i="7" s="1"/>
  <c r="H145" i="7"/>
  <c r="Q145" i="7" s="1"/>
  <c r="P145" i="7" s="1"/>
  <c r="N139" i="7"/>
  <c r="N145" i="7" s="1"/>
  <c r="J131" i="7"/>
  <c r="J137" i="7" s="1"/>
  <c r="H137" i="7"/>
  <c r="Q137" i="7" s="1"/>
  <c r="P137" i="7" s="1"/>
  <c r="N97" i="7"/>
  <c r="O97" i="7" s="1"/>
  <c r="Q195" i="7"/>
  <c r="P195" i="7" s="1"/>
  <c r="Q70" i="7"/>
  <c r="P70" i="7" s="1"/>
  <c r="N68" i="7"/>
  <c r="O68" i="7" s="1"/>
  <c r="Q72" i="7"/>
  <c r="P72" i="7" s="1"/>
  <c r="J92" i="7"/>
  <c r="K92" i="7" s="1"/>
  <c r="L92" i="7" s="1"/>
  <c r="N92" i="7"/>
  <c r="O92" i="7" s="1"/>
  <c r="N137" i="7"/>
  <c r="O131" i="7"/>
  <c r="O137" i="7" s="1"/>
  <c r="J198" i="7"/>
  <c r="K198" i="7" s="1"/>
  <c r="L198" i="7" s="1"/>
  <c r="K139" i="7"/>
  <c r="K145" i="7" s="1"/>
  <c r="N84" i="7"/>
  <c r="H99" i="7"/>
  <c r="Q99" i="7" s="1"/>
  <c r="P99" i="7" s="1"/>
  <c r="J84" i="7"/>
  <c r="L118" i="7"/>
  <c r="H233" i="7"/>
  <c r="Q233" i="7" s="1"/>
  <c r="P233" i="7" s="1"/>
  <c r="N232" i="7"/>
  <c r="O232" i="7" s="1"/>
  <c r="O233" i="7" s="1"/>
  <c r="H236" i="7"/>
  <c r="Q236" i="7" s="1"/>
  <c r="P236" i="7" s="1"/>
  <c r="N204" i="7"/>
  <c r="O204" i="7" s="1"/>
  <c r="N235" i="7"/>
  <c r="N236" i="7" s="1"/>
  <c r="J229" i="7"/>
  <c r="K229" i="7" s="1"/>
  <c r="L229" i="7" s="1"/>
  <c r="H230" i="7"/>
  <c r="Q230" i="7" s="1"/>
  <c r="P230" i="7" s="1"/>
  <c r="J21" i="7"/>
  <c r="K21" i="7" s="1"/>
  <c r="N21" i="7"/>
  <c r="O21" i="7" s="1"/>
  <c r="K109" i="7"/>
  <c r="L109" i="7" s="1"/>
  <c r="K101" i="7"/>
  <c r="L101" i="7" s="1"/>
  <c r="L200" i="7"/>
  <c r="K65" i="7"/>
  <c r="L65" i="7" s="1"/>
  <c r="K371" i="7"/>
  <c r="L371" i="7" s="1"/>
  <c r="N37" i="7"/>
  <c r="O37" i="7" s="1"/>
  <c r="J37" i="7"/>
  <c r="K37" i="7" s="1"/>
  <c r="L37" i="7" s="1"/>
  <c r="J110" i="7"/>
  <c r="K110" i="7" s="1"/>
  <c r="N110" i="7"/>
  <c r="O110" i="7" s="1"/>
  <c r="J19" i="7"/>
  <c r="K19" i="7" s="1"/>
  <c r="L19" i="7" s="1"/>
  <c r="N19" i="7"/>
  <c r="O19" i="7" s="1"/>
  <c r="L212" i="7"/>
  <c r="L213" i="7" s="1"/>
  <c r="K213" i="7"/>
  <c r="J63" i="7"/>
  <c r="K63" i="7" s="1"/>
  <c r="L63" i="7" s="1"/>
  <c r="N63" i="7"/>
  <c r="O63" i="7" s="1"/>
  <c r="O18" i="7"/>
  <c r="K228" i="7"/>
  <c r="K188" i="7"/>
  <c r="L188" i="7" s="1"/>
  <c r="N175" i="7"/>
  <c r="O175" i="7" s="1"/>
  <c r="J175" i="7"/>
  <c r="K175" i="7" s="1"/>
  <c r="L175" i="7" s="1"/>
  <c r="H210" i="7"/>
  <c r="Q210" i="7" s="1"/>
  <c r="P210" i="7" s="1"/>
  <c r="Q209" i="7"/>
  <c r="P209" i="7" s="1"/>
  <c r="N106" i="7"/>
  <c r="O106" i="7" s="1"/>
  <c r="J106" i="7"/>
  <c r="K106" i="7" s="1"/>
  <c r="L106" i="7" s="1"/>
  <c r="J51" i="7"/>
  <c r="K51" i="7" s="1"/>
  <c r="N51" i="7"/>
  <c r="O51" i="7" s="1"/>
  <c r="O113" i="7"/>
  <c r="K235" i="7"/>
  <c r="K236" i="7" s="1"/>
  <c r="N102" i="7"/>
  <c r="O102" i="7" s="1"/>
  <c r="J102" i="7"/>
  <c r="K102" i="7" s="1"/>
  <c r="L102" i="7" s="1"/>
  <c r="J66" i="7"/>
  <c r="K66" i="7" s="1"/>
  <c r="N66" i="7"/>
  <c r="O66" i="7" s="1"/>
  <c r="L46" i="7"/>
  <c r="N195" i="7"/>
  <c r="O195" i="7" s="1"/>
  <c r="J195" i="7"/>
  <c r="K195" i="7" s="1"/>
  <c r="L195" i="7" s="1"/>
  <c r="J43" i="7"/>
  <c r="K43" i="7" s="1"/>
  <c r="L43" i="7" s="1"/>
  <c r="N43" i="7"/>
  <c r="O43" i="7" s="1"/>
  <c r="L68" i="7"/>
  <c r="J192" i="7"/>
  <c r="K192" i="7" s="1"/>
  <c r="L192" i="7" s="1"/>
  <c r="N192" i="7"/>
  <c r="O192" i="7" s="1"/>
  <c r="L113" i="7"/>
  <c r="K184" i="7"/>
  <c r="L180" i="7"/>
  <c r="O180" i="7"/>
  <c r="O174" i="7"/>
  <c r="H40" i="7"/>
  <c r="Q40" i="7" s="1"/>
  <c r="P40" i="7" s="1"/>
  <c r="O188" i="7"/>
  <c r="J208" i="7"/>
  <c r="N208" i="7"/>
  <c r="O117" i="7"/>
  <c r="Q197" i="7"/>
  <c r="P197" i="7" s="1"/>
  <c r="J39" i="7"/>
  <c r="K39" i="7" s="1"/>
  <c r="L39" i="7" s="1"/>
  <c r="N39" i="7"/>
  <c r="O39" i="7" s="1"/>
  <c r="K354" i="7"/>
  <c r="K363" i="7" s="1"/>
  <c r="J363" i="7"/>
  <c r="N181" i="7"/>
  <c r="O181" i="7" s="1"/>
  <c r="J181" i="7"/>
  <c r="K181" i="7" s="1"/>
  <c r="L181" i="7" s="1"/>
  <c r="Q193" i="7"/>
  <c r="P193" i="7" s="1"/>
  <c r="N47" i="7"/>
  <c r="O47" i="7" s="1"/>
  <c r="J47" i="7"/>
  <c r="K47" i="7" s="1"/>
  <c r="L47" i="7" s="1"/>
  <c r="O168" i="7"/>
  <c r="O222" i="7"/>
  <c r="O223" i="7" s="1"/>
  <c r="N223" i="7"/>
  <c r="K42" i="7"/>
  <c r="L403" i="7"/>
  <c r="L404" i="7" s="1"/>
  <c r="J45" i="7"/>
  <c r="K45" i="7" s="1"/>
  <c r="L45" i="7" s="1"/>
  <c r="N45" i="7"/>
  <c r="O45" i="7" s="1"/>
  <c r="J177" i="7"/>
  <c r="K177" i="7" s="1"/>
  <c r="L177" i="7" s="1"/>
  <c r="N177" i="7"/>
  <c r="O177" i="7" s="1"/>
  <c r="O371" i="7"/>
  <c r="O109" i="7"/>
  <c r="N372" i="7"/>
  <c r="O372" i="7" s="1"/>
  <c r="J372" i="7"/>
  <c r="K372" i="7" s="1"/>
  <c r="J23" i="7"/>
  <c r="K23" i="7" s="1"/>
  <c r="L23" i="7" s="1"/>
  <c r="N23" i="7"/>
  <c r="O23" i="7" s="1"/>
  <c r="O105" i="7"/>
  <c r="H178" i="7"/>
  <c r="Q178" i="7" s="1"/>
  <c r="P178" i="7" s="1"/>
  <c r="O354" i="7"/>
  <c r="O363" i="7" s="1"/>
  <c r="N363" i="7"/>
  <c r="N169" i="7"/>
  <c r="O169" i="7" s="1"/>
  <c r="J169" i="7"/>
  <c r="K169" i="7" s="1"/>
  <c r="L169" i="7" s="1"/>
  <c r="O184" i="7"/>
  <c r="J163" i="7"/>
  <c r="K163" i="7" s="1"/>
  <c r="L163" i="7" s="1"/>
  <c r="N163" i="7"/>
  <c r="O163" i="7" s="1"/>
  <c r="N201" i="7"/>
  <c r="O201" i="7" s="1"/>
  <c r="J201" i="7"/>
  <c r="K201" i="7" s="1"/>
  <c r="L201" i="7" s="1"/>
  <c r="L105" i="7"/>
  <c r="H182" i="7"/>
  <c r="Q182" i="7" s="1"/>
  <c r="P182" i="7" s="1"/>
  <c r="N189" i="7"/>
  <c r="O189" i="7" s="1"/>
  <c r="J189" i="7"/>
  <c r="K189" i="7" s="1"/>
  <c r="L189" i="7" s="1"/>
  <c r="O101" i="7"/>
  <c r="K174" i="7"/>
  <c r="K168" i="7"/>
  <c r="N114" i="7"/>
  <c r="O114" i="7" s="1"/>
  <c r="J114" i="7"/>
  <c r="J115" i="7" s="1"/>
  <c r="J185" i="7"/>
  <c r="K185" i="7" s="1"/>
  <c r="N185" i="7"/>
  <c r="O185" i="7" s="1"/>
  <c r="L162" i="7"/>
  <c r="O162" i="7"/>
  <c r="K204" i="7"/>
  <c r="O42" i="7"/>
  <c r="L18" i="7"/>
  <c r="N230" i="7"/>
  <c r="O228" i="7"/>
  <c r="O230" i="7" s="1"/>
  <c r="N33" i="7"/>
  <c r="O33" i="7" s="1"/>
  <c r="J33" i="7"/>
  <c r="K33" i="7" s="1"/>
  <c r="L33" i="7" s="1"/>
  <c r="K232" i="7"/>
  <c r="K233" i="7" s="1"/>
  <c r="L44" i="7"/>
  <c r="J199" i="7"/>
  <c r="K199" i="7" s="1"/>
  <c r="L199" i="7" s="1"/>
  <c r="N199" i="7"/>
  <c r="O199" i="7" s="1"/>
  <c r="K117" i="7"/>
  <c r="J122" i="7"/>
  <c r="J196" i="7"/>
  <c r="K196" i="7" s="1"/>
  <c r="L196" i="7" s="1"/>
  <c r="N196" i="7"/>
  <c r="O196" i="7" s="1"/>
  <c r="L218" i="7"/>
  <c r="O218" i="7"/>
  <c r="H49" i="10"/>
  <c r="J49" i="10" s="1"/>
  <c r="N404" i="31" l="1"/>
  <c r="L189" i="31"/>
  <c r="J363" i="31"/>
  <c r="V329" i="31"/>
  <c r="O174" i="31"/>
  <c r="O178" i="31" s="1"/>
  <c r="K403" i="31"/>
  <c r="K404" i="31" s="1"/>
  <c r="N196" i="32"/>
  <c r="O196" i="32" s="1"/>
  <c r="N204" i="43"/>
  <c r="O204" i="43" s="1"/>
  <c r="K19" i="31"/>
  <c r="K40" i="31" s="1"/>
  <c r="Q199" i="32"/>
  <c r="P199" i="32" s="1"/>
  <c r="H206" i="43"/>
  <c r="Q206" i="43" s="1"/>
  <c r="P206" i="43" s="1"/>
  <c r="Q195" i="32"/>
  <c r="P195" i="32" s="1"/>
  <c r="N208" i="43"/>
  <c r="O208" i="43" s="1"/>
  <c r="H210" i="43"/>
  <c r="Q210" i="43" s="1"/>
  <c r="P210" i="43" s="1"/>
  <c r="N208" i="32"/>
  <c r="O208" i="32" s="1"/>
  <c r="W119" i="7"/>
  <c r="W118" i="7"/>
  <c r="W196" i="7"/>
  <c r="W72" i="7"/>
  <c r="W194" i="7"/>
  <c r="W198" i="7"/>
  <c r="W208" i="7"/>
  <c r="Q103" i="41"/>
  <c r="P103" i="41" s="1"/>
  <c r="W192" i="7"/>
  <c r="Q122" i="41"/>
  <c r="P122" i="41" s="1"/>
  <c r="W204" i="7"/>
  <c r="J204" i="32"/>
  <c r="K204" i="32" s="1"/>
  <c r="H210" i="32"/>
  <c r="Q210" i="32" s="1"/>
  <c r="P210" i="32" s="1"/>
  <c r="J198" i="32"/>
  <c r="K198" i="32" s="1"/>
  <c r="H193" i="32"/>
  <c r="J193" i="32" s="1"/>
  <c r="N281" i="32"/>
  <c r="O281" i="32" s="1"/>
  <c r="J194" i="32"/>
  <c r="K194" i="32" s="1"/>
  <c r="L194" i="32" s="1"/>
  <c r="J192" i="32"/>
  <c r="K192" i="32" s="1"/>
  <c r="L192" i="32" s="1"/>
  <c r="J194" i="43"/>
  <c r="K194" i="43" s="1"/>
  <c r="J189" i="32"/>
  <c r="K189" i="32" s="1"/>
  <c r="L189" i="32" s="1"/>
  <c r="J189" i="41"/>
  <c r="K189" i="41" s="1"/>
  <c r="F411" i="42"/>
  <c r="H195" i="43"/>
  <c r="N195" i="43" s="1"/>
  <c r="O195" i="43" s="1"/>
  <c r="Q197" i="32"/>
  <c r="P197" i="32" s="1"/>
  <c r="H206" i="32"/>
  <c r="Q206" i="32" s="1"/>
  <c r="P206" i="32" s="1"/>
  <c r="L115" i="42"/>
  <c r="J122" i="41"/>
  <c r="J279" i="32"/>
  <c r="K279" i="32" s="1"/>
  <c r="L279" i="32" s="1"/>
  <c r="Q205" i="32"/>
  <c r="P205" i="32" s="1"/>
  <c r="J122" i="42"/>
  <c r="L115" i="43"/>
  <c r="J163" i="42"/>
  <c r="K163" i="42" s="1"/>
  <c r="J163" i="43"/>
  <c r="K163" i="43" s="1"/>
  <c r="L163" i="43" s="1"/>
  <c r="N163" i="43"/>
  <c r="O163" i="43" s="1"/>
  <c r="V329" i="43"/>
  <c r="N115" i="41"/>
  <c r="V329" i="42"/>
  <c r="H77" i="41"/>
  <c r="F411" i="41"/>
  <c r="H40" i="41"/>
  <c r="V329" i="41"/>
  <c r="H77" i="43"/>
  <c r="Q77" i="43" s="1"/>
  <c r="P77" i="43" s="1"/>
  <c r="N122" i="41"/>
  <c r="O122" i="41"/>
  <c r="L175" i="43"/>
  <c r="L178" i="43" s="1"/>
  <c r="K403" i="32"/>
  <c r="K404" i="32" s="1"/>
  <c r="L188" i="42"/>
  <c r="K225" i="42"/>
  <c r="K226" i="42" s="1"/>
  <c r="K403" i="43"/>
  <c r="K404" i="43" s="1"/>
  <c r="K354" i="42"/>
  <c r="K363" i="42" s="1"/>
  <c r="L42" i="41"/>
  <c r="J178" i="41"/>
  <c r="K174" i="41"/>
  <c r="L174" i="41" s="1"/>
  <c r="L178" i="41" s="1"/>
  <c r="L162" i="41"/>
  <c r="L228" i="42"/>
  <c r="L117" i="43"/>
  <c r="K354" i="43"/>
  <c r="K363" i="43" s="1"/>
  <c r="K225" i="43"/>
  <c r="K226" i="43" s="1"/>
  <c r="L122" i="41"/>
  <c r="L101" i="42"/>
  <c r="K119" i="42"/>
  <c r="L119" i="42" s="1"/>
  <c r="L118" i="42"/>
  <c r="K114" i="41"/>
  <c r="K115" i="41" s="1"/>
  <c r="L20" i="41"/>
  <c r="N40" i="43"/>
  <c r="L371" i="43"/>
  <c r="L188" i="41"/>
  <c r="L218" i="41"/>
  <c r="L168" i="43"/>
  <c r="L188" i="43"/>
  <c r="R274" i="41"/>
  <c r="H274" i="41"/>
  <c r="N223" i="42"/>
  <c r="O222" i="42"/>
  <c r="O223" i="42" s="1"/>
  <c r="Q199" i="43"/>
  <c r="P199" i="43" s="1"/>
  <c r="H199" i="43"/>
  <c r="O238" i="43"/>
  <c r="O168" i="43"/>
  <c r="H329" i="43"/>
  <c r="J290" i="43"/>
  <c r="N290" i="43"/>
  <c r="N219" i="41"/>
  <c r="O219" i="41" s="1"/>
  <c r="J219" i="41"/>
  <c r="K219" i="41" s="1"/>
  <c r="K220" i="41" s="1"/>
  <c r="O188" i="41"/>
  <c r="J335" i="43"/>
  <c r="K335" i="43" s="1"/>
  <c r="N335" i="43"/>
  <c r="O335" i="43" s="1"/>
  <c r="O371" i="42"/>
  <c r="Q195" i="41"/>
  <c r="P195" i="41" s="1"/>
  <c r="H195" i="41"/>
  <c r="J198" i="41"/>
  <c r="K198" i="41" s="1"/>
  <c r="L198" i="41" s="1"/>
  <c r="N198" i="41"/>
  <c r="O198" i="41" s="1"/>
  <c r="H195" i="42"/>
  <c r="Q195" i="42"/>
  <c r="P195" i="42" s="1"/>
  <c r="J102" i="42"/>
  <c r="J103" i="42" s="1"/>
  <c r="N102" i="42"/>
  <c r="O102" i="42" s="1"/>
  <c r="N189" i="42"/>
  <c r="O189" i="42" s="1"/>
  <c r="J189" i="42"/>
  <c r="K189" i="42" s="1"/>
  <c r="L189" i="42" s="1"/>
  <c r="N279" i="41"/>
  <c r="O279" i="41" s="1"/>
  <c r="J279" i="41"/>
  <c r="K279" i="41" s="1"/>
  <c r="L279" i="41" s="1"/>
  <c r="O354" i="41"/>
  <c r="O363" i="41" s="1"/>
  <c r="N363" i="41"/>
  <c r="J372" i="42"/>
  <c r="K372" i="42" s="1"/>
  <c r="N372" i="42"/>
  <c r="O372" i="42" s="1"/>
  <c r="O40" i="43"/>
  <c r="N229" i="42"/>
  <c r="O229" i="42" s="1"/>
  <c r="J229" i="42"/>
  <c r="J230" i="42" s="1"/>
  <c r="H230" i="42"/>
  <c r="O331" i="42"/>
  <c r="O222" i="41"/>
  <c r="O223" i="41" s="1"/>
  <c r="N223" i="41"/>
  <c r="N281" i="43"/>
  <c r="O281" i="43" s="1"/>
  <c r="J281" i="43"/>
  <c r="K298" i="42"/>
  <c r="L298" i="42" s="1"/>
  <c r="J219" i="43"/>
  <c r="J220" i="43" s="1"/>
  <c r="N219" i="43"/>
  <c r="O219" i="43" s="1"/>
  <c r="H220" i="43"/>
  <c r="K162" i="42"/>
  <c r="L162" i="42" s="1"/>
  <c r="R274" i="43"/>
  <c r="H274" i="43"/>
  <c r="N194" i="42"/>
  <c r="O194" i="42" s="1"/>
  <c r="J194" i="42"/>
  <c r="K194" i="42" s="1"/>
  <c r="L194" i="42" s="1"/>
  <c r="Q40" i="42"/>
  <c r="P40" i="42" s="1"/>
  <c r="O168" i="42"/>
  <c r="O172" i="42" s="1"/>
  <c r="N172" i="42"/>
  <c r="K403" i="41"/>
  <c r="K404" i="41" s="1"/>
  <c r="H199" i="41"/>
  <c r="Q199" i="41"/>
  <c r="P199" i="41" s="1"/>
  <c r="H272" i="42"/>
  <c r="Q272" i="42" s="1"/>
  <c r="P272" i="42" s="1"/>
  <c r="N242" i="42"/>
  <c r="J242" i="42"/>
  <c r="J272" i="42" s="1"/>
  <c r="J72" i="42"/>
  <c r="K72" i="42" s="1"/>
  <c r="N72" i="42"/>
  <c r="O72" i="42" s="1"/>
  <c r="K18" i="41"/>
  <c r="K354" i="41"/>
  <c r="K363" i="41" s="1"/>
  <c r="H103" i="42"/>
  <c r="Q103" i="42" s="1"/>
  <c r="P103" i="42" s="1"/>
  <c r="K170" i="41"/>
  <c r="J40" i="43"/>
  <c r="G165" i="41"/>
  <c r="H165" i="41" s="1"/>
  <c r="H164" i="41"/>
  <c r="N63" i="41"/>
  <c r="O63" i="41" s="1"/>
  <c r="J63" i="41"/>
  <c r="K63" i="41" s="1"/>
  <c r="H122" i="43"/>
  <c r="Q122" i="43" s="1"/>
  <c r="P122" i="43" s="1"/>
  <c r="N119" i="43"/>
  <c r="O119" i="43" s="1"/>
  <c r="J119" i="43"/>
  <c r="K119" i="43" s="1"/>
  <c r="O117" i="43"/>
  <c r="L218" i="43"/>
  <c r="H379" i="42"/>
  <c r="L310" i="43"/>
  <c r="J169" i="41"/>
  <c r="K169" i="41" s="1"/>
  <c r="L169" i="41" s="1"/>
  <c r="N169" i="41"/>
  <c r="O169" i="41" s="1"/>
  <c r="H205" i="41"/>
  <c r="Q205" i="41"/>
  <c r="P205" i="41" s="1"/>
  <c r="N19" i="41"/>
  <c r="O19" i="41" s="1"/>
  <c r="J19" i="41"/>
  <c r="K19" i="41" s="1"/>
  <c r="L19" i="41" s="1"/>
  <c r="J21" i="41"/>
  <c r="K21" i="41" s="1"/>
  <c r="N21" i="41"/>
  <c r="O21" i="41" s="1"/>
  <c r="N178" i="41"/>
  <c r="O174" i="41"/>
  <c r="O178" i="41" s="1"/>
  <c r="N333" i="42"/>
  <c r="O333" i="42" s="1"/>
  <c r="J333" i="42"/>
  <c r="K333" i="42" s="1"/>
  <c r="L333" i="42" s="1"/>
  <c r="O403" i="43"/>
  <c r="O404" i="43" s="1"/>
  <c r="N404" i="43"/>
  <c r="N306" i="42"/>
  <c r="O306" i="42" s="1"/>
  <c r="J306" i="42"/>
  <c r="K306" i="42" s="1"/>
  <c r="L306" i="42" s="1"/>
  <c r="J290" i="42"/>
  <c r="N290" i="42"/>
  <c r="H329" i="42"/>
  <c r="O18" i="41"/>
  <c r="J178" i="42"/>
  <c r="N72" i="41"/>
  <c r="O72" i="41" s="1"/>
  <c r="J72" i="41"/>
  <c r="K72" i="41" s="1"/>
  <c r="R278" i="41"/>
  <c r="H278" i="41"/>
  <c r="O42" i="43"/>
  <c r="H278" i="43"/>
  <c r="R278" i="43"/>
  <c r="J219" i="42"/>
  <c r="J220" i="42" s="1"/>
  <c r="N219" i="42"/>
  <c r="H220" i="42"/>
  <c r="J118" i="43"/>
  <c r="K118" i="43" s="1"/>
  <c r="N118" i="43"/>
  <c r="O118" i="43" s="1"/>
  <c r="G165" i="42"/>
  <c r="H165" i="42" s="1"/>
  <c r="H164" i="42"/>
  <c r="O225" i="43"/>
  <c r="O226" i="43" s="1"/>
  <c r="N226" i="43"/>
  <c r="N192" i="41"/>
  <c r="O192" i="41" s="1"/>
  <c r="J192" i="41"/>
  <c r="K192" i="41" s="1"/>
  <c r="J43" i="42"/>
  <c r="K43" i="42" s="1"/>
  <c r="N43" i="42"/>
  <c r="O43" i="42" s="1"/>
  <c r="O238" i="42"/>
  <c r="N279" i="43"/>
  <c r="O279" i="43" s="1"/>
  <c r="J279" i="43"/>
  <c r="K279" i="43" s="1"/>
  <c r="L279" i="43" s="1"/>
  <c r="N229" i="43"/>
  <c r="O229" i="43" s="1"/>
  <c r="J229" i="43"/>
  <c r="J230" i="43" s="1"/>
  <c r="K228" i="43"/>
  <c r="L228" i="43" s="1"/>
  <c r="K162" i="43"/>
  <c r="O371" i="43"/>
  <c r="J43" i="41"/>
  <c r="K43" i="41" s="1"/>
  <c r="L43" i="41" s="1"/>
  <c r="N43" i="41"/>
  <c r="O43" i="41" s="1"/>
  <c r="O218" i="43"/>
  <c r="R332" i="42"/>
  <c r="H332" i="42"/>
  <c r="N279" i="42"/>
  <c r="O279" i="42" s="1"/>
  <c r="J279" i="42"/>
  <c r="K279" i="42" s="1"/>
  <c r="L279" i="42" s="1"/>
  <c r="O42" i="41"/>
  <c r="O331" i="43"/>
  <c r="J102" i="41"/>
  <c r="J103" i="41" s="1"/>
  <c r="N102" i="41"/>
  <c r="O102" i="41" s="1"/>
  <c r="H209" i="41"/>
  <c r="H210" i="41" s="1"/>
  <c r="Q209" i="41"/>
  <c r="P209" i="41" s="1"/>
  <c r="N45" i="42"/>
  <c r="O45" i="42" s="1"/>
  <c r="J45" i="42"/>
  <c r="K45" i="42" s="1"/>
  <c r="L45" i="42" s="1"/>
  <c r="L18" i="42"/>
  <c r="O115" i="41"/>
  <c r="K174" i="42"/>
  <c r="K178" i="42" s="1"/>
  <c r="N333" i="41"/>
  <c r="O333" i="41" s="1"/>
  <c r="J333" i="41"/>
  <c r="K333" i="41" s="1"/>
  <c r="L333" i="41" s="1"/>
  <c r="O371" i="41"/>
  <c r="H329" i="41"/>
  <c r="J290" i="41"/>
  <c r="K290" i="41" s="1"/>
  <c r="N290" i="41"/>
  <c r="K378" i="43"/>
  <c r="L378" i="43" s="1"/>
  <c r="K42" i="43"/>
  <c r="L42" i="43" s="1"/>
  <c r="K238" i="41"/>
  <c r="L238" i="41" s="1"/>
  <c r="Q193" i="41"/>
  <c r="P193" i="41" s="1"/>
  <c r="H193" i="41"/>
  <c r="J281" i="41"/>
  <c r="K281" i="41" s="1"/>
  <c r="N281" i="41"/>
  <c r="O281" i="41" s="1"/>
  <c r="L238" i="43"/>
  <c r="H77" i="42"/>
  <c r="Q77" i="42" s="1"/>
  <c r="P77" i="42" s="1"/>
  <c r="L331" i="41"/>
  <c r="N275" i="42"/>
  <c r="O275" i="42" s="1"/>
  <c r="J275" i="42"/>
  <c r="K275" i="42" s="1"/>
  <c r="L275" i="42" s="1"/>
  <c r="O228" i="43"/>
  <c r="K403" i="42"/>
  <c r="K404" i="42" s="1"/>
  <c r="K178" i="43"/>
  <c r="O228" i="41"/>
  <c r="N275" i="43"/>
  <c r="O275" i="43" s="1"/>
  <c r="J275" i="43"/>
  <c r="K275" i="43" s="1"/>
  <c r="L275" i="43" s="1"/>
  <c r="K376" i="43"/>
  <c r="L376" i="43" s="1"/>
  <c r="O354" i="43"/>
  <c r="O363" i="43" s="1"/>
  <c r="N363" i="43"/>
  <c r="L103" i="43"/>
  <c r="J209" i="43"/>
  <c r="K209" i="43" s="1"/>
  <c r="K210" i="43" s="1"/>
  <c r="N209" i="43"/>
  <c r="O209" i="43" s="1"/>
  <c r="O168" i="41"/>
  <c r="O403" i="41"/>
  <c r="O404" i="41" s="1"/>
  <c r="N404" i="41"/>
  <c r="F411" i="32"/>
  <c r="N208" i="42"/>
  <c r="J208" i="42"/>
  <c r="K208" i="42" s="1"/>
  <c r="L208" i="42" s="1"/>
  <c r="O188" i="42"/>
  <c r="J192" i="42"/>
  <c r="K192" i="42" s="1"/>
  <c r="L192" i="42" s="1"/>
  <c r="N192" i="42"/>
  <c r="O192" i="42" s="1"/>
  <c r="K374" i="42"/>
  <c r="L374" i="42" s="1"/>
  <c r="N189" i="43"/>
  <c r="O189" i="43" s="1"/>
  <c r="J189" i="43"/>
  <c r="K189" i="43" s="1"/>
  <c r="O174" i="42"/>
  <c r="O178" i="42" s="1"/>
  <c r="N178" i="42"/>
  <c r="N196" i="41"/>
  <c r="O196" i="41" s="1"/>
  <c r="J196" i="41"/>
  <c r="K196" i="41" s="1"/>
  <c r="L196" i="41" s="1"/>
  <c r="O101" i="42"/>
  <c r="K371" i="41"/>
  <c r="N198" i="42"/>
  <c r="O198" i="42" s="1"/>
  <c r="J198" i="42"/>
  <c r="K198" i="42" s="1"/>
  <c r="L198" i="42" s="1"/>
  <c r="G171" i="43"/>
  <c r="H171" i="43" s="1"/>
  <c r="H170" i="43"/>
  <c r="O188" i="43"/>
  <c r="O238" i="41"/>
  <c r="H172" i="41"/>
  <c r="O228" i="42"/>
  <c r="R239" i="42"/>
  <c r="H239" i="42"/>
  <c r="R278" i="42"/>
  <c r="H278" i="42"/>
  <c r="J72" i="43"/>
  <c r="K72" i="43" s="1"/>
  <c r="L72" i="43" s="1"/>
  <c r="N72" i="43"/>
  <c r="O72" i="43" s="1"/>
  <c r="H332" i="43"/>
  <c r="R332" i="43"/>
  <c r="R239" i="41"/>
  <c r="H239" i="41"/>
  <c r="N122" i="42"/>
  <c r="H230" i="43"/>
  <c r="O403" i="42"/>
  <c r="O404" i="42" s="1"/>
  <c r="N404" i="42"/>
  <c r="O162" i="43"/>
  <c r="J178" i="43"/>
  <c r="J196" i="42"/>
  <c r="K196" i="42" s="1"/>
  <c r="L196" i="42" s="1"/>
  <c r="N196" i="42"/>
  <c r="O196" i="42" s="1"/>
  <c r="K222" i="43"/>
  <c r="K223" i="43" s="1"/>
  <c r="N334" i="42"/>
  <c r="O334" i="42" s="1"/>
  <c r="J334" i="42"/>
  <c r="K334" i="42" s="1"/>
  <c r="L334" i="42" s="1"/>
  <c r="J334" i="43"/>
  <c r="K334" i="43" s="1"/>
  <c r="L334" i="43" s="1"/>
  <c r="N334" i="43"/>
  <c r="O334" i="43" s="1"/>
  <c r="N205" i="43"/>
  <c r="O205" i="43" s="1"/>
  <c r="J205" i="43"/>
  <c r="J206" i="43" s="1"/>
  <c r="O162" i="41"/>
  <c r="H209" i="42"/>
  <c r="Q209" i="42"/>
  <c r="P209" i="42" s="1"/>
  <c r="J45" i="41"/>
  <c r="K45" i="41" s="1"/>
  <c r="L45" i="41" s="1"/>
  <c r="N45" i="41"/>
  <c r="O45" i="41" s="1"/>
  <c r="O18" i="42"/>
  <c r="L101" i="41"/>
  <c r="H193" i="42"/>
  <c r="Q193" i="42"/>
  <c r="P193" i="42" s="1"/>
  <c r="J229" i="41"/>
  <c r="J230" i="41" s="1"/>
  <c r="N229" i="41"/>
  <c r="O229" i="41" s="1"/>
  <c r="H197" i="41"/>
  <c r="Q197" i="41"/>
  <c r="P197" i="41" s="1"/>
  <c r="H199" i="42"/>
  <c r="Q199" i="42"/>
  <c r="P199" i="42" s="1"/>
  <c r="N242" i="43"/>
  <c r="J242" i="43"/>
  <c r="J272" i="43" s="1"/>
  <c r="H272" i="43"/>
  <c r="Q272" i="43" s="1"/>
  <c r="P272" i="43" s="1"/>
  <c r="J275" i="41"/>
  <c r="K275" i="41" s="1"/>
  <c r="L275" i="41" s="1"/>
  <c r="N275" i="41"/>
  <c r="O275" i="41" s="1"/>
  <c r="K225" i="41"/>
  <c r="K226" i="41" s="1"/>
  <c r="K222" i="42"/>
  <c r="K223" i="42" s="1"/>
  <c r="K40" i="43"/>
  <c r="O331" i="41"/>
  <c r="O122" i="42"/>
  <c r="O174" i="43"/>
  <c r="O178" i="43" s="1"/>
  <c r="N178" i="43"/>
  <c r="L310" i="42"/>
  <c r="J280" i="43"/>
  <c r="K280" i="43" s="1"/>
  <c r="L280" i="43" s="1"/>
  <c r="N280" i="43"/>
  <c r="O280" i="43" s="1"/>
  <c r="R239" i="43"/>
  <c r="H239" i="43"/>
  <c r="Q197" i="42"/>
  <c r="P197" i="42" s="1"/>
  <c r="H197" i="42"/>
  <c r="N306" i="43"/>
  <c r="O306" i="43" s="1"/>
  <c r="J306" i="43"/>
  <c r="K306" i="43" s="1"/>
  <c r="L306" i="43" s="1"/>
  <c r="N196" i="43"/>
  <c r="O196" i="43" s="1"/>
  <c r="J196" i="43"/>
  <c r="K196" i="43" s="1"/>
  <c r="O222" i="43"/>
  <c r="O223" i="43" s="1"/>
  <c r="N223" i="43"/>
  <c r="H220" i="41"/>
  <c r="L29" i="41"/>
  <c r="N335" i="42"/>
  <c r="O335" i="42" s="1"/>
  <c r="J335" i="42"/>
  <c r="K335" i="42" s="1"/>
  <c r="J204" i="42"/>
  <c r="K204" i="42" s="1"/>
  <c r="N204" i="42"/>
  <c r="J192" i="43"/>
  <c r="K192" i="43" s="1"/>
  <c r="L192" i="43" s="1"/>
  <c r="N192" i="43"/>
  <c r="O192" i="43" s="1"/>
  <c r="L117" i="42"/>
  <c r="N30" i="41"/>
  <c r="O30" i="41" s="1"/>
  <c r="J30" i="41"/>
  <c r="K30" i="41" s="1"/>
  <c r="L30" i="41" s="1"/>
  <c r="J281" i="42"/>
  <c r="K281" i="42" s="1"/>
  <c r="L281" i="42" s="1"/>
  <c r="N281" i="42"/>
  <c r="O281" i="42" s="1"/>
  <c r="H272" i="41"/>
  <c r="Q272" i="41" s="1"/>
  <c r="P272" i="41" s="1"/>
  <c r="J242" i="41"/>
  <c r="J272" i="41" s="1"/>
  <c r="N242" i="41"/>
  <c r="N335" i="41"/>
  <c r="O335" i="41" s="1"/>
  <c r="J335" i="41"/>
  <c r="K335" i="41" s="1"/>
  <c r="L335" i="41" s="1"/>
  <c r="N19" i="42"/>
  <c r="O19" i="42" s="1"/>
  <c r="J19" i="42"/>
  <c r="K19" i="42" s="1"/>
  <c r="L19" i="42" s="1"/>
  <c r="N306" i="41"/>
  <c r="O306" i="41" s="1"/>
  <c r="J306" i="41"/>
  <c r="K306" i="41" s="1"/>
  <c r="L306" i="41" s="1"/>
  <c r="L373" i="42"/>
  <c r="K204" i="43"/>
  <c r="N334" i="41"/>
  <c r="O334" i="41" s="1"/>
  <c r="J334" i="41"/>
  <c r="K334" i="41" s="1"/>
  <c r="O101" i="41"/>
  <c r="N43" i="43"/>
  <c r="O43" i="43" s="1"/>
  <c r="J43" i="43"/>
  <c r="J204" i="41"/>
  <c r="K204" i="41" s="1"/>
  <c r="L204" i="41" s="1"/>
  <c r="N204" i="41"/>
  <c r="N226" i="42"/>
  <c r="O225" i="42"/>
  <c r="O226" i="42" s="1"/>
  <c r="H332" i="41"/>
  <c r="R332" i="41"/>
  <c r="N333" i="43"/>
  <c r="O333" i="43" s="1"/>
  <c r="J333" i="43"/>
  <c r="K333" i="43" s="1"/>
  <c r="K168" i="42"/>
  <c r="J172" i="42"/>
  <c r="N226" i="41"/>
  <c r="O225" i="41"/>
  <c r="O226" i="41" s="1"/>
  <c r="J208" i="41"/>
  <c r="K208" i="41" s="1"/>
  <c r="N208" i="41"/>
  <c r="J372" i="41"/>
  <c r="K372" i="41" s="1"/>
  <c r="N372" i="41"/>
  <c r="O372" i="41" s="1"/>
  <c r="K331" i="42"/>
  <c r="J198" i="43"/>
  <c r="K198" i="43" s="1"/>
  <c r="L198" i="43" s="1"/>
  <c r="N198" i="43"/>
  <c r="O198" i="43" s="1"/>
  <c r="L40" i="43"/>
  <c r="O354" i="42"/>
  <c r="O363" i="42" s="1"/>
  <c r="N363" i="42"/>
  <c r="O42" i="42"/>
  <c r="K222" i="41"/>
  <c r="K223" i="41" s="1"/>
  <c r="L298" i="43"/>
  <c r="N280" i="42"/>
  <c r="O280" i="42" s="1"/>
  <c r="J280" i="42"/>
  <c r="K280" i="42" s="1"/>
  <c r="L280" i="42" s="1"/>
  <c r="H379" i="43"/>
  <c r="N372" i="43"/>
  <c r="O372" i="43" s="1"/>
  <c r="J372" i="43"/>
  <c r="K372" i="43" s="1"/>
  <c r="J280" i="41"/>
  <c r="K280" i="41" s="1"/>
  <c r="L280" i="41" s="1"/>
  <c r="N280" i="41"/>
  <c r="O280" i="41" s="1"/>
  <c r="K122" i="41"/>
  <c r="R274" i="42"/>
  <c r="H274" i="42"/>
  <c r="K115" i="42"/>
  <c r="O162" i="42"/>
  <c r="Q197" i="43"/>
  <c r="P197" i="43" s="1"/>
  <c r="H197" i="43"/>
  <c r="O218" i="41"/>
  <c r="N194" i="41"/>
  <c r="O194" i="41" s="1"/>
  <c r="J194" i="41"/>
  <c r="K194" i="41" s="1"/>
  <c r="L194" i="41" s="1"/>
  <c r="H205" i="42"/>
  <c r="Q205" i="42"/>
  <c r="P205" i="42" s="1"/>
  <c r="Q193" i="43"/>
  <c r="P193" i="43" s="1"/>
  <c r="H193" i="43"/>
  <c r="L374" i="32"/>
  <c r="J169" i="32"/>
  <c r="K169" i="32" s="1"/>
  <c r="J270" i="7"/>
  <c r="K270" i="7" s="1"/>
  <c r="L118" i="32"/>
  <c r="L122" i="32" s="1"/>
  <c r="N210" i="31"/>
  <c r="O103" i="31"/>
  <c r="V329" i="32"/>
  <c r="L188" i="32"/>
  <c r="L174" i="32"/>
  <c r="L178" i="32" s="1"/>
  <c r="J122" i="32"/>
  <c r="L281" i="32"/>
  <c r="N172" i="31"/>
  <c r="J230" i="31"/>
  <c r="L371" i="32"/>
  <c r="L68" i="32"/>
  <c r="L42" i="32"/>
  <c r="L228" i="32"/>
  <c r="K230" i="31"/>
  <c r="O122" i="32"/>
  <c r="N122" i="32"/>
  <c r="O354" i="32"/>
  <c r="O363" i="32" s="1"/>
  <c r="N363" i="32"/>
  <c r="L218" i="32"/>
  <c r="O188" i="32"/>
  <c r="J205" i="32"/>
  <c r="K205" i="32" s="1"/>
  <c r="N205" i="32"/>
  <c r="O205" i="32" s="1"/>
  <c r="O222" i="32"/>
  <c r="O223" i="32" s="1"/>
  <c r="N223" i="32"/>
  <c r="K298" i="32"/>
  <c r="L298" i="32" s="1"/>
  <c r="J335" i="32"/>
  <c r="K335" i="32" s="1"/>
  <c r="L335" i="32" s="1"/>
  <c r="N335" i="32"/>
  <c r="O335" i="32" s="1"/>
  <c r="N45" i="32"/>
  <c r="O45" i="32" s="1"/>
  <c r="J45" i="32"/>
  <c r="K45" i="32" s="1"/>
  <c r="L45" i="32" s="1"/>
  <c r="K101" i="32"/>
  <c r="O403" i="32"/>
  <c r="O404" i="32" s="1"/>
  <c r="N404" i="32"/>
  <c r="L376" i="32"/>
  <c r="R332" i="32"/>
  <c r="H332" i="32"/>
  <c r="N166" i="32"/>
  <c r="O162" i="32"/>
  <c r="O166" i="32" s="1"/>
  <c r="N372" i="32"/>
  <c r="O372" i="32" s="1"/>
  <c r="J372" i="32"/>
  <c r="J379" i="32" s="1"/>
  <c r="N306" i="32"/>
  <c r="O306" i="32" s="1"/>
  <c r="J306" i="32"/>
  <c r="K306" i="32" s="1"/>
  <c r="L306" i="32" s="1"/>
  <c r="N275" i="32"/>
  <c r="O275" i="32" s="1"/>
  <c r="J275" i="32"/>
  <c r="K275" i="32" s="1"/>
  <c r="L275" i="32" s="1"/>
  <c r="N197" i="32"/>
  <c r="O197" i="32" s="1"/>
  <c r="J197" i="32"/>
  <c r="K197" i="32" s="1"/>
  <c r="L197" i="32" s="1"/>
  <c r="K178" i="32"/>
  <c r="O174" i="32"/>
  <c r="O178" i="32" s="1"/>
  <c r="N178" i="32"/>
  <c r="N290" i="32"/>
  <c r="H329" i="32"/>
  <c r="J290" i="32"/>
  <c r="K290" i="32" s="1"/>
  <c r="L290" i="32" s="1"/>
  <c r="O225" i="32"/>
  <c r="O226" i="32" s="1"/>
  <c r="N226" i="32"/>
  <c r="L331" i="32"/>
  <c r="O204" i="32"/>
  <c r="K354" i="32"/>
  <c r="K363" i="32" s="1"/>
  <c r="N21" i="32"/>
  <c r="O21" i="32" s="1"/>
  <c r="J21" i="32"/>
  <c r="K21" i="32" s="1"/>
  <c r="L21" i="32" s="1"/>
  <c r="J195" i="32"/>
  <c r="K195" i="32" s="1"/>
  <c r="N195" i="32"/>
  <c r="O195" i="32" s="1"/>
  <c r="K222" i="32"/>
  <c r="K223" i="32" s="1"/>
  <c r="O371" i="32"/>
  <c r="J43" i="32"/>
  <c r="N43" i="32"/>
  <c r="O43" i="32" s="1"/>
  <c r="L162" i="32"/>
  <c r="L166" i="32" s="1"/>
  <c r="K166" i="32"/>
  <c r="O228" i="32"/>
  <c r="N333" i="32"/>
  <c r="O333" i="32" s="1"/>
  <c r="J333" i="32"/>
  <c r="K333" i="32" s="1"/>
  <c r="L333" i="32" s="1"/>
  <c r="O331" i="32"/>
  <c r="J229" i="32"/>
  <c r="K229" i="32" s="1"/>
  <c r="K230" i="32" s="1"/>
  <c r="N229" i="32"/>
  <c r="O229" i="32" s="1"/>
  <c r="R239" i="32"/>
  <c r="H239" i="32"/>
  <c r="N102" i="32"/>
  <c r="O102" i="32" s="1"/>
  <c r="J102" i="32"/>
  <c r="J103" i="32" s="1"/>
  <c r="J209" i="32"/>
  <c r="K209" i="32" s="1"/>
  <c r="N209" i="32"/>
  <c r="O209" i="32" s="1"/>
  <c r="R274" i="32"/>
  <c r="H274" i="32"/>
  <c r="J219" i="32"/>
  <c r="K219" i="32" s="1"/>
  <c r="K220" i="32" s="1"/>
  <c r="N219" i="32"/>
  <c r="O219" i="32" s="1"/>
  <c r="N199" i="32"/>
  <c r="O199" i="32" s="1"/>
  <c r="J199" i="32"/>
  <c r="K199" i="32" s="1"/>
  <c r="L199" i="32" s="1"/>
  <c r="K225" i="32"/>
  <c r="K226" i="32" s="1"/>
  <c r="G171" i="32"/>
  <c r="H171" i="32" s="1"/>
  <c r="H170" i="32"/>
  <c r="R278" i="32"/>
  <c r="H278" i="32"/>
  <c r="N334" i="32"/>
  <c r="O334" i="32" s="1"/>
  <c r="J334" i="32"/>
  <c r="K334" i="32" s="1"/>
  <c r="L334" i="32" s="1"/>
  <c r="H77" i="32"/>
  <c r="Q77" i="32" s="1"/>
  <c r="P77" i="32" s="1"/>
  <c r="N72" i="32"/>
  <c r="O72" i="32" s="1"/>
  <c r="J72" i="32"/>
  <c r="K72" i="32" s="1"/>
  <c r="L72" i="32" s="1"/>
  <c r="N242" i="32"/>
  <c r="J242" i="32"/>
  <c r="J272" i="32" s="1"/>
  <c r="H272" i="32"/>
  <c r="Q272" i="32" s="1"/>
  <c r="P272" i="32" s="1"/>
  <c r="O218" i="32"/>
  <c r="L308" i="32"/>
  <c r="O238" i="32"/>
  <c r="L238" i="32"/>
  <c r="N19" i="32"/>
  <c r="J19" i="32"/>
  <c r="K19" i="32" s="1"/>
  <c r="L19" i="32" s="1"/>
  <c r="H40" i="32"/>
  <c r="Q40" i="32" s="1"/>
  <c r="P40" i="32" s="1"/>
  <c r="O101" i="32"/>
  <c r="L208" i="32"/>
  <c r="J166" i="32"/>
  <c r="O42" i="32"/>
  <c r="J178" i="32"/>
  <c r="H230" i="32"/>
  <c r="O168" i="32"/>
  <c r="N202" i="31"/>
  <c r="J206" i="31"/>
  <c r="J122" i="31"/>
  <c r="N77" i="31"/>
  <c r="L205" i="31"/>
  <c r="L206" i="31" s="1"/>
  <c r="J172" i="31"/>
  <c r="L280" i="31"/>
  <c r="K242" i="31"/>
  <c r="K272" i="31" s="1"/>
  <c r="O172" i="31"/>
  <c r="O77" i="31"/>
  <c r="O210" i="31"/>
  <c r="N103" i="31"/>
  <c r="J202" i="31"/>
  <c r="L279" i="31"/>
  <c r="L199" i="31"/>
  <c r="K372" i="31"/>
  <c r="L372" i="31" s="1"/>
  <c r="L379" i="31" s="1"/>
  <c r="K209" i="31"/>
  <c r="K210" i="31" s="1"/>
  <c r="L229" i="31"/>
  <c r="L230" i="31" s="1"/>
  <c r="L197" i="31"/>
  <c r="O220" i="31"/>
  <c r="K226" i="31"/>
  <c r="L225" i="31"/>
  <c r="L226" i="31" s="1"/>
  <c r="J220" i="31"/>
  <c r="N206" i="31"/>
  <c r="O290" i="31"/>
  <c r="O329" i="31" s="1"/>
  <c r="N329" i="31"/>
  <c r="O230" i="31"/>
  <c r="O122" i="31"/>
  <c r="O202" i="31"/>
  <c r="N239" i="31"/>
  <c r="J239" i="31"/>
  <c r="J240" i="31" s="1"/>
  <c r="H240" i="31"/>
  <c r="L220" i="31"/>
  <c r="N379" i="31"/>
  <c r="O206" i="31"/>
  <c r="K329" i="31"/>
  <c r="N164" i="31"/>
  <c r="J164" i="31"/>
  <c r="K164" i="31" s="1"/>
  <c r="L164" i="31" s="1"/>
  <c r="H166" i="31"/>
  <c r="N230" i="31"/>
  <c r="L122" i="31"/>
  <c r="K202" i="31"/>
  <c r="L188" i="31"/>
  <c r="J274" i="31"/>
  <c r="J276" i="31" s="1"/>
  <c r="N274" i="31"/>
  <c r="H276" i="31"/>
  <c r="L222" i="31"/>
  <c r="L223" i="31" s="1"/>
  <c r="O379" i="31"/>
  <c r="L290" i="31"/>
  <c r="L329" i="31" s="1"/>
  <c r="N165" i="31"/>
  <c r="O165" i="31" s="1"/>
  <c r="J165" i="31"/>
  <c r="K165" i="31" s="1"/>
  <c r="L165" i="31" s="1"/>
  <c r="K122" i="31"/>
  <c r="N332" i="31"/>
  <c r="J332" i="31"/>
  <c r="J336" i="31" s="1"/>
  <c r="H336" i="31"/>
  <c r="N122" i="31"/>
  <c r="L354" i="31"/>
  <c r="L363" i="31" s="1"/>
  <c r="K363" i="31"/>
  <c r="K206" i="31"/>
  <c r="K77" i="31"/>
  <c r="L42" i="31"/>
  <c r="L77" i="31" s="1"/>
  <c r="K102" i="31"/>
  <c r="K103" i="31" s="1"/>
  <c r="K220" i="31"/>
  <c r="L168" i="31"/>
  <c r="L172" i="31" s="1"/>
  <c r="K172" i="31"/>
  <c r="J329" i="31"/>
  <c r="J77" i="31"/>
  <c r="N220" i="31"/>
  <c r="N272" i="31"/>
  <c r="O242" i="31"/>
  <c r="O272" i="31" s="1"/>
  <c r="J278" i="31"/>
  <c r="J282" i="31" s="1"/>
  <c r="N278" i="31"/>
  <c r="H282" i="31"/>
  <c r="O122" i="7"/>
  <c r="N122" i="7"/>
  <c r="H172" i="7"/>
  <c r="Q172" i="7" s="1"/>
  <c r="P172" i="7" s="1"/>
  <c r="J170" i="7"/>
  <c r="K170" i="7" s="1"/>
  <c r="L170" i="7" s="1"/>
  <c r="J171" i="7"/>
  <c r="K171" i="7" s="1"/>
  <c r="L171" i="7" s="1"/>
  <c r="N171" i="7"/>
  <c r="O171" i="7" s="1"/>
  <c r="O172" i="7" s="1"/>
  <c r="N247" i="7"/>
  <c r="O247" i="7" s="1"/>
  <c r="L274" i="7"/>
  <c r="O274" i="7"/>
  <c r="H275" i="7"/>
  <c r="R275" i="7"/>
  <c r="N243" i="7"/>
  <c r="O243" i="7" s="1"/>
  <c r="V306" i="7"/>
  <c r="G306" i="7" s="1"/>
  <c r="F329" i="7"/>
  <c r="F411" i="7" s="1"/>
  <c r="Q306" i="7"/>
  <c r="P306" i="7" s="1"/>
  <c r="V310" i="7"/>
  <c r="Q310" i="7"/>
  <c r="P310" i="7" s="1"/>
  <c r="V308" i="7"/>
  <c r="G308" i="7" s="1"/>
  <c r="Q308" i="7"/>
  <c r="P308" i="7" s="1"/>
  <c r="V290" i="7"/>
  <c r="G290" i="7" s="1"/>
  <c r="Q290" i="7"/>
  <c r="P290" i="7" s="1"/>
  <c r="V298" i="7"/>
  <c r="G298" i="7" s="1"/>
  <c r="Q298" i="7"/>
  <c r="P298" i="7" s="1"/>
  <c r="Q283" i="7"/>
  <c r="P283" i="7" s="1"/>
  <c r="Q284" i="7"/>
  <c r="P284" i="7" s="1"/>
  <c r="R280" i="7"/>
  <c r="H272" i="7"/>
  <c r="Q272" i="7" s="1"/>
  <c r="P272" i="7" s="1"/>
  <c r="L246" i="7"/>
  <c r="L262" i="7"/>
  <c r="J280" i="7"/>
  <c r="K280" i="7" s="1"/>
  <c r="L258" i="7"/>
  <c r="L254" i="7"/>
  <c r="K243" i="7"/>
  <c r="L250" i="7"/>
  <c r="J266" i="7"/>
  <c r="K266" i="7" s="1"/>
  <c r="L266" i="7" s="1"/>
  <c r="N266" i="7"/>
  <c r="O266" i="7" s="1"/>
  <c r="J219" i="7"/>
  <c r="K219" i="7" s="1"/>
  <c r="L219" i="7" s="1"/>
  <c r="L220" i="7" s="1"/>
  <c r="N219" i="7"/>
  <c r="O219" i="7" s="1"/>
  <c r="O220" i="7" s="1"/>
  <c r="N239" i="7"/>
  <c r="J239" i="7"/>
  <c r="H240" i="7"/>
  <c r="N165" i="7"/>
  <c r="O165" i="7" s="1"/>
  <c r="J164" i="7"/>
  <c r="K164" i="7" s="1"/>
  <c r="L164" i="7" s="1"/>
  <c r="L166" i="7" s="1"/>
  <c r="N164" i="7"/>
  <c r="O164" i="7" s="1"/>
  <c r="H166" i="7"/>
  <c r="Q166" i="7" s="1"/>
  <c r="P166" i="7" s="1"/>
  <c r="J279" i="7"/>
  <c r="N279" i="7"/>
  <c r="J332" i="7"/>
  <c r="K332" i="7" s="1"/>
  <c r="L332" i="7" s="1"/>
  <c r="N332" i="7"/>
  <c r="O332" i="7" s="1"/>
  <c r="N333" i="7"/>
  <c r="O333" i="7" s="1"/>
  <c r="J333" i="7"/>
  <c r="K333" i="7" s="1"/>
  <c r="L333" i="7" s="1"/>
  <c r="J334" i="7"/>
  <c r="K334" i="7" s="1"/>
  <c r="L334" i="7" s="1"/>
  <c r="N334" i="7"/>
  <c r="O334" i="7" s="1"/>
  <c r="H335" i="7"/>
  <c r="R335" i="7"/>
  <c r="H126" i="7"/>
  <c r="Q126" i="7"/>
  <c r="P126" i="7" s="1"/>
  <c r="H125" i="7"/>
  <c r="Q125" i="7"/>
  <c r="P125" i="7" s="1"/>
  <c r="J124" i="7"/>
  <c r="N124" i="7"/>
  <c r="K111" i="7"/>
  <c r="O225" i="7"/>
  <c r="O226" i="7" s="1"/>
  <c r="K225" i="7"/>
  <c r="K226" i="7" s="1"/>
  <c r="K222" i="7"/>
  <c r="K223" i="7" s="1"/>
  <c r="K79" i="7"/>
  <c r="L79" i="7" s="1"/>
  <c r="N233" i="7"/>
  <c r="N70" i="7"/>
  <c r="O70" i="7" s="1"/>
  <c r="O139" i="7"/>
  <c r="O145" i="7" s="1"/>
  <c r="N72" i="7"/>
  <c r="O72" i="7" s="1"/>
  <c r="H202" i="7"/>
  <c r="Q202" i="7" s="1"/>
  <c r="P202" i="7" s="1"/>
  <c r="K131" i="7"/>
  <c r="L131" i="7" s="1"/>
  <c r="L137" i="7" s="1"/>
  <c r="L139" i="7"/>
  <c r="L145" i="7" s="1"/>
  <c r="H77" i="7"/>
  <c r="K84" i="7"/>
  <c r="J99" i="7"/>
  <c r="O84" i="7"/>
  <c r="O99" i="7" s="1"/>
  <c r="N99" i="7"/>
  <c r="O235" i="7"/>
  <c r="O236" i="7" s="1"/>
  <c r="J205" i="7"/>
  <c r="K205" i="7" s="1"/>
  <c r="L205" i="7" s="1"/>
  <c r="K230" i="7"/>
  <c r="L21" i="7"/>
  <c r="L40" i="7" s="1"/>
  <c r="H206" i="7"/>
  <c r="Q206" i="7" s="1"/>
  <c r="P206" i="7" s="1"/>
  <c r="J230" i="7"/>
  <c r="L66" i="7"/>
  <c r="O186" i="7"/>
  <c r="L103" i="7"/>
  <c r="N103" i="7"/>
  <c r="O103" i="7"/>
  <c r="L107" i="7"/>
  <c r="L235" i="7"/>
  <c r="L236" i="7" s="1"/>
  <c r="K379" i="7"/>
  <c r="N178" i="7"/>
  <c r="J178" i="7"/>
  <c r="O206" i="7"/>
  <c r="J107" i="7"/>
  <c r="J77" i="7"/>
  <c r="N182" i="7"/>
  <c r="O379" i="7"/>
  <c r="J182" i="7"/>
  <c r="K40" i="7"/>
  <c r="O178" i="7"/>
  <c r="L182" i="7"/>
  <c r="K186" i="7"/>
  <c r="O115" i="7"/>
  <c r="N40" i="7"/>
  <c r="J40" i="7"/>
  <c r="L185" i="7"/>
  <c r="K114" i="7"/>
  <c r="L168" i="7"/>
  <c r="L204" i="7"/>
  <c r="N107" i="7"/>
  <c r="L372" i="7"/>
  <c r="L379" i="7" s="1"/>
  <c r="N111" i="7"/>
  <c r="L228" i="7"/>
  <c r="L230" i="7" s="1"/>
  <c r="N206" i="7"/>
  <c r="J103" i="7"/>
  <c r="K107" i="7"/>
  <c r="L51" i="7"/>
  <c r="N209" i="7"/>
  <c r="O209" i="7" s="1"/>
  <c r="J209" i="7"/>
  <c r="K209" i="7" s="1"/>
  <c r="L209" i="7" s="1"/>
  <c r="O40" i="7"/>
  <c r="J186" i="7"/>
  <c r="J379" i="7"/>
  <c r="K208" i="7"/>
  <c r="L208" i="7" s="1"/>
  <c r="N115" i="7"/>
  <c r="O111" i="7"/>
  <c r="L42" i="7"/>
  <c r="K77" i="7"/>
  <c r="K122" i="7"/>
  <c r="L117" i="7"/>
  <c r="L122" i="7" s="1"/>
  <c r="L174" i="7"/>
  <c r="L178" i="7" s="1"/>
  <c r="K178" i="7"/>
  <c r="N186" i="7"/>
  <c r="O107" i="7"/>
  <c r="N379" i="7"/>
  <c r="K182" i="7"/>
  <c r="N193" i="7"/>
  <c r="J193" i="7"/>
  <c r="K193" i="7" s="1"/>
  <c r="N197" i="7"/>
  <c r="O197" i="7" s="1"/>
  <c r="J197" i="7"/>
  <c r="K197" i="7" s="1"/>
  <c r="L197" i="7" s="1"/>
  <c r="O208" i="7"/>
  <c r="O182" i="7"/>
  <c r="J111" i="7"/>
  <c r="L184" i="7"/>
  <c r="L232" i="7"/>
  <c r="L233" i="7" s="1"/>
  <c r="K103" i="7"/>
  <c r="L110" i="7"/>
  <c r="L111" i="7" s="1"/>
  <c r="L354" i="7"/>
  <c r="L363" i="7" s="1"/>
  <c r="H50" i="10"/>
  <c r="J50" i="10" s="1"/>
  <c r="L403" i="31" l="1"/>
  <c r="L404" i="31" s="1"/>
  <c r="L19" i="31"/>
  <c r="L40" i="31" s="1"/>
  <c r="K206" i="32"/>
  <c r="L204" i="32"/>
  <c r="L198" i="32"/>
  <c r="N193" i="32"/>
  <c r="O193" i="32" s="1"/>
  <c r="O202" i="32" s="1"/>
  <c r="H202" i="32"/>
  <c r="Q202" i="32" s="1"/>
  <c r="P202" i="32" s="1"/>
  <c r="Q172" i="41"/>
  <c r="P172" i="41" s="1"/>
  <c r="Q210" i="41"/>
  <c r="P210" i="41" s="1"/>
  <c r="Q40" i="41"/>
  <c r="P40" i="41" s="1"/>
  <c r="W40" i="7"/>
  <c r="W170" i="7"/>
  <c r="Q77" i="41"/>
  <c r="P77" i="41" s="1"/>
  <c r="W77" i="7"/>
  <c r="W103" i="7"/>
  <c r="W115" i="7"/>
  <c r="L194" i="43"/>
  <c r="W122" i="7"/>
  <c r="J195" i="43"/>
  <c r="K195" i="43" s="1"/>
  <c r="L189" i="41"/>
  <c r="J172" i="41"/>
  <c r="L354" i="43"/>
  <c r="L363" i="43" s="1"/>
  <c r="K166" i="43"/>
  <c r="L163" i="42"/>
  <c r="N103" i="41"/>
  <c r="L354" i="42"/>
  <c r="L363" i="42" s="1"/>
  <c r="N166" i="43"/>
  <c r="J166" i="43"/>
  <c r="J379" i="42"/>
  <c r="L225" i="42"/>
  <c r="L226" i="42" s="1"/>
  <c r="K122" i="42"/>
  <c r="O220" i="41"/>
  <c r="N220" i="41"/>
  <c r="L403" i="32"/>
  <c r="L404" i="32" s="1"/>
  <c r="K379" i="43"/>
  <c r="O166" i="43"/>
  <c r="N230" i="42"/>
  <c r="L114" i="41"/>
  <c r="L115" i="41" s="1"/>
  <c r="N103" i="42"/>
  <c r="J220" i="41"/>
  <c r="K178" i="41"/>
  <c r="L354" i="41"/>
  <c r="L363" i="41" s="1"/>
  <c r="L122" i="42"/>
  <c r="N230" i="43"/>
  <c r="O230" i="43"/>
  <c r="L403" i="43"/>
  <c r="L404" i="43" s="1"/>
  <c r="L222" i="42"/>
  <c r="L223" i="42" s="1"/>
  <c r="J210" i="43"/>
  <c r="H202" i="43"/>
  <c r="Q202" i="43" s="1"/>
  <c r="P202" i="43" s="1"/>
  <c r="N220" i="43"/>
  <c r="O230" i="41"/>
  <c r="L225" i="43"/>
  <c r="L226" i="43" s="1"/>
  <c r="K102" i="32"/>
  <c r="K103" i="32" s="1"/>
  <c r="N172" i="41"/>
  <c r="O172" i="41"/>
  <c r="J122" i="43"/>
  <c r="L372" i="41"/>
  <c r="J77" i="43"/>
  <c r="J329" i="42"/>
  <c r="O220" i="32"/>
  <c r="J77" i="42"/>
  <c r="L270" i="7"/>
  <c r="K219" i="43"/>
  <c r="K220" i="43" s="1"/>
  <c r="K205" i="43"/>
  <c r="L205" i="43" s="1"/>
  <c r="O77" i="42"/>
  <c r="J40" i="42"/>
  <c r="N77" i="42"/>
  <c r="L43" i="42"/>
  <c r="K77" i="42"/>
  <c r="L372" i="42"/>
  <c r="L379" i="42" s="1"/>
  <c r="K379" i="42"/>
  <c r="K242" i="42"/>
  <c r="K272" i="42" s="1"/>
  <c r="K229" i="41"/>
  <c r="K230" i="41" s="1"/>
  <c r="K102" i="42"/>
  <c r="K103" i="42" s="1"/>
  <c r="O206" i="43"/>
  <c r="L219" i="41"/>
  <c r="L220" i="41" s="1"/>
  <c r="L281" i="41"/>
  <c r="K43" i="43"/>
  <c r="L43" i="43" s="1"/>
  <c r="L77" i="43" s="1"/>
  <c r="K122" i="43"/>
  <c r="L118" i="43"/>
  <c r="L335" i="42"/>
  <c r="L21" i="41"/>
  <c r="J40" i="41"/>
  <c r="K77" i="41"/>
  <c r="L192" i="41"/>
  <c r="H210" i="42"/>
  <c r="Q210" i="42" s="1"/>
  <c r="P210" i="42" s="1"/>
  <c r="J209" i="42"/>
  <c r="J210" i="42" s="1"/>
  <c r="N209" i="42"/>
  <c r="O209" i="42" s="1"/>
  <c r="N170" i="43"/>
  <c r="J170" i="43"/>
  <c r="H172" i="43"/>
  <c r="Q172" i="43" s="1"/>
  <c r="P172" i="43" s="1"/>
  <c r="N230" i="41"/>
  <c r="O290" i="41"/>
  <c r="O329" i="41" s="1"/>
  <c r="N329" i="41"/>
  <c r="L40" i="42"/>
  <c r="L119" i="43"/>
  <c r="N165" i="41"/>
  <c r="O165" i="41" s="1"/>
  <c r="J165" i="41"/>
  <c r="K165" i="41" s="1"/>
  <c r="L165" i="41" s="1"/>
  <c r="K172" i="41"/>
  <c r="O242" i="42"/>
  <c r="O272" i="42" s="1"/>
  <c r="N272" i="42"/>
  <c r="K281" i="43"/>
  <c r="L281" i="43" s="1"/>
  <c r="K229" i="42"/>
  <c r="L403" i="41"/>
  <c r="L404" i="41" s="1"/>
  <c r="L174" i="42"/>
  <c r="L178" i="42" s="1"/>
  <c r="K40" i="42"/>
  <c r="L354" i="32"/>
  <c r="L363" i="32" s="1"/>
  <c r="O208" i="41"/>
  <c r="N332" i="41"/>
  <c r="J332" i="41"/>
  <c r="J336" i="41" s="1"/>
  <c r="H336" i="41"/>
  <c r="N272" i="41"/>
  <c r="O242" i="41"/>
  <c r="O272" i="41" s="1"/>
  <c r="K242" i="43"/>
  <c r="K272" i="43" s="1"/>
  <c r="J193" i="42"/>
  <c r="K193" i="42" s="1"/>
  <c r="L193" i="42" s="1"/>
  <c r="N193" i="42"/>
  <c r="H202" i="42"/>
  <c r="Q202" i="42" s="1"/>
  <c r="P202" i="42" s="1"/>
  <c r="O40" i="42"/>
  <c r="J239" i="42"/>
  <c r="J240" i="42" s="1"/>
  <c r="N239" i="42"/>
  <c r="H240" i="42"/>
  <c r="N171" i="43"/>
  <c r="O171" i="43" s="1"/>
  <c r="J171" i="43"/>
  <c r="K171" i="43" s="1"/>
  <c r="L171" i="43" s="1"/>
  <c r="L189" i="43"/>
  <c r="J329" i="41"/>
  <c r="K229" i="43"/>
  <c r="N278" i="41"/>
  <c r="H282" i="41"/>
  <c r="J278" i="41"/>
  <c r="J282" i="41" s="1"/>
  <c r="N210" i="43"/>
  <c r="L72" i="42"/>
  <c r="O220" i="43"/>
  <c r="L372" i="43"/>
  <c r="L379" i="43" s="1"/>
  <c r="L168" i="42"/>
  <c r="L172" i="42" s="1"/>
  <c r="K172" i="42"/>
  <c r="L204" i="42"/>
  <c r="N197" i="42"/>
  <c r="O197" i="42" s="1"/>
  <c r="J197" i="42"/>
  <c r="K197" i="42" s="1"/>
  <c r="L197" i="42" s="1"/>
  <c r="N272" i="43"/>
  <c r="O242" i="43"/>
  <c r="O272" i="43" s="1"/>
  <c r="N40" i="42"/>
  <c r="N239" i="41"/>
  <c r="J239" i="41"/>
  <c r="J240" i="41" s="1"/>
  <c r="H240" i="41"/>
  <c r="N278" i="42"/>
  <c r="J278" i="42"/>
  <c r="J282" i="42" s="1"/>
  <c r="H282" i="42"/>
  <c r="L222" i="43"/>
  <c r="L223" i="43" s="1"/>
  <c r="K329" i="41"/>
  <c r="L403" i="42"/>
  <c r="L404" i="42" s="1"/>
  <c r="O210" i="43"/>
  <c r="H276" i="43"/>
  <c r="N274" i="43"/>
  <c r="J274" i="43"/>
  <c r="J276" i="43" s="1"/>
  <c r="O103" i="42"/>
  <c r="N329" i="43"/>
  <c r="O290" i="43"/>
  <c r="O329" i="43" s="1"/>
  <c r="J205" i="42"/>
  <c r="J206" i="42" s="1"/>
  <c r="N205" i="42"/>
  <c r="O205" i="42" s="1"/>
  <c r="H276" i="42"/>
  <c r="N274" i="42"/>
  <c r="J274" i="42"/>
  <c r="J276" i="42" s="1"/>
  <c r="L204" i="43"/>
  <c r="J239" i="43"/>
  <c r="N239" i="43"/>
  <c r="H240" i="43"/>
  <c r="N197" i="41"/>
  <c r="O197" i="41" s="1"/>
  <c r="J197" i="41"/>
  <c r="K197" i="41" s="1"/>
  <c r="L197" i="41" s="1"/>
  <c r="J379" i="41"/>
  <c r="O208" i="42"/>
  <c r="N379" i="43"/>
  <c r="N164" i="42"/>
  <c r="J164" i="42"/>
  <c r="H166" i="42"/>
  <c r="Q166" i="42" s="1"/>
  <c r="P166" i="42" s="1"/>
  <c r="K219" i="42"/>
  <c r="J278" i="43"/>
  <c r="J282" i="43" s="1"/>
  <c r="N278" i="43"/>
  <c r="H282" i="43"/>
  <c r="L72" i="41"/>
  <c r="N122" i="43"/>
  <c r="O230" i="42"/>
  <c r="J329" i="43"/>
  <c r="L170" i="41"/>
  <c r="L172" i="41" s="1"/>
  <c r="N193" i="43"/>
  <c r="O193" i="43" s="1"/>
  <c r="J193" i="43"/>
  <c r="K193" i="43" s="1"/>
  <c r="O204" i="42"/>
  <c r="L331" i="42"/>
  <c r="K379" i="41"/>
  <c r="L371" i="41"/>
  <c r="K102" i="41"/>
  <c r="K103" i="41" s="1"/>
  <c r="N77" i="41"/>
  <c r="O379" i="43"/>
  <c r="N165" i="42"/>
  <c r="O165" i="42" s="1"/>
  <c r="J165" i="42"/>
  <c r="K165" i="42" s="1"/>
  <c r="O219" i="42"/>
  <c r="O220" i="42" s="1"/>
  <c r="N220" i="42"/>
  <c r="O77" i="43"/>
  <c r="K290" i="42"/>
  <c r="H206" i="41"/>
  <c r="N205" i="41"/>
  <c r="O205" i="41" s="1"/>
  <c r="J205" i="41"/>
  <c r="K205" i="41" s="1"/>
  <c r="K206" i="41" s="1"/>
  <c r="O122" i="43"/>
  <c r="L162" i="43"/>
  <c r="L166" i="43" s="1"/>
  <c r="L63" i="41"/>
  <c r="J199" i="41"/>
  <c r="K199" i="41" s="1"/>
  <c r="L199" i="41" s="1"/>
  <c r="N199" i="41"/>
  <c r="O199" i="41" s="1"/>
  <c r="L334" i="41"/>
  <c r="H206" i="42"/>
  <c r="Q206" i="42" s="1"/>
  <c r="P206" i="42" s="1"/>
  <c r="J199" i="42"/>
  <c r="K199" i="42" s="1"/>
  <c r="N199" i="42"/>
  <c r="O199" i="42" s="1"/>
  <c r="J379" i="43"/>
  <c r="N379" i="41"/>
  <c r="J209" i="41"/>
  <c r="K209" i="41" s="1"/>
  <c r="K210" i="41" s="1"/>
  <c r="N209" i="41"/>
  <c r="O209" i="41" s="1"/>
  <c r="O103" i="41"/>
  <c r="N77" i="43"/>
  <c r="J77" i="41"/>
  <c r="N40" i="41"/>
  <c r="O290" i="42"/>
  <c r="O329" i="42" s="1"/>
  <c r="N329" i="42"/>
  <c r="N379" i="42"/>
  <c r="L335" i="43"/>
  <c r="K290" i="43"/>
  <c r="K329" i="43" s="1"/>
  <c r="L208" i="41"/>
  <c r="L333" i="43"/>
  <c r="O204" i="41"/>
  <c r="L222" i="41"/>
  <c r="L223" i="41" s="1"/>
  <c r="H202" i="41"/>
  <c r="L225" i="41"/>
  <c r="L226" i="41" s="1"/>
  <c r="J193" i="41"/>
  <c r="N193" i="41"/>
  <c r="O193" i="41" s="1"/>
  <c r="O379" i="41"/>
  <c r="O77" i="41"/>
  <c r="O40" i="41"/>
  <c r="K40" i="41"/>
  <c r="L18" i="41"/>
  <c r="O379" i="42"/>
  <c r="N197" i="43"/>
  <c r="O197" i="43" s="1"/>
  <c r="J197" i="43"/>
  <c r="K197" i="43" s="1"/>
  <c r="K242" i="41"/>
  <c r="L196" i="43"/>
  <c r="N206" i="43"/>
  <c r="N332" i="43"/>
  <c r="J332" i="43"/>
  <c r="J336" i="43" s="1"/>
  <c r="H336" i="43"/>
  <c r="L209" i="43"/>
  <c r="L210" i="43" s="1"/>
  <c r="L290" i="41"/>
  <c r="L329" i="41" s="1"/>
  <c r="N332" i="42"/>
  <c r="J332" i="42"/>
  <c r="J336" i="42" s="1"/>
  <c r="H336" i="42"/>
  <c r="J164" i="41"/>
  <c r="N164" i="41"/>
  <c r="H166" i="41"/>
  <c r="N195" i="42"/>
  <c r="O195" i="42" s="1"/>
  <c r="J195" i="42"/>
  <c r="K195" i="42" s="1"/>
  <c r="N195" i="41"/>
  <c r="O195" i="41" s="1"/>
  <c r="J195" i="41"/>
  <c r="K195" i="41" s="1"/>
  <c r="L195" i="41" s="1"/>
  <c r="N199" i="43"/>
  <c r="O199" i="43" s="1"/>
  <c r="J199" i="43"/>
  <c r="K199" i="43" s="1"/>
  <c r="L199" i="43" s="1"/>
  <c r="J274" i="41"/>
  <c r="J276" i="41" s="1"/>
  <c r="N274" i="41"/>
  <c r="H276" i="41"/>
  <c r="H411" i="31"/>
  <c r="K411" i="31" s="1"/>
  <c r="L411" i="31" s="1"/>
  <c r="L40" i="32"/>
  <c r="K372" i="32"/>
  <c r="K379" i="32" s="1"/>
  <c r="L219" i="32"/>
  <c r="L220" i="32" s="1"/>
  <c r="K379" i="31"/>
  <c r="Q77" i="7"/>
  <c r="P77" i="7" s="1"/>
  <c r="N103" i="32"/>
  <c r="O103" i="32"/>
  <c r="L195" i="32"/>
  <c r="J202" i="32"/>
  <c r="O210" i="32"/>
  <c r="K193" i="32"/>
  <c r="L193" i="32" s="1"/>
  <c r="L169" i="32"/>
  <c r="J77" i="32"/>
  <c r="N220" i="32"/>
  <c r="N210" i="32"/>
  <c r="O206" i="32"/>
  <c r="L209" i="32"/>
  <c r="L210" i="32" s="1"/>
  <c r="K210" i="32"/>
  <c r="N77" i="32"/>
  <c r="O242" i="32"/>
  <c r="O272" i="32" s="1"/>
  <c r="N272" i="32"/>
  <c r="N278" i="32"/>
  <c r="J278" i="32"/>
  <c r="J282" i="32" s="1"/>
  <c r="H282" i="32"/>
  <c r="N170" i="32"/>
  <c r="J170" i="32"/>
  <c r="H172" i="32"/>
  <c r="Q172" i="32" s="1"/>
  <c r="P172" i="32" s="1"/>
  <c r="J230" i="32"/>
  <c r="J220" i="32"/>
  <c r="O230" i="32"/>
  <c r="N379" i="32"/>
  <c r="J329" i="32"/>
  <c r="L205" i="32"/>
  <c r="O77" i="32"/>
  <c r="J40" i="32"/>
  <c r="K242" i="32"/>
  <c r="K272" i="32" s="1"/>
  <c r="N171" i="32"/>
  <c r="O171" i="32" s="1"/>
  <c r="J171" i="32"/>
  <c r="K171" i="32" s="1"/>
  <c r="J210" i="32"/>
  <c r="N230" i="32"/>
  <c r="K43" i="32"/>
  <c r="O379" i="32"/>
  <c r="N206" i="32"/>
  <c r="K329" i="32"/>
  <c r="J206" i="32"/>
  <c r="O19" i="32"/>
  <c r="O40" i="32" s="1"/>
  <c r="N40" i="32"/>
  <c r="N274" i="32"/>
  <c r="J274" i="32"/>
  <c r="J276" i="32" s="1"/>
  <c r="H276" i="32"/>
  <c r="L225" i="32"/>
  <c r="L226" i="32" s="1"/>
  <c r="N332" i="32"/>
  <c r="J332" i="32"/>
  <c r="J336" i="32" s="1"/>
  <c r="H336" i="32"/>
  <c r="K40" i="32"/>
  <c r="J239" i="32"/>
  <c r="J240" i="32" s="1"/>
  <c r="N239" i="32"/>
  <c r="H240" i="32"/>
  <c r="L229" i="32"/>
  <c r="L230" i="32" s="1"/>
  <c r="L329" i="32"/>
  <c r="O290" i="32"/>
  <c r="O329" i="32" s="1"/>
  <c r="N329" i="32"/>
  <c r="L222" i="32"/>
  <c r="L223" i="32" s="1"/>
  <c r="L101" i="32"/>
  <c r="L202" i="31"/>
  <c r="L209" i="31"/>
  <c r="L210" i="31" s="1"/>
  <c r="K274" i="31"/>
  <c r="K276" i="31" s="1"/>
  <c r="L242" i="31"/>
  <c r="L272" i="31" s="1"/>
  <c r="L166" i="31"/>
  <c r="K278" i="31"/>
  <c r="O278" i="31"/>
  <c r="O282" i="31" s="1"/>
  <c r="N282" i="31"/>
  <c r="O332" i="31"/>
  <c r="O336" i="31" s="1"/>
  <c r="N336" i="31"/>
  <c r="Q166" i="31"/>
  <c r="P166" i="31" s="1"/>
  <c r="O239" i="31"/>
  <c r="O240" i="31" s="1"/>
  <c r="N240" i="31"/>
  <c r="K166" i="31"/>
  <c r="L102" i="31"/>
  <c r="L103" i="31" s="1"/>
  <c r="N276" i="31"/>
  <c r="O274" i="31"/>
  <c r="O276" i="31" s="1"/>
  <c r="O164" i="31"/>
  <c r="O166" i="31" s="1"/>
  <c r="N166" i="31"/>
  <c r="K332" i="31"/>
  <c r="K336" i="31" s="1"/>
  <c r="J166" i="31"/>
  <c r="K239" i="31"/>
  <c r="K240" i="31" s="1"/>
  <c r="L172" i="7"/>
  <c r="J172" i="7"/>
  <c r="K172" i="7"/>
  <c r="N172" i="7"/>
  <c r="N275" i="7"/>
  <c r="J275" i="7"/>
  <c r="H276" i="7"/>
  <c r="Q276" i="7" s="1"/>
  <c r="P276" i="7" s="1"/>
  <c r="H298" i="7"/>
  <c r="R298" i="7"/>
  <c r="R308" i="7"/>
  <c r="H308" i="7"/>
  <c r="H290" i="7"/>
  <c r="R290" i="7"/>
  <c r="V328" i="7"/>
  <c r="V329" i="7" s="1"/>
  <c r="G310" i="7"/>
  <c r="R306" i="7"/>
  <c r="H306" i="7"/>
  <c r="K220" i="7"/>
  <c r="J272" i="7"/>
  <c r="L280" i="7"/>
  <c r="L243" i="7"/>
  <c r="K272" i="7"/>
  <c r="O272" i="7"/>
  <c r="N272" i="7"/>
  <c r="J220" i="7"/>
  <c r="O166" i="7"/>
  <c r="N220" i="7"/>
  <c r="N166" i="7"/>
  <c r="K239" i="7"/>
  <c r="J240" i="7"/>
  <c r="O239" i="7"/>
  <c r="O240" i="7" s="1"/>
  <c r="N240" i="7"/>
  <c r="K166" i="7"/>
  <c r="J166" i="7"/>
  <c r="O279" i="7"/>
  <c r="K279" i="7"/>
  <c r="J335" i="7"/>
  <c r="H336" i="7"/>
  <c r="Q336" i="7" s="1"/>
  <c r="P336" i="7" s="1"/>
  <c r="N335" i="7"/>
  <c r="H129" i="7"/>
  <c r="Q129" i="7" s="1"/>
  <c r="P129" i="7" s="1"/>
  <c r="O124" i="7"/>
  <c r="N125" i="7"/>
  <c r="O125" i="7" s="1"/>
  <c r="J125" i="7"/>
  <c r="K125" i="7" s="1"/>
  <c r="L125" i="7" s="1"/>
  <c r="K124" i="7"/>
  <c r="N126" i="7"/>
  <c r="O126" i="7" s="1"/>
  <c r="J126" i="7"/>
  <c r="K126" i="7" s="1"/>
  <c r="L126" i="7" s="1"/>
  <c r="L222" i="7"/>
  <c r="L223" i="7" s="1"/>
  <c r="L225" i="7"/>
  <c r="L226" i="7" s="1"/>
  <c r="K99" i="7"/>
  <c r="O77" i="7"/>
  <c r="K137" i="7"/>
  <c r="J206" i="7"/>
  <c r="N77" i="7"/>
  <c r="L84" i="7"/>
  <c r="L99" i="7" s="1"/>
  <c r="L206" i="7"/>
  <c r="K206" i="7"/>
  <c r="L193" i="7"/>
  <c r="L202" i="7" s="1"/>
  <c r="K202" i="7"/>
  <c r="L77" i="7"/>
  <c r="J210" i="7"/>
  <c r="L210" i="7"/>
  <c r="L186" i="7"/>
  <c r="O210" i="7"/>
  <c r="J202" i="7"/>
  <c r="O193" i="7"/>
  <c r="O202" i="7" s="1"/>
  <c r="N202" i="7"/>
  <c r="L114" i="7"/>
  <c r="L115" i="7" s="1"/>
  <c r="K115" i="7"/>
  <c r="N210" i="7"/>
  <c r="K210" i="7"/>
  <c r="H51" i="10"/>
  <c r="J51" i="10" s="1"/>
  <c r="L206" i="32" l="1"/>
  <c r="L195" i="43"/>
  <c r="N202" i="32"/>
  <c r="Q206" i="41"/>
  <c r="P206" i="41" s="1"/>
  <c r="W206" i="7"/>
  <c r="Q202" i="41"/>
  <c r="P202" i="41" s="1"/>
  <c r="W202" i="7"/>
  <c r="W210" i="7"/>
  <c r="W172" i="7"/>
  <c r="L206" i="43"/>
  <c r="K206" i="43"/>
  <c r="L219" i="43"/>
  <c r="L220" i="43" s="1"/>
  <c r="N210" i="42"/>
  <c r="L102" i="42"/>
  <c r="L103" i="42" s="1"/>
  <c r="J206" i="41"/>
  <c r="J166" i="41"/>
  <c r="L102" i="32"/>
  <c r="L103" i="32" s="1"/>
  <c r="L379" i="41"/>
  <c r="L242" i="43"/>
  <c r="L272" i="43" s="1"/>
  <c r="L77" i="42"/>
  <c r="L229" i="41"/>
  <c r="L230" i="41" s="1"/>
  <c r="K77" i="43"/>
  <c r="L242" i="42"/>
  <c r="L272" i="42" s="1"/>
  <c r="L122" i="43"/>
  <c r="O210" i="42"/>
  <c r="N206" i="41"/>
  <c r="O206" i="41"/>
  <c r="L272" i="7"/>
  <c r="N206" i="42"/>
  <c r="O206" i="42"/>
  <c r="L40" i="41"/>
  <c r="K209" i="42"/>
  <c r="K210" i="42" s="1"/>
  <c r="K274" i="41"/>
  <c r="K276" i="41" s="1"/>
  <c r="L209" i="41"/>
  <c r="L210" i="41" s="1"/>
  <c r="K278" i="42"/>
  <c r="K282" i="42" s="1"/>
  <c r="K332" i="42"/>
  <c r="L332" i="42" s="1"/>
  <c r="L336" i="42" s="1"/>
  <c r="K274" i="43"/>
  <c r="K276" i="43" s="1"/>
  <c r="K202" i="43"/>
  <c r="K274" i="42"/>
  <c r="K276" i="42" s="1"/>
  <c r="O202" i="43"/>
  <c r="L199" i="42"/>
  <c r="K205" i="42"/>
  <c r="K206" i="42" s="1"/>
  <c r="O210" i="41"/>
  <c r="J202" i="43"/>
  <c r="O202" i="41"/>
  <c r="H411" i="43"/>
  <c r="K411" i="43" s="1"/>
  <c r="L411" i="43" s="1"/>
  <c r="K239" i="42"/>
  <c r="K240" i="42" s="1"/>
  <c r="L165" i="42"/>
  <c r="N276" i="43"/>
  <c r="O274" i="43"/>
  <c r="O276" i="43" s="1"/>
  <c r="N282" i="41"/>
  <c r="O278" i="41"/>
  <c r="O282" i="41" s="1"/>
  <c r="O239" i="42"/>
  <c r="O240" i="42" s="1"/>
  <c r="N240" i="42"/>
  <c r="L372" i="32"/>
  <c r="L379" i="32" s="1"/>
  <c r="L77" i="41"/>
  <c r="K239" i="43"/>
  <c r="J240" i="43"/>
  <c r="O239" i="41"/>
  <c r="O240" i="41" s="1"/>
  <c r="N240" i="41"/>
  <c r="K170" i="43"/>
  <c r="J172" i="43"/>
  <c r="Q166" i="41"/>
  <c r="P166" i="41" s="1"/>
  <c r="H411" i="41"/>
  <c r="O332" i="42"/>
  <c r="O336" i="42" s="1"/>
  <c r="N336" i="42"/>
  <c r="L205" i="41"/>
  <c r="L206" i="41" s="1"/>
  <c r="K220" i="42"/>
  <c r="L219" i="42"/>
  <c r="L220" i="42" s="1"/>
  <c r="O170" i="43"/>
  <c r="O172" i="43" s="1"/>
  <c r="N172" i="43"/>
  <c r="K164" i="41"/>
  <c r="L290" i="42"/>
  <c r="L329" i="42" s="1"/>
  <c r="K329" i="42"/>
  <c r="N202" i="43"/>
  <c r="K230" i="42"/>
  <c r="L229" i="42"/>
  <c r="L230" i="42" s="1"/>
  <c r="L290" i="43"/>
  <c r="L329" i="43" s="1"/>
  <c r="K193" i="41"/>
  <c r="K202" i="41" s="1"/>
  <c r="J202" i="41"/>
  <c r="O239" i="43"/>
  <c r="O240" i="43" s="1"/>
  <c r="N240" i="43"/>
  <c r="O164" i="41"/>
  <c r="O166" i="41" s="1"/>
  <c r="N166" i="41"/>
  <c r="N202" i="41"/>
  <c r="L193" i="43"/>
  <c r="L102" i="41"/>
  <c r="L103" i="41" s="1"/>
  <c r="K230" i="43"/>
  <c r="L229" i="43"/>
  <c r="L230" i="43" s="1"/>
  <c r="K202" i="42"/>
  <c r="K332" i="41"/>
  <c r="K336" i="41" s="1"/>
  <c r="O274" i="41"/>
  <c r="O276" i="41" s="1"/>
  <c r="N276" i="41"/>
  <c r="K332" i="43"/>
  <c r="K278" i="43"/>
  <c r="K282" i="43" s="1"/>
  <c r="K278" i="41"/>
  <c r="O193" i="42"/>
  <c r="O202" i="42" s="1"/>
  <c r="N202" i="42"/>
  <c r="L195" i="42"/>
  <c r="O332" i="43"/>
  <c r="O336" i="43" s="1"/>
  <c r="N336" i="43"/>
  <c r="K272" i="41"/>
  <c r="L242" i="41"/>
  <c r="L272" i="41" s="1"/>
  <c r="H411" i="42"/>
  <c r="K411" i="42" s="1"/>
  <c r="L411" i="42" s="1"/>
  <c r="N282" i="43"/>
  <c r="O278" i="43"/>
  <c r="O282" i="43" s="1"/>
  <c r="K164" i="42"/>
  <c r="L164" i="42" s="1"/>
  <c r="J166" i="42"/>
  <c r="J210" i="41"/>
  <c r="J202" i="42"/>
  <c r="O332" i="41"/>
  <c r="O336" i="41" s="1"/>
  <c r="N336" i="41"/>
  <c r="L197" i="43"/>
  <c r="O164" i="42"/>
  <c r="O166" i="42" s="1"/>
  <c r="N166" i="42"/>
  <c r="N276" i="42"/>
  <c r="O274" i="42"/>
  <c r="O276" i="42" s="1"/>
  <c r="O278" i="42"/>
  <c r="O282" i="42" s="1"/>
  <c r="N282" i="42"/>
  <c r="K239" i="41"/>
  <c r="K240" i="41" s="1"/>
  <c r="N210" i="41"/>
  <c r="L202" i="32"/>
  <c r="K202" i="32"/>
  <c r="K239" i="32"/>
  <c r="K240" i="32" s="1"/>
  <c r="K278" i="32"/>
  <c r="K282" i="32" s="1"/>
  <c r="O332" i="32"/>
  <c r="O336" i="32" s="1"/>
  <c r="N336" i="32"/>
  <c r="N276" i="32"/>
  <c r="O274" i="32"/>
  <c r="O276" i="32" s="1"/>
  <c r="O170" i="32"/>
  <c r="O172" i="32" s="1"/>
  <c r="N172" i="32"/>
  <c r="L242" i="32"/>
  <c r="L272" i="32" s="1"/>
  <c r="K274" i="32"/>
  <c r="K276" i="32" s="1"/>
  <c r="L43" i="32"/>
  <c r="L77" i="32" s="1"/>
  <c r="K77" i="32"/>
  <c r="L171" i="32"/>
  <c r="O278" i="32"/>
  <c r="O282" i="32" s="1"/>
  <c r="N282" i="32"/>
  <c r="K332" i="32"/>
  <c r="K336" i="32" s="1"/>
  <c r="O239" i="32"/>
  <c r="O240" i="32" s="1"/>
  <c r="N240" i="32"/>
  <c r="K170" i="32"/>
  <c r="K172" i="32" s="1"/>
  <c r="J172" i="32"/>
  <c r="L274" i="31"/>
  <c r="L276" i="31" s="1"/>
  <c r="O411" i="31"/>
  <c r="N411" i="31"/>
  <c r="N413" i="31" s="1"/>
  <c r="L332" i="31"/>
  <c r="L336" i="31" s="1"/>
  <c r="K282" i="31"/>
  <c r="L278" i="31"/>
  <c r="L282" i="31" s="1"/>
  <c r="L239" i="31"/>
  <c r="L240" i="31" s="1"/>
  <c r="K275" i="7"/>
  <c r="J276" i="7"/>
  <c r="O275" i="7"/>
  <c r="O276" i="7" s="1"/>
  <c r="N276" i="7"/>
  <c r="H310" i="7"/>
  <c r="H329" i="7" s="1"/>
  <c r="Q329" i="7" s="1"/>
  <c r="P329" i="7" s="1"/>
  <c r="R310" i="7"/>
  <c r="J308" i="7"/>
  <c r="K308" i="7" s="1"/>
  <c r="L308" i="7" s="1"/>
  <c r="N308" i="7"/>
  <c r="O308" i="7" s="1"/>
  <c r="N306" i="7"/>
  <c r="O306" i="7" s="1"/>
  <c r="J306" i="7"/>
  <c r="K306" i="7" s="1"/>
  <c r="L306" i="7" s="1"/>
  <c r="N290" i="7"/>
  <c r="J290" i="7"/>
  <c r="J298" i="7"/>
  <c r="K298" i="7" s="1"/>
  <c r="N298" i="7"/>
  <c r="O298" i="7" s="1"/>
  <c r="L239" i="7"/>
  <c r="L240" i="7" s="1"/>
  <c r="K240" i="7"/>
  <c r="L279" i="7"/>
  <c r="O335" i="7"/>
  <c r="O336" i="7" s="1"/>
  <c r="N336" i="7"/>
  <c r="K335" i="7"/>
  <c r="J336" i="7"/>
  <c r="J129" i="7"/>
  <c r="N129" i="7"/>
  <c r="O129" i="7"/>
  <c r="K129" i="7"/>
  <c r="L124" i="7"/>
  <c r="L129" i="7" s="1"/>
  <c r="H52" i="10"/>
  <c r="J52" i="10" s="1"/>
  <c r="W411" i="7" l="1"/>
  <c r="H413" i="7"/>
  <c r="K411" i="41"/>
  <c r="L411" i="41" s="1"/>
  <c r="L239" i="42"/>
  <c r="L240" i="42" s="1"/>
  <c r="L205" i="42"/>
  <c r="L206" i="42" s="1"/>
  <c r="L274" i="43"/>
  <c r="L276" i="43" s="1"/>
  <c r="L202" i="42"/>
  <c r="L278" i="42"/>
  <c r="L282" i="42" s="1"/>
  <c r="L209" i="42"/>
  <c r="L210" i="42" s="1"/>
  <c r="L274" i="42"/>
  <c r="L276" i="42" s="1"/>
  <c r="K336" i="42"/>
  <c r="N411" i="43"/>
  <c r="N413" i="43" s="1"/>
  <c r="L166" i="42"/>
  <c r="L274" i="41"/>
  <c r="L276" i="41" s="1"/>
  <c r="O411" i="43"/>
  <c r="L193" i="41"/>
  <c r="L202" i="41" s="1"/>
  <c r="N411" i="42"/>
  <c r="N413" i="42" s="1"/>
  <c r="O411" i="42"/>
  <c r="L239" i="32"/>
  <c r="L240" i="32" s="1"/>
  <c r="N411" i="41"/>
  <c r="N413" i="41" s="1"/>
  <c r="O411" i="41"/>
  <c r="N411" i="32"/>
  <c r="N413" i="32" s="1"/>
  <c r="L164" i="41"/>
  <c r="L166" i="41" s="1"/>
  <c r="K166" i="41"/>
  <c r="K166" i="42"/>
  <c r="L239" i="41"/>
  <c r="L240" i="41" s="1"/>
  <c r="K172" i="43"/>
  <c r="L170" i="43"/>
  <c r="L172" i="43" s="1"/>
  <c r="L202" i="43"/>
  <c r="L278" i="43"/>
  <c r="L282" i="43" s="1"/>
  <c r="L239" i="43"/>
  <c r="L240" i="43" s="1"/>
  <c r="K240" i="43"/>
  <c r="K282" i="41"/>
  <c r="L278" i="41"/>
  <c r="L282" i="41" s="1"/>
  <c r="K336" i="43"/>
  <c r="L332" i="43"/>
  <c r="L336" i="43" s="1"/>
  <c r="L332" i="41"/>
  <c r="L336" i="41" s="1"/>
  <c r="L278" i="32"/>
  <c r="L282" i="32" s="1"/>
  <c r="O411" i="32"/>
  <c r="L170" i="32"/>
  <c r="L172" i="32" s="1"/>
  <c r="L274" i="32"/>
  <c r="L276" i="32" s="1"/>
  <c r="L332" i="32"/>
  <c r="L336" i="32" s="1"/>
  <c r="L275" i="7"/>
  <c r="L276" i="7" s="1"/>
  <c r="K276" i="7"/>
  <c r="L298" i="7"/>
  <c r="K290" i="7"/>
  <c r="O290" i="7"/>
  <c r="N310" i="7"/>
  <c r="O310" i="7" s="1"/>
  <c r="J310" i="7"/>
  <c r="J329" i="7" s="1"/>
  <c r="L335" i="7"/>
  <c r="L336" i="7" s="1"/>
  <c r="K336" i="7"/>
  <c r="H53" i="10"/>
  <c r="J53" i="10" s="1"/>
  <c r="O329" i="7" l="1"/>
  <c r="K310" i="7"/>
  <c r="L310" i="7" s="1"/>
  <c r="L290" i="7"/>
  <c r="N329" i="7"/>
  <c r="H54" i="10"/>
  <c r="J54" i="10" s="1"/>
  <c r="K329" i="7" l="1"/>
  <c r="L329" i="7"/>
  <c r="H55" i="10"/>
  <c r="J55" i="10" s="1"/>
  <c r="H56" i="10" l="1"/>
  <c r="J56" i="10" s="1"/>
  <c r="H57" i="10" l="1"/>
  <c r="J57" i="10" s="1"/>
  <c r="H58" i="10" l="1"/>
  <c r="J58" i="10" s="1"/>
  <c r="H59" i="10" l="1"/>
  <c r="J59" i="10" s="1"/>
  <c r="H60" i="10" l="1"/>
  <c r="J60" i="10" s="1"/>
  <c r="H61" i="10" l="1"/>
  <c r="J61" i="10" s="1"/>
  <c r="H62" i="10" l="1"/>
  <c r="J62" i="10" s="1"/>
  <c r="H63" i="10" l="1"/>
  <c r="J63" i="10" s="1"/>
  <c r="H64" i="10" l="1"/>
  <c r="J64" i="10" s="1"/>
  <c r="H65" i="10" l="1"/>
  <c r="J65" i="10" s="1"/>
  <c r="H66" i="10" l="1"/>
  <c r="J66" i="10" s="1"/>
  <c r="H67" i="10" l="1"/>
  <c r="J67" i="10" s="1"/>
  <c r="H68" i="10" l="1"/>
  <c r="J68" i="10" s="1"/>
  <c r="H69" i="10" l="1"/>
  <c r="J69" i="10" s="1"/>
  <c r="H70" i="10" l="1"/>
  <c r="J70" i="10" s="1"/>
  <c r="H71" i="10" l="1"/>
  <c r="J71" i="10" s="1"/>
  <c r="H72" i="10" l="1"/>
  <c r="J72" i="10" s="1"/>
  <c r="H73" i="10" l="1"/>
  <c r="J73" i="10" s="1"/>
  <c r="H74" i="10" l="1"/>
  <c r="J74" i="10" s="1"/>
  <c r="H75" i="10" l="1"/>
  <c r="J75" i="10" s="1"/>
  <c r="H76" i="10" l="1"/>
  <c r="J76" i="10" s="1"/>
  <c r="H77" i="10" l="1"/>
  <c r="J77" i="10" s="1"/>
  <c r="H78" i="10" l="1"/>
  <c r="J78" i="10" s="1"/>
  <c r="H79" i="10" l="1"/>
  <c r="J79" i="10" s="1"/>
  <c r="H80" i="10" l="1"/>
  <c r="J80" i="10" s="1"/>
  <c r="H81" i="10" l="1"/>
  <c r="J81" i="10" s="1"/>
  <c r="H82" i="10" l="1"/>
  <c r="J82" i="10" s="1"/>
  <c r="H83" i="10" l="1"/>
  <c r="J83" i="10" s="1"/>
  <c r="H84" i="10" l="1"/>
  <c r="J84" i="10" s="1"/>
  <c r="H85" i="10" l="1"/>
  <c r="J85" i="10" s="1"/>
  <c r="H86" i="10" l="1"/>
  <c r="J86" i="10" s="1"/>
  <c r="H87" i="10" l="1"/>
  <c r="J87" i="10" s="1"/>
  <c r="H88" i="10" l="1"/>
  <c r="J88" i="10" s="1"/>
  <c r="H89" i="10" l="1"/>
  <c r="J89" i="10" s="1"/>
  <c r="H90" i="10" l="1"/>
  <c r="J90" i="10" s="1"/>
  <c r="H91" i="10" l="1"/>
  <c r="J91" i="10" s="1"/>
  <c r="H92" i="10" l="1"/>
  <c r="J92" i="10" s="1"/>
  <c r="H93" i="10" l="1"/>
  <c r="J93" i="10" s="1"/>
  <c r="H94" i="10" l="1"/>
  <c r="J94" i="10" s="1"/>
  <c r="H95" i="10" l="1"/>
  <c r="J95" i="10" s="1"/>
  <c r="H96" i="10" l="1"/>
  <c r="J96" i="10" s="1"/>
  <c r="H97" i="10" l="1"/>
  <c r="J97" i="10" s="1"/>
  <c r="H98" i="10" l="1"/>
  <c r="J98" i="10" s="1"/>
  <c r="H99" i="10" l="1"/>
  <c r="J99" i="10" s="1"/>
  <c r="H100" i="10" l="1"/>
  <c r="J100" i="10" s="1"/>
  <c r="H101" i="10" l="1"/>
  <c r="J101" i="10" s="1"/>
  <c r="H102" i="10" l="1"/>
  <c r="J102" i="10" s="1"/>
  <c r="H103" i="10" l="1"/>
  <c r="J103" i="10" s="1"/>
  <c r="H104" i="10" l="1"/>
  <c r="J104" i="10" s="1"/>
  <c r="H105" i="10" l="1"/>
  <c r="J105" i="10" s="1"/>
  <c r="H106" i="10" l="1"/>
  <c r="J106" i="10" s="1"/>
  <c r="H107" i="10" l="1"/>
  <c r="J107" i="10" s="1"/>
  <c r="H108" i="10" l="1"/>
  <c r="J108" i="10" s="1"/>
  <c r="H109" i="10" l="1"/>
  <c r="J109" i="10" s="1"/>
  <c r="H110" i="10" l="1"/>
  <c r="J110" i="10" s="1"/>
  <c r="H111" i="10" l="1"/>
  <c r="J111" i="10" s="1"/>
  <c r="H112" i="10" l="1"/>
  <c r="J112" i="10" s="1"/>
  <c r="H113" i="10" l="1"/>
  <c r="J113" i="10" s="1"/>
  <c r="H114" i="10" l="1"/>
  <c r="J114" i="10" s="1"/>
  <c r="H115" i="10" l="1"/>
  <c r="J115" i="10" s="1"/>
  <c r="H116" i="10" l="1"/>
  <c r="J116" i="10" s="1"/>
  <c r="H117" i="10" l="1"/>
  <c r="J117" i="10" s="1"/>
  <c r="H118" i="10" l="1"/>
  <c r="J118" i="10" s="1"/>
  <c r="H119" i="10" l="1"/>
  <c r="J119" i="10" s="1"/>
  <c r="H120" i="10" l="1"/>
  <c r="J120" i="10" s="1"/>
  <c r="H121" i="10" l="1"/>
  <c r="J121" i="10" s="1"/>
  <c r="H122" i="10" l="1"/>
  <c r="J122" i="10" s="1"/>
  <c r="H123" i="10" l="1"/>
  <c r="J123" i="10" s="1"/>
  <c r="H124" i="10" l="1"/>
  <c r="J124" i="10" s="1"/>
  <c r="H125" i="10" l="1"/>
  <c r="J125" i="10" s="1"/>
  <c r="H126" i="10" l="1"/>
  <c r="J126" i="10" s="1"/>
  <c r="H127" i="10" l="1"/>
  <c r="J127" i="10" s="1"/>
  <c r="H128" i="10" l="1"/>
  <c r="J128" i="10" s="1"/>
  <c r="H129" i="10" l="1"/>
  <c r="J129" i="10" s="1"/>
  <c r="H130" i="10" l="1"/>
  <c r="J130" i="10" s="1"/>
  <c r="H131" i="10" l="1"/>
  <c r="J131" i="10" s="1"/>
  <c r="H132" i="10" l="1"/>
  <c r="J132" i="10" s="1"/>
  <c r="H133" i="10" l="1"/>
  <c r="J133" i="10" l="1"/>
  <c r="J134" i="10"/>
  <c r="G278" i="7" l="1"/>
  <c r="H278" i="7" s="1"/>
  <c r="R278" i="7" l="1"/>
  <c r="J278" i="7"/>
  <c r="J282" i="7" s="1"/>
  <c r="H282" i="7"/>
  <c r="H411" i="7" s="1"/>
  <c r="N278" i="7"/>
  <c r="J411" i="7" l="1"/>
  <c r="G413" i="7"/>
  <c r="K278" i="7"/>
  <c r="K282" i="7" s="1"/>
  <c r="O278" i="7"/>
  <c r="O282" i="7" s="1"/>
  <c r="O411" i="7" s="1"/>
  <c r="N282" i="7"/>
  <c r="N411" i="7" s="1"/>
  <c r="Q282" i="7"/>
  <c r="P282" i="7" s="1"/>
  <c r="N413" i="7" l="1"/>
  <c r="N20" i="26" s="1"/>
  <c r="K411" i="7"/>
  <c r="L278" i="7"/>
  <c r="L282" i="7" s="1"/>
  <c r="B197" i="1"/>
  <c r="B196" i="1" s="1"/>
  <c r="L411" i="7" l="1"/>
  <c r="E58" i="770" s="1"/>
  <c r="E18" i="770" l="1"/>
  <c r="E48" i="770"/>
  <c r="E8" i="770"/>
  <c r="E53" i="770"/>
  <c r="E33" i="770"/>
  <c r="E13" i="770"/>
  <c r="E38" i="770"/>
  <c r="E43" i="770"/>
  <c r="E3" i="770"/>
  <c r="E28" i="770"/>
  <c r="E23" i="770"/>
  <c r="G34" i="770" l="1"/>
  <c r="G35" i="770" s="1"/>
  <c r="G36" i="770" s="1"/>
  <c r="G33" i="770"/>
  <c r="G53" i="770"/>
  <c r="G54" i="770"/>
  <c r="G55" i="770" s="1"/>
  <c r="G56" i="770" s="1"/>
  <c r="G43" i="770"/>
  <c r="G44" i="770"/>
  <c r="G45" i="770" s="1"/>
  <c r="G46" i="770" s="1"/>
  <c r="G23" i="770"/>
  <c r="G24" i="770"/>
  <c r="G25" i="770" s="1"/>
  <c r="G26" i="770" s="1"/>
  <c r="G8" i="770"/>
  <c r="G9" i="770"/>
  <c r="G10" i="770" s="1"/>
  <c r="G11" i="770" s="1"/>
  <c r="G13" i="770"/>
  <c r="G14" i="770"/>
  <c r="G15" i="770" s="1"/>
  <c r="G16" i="770" s="1"/>
  <c r="G28" i="770"/>
  <c r="G29" i="770"/>
  <c r="G30" i="770" s="1"/>
  <c r="G31" i="770" s="1"/>
  <c r="G49" i="770"/>
  <c r="G50" i="770" s="1"/>
  <c r="G51" i="770" s="1"/>
  <c r="G48" i="770"/>
  <c r="G39" i="770"/>
  <c r="G40" i="770" s="1"/>
  <c r="G41" i="770" s="1"/>
  <c r="G38" i="770"/>
  <c r="G4" i="770"/>
  <c r="G5" i="770" s="1"/>
  <c r="G6" i="770" s="1"/>
  <c r="G3" i="770"/>
  <c r="G19" i="770"/>
  <c r="G20" i="770" s="1"/>
  <c r="G21" i="770" s="1"/>
  <c r="G18" i="770"/>
  <c r="G7" i="770" l="1"/>
  <c r="G37" i="770"/>
  <c r="G42" i="770"/>
  <c r="G22" i="770"/>
  <c r="G52" i="770"/>
  <c r="G32" i="770"/>
  <c r="G47" i="770"/>
  <c r="G17" i="770"/>
  <c r="G57" i="770"/>
  <c r="G27" i="770"/>
  <c r="G12" i="770"/>
  <c r="G58" i="77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cavazoa</author>
  </authors>
  <commentList>
    <comment ref="G14" authorId="0" shapeId="0" xr:uid="{00000000-0006-0000-0000-000001000000}">
      <text>
        <r>
          <rPr>
            <sz val="8"/>
            <color indexed="81"/>
            <rFont val="Tahoma"/>
            <family val="2"/>
          </rPr>
          <t xml:space="preserve">Poner el Porcentaje que Corresponde al Asegurado
</t>
        </r>
      </text>
    </comment>
    <comment ref="G18" authorId="0" shapeId="0" xr:uid="{00000000-0006-0000-0000-000002000000}">
      <text>
        <r>
          <rPr>
            <sz val="8"/>
            <color indexed="81"/>
            <rFont val="Tahoma"/>
            <family val="2"/>
          </rPr>
          <t xml:space="preserve">Poner el Porcentaje Correspondiente al Asegurado
</t>
        </r>
      </text>
    </comment>
    <comment ref="B26" authorId="0" shapeId="0" xr:uid="{00000000-0006-0000-0000-000003000000}">
      <text>
        <r>
          <rPr>
            <sz val="8"/>
            <color indexed="81"/>
            <rFont val="Tahoma"/>
            <family val="2"/>
          </rPr>
          <t xml:space="preserve">SI LA COTIZACIÓN O LA PÓLIZA ES TODO RIESGO: SE DEBE PONER 100% o 0% SI NO ES TODO RGO.
</t>
        </r>
      </text>
    </comment>
    <comment ref="E42" authorId="0" shapeId="0" xr:uid="{00000000-0006-0000-0000-000004000000}">
      <text>
        <r>
          <rPr>
            <sz val="8"/>
            <color indexed="81"/>
            <rFont val="Tahoma"/>
            <family val="2"/>
          </rPr>
          <t>El PORCENTAJE ES VARIABLE DE ACUERDO AL TIPO DE PERD. CONSEC.</t>
        </r>
      </text>
    </comment>
    <comment ref="E43" authorId="0" shapeId="0" xr:uid="{00000000-0006-0000-0000-000005000000}">
      <text>
        <r>
          <rPr>
            <b/>
            <sz val="8"/>
            <color indexed="81"/>
            <rFont val="Tahoma"/>
            <family val="2"/>
          </rPr>
          <t>El PORCENTAJE ES VARIABLE DE ACUERDO AL TIPO DE PERD. CONSEC.</t>
        </r>
        <r>
          <rPr>
            <sz val="8"/>
            <color indexed="81"/>
            <rFont val="Tahoma"/>
            <family val="2"/>
          </rPr>
          <t xml:space="preserve">
</t>
        </r>
      </text>
    </comment>
    <comment ref="E44" authorId="0" shapeId="0" xr:uid="{00000000-0006-0000-0000-000006000000}">
      <text>
        <r>
          <rPr>
            <b/>
            <sz val="8"/>
            <color indexed="81"/>
            <rFont val="Tahoma"/>
            <family val="2"/>
          </rPr>
          <t>El PORCENTAJE ES VARIABLE DE ACUERDO AL TIPO DE PERD. CONSEC.</t>
        </r>
        <r>
          <rPr>
            <sz val="8"/>
            <color indexed="81"/>
            <rFont val="Tahoma"/>
            <family val="2"/>
          </rPr>
          <t xml:space="preserve">
</t>
        </r>
      </text>
    </comment>
    <comment ref="C116" authorId="0" shapeId="0" xr:uid="{00000000-0006-0000-0000-000007000000}">
      <text>
        <r>
          <rPr>
            <b/>
            <sz val="8"/>
            <color indexed="81"/>
            <rFont val="Tahoma"/>
            <family val="2"/>
          </rPr>
          <t>EN CASO DE SER NECESARIO SE PUEDEN INGRESAR MANUALMENTE</t>
        </r>
        <r>
          <rPr>
            <sz val="8"/>
            <color indexed="81"/>
            <rFont val="Tahoma"/>
            <family val="2"/>
          </rPr>
          <t xml:space="preserve">
</t>
        </r>
      </text>
    </comment>
    <comment ref="C119" authorId="0" shapeId="0" xr:uid="{00000000-0006-0000-0000-000008000000}">
      <text>
        <r>
          <rPr>
            <b/>
            <sz val="8"/>
            <color indexed="81"/>
            <rFont val="Tahoma"/>
            <family val="2"/>
          </rPr>
          <t>EN CASO DE SER NECESARIO SE PUEDEN INGRESAR MANUALMENTE</t>
        </r>
        <r>
          <rPr>
            <sz val="8"/>
            <color indexed="81"/>
            <rFont val="Tahoma"/>
            <family val="2"/>
          </rPr>
          <t xml:space="preserve">
</t>
        </r>
      </text>
    </comment>
  </commentList>
</comments>
</file>

<file path=xl/sharedStrings.xml><?xml version="1.0" encoding="utf-8"?>
<sst xmlns="http://schemas.openxmlformats.org/spreadsheetml/2006/main" count="19858" uniqueCount="3821">
  <si>
    <t>Tipo de Operación:</t>
  </si>
  <si>
    <r>
      <t></t>
    </r>
    <r>
      <rPr>
        <sz val="7"/>
        <color theme="1"/>
        <rFont val="Times New Roman"/>
        <family val="1"/>
      </rPr>
      <t xml:space="preserve">     </t>
    </r>
    <r>
      <rPr>
        <sz val="9"/>
        <color theme="1"/>
        <rFont val="Calibri"/>
        <family val="2"/>
        <scheme val="minor"/>
      </rPr>
      <t>Coaseguro Suscrip. No Líder</t>
    </r>
  </si>
  <si>
    <t>(Coaseguro con otra Compañía).</t>
  </si>
  <si>
    <r>
      <t></t>
    </r>
    <r>
      <rPr>
        <sz val="7"/>
        <color theme="1"/>
        <rFont val="Times New Roman"/>
        <family val="1"/>
      </rPr>
      <t xml:space="preserve">     </t>
    </r>
    <r>
      <rPr>
        <sz val="11"/>
        <color theme="1"/>
        <rFont val="Arial"/>
        <family val="2"/>
      </rPr>
      <t>Coaseguro Suscrip. Líder</t>
    </r>
  </si>
  <si>
    <t>Participación Propia:</t>
  </si>
  <si>
    <t>Compañía Líder:</t>
  </si>
  <si>
    <t>GRUPO MEXICANO DE SEGUROS, S.A. DE C.V.</t>
  </si>
  <si>
    <t>Compañías Participantes:</t>
  </si>
  <si>
    <t>% Participación</t>
  </si>
  <si>
    <t>GREAT AMERICA =
EL AGUILA COMPAÑÍA DE SEGUROS, S.A. DE C.V.</t>
  </si>
  <si>
    <t>SEGUROS ATLAS, S.A.</t>
  </si>
  <si>
    <t>Total, Participación</t>
  </si>
  <si>
    <t>100%%</t>
  </si>
  <si>
    <t>Facturación (Coaseguro Líder):</t>
  </si>
  <si>
    <r>
      <t></t>
    </r>
    <r>
      <rPr>
        <sz val="7"/>
        <color theme="1"/>
        <rFont val="Times New Roman"/>
        <family val="1"/>
      </rPr>
      <t xml:space="preserve">         </t>
    </r>
    <r>
      <rPr>
        <sz val="9"/>
        <color theme="1"/>
        <rFont val="Calibri"/>
        <family val="2"/>
        <scheme val="minor"/>
      </rPr>
      <t>Parte de la Compañía.</t>
    </r>
  </si>
  <si>
    <r>
      <t></t>
    </r>
    <r>
      <rPr>
        <sz val="7"/>
        <color theme="1"/>
        <rFont val="Arial"/>
        <family val="2"/>
      </rPr>
      <t xml:space="preserve">         </t>
    </r>
    <r>
      <rPr>
        <sz val="9"/>
        <color theme="1"/>
        <rFont val="Arial"/>
        <family val="2"/>
      </rPr>
      <t>Total de la Operación.</t>
    </r>
  </si>
  <si>
    <t>Facturación (Coaseguro No Líder) Pagador:</t>
  </si>
  <si>
    <t>Las COASEGURADORAS acuerdan que la distribución de la participación en el riesgo por sección/ramo es el siguiente:</t>
  </si>
  <si>
    <t>MONEDA DE LA PÓLIZA.</t>
  </si>
  <si>
    <r>
      <t></t>
    </r>
    <r>
      <rPr>
        <sz val="7"/>
        <color theme="1"/>
        <rFont val="Times New Roman"/>
        <family val="1"/>
      </rPr>
      <t xml:space="preserve">         </t>
    </r>
    <r>
      <rPr>
        <sz val="9"/>
        <color theme="1"/>
        <rFont val="Arial"/>
        <family val="2"/>
      </rPr>
      <t>Pesos Mexicanos (MXP)</t>
    </r>
  </si>
  <si>
    <r>
      <t></t>
    </r>
    <r>
      <rPr>
        <sz val="7"/>
        <color theme="1"/>
        <rFont val="Times New Roman"/>
        <family val="1"/>
      </rPr>
      <t>        </t>
    </r>
    <r>
      <rPr>
        <sz val="7"/>
        <color theme="1"/>
        <rFont val="Arial"/>
        <family val="2"/>
      </rPr>
      <t xml:space="preserve"> </t>
    </r>
    <r>
      <rPr>
        <sz val="9"/>
        <color theme="1"/>
        <rFont val="Arial"/>
        <family val="2"/>
      </rPr>
      <t>Dólares (USD)</t>
    </r>
  </si>
  <si>
    <r>
      <t>FORMA DE PAGO DEL ASEGURADO.</t>
    </r>
    <r>
      <rPr>
        <sz val="11"/>
        <color theme="1"/>
        <rFont val="Calibri"/>
        <family val="2"/>
        <scheme val="minor"/>
      </rPr>
      <t xml:space="preserve"> </t>
    </r>
  </si>
  <si>
    <r>
      <t></t>
    </r>
    <r>
      <rPr>
        <sz val="7"/>
        <color theme="1"/>
        <rFont val="Times New Roman"/>
        <family val="1"/>
      </rPr>
      <t xml:space="preserve">         </t>
    </r>
    <r>
      <rPr>
        <sz val="9"/>
        <color theme="1"/>
        <rFont val="Arial"/>
        <family val="2"/>
      </rPr>
      <t>Anual.</t>
    </r>
  </si>
  <si>
    <r>
      <t></t>
    </r>
    <r>
      <rPr>
        <sz val="7"/>
        <color theme="1"/>
        <rFont val="Times New Roman"/>
        <family val="1"/>
      </rPr>
      <t xml:space="preserve">         </t>
    </r>
    <r>
      <rPr>
        <sz val="9"/>
        <color theme="1"/>
        <rFont val="Arial"/>
        <family val="2"/>
      </rPr>
      <t>Contado.</t>
    </r>
    <r>
      <rPr>
        <sz val="9"/>
        <color theme="1"/>
        <rFont val="Calibri"/>
        <family val="2"/>
        <scheme val="minor"/>
      </rPr>
      <t xml:space="preserve"> </t>
    </r>
  </si>
  <si>
    <r>
      <t></t>
    </r>
    <r>
      <rPr>
        <sz val="7"/>
        <color theme="1"/>
        <rFont val="Times New Roman"/>
        <family val="1"/>
      </rPr>
      <t xml:space="preserve">         </t>
    </r>
    <r>
      <rPr>
        <sz val="9"/>
        <color theme="1"/>
        <rFont val="Arial"/>
        <family val="2"/>
      </rPr>
      <t>Semestral.</t>
    </r>
  </si>
  <si>
    <r>
      <t></t>
    </r>
    <r>
      <rPr>
        <sz val="7"/>
        <color theme="1"/>
        <rFont val="Times New Roman"/>
        <family val="1"/>
      </rPr>
      <t xml:space="preserve">         </t>
    </r>
    <r>
      <rPr>
        <sz val="9"/>
        <color theme="1"/>
        <rFont val="Arial"/>
        <family val="2"/>
      </rPr>
      <t>Trimestral.</t>
    </r>
  </si>
  <si>
    <r>
      <t></t>
    </r>
    <r>
      <rPr>
        <sz val="7"/>
        <color theme="1"/>
        <rFont val="Times New Roman"/>
        <family val="1"/>
      </rPr>
      <t xml:space="preserve">         </t>
    </r>
    <r>
      <rPr>
        <sz val="9"/>
        <color theme="1"/>
        <rFont val="Arial"/>
        <family val="2"/>
      </rPr>
      <t>Mensual.</t>
    </r>
  </si>
  <si>
    <t>PERIODO DE GRACIA PARA EL PAGO DE LA PRIMA POR PARTE DEL ASEGURADO.</t>
  </si>
  <si>
    <r>
      <t></t>
    </r>
    <r>
      <rPr>
        <sz val="7"/>
        <color theme="1"/>
        <rFont val="Times New Roman"/>
        <family val="1"/>
      </rPr>
      <t xml:space="preserve">         </t>
    </r>
    <r>
      <rPr>
        <sz val="9"/>
        <color theme="1"/>
        <rFont val="Arial"/>
        <family val="2"/>
      </rPr>
      <t>De acuerdo a la Ley Sobre el Contrato del Seguro.</t>
    </r>
  </si>
  <si>
    <r>
      <t></t>
    </r>
    <r>
      <rPr>
        <sz val="7"/>
        <color theme="1"/>
        <rFont val="Times New Roman"/>
        <family val="1"/>
      </rPr>
      <t xml:space="preserve">         </t>
    </r>
    <r>
      <rPr>
        <sz val="9"/>
        <color theme="1"/>
        <rFont val="Arial"/>
        <family val="2"/>
      </rPr>
      <t>Otra (especificar): __________________________</t>
    </r>
  </si>
  <si>
    <t>MÉTODO DE PAGO DE PRIMAS ENTRE COMPAÑÍAS COASEGURADORAS.</t>
  </si>
  <si>
    <r>
      <t></t>
    </r>
    <r>
      <rPr>
        <sz val="7"/>
        <color theme="1"/>
        <rFont val="Times New Roman"/>
        <family val="1"/>
      </rPr>
      <t xml:space="preserve">         </t>
    </r>
  </si>
  <si>
    <r>
      <t>Estado de Cuenta.</t>
    </r>
    <r>
      <rPr>
        <sz val="9"/>
        <color theme="1"/>
        <rFont val="Calibri"/>
        <family val="2"/>
        <scheme val="minor"/>
      </rPr>
      <t xml:space="preserve"> </t>
    </r>
  </si>
  <si>
    <r>
      <t></t>
    </r>
    <r>
      <rPr>
        <sz val="7"/>
        <color theme="1"/>
        <rFont val="Times New Roman"/>
        <family val="1"/>
      </rPr>
      <t xml:space="preserve">         </t>
    </r>
    <r>
      <rPr>
        <sz val="9"/>
        <color theme="1"/>
        <rFont val="Arial"/>
        <family val="2"/>
      </rPr>
      <t>Otro (especificar): ___POR CONCEPTOS_______________________</t>
    </r>
  </si>
  <si>
    <r>
      <t>PAGO DE COMISIONES AL AGENTE.</t>
    </r>
    <r>
      <rPr>
        <sz val="9"/>
        <color theme="1"/>
        <rFont val="Calibri"/>
        <family val="2"/>
        <scheme val="minor"/>
      </rPr>
      <t xml:space="preserve"> </t>
    </r>
  </si>
  <si>
    <r>
      <t></t>
    </r>
    <r>
      <rPr>
        <sz val="7"/>
        <color theme="1"/>
        <rFont val="Times New Roman"/>
        <family val="1"/>
      </rPr>
      <t xml:space="preserve">         </t>
    </r>
    <r>
      <rPr>
        <sz val="9"/>
        <color theme="1"/>
        <rFont val="Arial"/>
        <family val="2"/>
      </rPr>
      <t>La COASEGURADORA LÍDER paga el 100%.</t>
    </r>
  </si>
  <si>
    <r>
      <t></t>
    </r>
    <r>
      <rPr>
        <sz val="7"/>
        <color theme="1"/>
        <rFont val="Times New Roman"/>
        <family val="1"/>
      </rPr>
      <t xml:space="preserve">         </t>
    </r>
    <r>
      <rPr>
        <sz val="9"/>
        <color theme="1"/>
        <rFont val="Arial"/>
        <family val="2"/>
      </rPr>
      <t>Cada COASEGURADORA paga su participación.</t>
    </r>
  </si>
  <si>
    <t>El pago de comisiones incluye los siguientes conceptos:</t>
  </si>
  <si>
    <t xml:space="preserve">Prima Neta. </t>
  </si>
  <si>
    <t>______%</t>
  </si>
  <si>
    <r>
      <t></t>
    </r>
    <r>
      <rPr>
        <sz val="7"/>
        <color theme="1"/>
        <rFont val="Times New Roman"/>
        <family val="1"/>
      </rPr>
      <t xml:space="preserve">         </t>
    </r>
    <r>
      <rPr>
        <sz val="9"/>
        <color theme="1"/>
        <rFont val="Arial"/>
        <family val="2"/>
      </rPr>
      <t>Recargos por pago fraccionado.     ____%</t>
    </r>
  </si>
  <si>
    <r>
      <t></t>
    </r>
    <r>
      <rPr>
        <sz val="7"/>
        <color theme="1"/>
        <rFont val="Times New Roman"/>
        <family val="1"/>
      </rPr>
      <t xml:space="preserve">         </t>
    </r>
    <r>
      <rPr>
        <sz val="9"/>
        <color theme="1"/>
        <rFont val="Arial"/>
        <family val="2"/>
      </rPr>
      <t>Sobre comisión.      _____%</t>
    </r>
  </si>
  <si>
    <t>Se incluye detalle de comisiones por cobertura y/o ramo contable.</t>
  </si>
  <si>
    <t>COMISIÓN POR ADMINISTRACIÓN DE COASEGURO.</t>
  </si>
  <si>
    <t>La comisión por administración para la COASEGURADORA LIDER será de: ____0___% sobre la participación de cada COASEGURADORA SEGUIDORA.</t>
  </si>
  <si>
    <t>SINIESTROS E INDEMNIZACIONES.</t>
  </si>
  <si>
    <t>Las COASEGURADORAS acuerdan que los ajustes de los siniestros se lleven a cabo a través del panel de ajustadores de la COASEGURADORA LÍDER, asimismo, las indemnizaciones que corresponda a los siniestros procedentes, sea realizado por la COASEGURADORA LÍDER sin la previa autorización de las COASEGURADORAS SEGUIDORAS dentro de los límites siguientes:</t>
  </si>
  <si>
    <r>
      <t></t>
    </r>
    <r>
      <rPr>
        <sz val="7"/>
        <color theme="1"/>
        <rFont val="Times New Roman"/>
        <family val="1"/>
      </rPr>
      <t xml:space="preserve">         </t>
    </r>
    <r>
      <rPr>
        <sz val="9"/>
        <color theme="1"/>
        <rFont val="Arial"/>
        <family val="2"/>
      </rPr>
      <t>Hasta el __0_% del límite de responsabilidad.</t>
    </r>
  </si>
  <si>
    <r>
      <t></t>
    </r>
    <r>
      <rPr>
        <sz val="7"/>
        <color theme="1"/>
        <rFont val="Times New Roman"/>
        <family val="1"/>
      </rPr>
      <t xml:space="preserve">         </t>
    </r>
    <r>
      <rPr>
        <sz val="9"/>
        <color theme="1"/>
        <rFont val="Arial"/>
        <family val="2"/>
      </rPr>
      <t>Hasta un límite máximo de $_____________ (MXP) o (USD).</t>
    </r>
  </si>
  <si>
    <t>COMISION</t>
  </si>
  <si>
    <t xml:space="preserve">GLOBAL </t>
  </si>
  <si>
    <t xml:space="preserve">              100.00 </t>
  </si>
  <si>
    <t xml:space="preserve">          17,223.85 </t>
  </si>
  <si>
    <t xml:space="preserve">        263,986.62 </t>
  </si>
  <si>
    <t xml:space="preserve">    1,913,902.97 </t>
  </si>
  <si>
    <t xml:space="preserve"> PRIMA NETA </t>
  </si>
  <si>
    <t>DERECHOS</t>
  </si>
  <si>
    <t xml:space="preserve">RECARGOS </t>
  </si>
  <si>
    <t xml:space="preserve"> IVA </t>
  </si>
  <si>
    <t xml:space="preserve"> TOTAL </t>
  </si>
  <si>
    <t xml:space="preserve"> POLIZA 12 MESES </t>
  </si>
  <si>
    <t xml:space="preserve">          11,482.57 </t>
  </si>
  <si>
    <t xml:space="preserve">        175,996.41 </t>
  </si>
  <si>
    <t xml:space="preserve">    1,275,973.98 </t>
  </si>
  <si>
    <t xml:space="preserve"> ENDOSO 6 MESES </t>
  </si>
  <si>
    <t xml:space="preserve">                     -   </t>
  </si>
  <si>
    <t xml:space="preserve">            5,741.28 </t>
  </si>
  <si>
    <t xml:space="preserve">         87,990.21 </t>
  </si>
  <si>
    <t xml:space="preserve">       637,928.99 </t>
  </si>
  <si>
    <t>RAZON SOCIAL</t>
  </si>
  <si>
    <t>RFC</t>
  </si>
  <si>
    <t>DIRECCION</t>
  </si>
  <si>
    <t>PORCENTAJE</t>
  </si>
  <si>
    <t>PRIMA TOTAL</t>
  </si>
  <si>
    <t>CUOTA</t>
  </si>
  <si>
    <t>CLIENTES</t>
  </si>
  <si>
    <t>ARENA DE JUEGOS</t>
  </si>
  <si>
    <t>AJU161030UF9</t>
  </si>
  <si>
    <t>BOSQUE DE CIRUELOS No. 99 PISO 4 BOSQUES DE LAS LOMAS C.P.11700 DELEGACIÓN MIGUEL HIDALGO</t>
  </si>
  <si>
    <t>TOTAL</t>
  </si>
  <si>
    <t>BOUTIQUE BOWLING</t>
  </si>
  <si>
    <t>BBM110328PB2</t>
  </si>
  <si>
    <t>CINEMAS LUMIERE S.A. DE C.V.</t>
  </si>
  <si>
    <t>CLU9408151M9</t>
  </si>
  <si>
    <t>AV. JAVIER BARROS SIERRA No. 540 TORRE 1 PH1 COLONIA SANTA FE C.P. 01210 DELEGACIÓN ÁLVARO OBREGÓN</t>
  </si>
  <si>
    <t>CINEMEX MORELIA S.A DE C.V.</t>
  </si>
  <si>
    <t>CMO040512BX5</t>
  </si>
  <si>
    <t>CINEMEX SAN ANTONIO S.A. DE C.V.</t>
  </si>
  <si>
    <t>CSA970723LT7</t>
  </si>
  <si>
    <t>CINEMEX TOLUCA II S.A. DE C.V.</t>
  </si>
  <si>
    <t>CTI000411AA3</t>
  </si>
  <si>
    <t>CINEMEX WTC S.A. DE C.V.</t>
  </si>
  <si>
    <t>CWT97121519A</t>
  </si>
  <si>
    <t>ENTRETENIMIENTO ALTERNO S.A. DE C.V.</t>
  </si>
  <si>
    <t>EAL030815ICA</t>
  </si>
  <si>
    <t>GRUPO VINO POR TI S.A. DE C.V.</t>
  </si>
  <si>
    <t>GVT110328KW1</t>
  </si>
  <si>
    <t>OPERADORA DE CINEMAS S.A. DE C.V.</t>
  </si>
  <si>
    <t>OCI970818KX9</t>
  </si>
  <si>
    <t>TEATRO POLANCO S.A. DE C.V.</t>
  </si>
  <si>
    <t>TPO970717R93</t>
  </si>
  <si>
    <t>CONSECUTIVO</t>
  </si>
  <si>
    <t>SEGÚN CONTRATO DE ARRENDAMIENTO</t>
  </si>
  <si>
    <t xml:space="preserve">ESTADO  </t>
  </si>
  <si>
    <t xml:space="preserve">CIUDAD O DELEGACION </t>
  </si>
  <si>
    <t>DIRECCION COMPLETA POR COMPLEJO</t>
  </si>
  <si>
    <t>CODIGO POSTAL</t>
  </si>
  <si>
    <t>DIRECCION COMPLETA</t>
  </si>
  <si>
    <t xml:space="preserve">VALOR EDIFICIOS </t>
  </si>
  <si>
    <t>VALOR CONTENIDOS USD</t>
  </si>
  <si>
    <t>EQUIPO ELECTRONICO USD</t>
  </si>
  <si>
    <t>INTERRUPCIÓN DE NEGOCIOS USD</t>
  </si>
  <si>
    <t>Cinemas Lumiere S.A. de C.V.</t>
  </si>
  <si>
    <t>AGUASCALIENTES</t>
  </si>
  <si>
    <t>AV. INDEPENDENCIA #2351 TROJES DE ALONSO CENTRO COMERCIAL GALERIAS</t>
  </si>
  <si>
    <t>Cinemex San Antonio S.A de C.V.</t>
  </si>
  <si>
    <t>BAJA CALIFORNIA NORTE</t>
  </si>
  <si>
    <t>TIJUANA</t>
  </si>
  <si>
    <t>BLVD.AGUA AZUL No.7200 COL. LOMA BONITA NORTE LOCAL A-6 C.C. PLAZA LOMA BONITA TIJUANA, BAJA CALIFORNIA</t>
  </si>
  <si>
    <t>Cinemex Toluca II S.A de C.V.</t>
  </si>
  <si>
    <t xml:space="preserve">BAJA CALIFORNIA  SUR </t>
  </si>
  <si>
    <t xml:space="preserve">LOS CABOS </t>
  </si>
  <si>
    <t>BOULEVARD LAZARO CARDENAS S/N LOCAL 301 Y 302 INTERIOR PLAZA PUERTO PARAISO COL. EL MEDANO CABO SAN LUCAS</t>
  </si>
  <si>
    <t>BLVD. INSURGENTES #18015 ENTRE BLVD.MANUEL J. CLOUTHIER Y CALLE PASEO DEL PARQUE. TERCERA ETAPA RIO TIJUANA. CCMACROPLA</t>
  </si>
  <si>
    <t>CAMPECHE</t>
  </si>
  <si>
    <t>CIUDAD DEL CARMEN</t>
  </si>
  <si>
    <t>PREDIO URBANO S/N LOCAL 35 AV.PERIFERICA NORTE X AV.CONCORDIA COL.ASA PONIENTE CD.DEL CARMEN, CAMPECHE</t>
  </si>
  <si>
    <t>CARRETERA PUERTO REAL KM 2.5, COL. PALMIRA CIUDAD DEL CARMEN CAMPECHE</t>
  </si>
  <si>
    <t>Cinemex Morelia S.A. de C.V.</t>
  </si>
  <si>
    <t>CHIHUAHUA</t>
  </si>
  <si>
    <t>CIUDAD DELICIAS</t>
  </si>
  <si>
    <t>AVE. DEL PARQUE ORIENTE #1000 LOCAL C SECTOR ORIENTE PLAZA OASIS</t>
  </si>
  <si>
    <t>BLVD. JOSE FUENTES MARES # 300, COL. STA. ROSA, CD. DELICIAS, CHIH.</t>
  </si>
  <si>
    <t>BLVD. ORTIZ MENA y C. INDIANA # 3300-D, COL. LAS AGUILAS, CD DELICIAS, CHIH.</t>
  </si>
  <si>
    <t>CIUDAD JUAREZ</t>
  </si>
  <si>
    <t>AVE.TECNOLOGICO # 1770 COL. FUENTES DEL VALLE, CD. JUAREZ, CHIH</t>
  </si>
  <si>
    <t>PASEO TRIUNFO DE LA REPUBLICA # 5298, COL. SAN LORENZO, CD JUAREZ, CHIH</t>
  </si>
  <si>
    <t>EDUARDO SANDER`S # 1551, COL. EL BARREAL, CD. JUAREZ, CHIH</t>
  </si>
  <si>
    <t>COAHUILA</t>
  </si>
  <si>
    <t>MONCLOVA</t>
  </si>
  <si>
    <t>AV. HUEMAC ESQ. BRASIL, COL. ANAHUAC, MONCLOVA, COAH</t>
  </si>
  <si>
    <t>SALTILLO</t>
  </si>
  <si>
    <t>BLVD.NAZARIO ORTIZ GARZA S/ N ESQ. CON DR. LAZARO DE BENAVIDES COL. VILLA OLIMPICA NORTE SALTILLO, COAH.</t>
  </si>
  <si>
    <t>TORREON</t>
  </si>
  <si>
    <t>CARR. TORREON MATAMOROS # 5000 OTE, COL. PROVITEC, TORREON, COAH</t>
  </si>
  <si>
    <t>COLIMA</t>
  </si>
  <si>
    <t>AV. MARIA AHUMADA DE GOMEZ # 371, COL. CAMPESTRE, COL, COL.</t>
  </si>
  <si>
    <t>CDMX</t>
  </si>
  <si>
    <t>ALVARO OBREGON</t>
  </si>
  <si>
    <t>C.C. PABELLON ALTAVISTA, CALZ. DESIERTO DE LOS LEONES NO. 52, COL. SAN ANGEL, MEXICO, D.F</t>
  </si>
  <si>
    <t>PLAZA OPCION, ALTAMIRANO NO. 46, COL. TIZAPAN, MÉXICO, D.F.</t>
  </si>
  <si>
    <t>CALLE 10 NO. 132 COL. SAN PEDRO DE LOS PINOS ALVARO OBREGON, MÉXICO, D. F.</t>
  </si>
  <si>
    <t>MIGUEL HIDALGO</t>
  </si>
  <si>
    <t>C.C. ANTARA EJERCITO NACIONAL NO. 843 - B COL. GRANADA, MEXICO, D.F.</t>
  </si>
  <si>
    <t>BENITO JUAREZ</t>
  </si>
  <si>
    <t>C. C. PARQUE DELTA AV. CUAUHTÉMOC 462, ENTRE OBRERO MUNDIAL Y VIADUCTO, COL. NARVARTE, MÉXICO, D. F.</t>
  </si>
  <si>
    <t>AV. PATRIOTISMO 229 ESQ. PUENTE DE LA MORENA COL. SAN PEDRO DE LOS PINOS DEL. BENITO JUÁREZ, MÉXICO, D. F., C. P. 03800</t>
  </si>
  <si>
    <t>AV. UNIVERSIDAD NO. 740 ESQ. SAN LORENZO, COL. DEL VALLE, DEL. BENITO JUAREZ, MÉXICO, D. F.</t>
  </si>
  <si>
    <t>Cinemex WTC S.A. de C.V.</t>
  </si>
  <si>
    <t>C.C. WORLD TRADE CENTER MONTECITO NO. 38 COL. NÁPOLES MÉXICO, D. F.</t>
  </si>
  <si>
    <t>COYOACAN</t>
  </si>
  <si>
    <t>PERIFERICO SUR NO. 5550 COL. PEDREGAL DE CARRASCO, COYOACAN MÉXICO, D. F.</t>
  </si>
  <si>
    <t>CUAUHTEMOC</t>
  </si>
  <si>
    <t>PABELLÓN CUAUHTÉMOC, ANTONIO M. ANZA NO. 20 ESQ. CUAUHTÉMOC, COL. ROMA</t>
  </si>
  <si>
    <t>INSURGENTES ESQ. SAN LUIS POTOSÍ SIN NUM. ATRÁS DE SEARS INSURGENTES COL. ROMA, MÉXICO, D. F.</t>
  </si>
  <si>
    <t>COLON 17 ESQ. BALDERAS Y REFORMA, COL. CENTRO, DEL. CUAUHTEMOC, MÉXICO, D. F.</t>
  </si>
  <si>
    <t>GUSTAVO A. MADERO</t>
  </si>
  <si>
    <t>SAN JUAN DE ARAGON 516 COL. DM NACIONAL GUSTAVO A. MADERO C.P. 07070</t>
  </si>
  <si>
    <t>AV. LA VENTISCA NO. 100, COL. UNIDAD CROC, GUSTAVO A. MADERO, MEXICO, D. F.</t>
  </si>
  <si>
    <t>IZTAPALAPA</t>
  </si>
  <si>
    <t>PERIFERICO ARCO ORIENTE NO. 2141 COL. EJERCITO CONSTITUCIONALISTA MÉXICO, D. F.</t>
  </si>
  <si>
    <t>C.C. GALERIAS, CALZ. MELCHOR OCAMPO 193 , ESQ. BAHIA ASCENCION,COL. ANZURES, MEXICO, D.F.</t>
  </si>
  <si>
    <t>CALZADA LEGARIA 252 COL. PENSIL NORTE MÉXICO, D.F.</t>
  </si>
  <si>
    <t>TLALPAN</t>
  </si>
  <si>
    <t>C. C. GALERIAS COAPA, CALZ. DEL HUESO NO. 519, COL. RESIDENCIAL ACOXPA, MÉXICO, D. F., C. P. 14300</t>
  </si>
  <si>
    <t>PLAZA CUICUILCO, AV. SAN FERNANDO NO. 649, COL. PEÑA POBRE, MEXICO, D.F.</t>
  </si>
  <si>
    <t>DURANGO</t>
  </si>
  <si>
    <t>AVE.FELIPE PESCADOR #1107 ENTRE PROL. LAZARO CARDENAS Y BLVD. TECNOLOGICO , DGO, DGO.</t>
  </si>
  <si>
    <t>GOMEZ PALACIO</t>
  </si>
  <si>
    <t>BLVD. MIGUEL ALEMAN Y GONZALEZ DE LA VEGA S/N COL. EL CONSUELO GOMEZ PALACIO , DGO</t>
  </si>
  <si>
    <t>ESTADO DE MEXICO</t>
  </si>
  <si>
    <t>COACALCO</t>
  </si>
  <si>
    <t>AV. CONSTITUYENTE JOSE LOPEZ BONAGA COL. GUADALUPE VICTORIA ECATEPEC, EDO DE MEX.</t>
  </si>
  <si>
    <t>CUAUTITLAN IZCALLI</t>
  </si>
  <si>
    <t>AV. CHALMA S/N CASI ESQUINA CON AUTOPISTA MÉX-QUERETARO COL. JARDINES DE LA HACIENDA CUAUTITLAN IZCALLI, EDO. DE MEXICO,</t>
  </si>
  <si>
    <t>IXTAPALUCA</t>
  </si>
  <si>
    <t>AV. CUAUHTÉMOC NO. 3 (CARR. LIBRE A PUEBLA) ESQUINA AV. VIGILANTES COL. VILLAS DE SAN JACINTO, IXTAPALUCA, EDO. DE MEX</t>
  </si>
  <si>
    <t>LERMA</t>
  </si>
  <si>
    <t>KM 50 AUTOPISTA MEXICO TOLUCA ESQ. CHOLULA CP. 52000 COL. LA ISLA CENTRO COMERCIAL LAS PLAZAS OUTLET LERMA</t>
  </si>
  <si>
    <t>LOS REYES LA PAZ</t>
  </si>
  <si>
    <t>KM. 17.5 CARRETERA LIBRE MEXICO-PUEBLA, MUNICIPIO DE LOS REYES, LA PAZ, ESTADO DE MEXICO</t>
  </si>
  <si>
    <t>NAUCALPAN</t>
  </si>
  <si>
    <t>VIA ADOLFO LOPEZ M ATEOS NO. 201, COL. SANTA CRUZ ACATLAN, NAUCALPAN, ESTADO DE MEXICO.</t>
  </si>
  <si>
    <t>TECAMAC</t>
  </si>
  <si>
    <t>AV SANA CRUZ OJO DE AGUA # 88, EX EJIDOS DE SN FRANCISCO CUAUTITLIXCA TECAMAC ESTADO DE MEXICO</t>
  </si>
  <si>
    <t>TLALNEPANTLA</t>
  </si>
  <si>
    <t>BLVD. MANUEL AVILA CAMACHO NO. 1007, COL. SAN LUCAS TEPETLACALCO, TLANEPANTLA, EDO. DE MEXICO</t>
  </si>
  <si>
    <t>TOLUCA</t>
  </si>
  <si>
    <t>BLVD. ALFREDO DEL MAZO NO. 705, ESQ. AV. FILIBERTO GOMEZ, BARRIO DE TLACOPA, TOLUCA, EDO. DE MÉXICO, (JUNTO A CHEDRAUI )</t>
  </si>
  <si>
    <t>TULTEPEC</t>
  </si>
  <si>
    <t xml:space="preserve">VIA MORELOS NO. 300, COL. TULTEPEC, ESTADO DE MEXICO. </t>
  </si>
  <si>
    <t>GUANAJUATO</t>
  </si>
  <si>
    <t>BLVD. POZUELOS S/N CIRCUITO INTERIOR No. 1 COL. LOMAS DE POZUELOS PLAZA POZUELOS ,GTO, GTO</t>
  </si>
  <si>
    <t>LEON</t>
  </si>
  <si>
    <t>BLVD. MARIANO ESCOBEDO # 2902, COL. LA MARTINICA, LEON, GTO.</t>
  </si>
  <si>
    <t>SAN MIGUEL ALLENDE</t>
  </si>
  <si>
    <t>LIBRAMIENTO JOSE MANUEL ZAVALA S/N ENTRE CAMINO VIEJO ALCOSER Y BLVD. DE LA CONSPIRACION PLAZA LA LUCIERNAGA.SAN MIG</t>
  </si>
  <si>
    <t>HIDALGO</t>
  </si>
  <si>
    <t>PACHUCA</t>
  </si>
  <si>
    <t>AV. LUIS DONALDO COLOSIO # 1501, COL. EX. HACIENDA DE COXCOCITLAN, PACHUCA, HGO.</t>
  </si>
  <si>
    <t>BLVD. LUIS DONALDO COLOSIO KM 7.7 FRACC. COLINAS DE PLATA, C.C.PLAZA Q. MINERAL DE LA REFORMA, HIGALGO</t>
  </si>
  <si>
    <t>TULANCINGO</t>
  </si>
  <si>
    <t>BLVD.MIGUEL HIDALGO No.1101 FRACC.SANTA ANA C.C.PATIO TULANCINGO, LOCAL A-01 TULANCINGO DEL BRAVO, HGO</t>
  </si>
  <si>
    <t>JALISCO</t>
  </si>
  <si>
    <t>CD. GUZMAN</t>
  </si>
  <si>
    <t>CALZADA MADERO Y CARRANZA #570 COL CENTRO JUNTO A SORIANA, CD. GUZMAN JALISCO</t>
  </si>
  <si>
    <t>GUADALAJARA</t>
  </si>
  <si>
    <t>AVE. NIÑOS HEROES (ANTIGUO CAMINO A TONALA) #720 ESQ.AVE.REVOLUCION COL.HIDALGO</t>
  </si>
  <si>
    <t>OCOTLAN</t>
  </si>
  <si>
    <t>AV.UNIVERSIDAD (ANTES FCO.ZARCO) No.950 ENTRE CALLE ECUADOR Y ANDADOR ECUADOR COL.SAN FELIPE C.C. PLAZA OCOTLAN</t>
  </si>
  <si>
    <t>PUERTO VALLARTA</t>
  </si>
  <si>
    <t>FRANCISCO MEDINA ASCENCIO No.2920 LOCAL 234 C.C. GALERIAS VALLARTA COL. EDUCACION PUERTO VALLARTA, JAL.</t>
  </si>
  <si>
    <t>TLAJOMULCO DE ZUÑIGA</t>
  </si>
  <si>
    <t>C. C. OUTLET LAS PLAZAS, CARRETERA GUADALAJARA - MORELIA KM. 12.5 COL. TLAJOMULCO DE ZÚÑIGA, TLAJOMULCO, JALISCO</t>
  </si>
  <si>
    <t>TONALA</t>
  </si>
  <si>
    <t>PLAZA LOMAS, RIO NILO NO. 7540, FRACC. VILLAS DE ORIENTE, TONALÁ, JALISCO</t>
  </si>
  <si>
    <t>ZAPOPAN</t>
  </si>
  <si>
    <t>AV. PATRIA ESQ. AV. MANUEL J. CLOUTHIER, COL. PRADOS DEL TEPEYAC, GUAD, JAL</t>
  </si>
  <si>
    <t>MORELOS</t>
  </si>
  <si>
    <t>CUAUTLA</t>
  </si>
  <si>
    <t>LIBRAMIENTO CUAUTLA-OAXTEPEC KM 31+900, COL. EJIDO</t>
  </si>
  <si>
    <t>NAYARIT</t>
  </si>
  <si>
    <t>TEPIC</t>
  </si>
  <si>
    <t xml:space="preserve">BLVD.LUIS DONALDO COLOSIO #680 ENTRE AV.PASEO DEL LAGO Y CANAL PLUVIAL SUBCENTRO URBANO ORIENTE CENTRO COMERCIAL FORUM </t>
  </si>
  <si>
    <t>AVE.INSURGENTES #368 COL.LOS LLANITOS ENTRE LAS GAVIOTAS Y 12 DE OCTUBRE CENTRO COMERCIAL SORIANA, TEPIC,</t>
  </si>
  <si>
    <t>NUEVO LEON</t>
  </si>
  <si>
    <t>APODACA</t>
  </si>
  <si>
    <t>CARR.MEZQUITAL - SANTA ROSA No.5000 ESQ.AV.LA CONCORDIA APODACA,N.L.</t>
  </si>
  <si>
    <t>MONTERREY</t>
  </si>
  <si>
    <t xml:space="preserve">AVE.GUERRERO Y RUIZ CORTINEZ No 2500 NTE FRACC. CENTRIKA 2o. SECTOR MTY,N.L. </t>
  </si>
  <si>
    <t>AVE. ELOY CAVAZOS # 2003, COL. BOSQUES DE LA PASTORA, GUADALUPE, N.L.</t>
  </si>
  <si>
    <t>AV. PARQUE INDUSTRIAL # 201, COL. GIRASOLES, ESCOBEDO,N.L.</t>
  </si>
  <si>
    <t>AVE.HUMBERTO LOBO 540-A COL.DEL VALLE SAN PEDRO GARZA GARCIA,N.L.</t>
  </si>
  <si>
    <t>AV. FELIX GALVAN # 120, COL. HDA. LOS MORALES, SAN NICOLAS DE LOS GARZA,N.L.</t>
  </si>
  <si>
    <t>MANUEL L.BARRAGAN # 220 COL. EXHACIENDA EL CANADA MTY, N.L.</t>
  </si>
  <si>
    <t xml:space="preserve">AV.PASEO DE LEONES # 1501 COL. CUMBRES MTY,N.L. </t>
  </si>
  <si>
    <t>AV. ABRAHAM LINCOLN # 8000 ENTRE AV-LUIS DONALDO COLOSIO Y BOSQUE CHAPULTEPEC CD. SOLIDARIDAD, BARRIO CHAPULTEPEC SUR C.</t>
  </si>
  <si>
    <t>AV.MIGUEL ALEMAN S / N ESQ.AV.CONSTITUCION COL. LINDA VISTA LOCAL 201 C.C. MULTIPLAZA LINDA VISTA GUADALUPE, N.L.</t>
  </si>
  <si>
    <t>CENTRO COMERCIAL PASEO SAN PEDRO JOSE VASCONSELOS No. 402 ESQ. GOMEZ MORIN COL. VALLE DEL CAMPESTRE SAN PEDRO</t>
  </si>
  <si>
    <t xml:space="preserve">BATALLON DE SAN PATRICIO # 1000 PLAZA FIESTA SAN AGUSTIN SAN PEDRO GARZA GARCIA,N.L. </t>
  </si>
  <si>
    <t xml:space="preserve">AVE. SENDERO NTE. 1001 ESQ. REPUBLICA MEXICANA COL. CERRADAS DE ANAHUAC ESCOBEDO, N.L. </t>
  </si>
  <si>
    <t xml:space="preserve">CARRETERA MONTERREY-SALTILLO N°1050 INTERIOR B SANTA CATARINA </t>
  </si>
  <si>
    <t>AV.PABLO LIVAS 7601 ORIENTE ESQ.CON AV.PROFESOR ISRAEL CAVAZOS GARZA COL.TRES CAMINOS GUADALUPE,N.L.</t>
  </si>
  <si>
    <t>CARRETERA LIBRE A REYNOSA ESQ.AV.LAS TORRES COL. PASEO DEL PRADO</t>
  </si>
  <si>
    <t>SAN NICOLAS DE LA GARZA</t>
  </si>
  <si>
    <t>AV. MANUEL I BARRAGAN 325 COLONIA RESIDENCIAL ANAHUAC , SAN NICOLAS DE LOS GARZA N.L. , INTERIOR PLAZA FIESTA ANAHUAC</t>
  </si>
  <si>
    <t>OAXACA</t>
  </si>
  <si>
    <t>AV.UNIVERSIDAD #139 LOCAL F-4 COL.EX. HACIENDA DE CANDIANI OAX,OAX.</t>
  </si>
  <si>
    <t>BLVD.BENITO JUAREZ No. 975 ESQ.PROL. JESUS CARRANZA FRACC. LOS ANGELES TUXTEPEC, OAXACA</t>
  </si>
  <si>
    <t>PUEBLA</t>
  </si>
  <si>
    <t>C. C. SAN FRANCISCO ARROYO XONACA NO. 1006 COL. BARRIO EL ALTO, PUEBLA, PUEBLA</t>
  </si>
  <si>
    <t xml:space="preserve">7º PONIENTE # 102 , COL. CENTRO, PUEBLA, PUE. </t>
  </si>
  <si>
    <t>VIA. ATLIXCAYOTL NO. 4931 UNIDAD TERRITORIAL ATLIXCAYOTL, PUEBLA, PUEB.</t>
  </si>
  <si>
    <t>QUERETARO</t>
  </si>
  <si>
    <t>AV. PROLONGACION CANDILES No. 204 FRACC. CAMINO REAL MUNICIPIO DE CORREGIDORA, QUERETARO, QTO.</t>
  </si>
  <si>
    <t>QUINTANA ROO</t>
  </si>
  <si>
    <t>CANCUN</t>
  </si>
  <si>
    <t>AV. ANDRES QUINTANA ROO SUPER MANZANA 39-B MANZANA 10 LOTE 01 ATRÁS DE SORIANA DE LA AV. KABAH CANCUN,QUINT</t>
  </si>
  <si>
    <t>CARRETERA FEDERAL #2100 PLAZA CENTRO MAYA ANCLA "C" REGION 100 SM. 16 Mza. 1 Lt.1 SOLIDARIDAD QUINTANA ROO.</t>
  </si>
  <si>
    <t>SAN LUIS POTOSI</t>
  </si>
  <si>
    <t>CD. VALLES</t>
  </si>
  <si>
    <t>CARRETERA MEXICO LAREDO COL. ZONA CENTRO ENTRE VICENTE C. SALAZAR Y FRONTERA CD. VALLES, S.L.P.</t>
  </si>
  <si>
    <t>RUTILO TORRES S/N ESQ. DR. SALVADOR NAVA MTZ., COL. EL PASEO, SAN LUIS POTOSI</t>
  </si>
  <si>
    <t>SINALOA</t>
  </si>
  <si>
    <t>CULIACAN</t>
  </si>
  <si>
    <t>BLV.JOSE DIEGO VALADEZ #1676 PTE. DESARROLLO URBANO 3 RIOS ENTRE ENRIQUE SANCHEZ ALONSO Y BLVD.OBREGON</t>
  </si>
  <si>
    <t>AV. EMILIANO ZAPATA # 2151, COL. EL VALLADO, CULIACAN, SIN.</t>
  </si>
  <si>
    <t>LOS MOCHIS</t>
  </si>
  <si>
    <t>BLVD.CENTENARIO #805 PTE ESQ.BLVD.ANTONIO ROSALES ZONA CENTRO CENTRO COMERCIAL PASEO LOS MOCHIS , MUNICIPIO DE AHOME, SI</t>
  </si>
  <si>
    <t>MAZATLÁN</t>
  </si>
  <si>
    <t>AVE. INSURGENTES # 1198 COL. VILLA DEL ESTERO CENTRO COMERCIAL SORIANA, MAZATLAN, SINALOA</t>
  </si>
  <si>
    <t>SONORA</t>
  </si>
  <si>
    <t>GUAYMAS</t>
  </si>
  <si>
    <t>BLVD. LUIS ENCINAS Y CALZADA GARCIA LOPEZ S/N COL. LA QUINTAS ZONA CENTRO GUAYMAS, SON.</t>
  </si>
  <si>
    <t>HERMOSILLO</t>
  </si>
  <si>
    <t>BLVD. JOSE GARCIA MORALES # 2 COL. EL LLANO ESQ. PERIFERICO PTE. HERMOSILLO, SONORA</t>
  </si>
  <si>
    <t>NAVOJOA</t>
  </si>
  <si>
    <t xml:space="preserve">IGNACIO PESQUERIA # 807 NORTE COL. REFORMA NAVOJOA, SONORA </t>
  </si>
  <si>
    <t>TABASCO</t>
  </si>
  <si>
    <t>CARDENAS</t>
  </si>
  <si>
    <t>PERIFERICO CARLOS MOLINA NO. 589 Y CARR. FED. CARDENAS - HUIMANGUILLO RANCHERIA PASO PLAYA CD. CARDENAS, TABASCO</t>
  </si>
  <si>
    <t>VILLAHERMOSA</t>
  </si>
  <si>
    <t>PERIFERICO CARLOS PELLICER CAMARA #205 COL. GUAYABAL MUNICIPIO DE CENTRO VILLAHERMOSA TABASCO</t>
  </si>
  <si>
    <t>TAMAULIPAS</t>
  </si>
  <si>
    <t>CD. MANTE</t>
  </si>
  <si>
    <t>VICENTE GUERRERO # 900 0TE., COL. VILLA JUAREZ, CD. MANTE, TAMAULIPAS</t>
  </si>
  <si>
    <t>CD. VICTORIA</t>
  </si>
  <si>
    <t>AV. JUAN B. TIJERINA # 2033, FRACC. ARCOS, CD. VICTORIA, TAMAULIPAS</t>
  </si>
  <si>
    <t>MATAMOROS</t>
  </si>
  <si>
    <t>AV. LAURO VILLAR # 1203-A, COL. ARBOLEDAS, MATAMOROS, TAMAULIPAS</t>
  </si>
  <si>
    <t>NUEVO LAREDO</t>
  </si>
  <si>
    <t>15 DE SEPTIEMBRE # 3553, COL.CAMPESTRE, NUEVO LAREDO, TAMPS.</t>
  </si>
  <si>
    <t>REYNOSA</t>
  </si>
  <si>
    <t>BLVD. HIDALGO 101 ESQ. BLVD. LAS FUENTES FRACC. LAS FUENTES PLAZA REAL REYNOSA</t>
  </si>
  <si>
    <t>AVE. PORTES GIL ESQ. PROLONGACION COLON, COLONIA DEL PRADO ZONA DORADA, REYNOSA, TAMAULIPAS</t>
  </si>
  <si>
    <t>TAMPICO</t>
  </si>
  <si>
    <t>DIAGONAL NORTE SUR # 1101-A, FRACC. TAMPICO, TAMPICO, TAMAULIPAS</t>
  </si>
  <si>
    <t>VERACRUZ</t>
  </si>
  <si>
    <t>COATZACOALCOS</t>
  </si>
  <si>
    <t>AV. PALMAS # 101, COL. PARAISO, COATZACOALCOS, VER.</t>
  </si>
  <si>
    <t>KILOMETRO 8 DE LA ANTIGUA CARRETERA COATZACOALCOS MINATITLAN ( AVE. UNIVERSIDAD) COL. EL TESORO CENTRO COMERCIAL FORUM</t>
  </si>
  <si>
    <t>POZA RICA</t>
  </si>
  <si>
    <t>CARR.POZA RICA CAZONES KM.50 No.4706 LOCAL A-03 C.C. GRAN PATIO POZA RICA, VER.</t>
  </si>
  <si>
    <t>AV. PUEBLA # 502 LOCAL 39, COL. PALMA SOLA, POZA RICA, VER.</t>
  </si>
  <si>
    <t>AV. RUIZ CORTINES ESQ. S.S. JUAN PABLO II, FRACC. S.U.T.S.E.M., BOCA DEL RIO, VER.</t>
  </si>
  <si>
    <t xml:space="preserve">AV. MIGUEL ANGEL DE QUEVEDO NO. 3852 COL. CRISTOBAL COLON VERACRUZ, VER. AL LADO DE COMERCIAL MEXICANA </t>
  </si>
  <si>
    <t>YUCATAN</t>
  </si>
  <si>
    <t>MERIDA</t>
  </si>
  <si>
    <t>CALLE 60 No. 299 CARR.MERIDA-PROGRESO KM.8.5 COL.REVOLUCION, MERIDA ,YUCATAN</t>
  </si>
  <si>
    <t>CALLE 33 No.200-A INT.X 44 Y CHICHI SUAREZ COL. FRACC. ITZIMNA, POLIGONO #108 MERIDA, YUCATAN</t>
  </si>
  <si>
    <t>Operadora de Cinemas S.A. de C.V.</t>
  </si>
  <si>
    <t>ZACATECAS</t>
  </si>
  <si>
    <t>FRESNILLO</t>
  </si>
  <si>
    <t xml:space="preserve">GARCIA SALINAS # 510 ZONA CENTRO FRESNILLO, ZACATECAS </t>
  </si>
  <si>
    <t>AVE. FRANCISCO GARCIA SALINAS Y SEVILLA FRACC. TAHONA ENTRE SEVILLA Y PASEO DE LA CAÑADA ZACATECAS, ZAC.</t>
  </si>
  <si>
    <t>TEPEYAC 1209 COL INDEPENDENCIA ENTRE HILARIO MARTINEZ Y MICHOACAN MTY NUEVO LEON</t>
  </si>
  <si>
    <t>LAGO ISEO 72 COLONIA ANAHUAC SEEC I</t>
  </si>
  <si>
    <t>CUAJIMALPA</t>
  </si>
  <si>
    <t>AV JAVIER BARROS SIERRA 540 PH1 COLONIA SANTA FE , DELEG. ALVARO OBREGON MEXICO D.F.</t>
  </si>
  <si>
    <t>KM. 38 CARRETERA LIBRE A CELAYA, EJIDOS LOS  OLVERA, MUNICIPIO DE CORREGIDORA, QUERETARO</t>
  </si>
  <si>
    <t>LOTE 1 MZ. 1 SECC 1 CARRETERA FEDERAL LECHERIA TEXCOCO Y AUTOPISTA MEXICO PACHUCA S/N EJIDO TECAMAC, ESTADO DE MEXICO</t>
  </si>
  <si>
    <t>CALZ. DE LA VIGA No. 150 COL. APATLACO, DELEGACION IZTAPALAPA, MEXICO D.F.</t>
  </si>
  <si>
    <t>ATLACOMULCO</t>
  </si>
  <si>
    <t>AV. 1° DE MAYO Y LIBRAMIENTO JORGE JIMENEZ CANTU, MPO. ATLACOMULCO DE FABELA, EDO DE MEXICO</t>
  </si>
  <si>
    <t>GUERRERO</t>
  </si>
  <si>
    <t>ACAPULCO</t>
  </si>
  <si>
    <t xml:space="preserve">BLVD. DE LAS NACIONES No. 802, COL. GRANJAS DEL MARQUES, MPIO. DE TABARES, ACAPULCO GUERRERO </t>
  </si>
  <si>
    <t>NAUCALPAN TOLUCA 1101 (INTERSECCION DE LA CARRETERA NAUCALPAN-TOLUCA Y PROLONGACION BLVD. MIGUEL ALEMAN) COL SAN DIEGO DE LOS PADRES OTZCARIPAN, TOLUCA, ESTADO DE MEXICO</t>
  </si>
  <si>
    <t>MICHOACAN</t>
  </si>
  <si>
    <t>MORELIA</t>
  </si>
  <si>
    <t>AV. OCAÑA MONARCA NORTE No. 1000, COL.   MONTAÑA MONARCA , MORELIA MICHOACAN</t>
  </si>
  <si>
    <t>CALZ. SAN ESTEBAN No. 46, COL. ESTEBAN HUITZILACASCO, NAUCALPAN, ESTADO DE MEXICO</t>
  </si>
  <si>
    <t>AUTOPISTA MEXICO QUERETARO NO 3130 FRACCIONAMIENTO  TAXCOLPAN TLALNEPANTLA ESTADO DE MEXICO C.P. 54030</t>
  </si>
  <si>
    <t>VALLADOLID</t>
  </si>
  <si>
    <t>CALLE 42 No. 124, COL. STA LUCIA VALLADOLID centro , YUCATAN</t>
  </si>
  <si>
    <t>PROLONGACION PABLO VALDEZ No. 350, COL. CAMICHINES I , TONALA JALISCO</t>
  </si>
  <si>
    <t>AV. JAVIER BARRIOS SIERRA No. 540, COL. SANTA FE, DELEG. ALVARO OBREGON, MEXICO D.F.</t>
  </si>
  <si>
    <t>01210</t>
  </si>
  <si>
    <t>AV. FRANCISCO I. MADERO NO. 2000, ESQ. CALLE URSULA GALVAN, COL. INFONAVIT LA PAZ  TAMAULIPAS</t>
  </si>
  <si>
    <t>Supermanzana 248 manzana 11lt 111016 , esquina Av Kabah y Av De los tules S7N Region Benito Juarez 248 , cp 77519 Quintana Roo</t>
  </si>
  <si>
    <t>Monte Alban 1462 entre Monte Tacaña y Monte Carlo, Montoya Oaxaca de Juarez C.P. 68036</t>
  </si>
  <si>
    <t>Teatro Polanco S.A. de C.V.</t>
  </si>
  <si>
    <t>Calzada Jose Vasconcelos 1955, L1010 Colonia Residencial Tecnologico Torreon Coahuila</t>
  </si>
  <si>
    <t>Av. Francisco Villa 526 esquina con Gonzalez Gallo Fraccionamiento Sauces Puerto Vallarta Jalisco</t>
  </si>
  <si>
    <t>ECATEPEC</t>
  </si>
  <si>
    <t>Av. Central manzana 632 numero 50 local D-01 Colonia Ciudad Azteca Ecatepec C.P. 55120</t>
  </si>
  <si>
    <t>BAJA CALIFORNIA</t>
  </si>
  <si>
    <t>LA PAZ</t>
  </si>
  <si>
    <t>Blvd. Constituyentes de 1975 numero 4120 esquina calle algodón COLONIA SECTOR INALAPA municipio de la paz local SA 02</t>
  </si>
  <si>
    <t>LEON GUANAJUATO</t>
  </si>
  <si>
    <t>Blvd. Adolfo López Mateos No. 1702 Colonia La Martinica C.P. 37500 León Guanajuato</t>
  </si>
  <si>
    <t>Periferico Carlos Pellicer y avenida Cesar Sandino Camara #1290 Colonia 1° de Mayo Municipio del Centro Villahermosa Tabasco C.P. 86190</t>
  </si>
  <si>
    <t>Av. Vasco de Quiroga 3800 Colonia SANTA FE CUAJIMALPA Delegacion Cuajimalpa</t>
  </si>
  <si>
    <t>Av. División del norte 2462 piso 1 colonia Portales Benito Juarez Mexico D.F. C.P. 03300</t>
  </si>
  <si>
    <t>03300</t>
  </si>
  <si>
    <t>Río Guadalquivir 104 Pb Mezzanine y piso 1 Colonia Cuauhtemoc , delegacion Cuauhtemoc D.F. C.P. 06500</t>
  </si>
  <si>
    <t>06500</t>
  </si>
  <si>
    <t>CHALCO</t>
  </si>
  <si>
    <t>Vicente Guerrero 25 Centro Chalco Estado de México C.P. 56600</t>
  </si>
  <si>
    <t>Via López Portillo 105 Local H Col. Villa de las flores Coacalco de Berriozabal estado de México C.P. 57700</t>
  </si>
  <si>
    <t>Av. Prolongacion Morelos s/n Esq. Ferrocarril Central Paseo Santa Maria Huerto Cuautitlan Izcalli Edo de Mexico C.P. 54820</t>
  </si>
  <si>
    <t>TEXCOCO</t>
  </si>
  <si>
    <t>Juarez 304 local 0 Centro , Texcoco Estado de México C.P. 56177</t>
  </si>
  <si>
    <t>Acueducto 6050 Col. Lomas del Bosque Zapopan Jalisco C.P. 45118</t>
  </si>
  <si>
    <t>Av. Prolongacion Division del norte 4515 Col. Residencial Chimali  , Tlalpan Distrito Federal C.P. 14370</t>
  </si>
  <si>
    <t>Calzada de Tlalpan 4085 Bosques de Tetlameya Coyoacán D.F. C.P. 04730</t>
  </si>
  <si>
    <t>04730</t>
  </si>
  <si>
    <t>Boulevard Heroes del 5 de mayo 3126 Zona Dorada huexotitla Puebla Puebla C.P. 72420</t>
  </si>
  <si>
    <t>Carretera federal Mexico-Cuautla , Plaza comercial el cortijo Km 37 Mz 1 Colonia Santa Barbara Ixtapaluca Estado de Mexico C.P. 56538</t>
  </si>
  <si>
    <t>Carretera federal México-Texcoco Km 30.5 Colonia Santiago Cuautlalpan Plaza comercial Puerta Texcoco , Texcoco Estado de México C.P. 56370</t>
  </si>
  <si>
    <t>Blvd. Luis Donaldo Colosio Local J02 Mz 1 Fracc 1 No 2009 Ex Hacienda de Coscotitlan Plaza Comercial Pachuca de Soto Hidalgo C.P. 42064</t>
  </si>
  <si>
    <t>CUAUTITLAN</t>
  </si>
  <si>
    <t>Carretera Cuautitlan Melchor Ocampo 29 esq libramiento la Joya colonia VILLAS DE CUAUTITLAN Cuautitlan Estado de México C.P. 54800</t>
  </si>
  <si>
    <t>Av. De la Juventud esquina con Av. Tecnologico Fraccionamiento paseos de Chihuahua , Chihuahua Ch.</t>
  </si>
  <si>
    <t>IRAPUATO</t>
  </si>
  <si>
    <t>Av. Enrique Colunga 1184 Colonia 18 de Agosto C.P. 36590 , Irapuato Guanajuato</t>
  </si>
  <si>
    <t>Av. Periferico esquina con Av Francisco y Madero del fraccionamiento Rinconada Hamburgo Gomez Palacio Durango</t>
  </si>
  <si>
    <t>CHETUMAL</t>
  </si>
  <si>
    <t>Av. Erick Paolo Martínez No. 120, Col. EL Sol, Chetumal, Quintana Roo</t>
  </si>
  <si>
    <t>AZCAPOTZALCO</t>
  </si>
  <si>
    <t>Av. El Rosario 901 y avenida de las culturas colonia unidad habitacional El Rosario delegacion Azcapotzalco México D.F. C.P. 02100</t>
  </si>
  <si>
    <t>1° de Mayo esquina con avenida central las Américas SANTA CLARA , Seccion II Ecatepec , Estado de México</t>
  </si>
  <si>
    <t>TULTITLAN</t>
  </si>
  <si>
    <t>Av. Mexiquense S/N Lote 4 Colonia Ex Hacienda Los Portales , Tultitlan Estado de México C.P. 54910</t>
  </si>
  <si>
    <t>SAN JUAN DEL RIO</t>
  </si>
  <si>
    <t>Av. Carretera Panamericana poniente 202 Col. Centro, Centro Comercial Plaza Galerias , San Juan del Río Querétaro</t>
  </si>
  <si>
    <t>Montiel Rojas No.3, Barrio La Cochita, C.P. 56600 Chalco, Estado de México.</t>
  </si>
  <si>
    <t>ZAMORA</t>
  </si>
  <si>
    <t>Av. Francisco I Madero esquina Río Bravo No 2001 C.P. 59684 Colonia Río Nuevo Zamora Michoacán</t>
  </si>
  <si>
    <t>Av. Doctor Salvador Nava Martinez No. 3125 Col. Fraccionamiento Colinas del Parque S.L.P.</t>
  </si>
  <si>
    <t>Félix Cuevas No 374 Colonia del Valle delegación Benito Juárez C.P. 03100 México D.F.</t>
  </si>
  <si>
    <t>03100</t>
  </si>
  <si>
    <t>Av. De la marina y avenida delfin dentro del desarrollo residencial turistico Marina Mazatlan C.P. 82103 SANCHEZ CELIS</t>
  </si>
  <si>
    <t>METEPEC</t>
  </si>
  <si>
    <t>Hacienda la Quemada Num 500 Norte , Barrio de San Mateo Municipio de Metepec, Estado de México C.P. 52140</t>
  </si>
  <si>
    <t>CORDOBA</t>
  </si>
  <si>
    <t>Av.1 número 3511 Col. Zona Industrial Córdoba Veracruz C.P. 94690</t>
  </si>
  <si>
    <t>JALAPA</t>
  </si>
  <si>
    <t>Km. 435.3 Carretera Mexico Jalapa Veracruz s/n Col. NUEVO VERACRUZ Plaza Nuevo Veracruz</t>
  </si>
  <si>
    <t>SALINA CRUZ</t>
  </si>
  <si>
    <t>Super Carretera Transistmica numero 10 Colonia Granadillo Salina Cruz Oaxaca , Pabellon Salina Cruz</t>
  </si>
  <si>
    <t>Blvd. Juan Alonso de Torres 2002 Colonia Valle del Campestre Leon Guanajuato , C.P. 37150 Plaza Mayor</t>
  </si>
  <si>
    <t>AV. JACINTO CANEK Y CALLE 128 NO 277 COL YUCALTEPEC MERIDA YUCATÁN</t>
  </si>
  <si>
    <t>LÁZARO CÁRDENAS</t>
  </si>
  <si>
    <t>AV. TULIPANES #548 COLONIA UNIDAD 7.4 Siderúrgica Lázaro Cárdenas Las Truchas MICHOACÁN</t>
  </si>
  <si>
    <t>Paseo de la República No. 3380 El Lago I</t>
  </si>
  <si>
    <t>Chihuahua</t>
  </si>
  <si>
    <t>Hacienda Esperanza y Periférico Juventud 7301  Chihuahua Chihuahua RINCON DE LAS LOMAS I</t>
  </si>
  <si>
    <t>Sonora</t>
  </si>
  <si>
    <t>Hermosillo</t>
  </si>
  <si>
    <t>Blvd. Colosio esquina periferico poniente s/n Col. Villa Satelite Hermosillo Sonora</t>
  </si>
  <si>
    <t>Tlalpan</t>
  </si>
  <si>
    <t>Av. Canal de Miramontes No 3163 Col. Vergel Coapa Del. Tlalpan Mexico Distrito Federal</t>
  </si>
  <si>
    <t>Colonia Contry Club lateral de Rio Churubusco Esq. Canal de Miramontes. CAMPESTRE CHURUBUSCO</t>
  </si>
  <si>
    <t>04200</t>
  </si>
  <si>
    <t>Irapuato</t>
  </si>
  <si>
    <t>Guanajuato</t>
  </si>
  <si>
    <t>Avenida Arboledas No. 1200, Colonia San Miguelito, 36557 Irapuato, Guanajuato</t>
  </si>
  <si>
    <t>Cd. Juarez</t>
  </si>
  <si>
    <t>Avenida Ejército Nacional No. 7695, Colonia El Marquis, 32530 Cd. Juárez, Chihuahua</t>
  </si>
  <si>
    <t>Mexicali</t>
  </si>
  <si>
    <t>Baja California</t>
  </si>
  <si>
    <t>Boulevard Adolfo López Mateos No. 856, Colonia Bellavista, 21150 Mexicali, Baja California</t>
  </si>
  <si>
    <t>Miguel Hidalgo</t>
  </si>
  <si>
    <t>Bosques de Duraznos No.39 Col Bosques de Las Lomas</t>
  </si>
  <si>
    <t>Coahuila</t>
  </si>
  <si>
    <t>Saltillo</t>
  </si>
  <si>
    <t>Periférico Luis Echeverría No. 851, Sub-ancla 5, Colonia República Norte, 25280 Saltillo, Coahuila</t>
  </si>
  <si>
    <t>Tijuana</t>
  </si>
  <si>
    <t>Via Rápida Poniente No. 15035,Río Tijuana 3a etapa, 22610 Tijuana, Baja California</t>
  </si>
  <si>
    <t>Chiapas</t>
  </si>
  <si>
    <t>Tuxtla Gutierrez</t>
  </si>
  <si>
    <t>Boulevard Dr.Belisario Domínguez #1861 BELISARIO DOMINGUEZ, 29060 Tuxtla Gtz. Chiapas</t>
  </si>
  <si>
    <t>Cuauhtemoc</t>
  </si>
  <si>
    <t>Paseo de la Reforma #222, Col. Juárez, 06600, México, Distrito Federal</t>
  </si>
  <si>
    <t>06600</t>
  </si>
  <si>
    <t>Jalisco</t>
  </si>
  <si>
    <t>Puerto Vallarta</t>
  </si>
  <si>
    <t>Av. De los Tules #178 Interior plaza Caracol. Fracc. Las Glorias, 48310, Puerto Vallarta Jalisco</t>
  </si>
  <si>
    <t>Puebla</t>
  </si>
  <si>
    <t xml:space="preserve">39 Poniente No. 3515, 2o piso. Centro Comercial Triángulo Las Animas, Col. Las Animas C.P. 72400, Puebla,Puebla </t>
  </si>
  <si>
    <t>Iztapalapa</t>
  </si>
  <si>
    <t>Av. Canal de Tezontle 1512, Col. Dr. Alfonso Ortíz Tirado. Del. Iztapalapa, 09020 México Distrito Federal.</t>
  </si>
  <si>
    <t>09020</t>
  </si>
  <si>
    <t>Boulevard Sánchez Taboada No. 4555, Colonia Zona URBANA del Río, 22320 Tijuana, Baja California</t>
  </si>
  <si>
    <t>Avenida Canal del Tezontle No. 1520, Colonia Dr. Alfonso Ortíz Tirado, 09020 México, Distrito Federal</t>
  </si>
  <si>
    <t>Boulevard José López Portillo y Juárez No. 549, Colonia Bachoco, 83148 Hermosillo, Sonora</t>
  </si>
  <si>
    <t>Queretaro</t>
  </si>
  <si>
    <t>Boulevard Bernardo Quintana No. 502, Colonia Centro Sur, 76090 Querétaro, Querétaro</t>
  </si>
  <si>
    <t>Gustavo A. Madero</t>
  </si>
  <si>
    <t>Calle Colector 13 # 280, Col. Magdalena de las Salinas. G.A. Madero, 07760 México, Distrito Federal</t>
  </si>
  <si>
    <t>07760</t>
  </si>
  <si>
    <t>Quintana Roo</t>
  </si>
  <si>
    <t>Cancun</t>
  </si>
  <si>
    <t>Lote 18-10, Manzana 52, Sección A del Boulevard Kukulcán COL ZONA HOTELERA, Benito Juárez, Cancún, Estado de Quintana Roo</t>
  </si>
  <si>
    <t>Tlahuac</t>
  </si>
  <si>
    <t>Avenida Tláhuac No. 5662, Colonia San Lorenzo Tezonco, 09790 México, Distrito Federal</t>
  </si>
  <si>
    <t>09790</t>
  </si>
  <si>
    <t>Estado de México</t>
  </si>
  <si>
    <t>Naucalpan</t>
  </si>
  <si>
    <t>Colina de la Paz No. 25, Col. Fraccionamiento Residencial Boulevares LOMAS VERDES 1A SECCION, 53120 Naucalpan Edo. de México</t>
  </si>
  <si>
    <t>Yucatán</t>
  </si>
  <si>
    <t>Mérida</t>
  </si>
  <si>
    <t>Calle 30 No. 185 Manzana 474 Sección 16, Col. San Ramón Norte, 97117 Mérida Yucatán</t>
  </si>
  <si>
    <t>Avenida Egipto 142 Colonia Clavería Delegacion Azcapotzalco México D.F.</t>
  </si>
  <si>
    <t>02080</t>
  </si>
  <si>
    <t>MINATITLAN</t>
  </si>
  <si>
    <t xml:space="preserve">Blvd Instituto Tecnologicos No 24 Col Insurgentes Norte Minatitlan Veracruz </t>
  </si>
  <si>
    <t>CUERNAVACA</t>
  </si>
  <si>
    <t>Av. Rio Balsas S/N Calzada Leandro Valle y Vicente Guerrero Colonia Lomas de la Selva Cuernavaca Morelos</t>
  </si>
  <si>
    <t>Paseo Heroes No. 9111 Manzana 075 Esquina Manuel M. Marquez Tijuana Baja California</t>
  </si>
  <si>
    <t>Carretera internacional Cristobal Colon No. 2002 Municipio de Santa Lucía del Camino Oaxaca</t>
  </si>
  <si>
    <t>Blvd. Hermanos Serdán No. 630 Col. Pino Suarez Puebla Puebla , C.P. 72020</t>
  </si>
  <si>
    <t>Predio Mocambo , Collado o Boticaria , Boca del Río , Veracruz</t>
  </si>
  <si>
    <t>Paseo Sinfonía no. 4 Grand Boulevard Lomas no. 301 Lomas de Angelopolis II Periferico Ecologico , San Andrés Cholula Puebla C.P. 17002</t>
  </si>
  <si>
    <t>Boulevard Cumbres esquina con Luis Donaldo Colosio sm 310 mz 109 lt 01 Residencial Cumbres Cancun Quintana Roo , C.P. 77580</t>
  </si>
  <si>
    <t>TAPACHULA</t>
  </si>
  <si>
    <t>Avenida de la Juventud Esquina con Boulevard Díaz Ordaz O. 182 Colonia Coapante Tapachula Chiapas</t>
  </si>
  <si>
    <t>Avenida 20 de Noviembre Manzana 1 Lote 158 04 Los Héroes Cancun , Municipio de Benito Juarez Quintana Roo</t>
  </si>
  <si>
    <t>Manzana 126 Lote 1 Sector 39 , Seccion III Los Heroes Ejido de Santo Tomas Chiconautla , Tecámac Estado de México</t>
  </si>
  <si>
    <t>Sor Juana Ines de la Cruz No. 280 esquina vía Dr. Gustavo Baz Tlalnepantla Estado de México</t>
  </si>
  <si>
    <t>LA PIEDAD</t>
  </si>
  <si>
    <t>Boulevard Lázaro Cárdenas No. 3001-C , Colonia Lázaro Cárdenas La Piedad Michoacán C.P. 59374</t>
  </si>
  <si>
    <t>Libramiento Oriente No. 7501 Parque Industrial Pacifico , C.P. 22643 Tijuana Baja California</t>
  </si>
  <si>
    <t>Av. Prados Mitad Lote 100 s/n , Colonia San Pablo de Las Salinas , Estado de México</t>
  </si>
  <si>
    <t>ZUMPANGO</t>
  </si>
  <si>
    <t>Calle Jose Jimenez Cantu , Libramiento Luis Donaldo Colosio calle s/n oficial , Barrio San Marcos Municipio de Zumpango Estado de México</t>
  </si>
  <si>
    <t>Boulevard fundadores Kilometro 2.5 entre kilometro 868 y 869 carretera 57 Saltillo-Matehuala , Saltillo Coahuila</t>
  </si>
  <si>
    <t>SALAMANCA</t>
  </si>
  <si>
    <t>Macrolote Comercial del Fraccionamiento Residencial Las Glorias , Salamanca Guanajuato</t>
  </si>
  <si>
    <t>Ignacio Zaragoza No 1433 y 2717 esquina con calle Guadalupe Victoria , Colonia Tepalcates C.P. 09210 Delegación Iztapalapa México D.F.</t>
  </si>
  <si>
    <t>09210</t>
  </si>
  <si>
    <t>Calle Gabriel Leyva #700 sur , C.P. 81200 en la ciudad de los Mochis Sinaloa</t>
  </si>
  <si>
    <t>Av. López Mateos Sur No.1710, Zona El Palomar, C.P. 45645, Guadalajara, Jalisco.</t>
  </si>
  <si>
    <t>Nuevo Leon</t>
  </si>
  <si>
    <t>Monterrey</t>
  </si>
  <si>
    <t>Carretera Nacional No. 500-1 al 500-12 en Monterrey N.L.</t>
  </si>
  <si>
    <t>Nacozari</t>
  </si>
  <si>
    <t>Calle Monte Himalaya S/N Antigua Planta de Luz, Lomas de Nacozari, Nacozari de Garcia, Sonora. C.P. 84340.</t>
  </si>
  <si>
    <t>Chimalhuacán</t>
  </si>
  <si>
    <t>Av del peñon s/n Col.BARRIO DE XOCHIACA o Chimalhuacan Estado de México</t>
  </si>
  <si>
    <t>CANANEA</t>
  </si>
  <si>
    <t>Carretera Agua Prieta Km. 2, Col. Cananea Centro, Cananea, Sonora. CP. 84620</t>
  </si>
  <si>
    <t>Cuautitlan Izcalli</t>
  </si>
  <si>
    <t xml:space="preserve">Avenida Universidad S/N Rancho Tenería Plaza Cuautitlán </t>
  </si>
  <si>
    <t>Orizaba</t>
  </si>
  <si>
    <t>Calle Sur 35, Esquina vía FFCC y sur 33 No. 700 en la ciudad de Orizaba Veracruz , Plaza Faro</t>
  </si>
  <si>
    <t>Piedras Negras</t>
  </si>
  <si>
    <t>Lote 01 Manzana 24 de la calle Manuel Perez Treviño colonia Tecnologico Piedras Negras Coahuila No.2700</t>
  </si>
  <si>
    <t xml:space="preserve">Periferico Luis Echeverría 1511 villa universidad ciudad de Saltillo Coahuila </t>
  </si>
  <si>
    <t>Avenida 5 de Febrero S/N Colonia Industrial Benito Juarez , Santiago de Queretaro.</t>
  </si>
  <si>
    <t>Av Tlahuac 4409 lomas estrella 2a seccion Ciudad de México</t>
  </si>
  <si>
    <t>09890</t>
  </si>
  <si>
    <t>Boulevard Solidaridad s/n Colonia Libertad Hermosillo Sonora</t>
  </si>
  <si>
    <t>Periferico Paseo de la Republica no. 853 Sector Independencia Colonia Lomas de la Huerta Morelia Michoacan</t>
  </si>
  <si>
    <t>Prolongacion Avenida Vallarta no. 3300 Vallarta Nte Municipio de Guadalajara Jalisco</t>
  </si>
  <si>
    <t>RAMOS ARIZPE</t>
  </si>
  <si>
    <t>Blvd Plan de Guadalupe 1200 entre sindicalismo y periferico Díaz Ordaz en Ramos Arizpe Coahuila, EL PROGRESO</t>
  </si>
  <si>
    <t>SAN JOSE DEL CABO</t>
  </si>
  <si>
    <t>Carretera Transpeninsular s/n, Col. El Zacatal San Jose del Cabo BCS</t>
  </si>
  <si>
    <t>Av. Revolucion #1817 Colonia San Angel Delegacion Alvaro Obregon Ciudad de México</t>
  </si>
  <si>
    <t>01000</t>
  </si>
  <si>
    <t>Boulevard San Juan Bosco no. 2109  Rancho Cruz de las Hilamas, Hilmas León Guanajuato</t>
  </si>
  <si>
    <t>Av. Alma Schillerde de Z. y Av. Benjamin Hill 5720 Colonia Infonavit Barrancos Culiacan Sinaloa</t>
  </si>
  <si>
    <t>MEXICALI</t>
  </si>
  <si>
    <t>Local 1 manzana 9 esquina Manuel Gomez Marin y Calzada Cetys Mexicali Baja California RIVERA</t>
  </si>
  <si>
    <t>Eje 1 Poniente Calzada Vallejo No. 296 Colonia San Francisco Xocotitla, C.P. 02960 Delegación Azcapotzalco México D.F.</t>
  </si>
  <si>
    <t>Transmisiones Militares numero 30 Fraccionamiento Industiral Naucalpan , Municipio de Naucalpan de Juárez , EL PARQUE</t>
  </si>
  <si>
    <t>Av. Batallón de San Patricio #1000 Colonia Residencial San Agustin San Pedro Garza García Nuevo Leon México</t>
  </si>
  <si>
    <t>Av. Paseo Cuauhnahuac sin numero km. 05 carretera Cuernavaca Cuautla Colonia Chapultepec, Municipio de Cuernavaca Morelos</t>
  </si>
  <si>
    <t>YUCATÁN</t>
  </si>
  <si>
    <t>Av. Correa Racho No. 34, vista alegre, Mérida Yucatán</t>
  </si>
  <si>
    <t>Zapopan</t>
  </si>
  <si>
    <t>Av. Patria entre las avenidas de las Americas y Avila Camacho en Zapopan Jalisco, JACARANDAS</t>
  </si>
  <si>
    <t>Av. Alcalde 140 entre Ramon Corona y Av. Experiencia, Fraccionamiento El Batán Municipio de Zapopan Jalisco C.P. 45190</t>
  </si>
  <si>
    <t>Carretera Monterrey Salinas Victoria Km 5.5 #5001 Fracc, Bosque de los Nogales, los fresno Salinas Victoria</t>
  </si>
  <si>
    <t>Tlaxcala</t>
  </si>
  <si>
    <t>TLAXCALA</t>
  </si>
  <si>
    <t>Libramiento poniente de Tlaxcala  del km 8+673.4 comunidad de San Sebastian Atlahapa, C.P. 90111 Municipio de Tlaxcala , Tlaxcala</t>
  </si>
  <si>
    <t>Guerrero</t>
  </si>
  <si>
    <t>Lote de la manzana 6, supermanzana VII Col.centro de Zihuatanejo de Azueta Guerrero , mar egeo 48 centro</t>
  </si>
  <si>
    <t>Avenida Insurgentes Sur numero 1457 colonia Insurgentes Mixcoac delegación Benito Juárez Ciudad de México</t>
  </si>
  <si>
    <t>03920</t>
  </si>
  <si>
    <t>Avenida Constitución entre Benito Juárez y José Garibaldi Colonia Centro Municipio de Monterrey Nuevo León</t>
  </si>
  <si>
    <t>Prolongación Municipio Libre Numero 1910 Colonia Exhacienda de Mayorazgo Puebla Puebla.</t>
  </si>
  <si>
    <t>Calle Lorenzo Boturini Numero 258 Colonia Transito delegación Cuauhtemoc Ciudad de México</t>
  </si>
  <si>
    <t>06820</t>
  </si>
  <si>
    <t>Avenida Eugenio Garza Sada Numero 3431 Colonia Arrollo Seco Municipio de Monterrey Nuevo León</t>
  </si>
  <si>
    <t>XOCHIMILCO</t>
  </si>
  <si>
    <t>Calzada Arenal Número 651 Santa Maria Tepepan Xochimilco Ciudad de México</t>
  </si>
  <si>
    <t>Miguel Hidalgo Oriente numero 1350, vertice, Barrio de San Sebastian Toluca Estado de México</t>
  </si>
  <si>
    <t>Manzana H Fraccionamiento Lomas Hipódromo Naucalpan de Juárez Estado de México avenida del Conscripto 360 Lomas Hipódromo</t>
  </si>
  <si>
    <t>Avenida Cuauhnahuac 1932 Tlahuapan Km 4.5 de la carretera Cuernavaca-Cuautla ,Jiutepec Morelos</t>
  </si>
  <si>
    <t>Numero 99 de la antigua calzada de Guadalupe Azcapotzalco La Villa Col. San Marcos que es una porcion del resto del lote numero uno de la antigua hacienda de San Marcos y Pantaco Azcapotzalco Ciudad de México</t>
  </si>
  <si>
    <t>Torreón San Pedro No. 58 en la colonia Tierras del Ejido de Áncora C.P. 27830  Municipio San Pedro de las Colonias Coahuila</t>
  </si>
  <si>
    <t>Boulevard 14 sur No. 4502 Sector Independencia Puebla Puebla México C.P. 72570Jardines de san manuel,Plaza San Manuel</t>
  </si>
  <si>
    <t>CHOLULA</t>
  </si>
  <si>
    <t>Calle Alejandra S/N Junta Aux Santiago Momoxpan San Pedro Cholula Puebla</t>
  </si>
  <si>
    <t>Boulevard Francisco I Madero numero 4244 Oriente en la Colonia El Barrio Culiacán Sinaloa</t>
  </si>
  <si>
    <t>Calle Guadalupe 201 delegación Felipe Carrillo Puerto C.P. 76178 Santiago de Querétaro , Querétaro</t>
  </si>
  <si>
    <t>CHIAPAS</t>
  </si>
  <si>
    <t>Carretera Tuxtla Chiapa de Corzo No. 651 Esq. Boulevard Salomón Gonzalez Blanco Tuxtla Gutierrez Chiapas</t>
  </si>
  <si>
    <t>Avenida Patria 3140 Col. Lázaro Cardenas 80290 , Culiacán Sinaloa</t>
  </si>
  <si>
    <t>COZUMEL</t>
  </si>
  <si>
    <t>Av. Rafael E. Melgar no. 599 Centro Cozumel Quintana Roo C.P. 77600, Punta Langosta</t>
  </si>
  <si>
    <t>Avenida Alfonso Reyes No.11 Fraccionamiento denominado Vía Cordillera C.P. 66169 Santa Catarina N.L.EFIMEX</t>
  </si>
  <si>
    <t>Aguascalientes</t>
  </si>
  <si>
    <t>Calle Francisco Guel Jimenez  s/n Col.EL POTRERO. De Rincon de Romos , Rincon de Romos Aguascalientes</t>
  </si>
  <si>
    <t>Rampa Aeropuerto Lote 20 #16000 Colonia sanchez taboaProdutsa Tijuana Baja California , Alameda Otay</t>
  </si>
  <si>
    <t>Avenida Ignacio Comonfort #1100 Lote 1 Manzana 7 Metepec, la providencia.</t>
  </si>
  <si>
    <t>TIZIMIN</t>
  </si>
  <si>
    <t>Calle 46 No. 416-D Centro C.P. 97700 Tizimin Yucatán México</t>
  </si>
  <si>
    <t>Anillo vial Fray Junipero Serra 7901 Col. La Purisima Del. Epigmenio Gonzalez Santiago de Queretaro Qro.</t>
  </si>
  <si>
    <t>Calle Prolongación Av. Sonora 1033 Col. Panamericana Fresnillo Zacatecas 99011</t>
  </si>
  <si>
    <t>Paseo de los Virreyes 65, Zapopan Jalisco México</t>
  </si>
  <si>
    <t>Blvd. Adolfo Ruiz Cortines 3270 Col. Jardines del Pedregal Delegación Álvaro Obregón CDMX</t>
  </si>
  <si>
    <t>PROGRESO HIDALGO</t>
  </si>
  <si>
    <t>Cda. Emiliano Zapata 60 Progreso Hidalgo C.P. 42730</t>
  </si>
  <si>
    <t>Blvd. Matamoros Torreón No. 2555 en la Colonia Valle Hermoso C.P. 27446 Matamoros Coahuila</t>
  </si>
  <si>
    <t>CORTAZAR</t>
  </si>
  <si>
    <t>Avenida Casuarinas No. 101 poniente Colonia Alameda C.P. 38359 en el Municipio de Cortázar Guanajuato</t>
  </si>
  <si>
    <t>Kilómetro 2 de la carretera Torreón-Durango Fraccionamiento 20 de Noviembre Durango , Durango, Las fuentes</t>
  </si>
  <si>
    <t>Ejido de San Antonio El Desmonte , Municipio de Pachuca Hidalgo</t>
  </si>
  <si>
    <t>Rancho el Establo Guanajuato ,Las Hilamas Gto.</t>
  </si>
  <si>
    <t>Blvd. Independencia 1510 Zaragoza 32590 la perla, Ciudad Juárez Chihuahua</t>
  </si>
  <si>
    <t>Blvd. Juan Bautista Escalante Progreso #507 Hermosillo Sonora,MIGUEL HIDALGO</t>
  </si>
  <si>
    <t>Av. Paseo de los Leones #1001 Col Cumbres Madeira Monterrey N.L.</t>
  </si>
  <si>
    <t>Av. Paseo Usumacinta 1107 Prolongación Av. De Los Ríos y calle las Américas Colonia Atasta Villahermosa Centro Tabasco</t>
  </si>
  <si>
    <t>CENTRO RIO GRANDE</t>
  </si>
  <si>
    <t>Prolongación Ignacio Zaragoza 3 Centro, Río Grande Zacatecas</t>
  </si>
  <si>
    <t>Manzana #242 Cuartel octavo #544 Calle ochenta y seis B Col. Centro C.P. 97000 Mérida Yucatán</t>
  </si>
  <si>
    <t>Av. Heroico Colegio Militar S/N Esq. Quintin Arauz Atasta de Sierra, 861000 Villahermosa Tabasco</t>
  </si>
  <si>
    <t>Supermanzana 078 Manzana 002 Lote 001 de la Av. Pentempich y Av. Universidades Municipio de Solidaridad Playa del Carmen Quintana Roo</t>
  </si>
  <si>
    <t>CIUDAD SAHAGUN</t>
  </si>
  <si>
    <t>Av. Fernando de Alva Ixtlixochitl No. 2 Col. Centro, C.P. 42000 Ciudad de Fray Bernardino de Sahagún, Hidalgo</t>
  </si>
  <si>
    <t>HUEHUETOCA</t>
  </si>
  <si>
    <t>Blvd. Huehuetoca - Jorobas S/N, Puente Grande , 54680 Huehuetoca Estado de México</t>
  </si>
  <si>
    <t>Boulevard Apulco #292 Col. Las PlazasAmalucan Cerro C.P. 72310 Puebla , Puebla</t>
  </si>
  <si>
    <t>Av. De la Juventud s/n Desarrollo el Saucito Chihuahua , Chihuahua</t>
  </si>
  <si>
    <t>Miguel Bernard 1187-3 Col la Escalera Gustavo A. Madero México D.F.</t>
  </si>
  <si>
    <t>Lote de terreno urbano localizado en el poblado El Diez, Municipio de Culiacán Sinaloa, las flores</t>
  </si>
  <si>
    <t>Tizayuca</t>
  </si>
  <si>
    <t>Avenida Juárez Sur No.33, Colonia Atempa, Tizayuca Hidalgo</t>
  </si>
  <si>
    <t>XALAPA</t>
  </si>
  <si>
    <t>Avenida Lázaro Cárdenas No. 521 Colonia Independencia Xalapa Veracruz</t>
  </si>
  <si>
    <t>Calle de las Palmas Zona Centro San Miguel Allende Guanajuato</t>
  </si>
  <si>
    <t>Blvd America #304 Colonia Junta Auxiliar San Antonio Cacalotepec San Andres Cholula Puebla, Alvaro Obregón, 72774 Cholula, Pue</t>
  </si>
  <si>
    <t>Culiacán Sinaloa Lote 1 de la Manzana III del area comercial Mixta del desarrollo urbano tres ríos</t>
  </si>
  <si>
    <t>Vía rapida oriente numero 15000 en la colonia Chapultepec Alamar Tijuana Baja California</t>
  </si>
  <si>
    <t>Miguel Angel de Quevedo 1144 Coyoacán CDMX, PARQUE SAN ANDRE</t>
  </si>
  <si>
    <t>Avenida San Ernesto #1100 FR-1 esquina con calle San Gustavo Col. Fracc Residencial , Hamburgo,  Gómez Palacio Durango</t>
  </si>
  <si>
    <t>Calle oso #51 Col. Actipan, Benito Juarez , Centro Comercial Galerías Insurgentes</t>
  </si>
  <si>
    <t>03230</t>
  </si>
  <si>
    <t>Blvd Palmas Hill, Valle de las Palmas , Naucalpan de Juárez México</t>
  </si>
  <si>
    <t>VENUSTIANO CARRANZA</t>
  </si>
  <si>
    <t>Avenida del Peñón 355 colonia Moctezuma Segunda Sección Delegación Venustiano Carranza CDMX</t>
  </si>
  <si>
    <t>Remanente de la fracción B de la parcela 103 Zz  P 1/3 del ejido Cabo San Lucas , Los Cabos BCS, Mi Plaza los Cabos, col. Caribe</t>
  </si>
  <si>
    <t>TECOMAN</t>
  </si>
  <si>
    <t>La Noria Fraccionamiento Mercado Soriana Tecoman Colima , Alameda Central Tecoman , sanjose</t>
  </si>
  <si>
    <t>Boutique Bowling S.A. de C.V.</t>
  </si>
  <si>
    <t>Calle Monte Himalaya S/N Antigua Planta de Luz, Lomas de Nacozari, Nacozari de Garcia, Sonora. C.P. 84340. Local 18</t>
  </si>
  <si>
    <t>Morelos</t>
  </si>
  <si>
    <t>Calle Rio Balsas S/N, Col. Vista Hermosa, Cuernavaca, Morelos, C.P. 62290. Local A - 2</t>
  </si>
  <si>
    <t>San Luis Potosí</t>
  </si>
  <si>
    <t> Av. Salvador Nava Martínez  No. 3125, Col.Colinas del Parque, San Luis Potosí, S.L.P.  C.P. 78294</t>
  </si>
  <si>
    <t>Vía Santa Fe / Av. Vasco de Quiroga No. 3850, Piso 4, Col. Antigua Mina La Totolapa, Delegación Cuajimalpa, México, D.F. C.P. 05109</t>
  </si>
  <si>
    <t>05109</t>
  </si>
  <si>
    <t>Blvd. Juan Alonso de Torres No. 2002, Col. Valle del Campestre, León, Guanajuato. C.P. 37150. Local 41 - B</t>
  </si>
  <si>
    <t xml:space="preserve">Veracruz </t>
  </si>
  <si>
    <t xml:space="preserve">BOCA DEL RÍO </t>
  </si>
  <si>
    <t>Blvd. Adolfo Ruíz Cortines No. 4300, Col. Playa de Oro, Mocambo, Boca del Río, Veracruz. C.P. 94298. Local SA 300</t>
  </si>
  <si>
    <t xml:space="preserve">Av. Patriotismo No. 229, Col. San Pedro de los Pinos, Del. Benito Juárez, México, D.F., C.P. 03800. </t>
  </si>
  <si>
    <t>03800</t>
  </si>
  <si>
    <t>ALVARO OBREGÓN</t>
  </si>
  <si>
    <t>Blvd. Adolfo Ruiz Cortines 3270 Col. Jardines del Pedregal Delegación Álvaro Obregón CDMX N3 S/N</t>
  </si>
  <si>
    <t>Vía Atlizcayotl #4931 unidad territorial Atlizcayotl C.P. 72197 San Andres Cholula Puebla</t>
  </si>
  <si>
    <t>Carretera Guanajuato - Juventino Rosas #139 C.P. 36000 Gto. Gto.</t>
  </si>
  <si>
    <t>45116 Av. Patria 188 Puerta de Hierro Zapopan Jalisco</t>
  </si>
  <si>
    <t>Calle Miguel Hidalgo 682 Residencial, la Providencia , 52177 Providencia México</t>
  </si>
  <si>
    <t>Anillo vial Fray Junípero Serra 7901 La Purisima 76146 Santiago de Querétaro , Qro.</t>
  </si>
  <si>
    <t>Carretera Tuxtla Chiapa de Corzo # 651 Esquina Blvd Salomón Gonzalez Blanco Tuxtla Gutierrez Chiapas</t>
  </si>
  <si>
    <t xml:space="preserve">Avenida Adolfo López Mateos Norte  No 2405 esquina calle Colomos , Colonia Italia Providencia Zona 2 Minerva Guadalajara </t>
  </si>
  <si>
    <t>Avenida Real Mayorazgo No 130 Colonia Xoco Alcaldía Benito Juárez CDMX</t>
  </si>
  <si>
    <t>Blvd Antonio Rocha 157 Fraccionamiento desarrollo del Pedregal San Luis Potosí SLP</t>
  </si>
  <si>
    <t>Vía Rápida Oriente Número 15000 en la colonia Chapultepec Alamar Tijuana Baja California</t>
  </si>
  <si>
    <t>Grupo Vino por ti S.A. de C.V.</t>
  </si>
  <si>
    <t>Avenida Javier Barros Sierra 540 Torre 2 Colonia Santa Fe Delegacion Álvaro Obregón Ciudad de México</t>
  </si>
  <si>
    <t>Entretenimiento Alterno S.A. de C.V.</t>
  </si>
  <si>
    <t>Río Balsas s/n, Col. Vista Hermosa C.P. 62290 Cuernavaca, Morelos. Piso 1</t>
  </si>
  <si>
    <t>Río Balsas s/n, Col. Vista Hermosa C.P. 62290 Cuernavaca, Morelos. Piso 2</t>
  </si>
  <si>
    <t>Río Balsas s/n, Col. Vista Hermosa C.P. 62290 Cuernavaca, Morelos. Planta Baja</t>
  </si>
  <si>
    <t>Bosques de Ciruelos 99. Bosques de las Lomas, Miguel Hidalgo 11700. México D.F.</t>
  </si>
  <si>
    <t>Campos Elíseos 400. Col. Lomas de Chapultepec. C.P. 11000. Miguel Hidalgo, México D.F.</t>
  </si>
  <si>
    <t>ÁLVARO OBREGÓN</t>
  </si>
  <si>
    <t>Av. Prol Paseo de la Reforma 400. Col Peña Blanca Santa Fe. CC Patio Santa Fe. México D.F.</t>
  </si>
  <si>
    <t>Arena de Juegos S.A. de C.V.</t>
  </si>
  <si>
    <t>Av. Vasco de Quiroga 3850, Contadero Ciudad de México, CDMX Interior CC Sta FE (Lobby Cinemex)</t>
  </si>
  <si>
    <t>Río Balsas 102, Vista Hermosa, 62290 Cuernavaca, Mor. “PLAZA BUGAMBILIA</t>
  </si>
  <si>
    <t>Av. Ejército Nacional # 843-B piso 3, Interior Antara Fashion Hall (Lobby Cinemex), Granada, 11520 Miguel Hidalgo, CDMX</t>
  </si>
  <si>
    <t>Av. Diego Rivera 1000, Zona Loma Larga Oriente, 66266  Monterrey, N.L. Nivel 3, A un costado de CINEMEX</t>
  </si>
  <si>
    <t>Hab. Jardines de Santa Monica, 54050 Tlalnepantla de Baz, Estado de México, Interior centro comercial (Lobby Cinemex)</t>
  </si>
  <si>
    <t>Blvd. Luis Donaldo Colosio 680, Benito Juarez Oriente, 63175 Tepic Nayarit</t>
  </si>
  <si>
    <t>Periférico de la Juventud 5700 , PASEOS DE CHIHUAHUA, Chihuahua , Chihuahua</t>
  </si>
  <si>
    <t> 31119</t>
  </si>
  <si>
    <t>Sor Juana Inés de la Cruz  No. 280 Esquina Vía Dr. Gustavo Baz Tlalnepantla Estado de México, SAN LORENZO INDUSTRIAL C.P. 54033</t>
  </si>
  <si>
    <t>Avenida Miguel Bernard 1187 Delegación Gustavo A. Madero CDMX, LA PURISIMA TICOMAN</t>
  </si>
  <si>
    <t>HUIXQUILUCAN</t>
  </si>
  <si>
    <t>Vialidad de la Barranca Numero 6 Ex hacienda Jesús del Monte, Bosque de las Palmas 52787 Huixquilucan México</t>
  </si>
  <si>
    <t>Carretera Puentecillas S/N, Ppzuelos, Guanajuato Guanajuato</t>
  </si>
  <si>
    <t>Carretera México-Pachuca 200  santa Matilde Pachuca de Soto Hidalgo</t>
  </si>
  <si>
    <t>Carretera Tuxtla-Chiapa de Corso No. 651 esq. Boulevard Salomón Gonzalez Blanco , Tuxtla Gutierrez Chiapas, Col. El Retiro</t>
  </si>
  <si>
    <t>Avenida Ignacio Comonfort #1100 Lote 1 Manzana 1 Metepec, LA PROVIDENCIA</t>
  </si>
  <si>
    <t>Paseo de los Virreyes 65 Zapopan Jalisco México, PUERTA DE HIERRO</t>
  </si>
  <si>
    <t>Av. De las Americas No. 1950 Colonia Jacarandas Zapopan Jalisco</t>
  </si>
  <si>
    <t>Vía Atlicayotl 4931 Unidad Territorial C.P. 72450 Puebla Puebla</t>
  </si>
  <si>
    <t>Calle Alejandra S/N Junta Aux , Santiago Momoxpan San Pedro Cholula Puebla</t>
  </si>
  <si>
    <t>Lote de terreno urbano localizado en el poblado El Diez , Municipio de Culiacán Sinaloa , Explanada Culiacán</t>
  </si>
  <si>
    <t>Anillo vía Fray Junípero Serra 7901, Col. La Purísima, Del. Epigmenio González, Santiago de Querétaro, Querétaro</t>
  </si>
  <si>
    <t>BENITO JUÁREZ</t>
  </si>
  <si>
    <t>Parroquia 194 Colonia del Valle Benito Juárez CDMX</t>
  </si>
  <si>
    <t>Lote Rustico ubicado en el ejido "El Brillante" del pueblo nuevo "El Salto" estado de Durango con numero oficial KM-99-500 Carretera Libre Durango-Mazatlán,EL SALTO CENTRO, CP 34940.</t>
  </si>
  <si>
    <t>GRUPO MEXICANO DE SEGUROS, S.A.DE C.V.</t>
  </si>
  <si>
    <t>COTIZACIÓN MÚLTIPLE EMPRESARIAL</t>
  </si>
  <si>
    <t>DATOS GENERALES</t>
  </si>
  <si>
    <t>Asegurado</t>
  </si>
  <si>
    <t xml:space="preserve">OPERADORA DE CINEMAS SA DE CV </t>
  </si>
  <si>
    <t>R.F.C.:</t>
  </si>
  <si>
    <t>PENDIENTE</t>
  </si>
  <si>
    <t>Dirección Fiscal:</t>
  </si>
  <si>
    <t>Dirección del Riesgo:</t>
  </si>
  <si>
    <t>C.P.</t>
  </si>
  <si>
    <t>77500</t>
  </si>
  <si>
    <t>Giro:</t>
  </si>
  <si>
    <t>HOTEL CON ESTACIONAMIENTO, LOCALES COMERCIALES, SERVICIOS RECREATIVOS Y LO RELACIONADO AL GIRO DEL ASEGURADO</t>
  </si>
  <si>
    <t>No. Días</t>
  </si>
  <si>
    <t>Zona TEV         AMIS</t>
  </si>
  <si>
    <t xml:space="preserve">A </t>
  </si>
  <si>
    <t>Tipos Constructivos:</t>
  </si>
  <si>
    <t>CONSTRUCCION MACIZA, MUROS, TECHOS Y ENTREPISOS DE CONCRETO, CONSTA DE P.B. Y 12 PISOS ALTOS</t>
  </si>
  <si>
    <t>Coaseguro     T.E.V.</t>
  </si>
  <si>
    <t>Protecciones:</t>
  </si>
  <si>
    <t>Minimo debera tener extintores suficientes uno cada 15 Mts. Del otro, con recarga vigente, libres de obstaculos de acuerdo a la Norma Oficial Mexicana, vigilancia las 24 Hrs. Y los 365 días al año, en caso de que algunas de las medidas anteriores, no exista y/o se encuentre fuera de servicio, GMX Seguros quedara liberada de cualquier Responsabilidad en caso de siniestro Indemnizable.</t>
  </si>
  <si>
    <t>% de Remoción Esc.</t>
  </si>
  <si>
    <t>Vigencia</t>
  </si>
  <si>
    <t>Inflación</t>
  </si>
  <si>
    <t>Siniestralidad</t>
  </si>
  <si>
    <t>SIN SINIESTROS EN LOS ULTIMOS 5 AÑOS</t>
  </si>
  <si>
    <t>Zona F.H.M.   ALFA</t>
  </si>
  <si>
    <t>A1PS</t>
  </si>
  <si>
    <t>Moneda:</t>
  </si>
  <si>
    <t>DOLARES</t>
  </si>
  <si>
    <t>USD</t>
  </si>
  <si>
    <t xml:space="preserve">Coaseguro     F.H.M. </t>
  </si>
  <si>
    <t>Agente:</t>
  </si>
  <si>
    <t xml:space="preserve">MARSH </t>
  </si>
  <si>
    <t>Coaseguro Convenido para Edificio y/o Contenidos</t>
  </si>
  <si>
    <t>DETALLE DE COBERTURAS Y PRIMAS</t>
  </si>
  <si>
    <t>Sección</t>
  </si>
  <si>
    <t>Ramo</t>
  </si>
  <si>
    <t>valores al 100%</t>
  </si>
  <si>
    <t>Cuota al 100%</t>
  </si>
  <si>
    <t>Prima al 100%</t>
  </si>
  <si>
    <t>Comisión %</t>
  </si>
  <si>
    <t>EDIFICIO</t>
  </si>
  <si>
    <t>Incendio y/o Rayo</t>
  </si>
  <si>
    <t>Extensión de Cubierta</t>
  </si>
  <si>
    <t>Todo Riesgo</t>
  </si>
  <si>
    <t>F.H.M.</t>
  </si>
  <si>
    <t>T.E.V.</t>
  </si>
  <si>
    <t>CONTENIDOS</t>
  </si>
  <si>
    <t xml:space="preserve">Incendio </t>
  </si>
  <si>
    <t>PERDIDAS CONSECUENCIALES</t>
  </si>
  <si>
    <t>FHM ( Gastos Fijos y Salarios) Opera como Sublimite</t>
  </si>
  <si>
    <t>TEV ( Gastos Fijos y Salarios) Opera como Sublimite</t>
  </si>
  <si>
    <t>VALORES TOTALES</t>
  </si>
  <si>
    <t>LIMITE  MÁXIMO  DE  RESPONSABILIDAD</t>
  </si>
  <si>
    <t>DETALLE DE PRIMAS</t>
  </si>
  <si>
    <t>Total</t>
  </si>
  <si>
    <t>Incendio</t>
  </si>
  <si>
    <t>Hidro</t>
  </si>
  <si>
    <t>Pérdidas consecuenciales</t>
  </si>
  <si>
    <t>Subtotal</t>
  </si>
  <si>
    <t>SUBLIMITES:</t>
  </si>
  <si>
    <t>Gastos Extraordinarios</t>
  </si>
  <si>
    <t>Gastos Extraordinarios por FHM</t>
  </si>
  <si>
    <t>Gastos Extraordinarios por TEV</t>
  </si>
  <si>
    <t>Rem. Escombros Edificio I.O.R.</t>
  </si>
  <si>
    <t>Rem. Escombros Edificio T.E.V.</t>
  </si>
  <si>
    <t>Rem. Escombros Contenidos I.O.R.</t>
  </si>
  <si>
    <t>Rem. Escombros Contenidos T.E.V.</t>
  </si>
  <si>
    <t>Bienes a intemperie (incluye jardines, áreas verdes)</t>
  </si>
  <si>
    <t>Cámaras Refrigeradoras</t>
  </si>
  <si>
    <t>Incisos Conocidos</t>
  </si>
  <si>
    <t>Incisos Nuevos o no Conocidos</t>
  </si>
  <si>
    <t>Flotante</t>
  </si>
  <si>
    <t>Hasta</t>
  </si>
  <si>
    <t>TOTAL SECCIÓN DE INCENDIO:</t>
  </si>
  <si>
    <t>Rotura de Maquinaria</t>
  </si>
  <si>
    <t>Calderas</t>
  </si>
  <si>
    <t>Eq. De Contratistas</t>
  </si>
  <si>
    <t>Obra Civil</t>
  </si>
  <si>
    <t>Eq, Electrónico fijo</t>
  </si>
  <si>
    <t>* Eq, electrónico móvil</t>
  </si>
  <si>
    <t>* Incremento en el Costo de Operación</t>
  </si>
  <si>
    <t>* Portadores Externos de Datos</t>
  </si>
  <si>
    <t>Robo</t>
  </si>
  <si>
    <t>Cristales</t>
  </si>
  <si>
    <t>Dinero y Valores</t>
  </si>
  <si>
    <t>Anuncios Luminosos</t>
  </si>
  <si>
    <t>Resp. Civil Actividades y Adicionales</t>
  </si>
  <si>
    <t>Resp. Civil Arrendatario</t>
  </si>
  <si>
    <t>Transportes</t>
  </si>
  <si>
    <t>TOTAL RESTO DE LAS SECCIONES:</t>
  </si>
  <si>
    <t>Prima Neta</t>
  </si>
  <si>
    <t>FORMA DE PAGO:</t>
  </si>
  <si>
    <t>OPCIÓN</t>
  </si>
  <si>
    <t>C / Descuentos</t>
  </si>
  <si>
    <t>CONTADO                 0</t>
  </si>
  <si>
    <t xml:space="preserve">Prima Neta con Descuento </t>
  </si>
  <si>
    <t>CONTADO</t>
  </si>
  <si>
    <t>0-10000</t>
  </si>
  <si>
    <t>SEMESTRAL             1</t>
  </si>
  <si>
    <t>Recargo de Pago Fraccionado</t>
  </si>
  <si>
    <t>SEMESTRAL</t>
  </si>
  <si>
    <t>10001- 50000</t>
  </si>
  <si>
    <t>TRIMESTRAL             2</t>
  </si>
  <si>
    <t>Derechos de Póliza</t>
  </si>
  <si>
    <t>TRIMESTRAL</t>
  </si>
  <si>
    <t>50001- 150000</t>
  </si>
  <si>
    <t xml:space="preserve"> MENSUAL                3</t>
  </si>
  <si>
    <t>I.V.A</t>
  </si>
  <si>
    <t>MENSUAL</t>
  </si>
  <si>
    <t>&gt;150001</t>
  </si>
  <si>
    <t>Prima Total</t>
  </si>
  <si>
    <t xml:space="preserve">RESUMEN DE TÉRMINOS Y CONDICIONES: </t>
  </si>
  <si>
    <t>Aclarando que las Coberturas que no tengan monto en el cuadro superior no se encuentran amparadas.</t>
  </si>
  <si>
    <t>Asegurado:</t>
  </si>
  <si>
    <t>Asegurado Adicionales:</t>
  </si>
  <si>
    <t>" BANCO SANTANDER (MEXICO), S.A., INSTITUCION DE BANCA MULTIPLE, GRUPO FINANCIERO SANTANDER"</t>
  </si>
  <si>
    <t>Ubicación del Riesgo</t>
  </si>
  <si>
    <t>CLAUSULA DE BENEFICIARIO PREFERENTE</t>
  </si>
  <si>
    <t>EN CASO DE SINIESTRO QUE AMERITE INDEMNIZACION, ESTA SERA PAGADERA A FAVOR DE METLIFE MEXICO, S.A., UBICADO EN BLVD. MANUEL AVILA CAMACHO NO. 32 SKL, PISO 14-20 Y PH. LOMAS DE CHAPULTEPEC, MEXICO, D.F. C.P. 11000,  HASTA EL INTERES QUE LE CORRESPONDA.   ASI MISMO NO SE PODRA CANCELAR NI MODIFICAR LA POLIZA PREVIA AUTORIZACION POR ESCRITO DE METLIFE MEXICO, S.A.</t>
  </si>
  <si>
    <t>Vigencia:</t>
  </si>
  <si>
    <t xml:space="preserve">DEL </t>
  </si>
  <si>
    <t>AL</t>
  </si>
  <si>
    <t>Tipos De Construcción:</t>
  </si>
  <si>
    <t>Bienes Asegurables:</t>
  </si>
  <si>
    <t>EDIFICIOS: Sobre todos los bienes Inmuebles propiedad del Asegurado, tales como, pero no limitados a; edificios,  mejoras y adaptaciones, sin Incluir el valor del Terreno, ni el de los Cimientos que se hallan debajo del nivel del suelo, pero considerando las instalaciones, para los Servicios de Agua, Saneamiento, Alumbrado y Demás aditamentos fijos.</t>
  </si>
  <si>
    <t>CONTENIDOS: Sobre todos los Contenidos, Inventarios o Existencias que tenga el Asegurado en las Ubicaciones amparadas en esta póliza, así como los bienes de Terceros que tenga en su poder o bajo su custodia siempre y cuando se encuentren en las ubicaciones aquí mencionadas.</t>
  </si>
  <si>
    <t>Bienes que Se Pueden Amparar por Convenio Expreso:</t>
  </si>
  <si>
    <r>
      <t xml:space="preserve">Por </t>
    </r>
    <r>
      <rPr>
        <b/>
        <sz val="10"/>
        <color indexed="12"/>
        <rFont val="Arial"/>
        <family val="2"/>
      </rPr>
      <t xml:space="preserve">T.E.V. </t>
    </r>
    <r>
      <rPr>
        <sz val="10"/>
        <color indexed="12"/>
        <rFont val="Arial"/>
        <family val="2"/>
      </rPr>
      <t>Se Amparan Albercas, Bardas, Patios Exteriores, Escaleras Exteriores y Cualesquiera otras construcciones separadas del Edificio o Edificios o Construcciones que Expresamente estén Aseguradas por la Póliza.</t>
    </r>
  </si>
  <si>
    <r>
      <t xml:space="preserve">Por </t>
    </r>
    <r>
      <rPr>
        <b/>
        <sz val="10"/>
        <color indexed="12"/>
        <rFont val="Arial"/>
        <family val="2"/>
      </rPr>
      <t xml:space="preserve">Fenómenos Hidrometeorológicos: </t>
    </r>
    <r>
      <rPr>
        <sz val="10"/>
        <color indexed="12"/>
        <rFont val="Arial"/>
        <family val="2"/>
      </rPr>
      <t>Se Amparan Edificios Terminados que por la Naturaleza de su ocupación carezcan total o parcialmente de Techos, Puertas, Ventanas o Muros Macizos, siempre y cuando dichos Edificios Hayan sido diseñados y/o construidos para operar bajo estas circunstancias.                                                              Instalaciones Fijas que su propia naturaleza deban estar a la Intemperie tales como: Chimeneas Metálicas, Molinos y Bombas de Vientos, Torres de Enfriamiento, Torres de Acero Estructural y Antenas de Transmisión, Tanques de Almacenamiento, Cisternas, Aljibes y sus contenidos, Subestaciones Eléctricas, Maquinaria y Equipo Industrial Diseñado expresamente para operar a la Intemperie, Anuncios y Rótulos, Instalaciones Deportivas, Albercas, Toldos y Cortinas.</t>
    </r>
  </si>
  <si>
    <t>SECCIÓN DE INCENDIO EDIFICIO Y CONTENIDOS.</t>
  </si>
  <si>
    <t>RIESGOS CUBIERTOS:  TODO RIESGO  De Daño Físico material causado directamente en forma accidental, súbita e imprevista, que no se encuentre específicamente excluida en la póliza, incluyendo pero no limitado a:</t>
  </si>
  <si>
    <t xml:space="preserve">   </t>
  </si>
  <si>
    <t>COBERTURAS</t>
  </si>
  <si>
    <t>DEDUCIBLES</t>
  </si>
  <si>
    <t>Incendio, Rayo y Explosión</t>
  </si>
  <si>
    <t>Sin Deducible</t>
  </si>
  <si>
    <t>TODO RIESGO Y Demás Coberturas</t>
  </si>
  <si>
    <t>$ 1,500.00 MN. TODA Y CADA PERDIDA</t>
  </si>
  <si>
    <t>1% Sobre Suma Asegurada con Máximo de 750 DSMVGDF en Toda y Cada Pérdida</t>
  </si>
  <si>
    <t>Fenómenos Hidrometereologicos</t>
  </si>
  <si>
    <r>
      <t xml:space="preserve">Para Ubicaciones en              </t>
    </r>
    <r>
      <rPr>
        <b/>
        <sz val="10"/>
        <color indexed="12"/>
        <rFont val="Arial"/>
        <family val="2"/>
      </rPr>
      <t>Zona Alfa 3</t>
    </r>
    <r>
      <rPr>
        <sz val="10"/>
        <color indexed="12"/>
        <rFont val="Arial"/>
        <family val="2"/>
      </rPr>
      <t xml:space="preserve"> Será del: </t>
    </r>
  </si>
  <si>
    <t>En cada reclamación por daños materiales causados por los riesgos amparados por este endoso, siempre quedará a cargo del asegurado una cantidad equivalente al porcentaje  del 1%, el cual se aplicara sobre el valor, real o de reposición de los bienes asegurados según se haya contratado en esta póliza.                                                                         .                                                                                                    Es condición indispensable para otorgar la presente cobertura, que el Asegurado soporte, por su propia cuenta, un 10% de toda pérdida o daño indemnizable que sobrevenga a los bienes materia del seguro, por estos riesgos. Este coaseguro se aplica después de descontados los deducibles aplicables.</t>
  </si>
  <si>
    <t>Si el seguro comprende dos o más edificios, construcciones o sus contenidos, el deducible se aplicara separadamente con respecto a cada edificio o construcción, incluyendo sus contenidos. 
En el caso de que se contrate cobertura exclusivamente para uno de estos dos conceptos(edificio o contenidos), el deducible se aplicará exclusivamente al valor del bien asegurado.</t>
  </si>
  <si>
    <t>Bienes y Riesgos que se cubren mediante convenio expreso para la Cobertura de Fenómenos Hidrometereológicos, la cláusula 2ª de este endoso (bienes a la intemperie)</t>
  </si>
  <si>
    <t>El deducible aplicable será del 5% del valor real o de reposición total de los valores, según se haya contratado en esta póliza, que, en conjunto, tengan este tipo de bienes. El inciso “b” no es aplicable a estos bienes, el coaseguro aplicable será de 20% del monto de la pérdida o daño indemnizable.</t>
  </si>
  <si>
    <t>Terremoto y Erupción Volcánica</t>
  </si>
  <si>
    <t>ZONA A</t>
  </si>
  <si>
    <t>2% Sobre la Suma Asegurada de cada Ubicación y participación del asegurado en la pérdida (Coaseguro) del 10% en Toda y Cada Pérdida</t>
  </si>
  <si>
    <t>ZONA B</t>
  </si>
  <si>
    <t>ZONA B1</t>
  </si>
  <si>
    <t>2% Sobre la Suma Asegurada de cada Ubicación y participación del asegurado en la pérdida (Coaseguro) del 25% en Toda y Cada Pérdida</t>
  </si>
  <si>
    <t>ZONA C</t>
  </si>
  <si>
    <t>ZONA D</t>
  </si>
  <si>
    <t>ZONA E</t>
  </si>
  <si>
    <t>ZONA F</t>
  </si>
  <si>
    <t>ZONA G</t>
  </si>
  <si>
    <t>4% Sobre la Suma Asegurada de cada Ubicación y participación del asegurado en la pérdida (Coaseguro) del 30% en Toda y Cada Pérdida</t>
  </si>
  <si>
    <t>EXCLUÍDO</t>
  </si>
  <si>
    <t>ZONA H2</t>
  </si>
  <si>
    <t>3% Sobre la Suma Asegurada de cada Ubicación y participación del asegurado en la pérdida (Coaseguro) del 30% en Toda y Cada Pérdida</t>
  </si>
  <si>
    <t>ZONA I</t>
  </si>
  <si>
    <t>2% Sobre la Suma Asegurada de cada Ubicación y participación del asegurado en la pérdida (Coaseguro) del 30% en Toda y Cada Pérdida</t>
  </si>
  <si>
    <t>ZONA J</t>
  </si>
  <si>
    <t>5% Sobre la Suma Asegurada de cada Ubicación y participación del asegurado en la pérdida (Coaseguro) del 30% en Toda y Cada Pérdida</t>
  </si>
  <si>
    <t>Remoción de Escombros</t>
  </si>
  <si>
    <t>LA PRESENTE COTIZACIÓN  / PÓLIZA NO AMPARA LOS RIESGOS Y BIENES QUE NO ESTÉN ESPECÍFICAMENTE DECLARADOS Y QUE SE PUEDEN CUBRIR MEDIANTE CONVENIO EXPRESO Y QUE SE REFIEREN A LAS COBERTURAS DE INCENDIO, EXTENSIÓN DE CUBIERTA, TODO RIESGO DE INCENDIO, FENÓMENOS HIDROMETEREOLOGICOS, TERREMOTO Y ERUPCIÓN VOLCÁNICA</t>
  </si>
  <si>
    <t>SECCIÓN DE PERDIDAS CONSECUENCIALES.</t>
  </si>
  <si>
    <t>TIPO DE PERD. CONSECUENCIAL</t>
  </si>
  <si>
    <t>PERIODO DE INDEMNIZACIÓN</t>
  </si>
  <si>
    <t>DEDUCIBLE</t>
  </si>
  <si>
    <t>REDUCCION  DE INGRESOS POR INTERRUPCION DE ACTIVIDADES COMERCIALES</t>
  </si>
  <si>
    <t>12 Meses</t>
  </si>
  <si>
    <t>3 Días de Espera /  F.H.M.  7 Días de Espera</t>
  </si>
  <si>
    <t xml:space="preserve">GASTOS FIJOS SUELDOS Y SALARIOS POR TEV.  CON SUBLIMITE ANUAL DE $ 7,629,650.00 MN. </t>
  </si>
  <si>
    <t>3 Meses</t>
  </si>
  <si>
    <t>7 Días de Espera</t>
  </si>
  <si>
    <t>De Acuerdo a Cobertura Afectada</t>
  </si>
  <si>
    <t xml:space="preserve">Se Excluye cualquier tipo de Perdida de Utilidades por T.E.V. </t>
  </si>
  <si>
    <t xml:space="preserve">MONTOS M.N. </t>
  </si>
  <si>
    <t>Remoción de Escombros:</t>
  </si>
  <si>
    <r>
      <t xml:space="preserve">DE ACUERDO A RELACION DE BIENES </t>
    </r>
    <r>
      <rPr>
        <b/>
        <sz val="10"/>
        <rFont val="Arial"/>
        <family val="2"/>
      </rPr>
      <t>(FAVOR DE PROPORCIONAR)</t>
    </r>
  </si>
  <si>
    <t>Se otorga un Plazo de 30 Días de su Inclusión para notificarlo a GMX Seguros</t>
  </si>
  <si>
    <t>CLÁUSULAS ADICIONALES:</t>
  </si>
  <si>
    <t>- Cláusula de Bienes en Cuartos o Aparatos Refrigeradores.</t>
  </si>
  <si>
    <t>- Se ampara el Derrame de Protecciones contra Incendio</t>
  </si>
  <si>
    <t>- Renuncia de Inventarios  10%</t>
  </si>
  <si>
    <t>- Libros y Registros,</t>
  </si>
  <si>
    <t>- Errores u Omisiones involuntarios.</t>
  </si>
  <si>
    <t>- Gravámenes</t>
  </si>
  <si>
    <t>- Permisos.</t>
  </si>
  <si>
    <t>- Autorización para reponer, reconstruir o reparar.</t>
  </si>
  <si>
    <t>- Honorarios a Profesionistas,</t>
  </si>
  <si>
    <t>- Venta de Salvamentos,</t>
  </si>
  <si>
    <t>- Reinstalación de Suma Asegurada al 100% con pago de prima adicional.</t>
  </si>
  <si>
    <t>- Cincuenta Metros,</t>
  </si>
  <si>
    <t>- Traducción,</t>
  </si>
  <si>
    <t>- Actos de Autoridad,</t>
  </si>
  <si>
    <t>- Traslado de Bienes,</t>
  </si>
  <si>
    <t>- Valor de Reposición bajo esquema de Proporción Indemnizadle, Para Edificios con Antigüedad no mayor a 25 Años, para Maquinaria y Equipo de hasta 5 años de Antigüedad. En base a porporción indemnizable.</t>
  </si>
  <si>
    <t>- Endoso de Bienes a la Intemperie,</t>
  </si>
  <si>
    <t>- Errores en avaluó 10%</t>
  </si>
  <si>
    <t>- Cláusula de Cancelación de la Subrogación de Derechos en contra de empresas Filiales y/o Subsidiarias.</t>
  </si>
  <si>
    <t>- Cláusula de Exclusión de Terrorismo y/o Sabotaje</t>
  </si>
  <si>
    <t>SECCIÓN DE ROTURA DE MAQUINARIA.</t>
  </si>
  <si>
    <t>Interés Asegurable:</t>
  </si>
  <si>
    <t>Todo tipo de maquinaria, calderas y recipientes sujetos a presión con o sin fogón, incluyendo las tuberías a presión; mientras se encuentren en operación y formen parte de la maquinaria, utilizados para fines de producción, transformación y/o para la generación de servicios, dentro de los predios del Asegurado, sean de su propiedad o que tenga legalmente bajo su responsabilidad.</t>
  </si>
  <si>
    <t>Riesgos Cubiertos:</t>
  </si>
  <si>
    <t>Todo riesgo de daño físico material causado directamente en forma accidental, súbita e imprevista, que no se encuentre específicamente excluida en la póliza, incluyendo pero no limitado a: Impericia, descuido o sabotaje del personal o de extraños, acción directa de la energía eléctrica por corto circuito, arco voltaico, falla de aislamiento, sobre-tensiones, errores en diseño, defectos de construcción, defectos de fundición, materiales defectuosos, defectos de mano de obra y montaje, rotura por fuerza centrifuga, cuerpos extraños.</t>
  </si>
  <si>
    <t>Suma Asegurada:     M.N.</t>
  </si>
  <si>
    <t>Deducibles:</t>
  </si>
  <si>
    <t>1% Sobre el Valor de Cada Equipo, con mínimo de 20 DSMVGDF</t>
  </si>
  <si>
    <t>Base de Indemnización:</t>
  </si>
  <si>
    <t>Valor de reposición para Equipo Menores o igual a 5 años de antigüedad.</t>
  </si>
  <si>
    <t>CLAUSULA DE CONDONACION DE RELACION DE EQUIPO</t>
  </si>
  <si>
    <t>LA COMPAÑÍA Y EL ASEGURADO CONVIENEN, QUE ESTE ULTIMO NO PRESENTE UNA RELACION DE EQUIPOS CUBIERTOS, ASI MISMO EN CASO DE OCURRIR UN SINIESTRO QUE AMERITE INDEMNIZACION EL ASEGURADO PRESENTARA ADEMAS DE LOS DOCUMENTOS SOLICITADOS POR EL DEPARTAMENTO DE SINIESTROS LA FACTURA DE COMPRA, LA CUAL SERVIRA COMO DOCUMENTO PROBATORIO DE LA PREEXISTENCIA DEL BIEN ANTES DEL INICIO DE VIGENCIA DE LA POLIZA.  POR LO TANTO, LA COMPAÑIA NO TENDRA RESPONSABILIDAD ALGUNA EN EL CASO DE QUE LA FACTURA DE UN EQUIPO PRESENTE FECHA POSTERIOR AL INICIO DE VIGENCIA DE LA POLIZA.</t>
  </si>
  <si>
    <t>SECCIÓN DE CALDERAS Y RECIPIENTES SUJETOS A PRESIÓN.</t>
  </si>
  <si>
    <t>Calderas y aparatos sujetos a presión con y sin fogón, propiedad del Asegurado o que tenga bajo su responsabilidad, por cualquier causa mientras se encuentren en los predios del Asegurado.</t>
  </si>
  <si>
    <t>Sección I Daños materiales a calderas y recipientes sujetos a presión con fogón</t>
  </si>
  <si>
    <t>Sección II Daños materiales a calderas y recipientes sujetos a presión sin fogón Bajo convenio expreso se amparan:</t>
  </si>
  <si>
    <t>Sección III Gastos extraordinarios</t>
  </si>
  <si>
    <t>Sección IV Contenidos de recipientes o calderas</t>
  </si>
  <si>
    <t>Sección V Tuberías</t>
  </si>
  <si>
    <t>Demás Riesgos:</t>
  </si>
  <si>
    <t>2% Sobre el Valor de Cada Equipo, con mínimo de 20 DSMVGDF</t>
  </si>
  <si>
    <t>Favor de Proporcionar la Relación del Equipo, ya que esta Póliza no es Blanquet, por lo que se otorgan 15 Días a partir de la entrega de la propuesta para la entrega del listado con sus características y Valores por equipo para que aplique esta cobertura, Ya que en caso contrario GMX Seguros queda liberada de cualquier Responsabilidad.</t>
  </si>
  <si>
    <t>SECCIÓN DE EQUIPO DE CONTRATISTAS.</t>
  </si>
  <si>
    <t>Se ampara todo el equipo de contratistas y maquinaria pesada móvil incluyendo monta cargas, e implementos sin placas de circulación propiedad, en custodia y/o bajo responsabilidad del Asegurado.</t>
  </si>
  <si>
    <t>a) Incendio y/o rayo.</t>
  </si>
  <si>
    <t>b) Explosión (excepto pérdidas o daños que por su propia explosión sufran calderas, aparatos y recipientes que estén normalmente sujetos a presión.</t>
  </si>
  <si>
    <t>c) Ciclón, tornado, vendaval, huracán, granizo.</t>
  </si>
  <si>
    <t>d) Inundación.</t>
  </si>
  <si>
    <t>e) Temblor, terremoto y/o erupción volcánica.</t>
  </si>
  <si>
    <t>f) Derrumbe, deslave, hundimiento, deslizamiento del terreno y alud.</t>
  </si>
  <si>
    <t>g) Hundimiento o rotura de alcantarillas, puentes para vehículos, muelles o plataformas de carga.</t>
  </si>
  <si>
    <t>h) Colisión con objetos en movimiento o estacionarios, volcadura, caída y enfangamiento.</t>
  </si>
  <si>
    <t>i) Incendio, rayo, explosión, colisión, descarrilamiento o volcadura del medio de transporte terrestre en que los bienes asegurados fueren transportados, incluyendo caída de aviones, hundimientos o rotura de puentes, así como las maniobras de carga y descarga.</t>
  </si>
  <si>
    <t>j) Incendio, rayo, explosión, varadura, hundimiento o colisiones de las embarcaciones de transporte fluvial, incluyendo las caídas y colisiones durante las maniobras de carga y descarga.</t>
  </si>
  <si>
    <t>k) Robo total de cada unidad, así como las pérdidas o daños materiales que sufran a consecuencia de dicho robo</t>
  </si>
  <si>
    <t>Suma Asegurada:</t>
  </si>
  <si>
    <t>Deducible General:</t>
  </si>
  <si>
    <t>Del 2% sobre la suma Asegurada de cada unidad</t>
  </si>
  <si>
    <t xml:space="preserve">Deducible de Robo: </t>
  </si>
  <si>
    <t>30% sobre la Suma Asegurada de cada Unidad.</t>
  </si>
  <si>
    <t>MONTO</t>
  </si>
  <si>
    <t>Valor de Reposición menor a 5 años de antigüedad
Valor Real para mayores a 5 años.</t>
  </si>
  <si>
    <t>Se excluye la Cobertura de Robo para Todo Equipo Móvil que carezca de Equipo de Rastreo Vía Satelital.</t>
  </si>
  <si>
    <t>SECCIÓN DE OBRA CIVIL.</t>
  </si>
  <si>
    <t>SECCIÓN DE EQUIPO ELECTRÓNICO.</t>
  </si>
  <si>
    <t>Sobre todos los bienes propiedad del Asegurado y/o de terceros que estén bajo su cargo, custodia o control y por los cuales resulte responsable mientras se encuentren en la ubicación citada en la póliza, consistentes principalmente pero no limitados a: Equipo electrónico,  con sus respectivas instalaciones de toda clase propios y necesarios a las operaciones del Asegurado, incluyendo equipo móvil y portátil.</t>
  </si>
  <si>
    <t>MULTICLAUSULA</t>
  </si>
  <si>
    <t>Coberturas:</t>
  </si>
  <si>
    <t>Básica:</t>
  </si>
  <si>
    <t>1% sobre el valor de cada equipo con mínimo de M.N. $ 1,000.00</t>
  </si>
  <si>
    <r>
      <t xml:space="preserve">Riesgos Bajo Convenio Expreso: </t>
    </r>
    <r>
      <rPr>
        <sz val="10"/>
        <rFont val="Arial"/>
        <family val="2"/>
      </rPr>
      <t xml:space="preserve">                                   Granizo, ciclón, huracán o vientos tempestuosos, Inundación, Huelgas, alborotos populares, conmoción civil, vandalismo y daños de personas mal intencionadas, Gastos por flete aéreo erogados con motivo de la reparación de un daño cubierto, Daños que sobrevengan en el equipo electrónico asegurado a consecuencia de daño material en el equipo de climatización, Gastos por albañilería, andamios y escaleras.</t>
    </r>
  </si>
  <si>
    <t>Robo con Violencia:</t>
  </si>
  <si>
    <t>10% sobre el valor de cada equipo con mínimo de M.N. $ 1,000.00</t>
  </si>
  <si>
    <t>Hurto dentro de oficinas</t>
  </si>
  <si>
    <t>25% sobre el valor de cada equipo con mínimo de M.N. $ 1,000.00</t>
  </si>
  <si>
    <t>EXCLUIDO</t>
  </si>
  <si>
    <t>Equipo Móvil</t>
  </si>
  <si>
    <t>Portadores Externos de Datos</t>
  </si>
  <si>
    <t>Incremento en el Costo de Operación</t>
  </si>
  <si>
    <t>Valor de reposición para Equipo Menores o igual a 3 años de antigüedad.</t>
  </si>
  <si>
    <t>Se Excluyen Celulares, Radiolocalizadores, Palm's y Eq. Nextel y Caídas</t>
  </si>
  <si>
    <t>Favor de Proporcionar la Relación del Equipo, ya que esta Póliza no es Blanket, por lo que se otorgan 15 Días a partir de la entrega de la propuesta para la entrega del listado con sus características y Valores por equipo para que aplique esta cobertura, Ya que en caso contrario GMX Seguros queda liberada de cualquier Responsabilidad.</t>
  </si>
  <si>
    <t>SECCIÓN DE ROBO DE MERCANCÍAS.</t>
  </si>
  <si>
    <t xml:space="preserve">Cobertura Básica, Robo con Violencia y Asalto. </t>
  </si>
  <si>
    <t>Por evento y en el agregado anual.</t>
  </si>
  <si>
    <t>Deducible:</t>
  </si>
  <si>
    <t>10% sobre Pérdida con mínimo de la cantidad equivalente a 100 DSMVDF</t>
  </si>
  <si>
    <t>Condiciones:</t>
  </si>
  <si>
    <t>• Opera a primer riesgo</t>
  </si>
  <si>
    <t>• Mercancías, materias primas, productos en proceso, productos terminados, maquinaria, mobiliario, útiles, accesorios y en general demás bienes propios y necesarios al giro del negocio del Asegurado que no estén excluidos específicamente, incluyendo artículos raros o de arte, objetos de difícil o imposible reposición, cuyo valor unitario o por juego no sea mayor al equivalente de 150  días de salario mínimo general vigente en el Distrito Federal a la fecha de expedición de la póliza.</t>
  </si>
  <si>
    <t>SECCIÓN DE ROTURA DE CRISTALES.</t>
  </si>
  <si>
    <t>Cobertura Básica; La Pérdida o Daños materiales de los Cristales Asegurados, si Instalación y Remoción causados por la rotura accidental súbita e imprevista o por Actos Vandálicos.</t>
  </si>
  <si>
    <t>Suma Asegurada:      M.N.</t>
  </si>
  <si>
    <t>5% sobre la Pérdida con mínimo de la cantidad equivalente a 3 DSMVDF</t>
  </si>
  <si>
    <t>• Reinstalación automática de suma asegurada con cobro de prima.</t>
  </si>
  <si>
    <t>• Se amparan todos los cristales con espesor igual o mayor a 4 mm. mientras se encuentren debidamente instalados en los inmuebles descritos en la póliza, así como lunas, cubiertas fijas, vitrinas, espejos, cristales internos, películas y polarizados que contengan los cristales instalados.</t>
  </si>
  <si>
    <t>• Quedan amparados también daños o pérdidas a lunas, cubiertas, vitrinas, divisiones y análogos; daños al decorado del cristal o cristales asegurados (tales como plateado, dorado, teñido, pintado, grabado, corte, rótulos, realce y análogos) o a sus marcos.</t>
  </si>
  <si>
    <t>SECCIÓN DE DINERO Y VALORES.</t>
  </si>
  <si>
    <t>1) Dentro del Local:</t>
  </si>
  <si>
    <t>a) Robo con violencia en cajas fuerte o bóveda</t>
  </si>
  <si>
    <t>b) Robo por Asalto</t>
  </si>
  <si>
    <t>c) Daños materiales</t>
  </si>
  <si>
    <t>d) Incendio y/o explosión</t>
  </si>
  <si>
    <t>2) Fuera del Local:</t>
  </si>
  <si>
    <t>a) En transito,</t>
  </si>
  <si>
    <t>b) Robo con violencia y/o asalto</t>
  </si>
  <si>
    <t>c) Incapacidad física de la persona portadora</t>
  </si>
  <si>
    <t>d) Accidentes del vehículo que transporta a las personas responsables del manejo de los bienes asegurados.</t>
  </si>
  <si>
    <t>Sublimite para Dinero y/o Valores en Transito Hasta la cantidad de M.N. $10,000.00     Por Evento y en el Agregado Anual, siempre y cuando sea llevado por 2 o mas personas en Vehículo sin rotular.</t>
  </si>
  <si>
    <t>• Se cubre dinero en efectivo, en metálico o billetes de banco, valores y otros documentos negociables y no negociables, como son pero no limitados a: Letras de cambio, pagarés, cheques, acciones, bonos financieros, hipotecarios o de ahorro y cédulas hipotecarias, todo propiedad del Asegurado o propiedad de terceros bajo su responsabilidad, sin exceder del interés asegurable que el Asegurado tenga sobre dichos bienes.</t>
  </si>
  <si>
    <t>El Dinero en Efectivo y/o los Valores deberán permanecer guardado en caja fuerte durante horas no hábiles.</t>
  </si>
  <si>
    <t>El Asegurado se Obliga a realizar depósitos bancarios diariamente de sus ingresos y únicamente se permitirán acumulaciones en fines de semana o días festivos no mayores a 3 días.</t>
  </si>
  <si>
    <t>El Asegurado Podrá Efectuar el traslado de efectivo y/o documentos negociables bajo la directa custodia de funcionarios, cobradores o cualquier empleado bajo su nomina, en horas hábiles y dentro de los Limites territoriales de la Republica Mexicana.</t>
  </si>
  <si>
    <t>SECCIÓN DE ANUNCIOS.</t>
  </si>
  <si>
    <t>Cobertura Básica, de Pérdidas o daños materiales ocasionados en forma accidental, súbita e imprevista, que sufran los mismos.</t>
  </si>
  <si>
    <t>Deducible</t>
  </si>
  <si>
    <t>5% de la pérdida a cargo del asegurado.</t>
  </si>
  <si>
    <t>• Se cubre las pantallas electrónicas en general, los anuncios y carteles, descritos en la póliza mientras estén debidamente instalados.</t>
  </si>
  <si>
    <t>SECCIÓN DE RESPONSABILIDAD CIVIL.</t>
  </si>
  <si>
    <t>GMX Seguros se Obliga a pagar la Indemnización que el Asegurado deba a un tercero a consecuencia de uno o más hechos que realizados sin dolo, ya sea por culpa o por el uso de cosas Peligrosas, causen un daño previsto en esta póliza a terceras personas con motivo de su actividad:</t>
  </si>
  <si>
    <t>Para la Cobertura de Responsabilidad Civil los daños comprenden: lesiones corporales, enfermedades, muerte, así como el deterioro o destrucción de bienes. Los perjuicios que resulten y el daño moral sólo se cubren cuando sean consecuencia directa e inmediata de los citados daños.</t>
  </si>
  <si>
    <t>Se Destaca que el Limite de Suma Asegurada corresponde al Limite Máximo de Responsabilidad de la Compañía y opera en el Agregado Anual, con Jurisdicción mundial, incluyendo dentro del límite asegurado los gastos de defensa legal..</t>
  </si>
  <si>
    <t>ESTE SEGURO CUBRE AMPLIAMENTE CON LOS ELEMENTOS NORMATIVOS DEL SEGURO DE RESPONSABILIDAD CIVIL INDICADOS EN LA NOM-07-TUR-2002, PUBLICADA EL 26 DE FEBRERO DE 2003.</t>
  </si>
  <si>
    <t>COBERTURAS  Y SUBLIMITES:</t>
  </si>
  <si>
    <t>R.C. Actividades e inmuebles</t>
  </si>
  <si>
    <t>R.C. Intoxicación por el consumo de alimentos y bebidas vendidas dentro del hotel</t>
  </si>
  <si>
    <t>R.C. por la venta y suministro de licores</t>
  </si>
  <si>
    <t>R.C. Contratistas independientes previo analisis caso por caso</t>
  </si>
  <si>
    <t>R.C. Asumida previo analisis Caso por Caso</t>
  </si>
  <si>
    <t>R.C. Daños a vehículos ajenos por maniobras de carga y descarga</t>
  </si>
  <si>
    <t>Demandas provenientes del extranjero</t>
  </si>
  <si>
    <t>R.C. Contaminación súbita e Imprevista de acuerdo a Textos de GMX Seguros</t>
  </si>
  <si>
    <t xml:space="preserve">R.C. Guardarropa </t>
  </si>
  <si>
    <t>Sublimite por Evento de  $ 10,000.00 M.N. y en el Agragado anual de  $ 100,000.00 M.N.</t>
  </si>
  <si>
    <t>R.C. Lavado y Planchado</t>
  </si>
  <si>
    <t>R.C. Equipaje Introducido por  Huespedes y efectos personales de los huespedes</t>
  </si>
  <si>
    <t>Sublimite por Evento de  $ 50,000.00 M.N. y en el Agragado anual de  $ 150,000.00 M.N.</t>
  </si>
  <si>
    <t>R.C. Custodia de Dinero y Valores en Cajas de Seguridad</t>
  </si>
  <si>
    <t>R.C. Estacionamiento</t>
  </si>
  <si>
    <t>Capacidad de 30  Vehiculos, Limite por Unidad de  $  250,000.00 M.N.  y $  2,500,000.00 M.N. en el Agragado Anual</t>
  </si>
  <si>
    <t>DEDUCIBLES:</t>
  </si>
  <si>
    <t>General</t>
  </si>
  <si>
    <t>10% SOBRE TODA Y CADA RECLAMACIÓN CON MÍNIMO DE $ 3,000.00 M.N.</t>
  </si>
  <si>
    <t>Intoxicación por el consumo de alimentos y bebidas vendidas dentro del hotel</t>
  </si>
  <si>
    <t>10% SOBRE TODA Y CADA RECLAMACIÓN CON MÍNIMO DE $ 5,000.00 M.N.</t>
  </si>
  <si>
    <t>10% SOBRE TODA Y CADA RECLAMACIÓN CON MÍNIMO DE $ 10,000.00 USCy</t>
  </si>
  <si>
    <t>Guardarropa</t>
  </si>
  <si>
    <t>10% SOBRE TODA Y CADA RECLAMACIÓN CON MÍNIMO DE $ 500.00 M.N.</t>
  </si>
  <si>
    <t>Lavado y Planchado</t>
  </si>
  <si>
    <t>Equipaje Introducido por Huespedes y efectos personales de los huespedes</t>
  </si>
  <si>
    <t>Estacionamiento</t>
  </si>
  <si>
    <t>Daño Material: 5% Sobre el Valor Comercial de la Unidad al Momento del Siniestro con mínimo de $ 5,000.00 M.N.</t>
  </si>
  <si>
    <t>Robo Total:     10% Sobre el Valor Comercial de la Unidad al Momento del Siniestro con mínimo de $ 10,000.00 M.N.</t>
  </si>
  <si>
    <t>Cristales:        20% Sobre el Valor del Cristal</t>
  </si>
  <si>
    <t>Exclusiones:</t>
  </si>
  <si>
    <t>Daños Punitivos o Ejemplares</t>
  </si>
  <si>
    <t>Culpa Grave e Inexcusable de la Victima</t>
  </si>
  <si>
    <t>Terrorismo, sabotaje, guerra, guerra civil,  actividad nuclear, anuncio de bombas y/o peligro de bombas y/o similares.</t>
  </si>
  <si>
    <t>Abuso y/o acoso sexual.</t>
  </si>
  <si>
    <t>Reclamaciones o daños causados u ocasionados por riñas, peleas, actos mal intencionados, alborotos populares, huelgas.</t>
  </si>
  <si>
    <t>Angustia mental.</t>
  </si>
  <si>
    <t>Caso Fortuito o Fuerza Mayor</t>
  </si>
  <si>
    <t>Daños Patrimoniales Puros</t>
  </si>
  <si>
    <t>Abuso de Confianza</t>
  </si>
  <si>
    <t>Objetos Dejados en el Interior de los Vehículos</t>
  </si>
  <si>
    <t>Robo Parcial de los Vehículos</t>
  </si>
  <si>
    <t>Vehículos dejados en la Vía Publica</t>
  </si>
  <si>
    <t>Servicio de Pensión</t>
  </si>
  <si>
    <t xml:space="preserve">Responsabilidad Civil  Depositario </t>
  </si>
  <si>
    <t>Demás Mencionadas en las Condiciones Generales</t>
  </si>
  <si>
    <t>ESTE SEGURO CUMPLE  AMPLIAMENTE CON LOS ELEMENTOS NORMATIVOS DEL SEGURO DE RESPONSABILIDAD CIVIL INDICADOS EN LA NOM-07-TUR-2002  PUBLICADO EL 26 DE FEBRERO DE 2003.</t>
  </si>
  <si>
    <t>SECCIÓN DE TRANSPORTES CARGA.</t>
  </si>
  <si>
    <t>Bienes Cubiertos:</t>
  </si>
  <si>
    <t>DESC. DE ARTICULO</t>
  </si>
  <si>
    <t>COBERTURAS:</t>
  </si>
  <si>
    <t>Riesgos Ordinarios de Transporte,</t>
  </si>
  <si>
    <t>Robo Total,</t>
  </si>
  <si>
    <t>Robo Parcial,</t>
  </si>
  <si>
    <t>Oxidación</t>
  </si>
  <si>
    <t>Mojadura,</t>
  </si>
  <si>
    <t>Manchas,</t>
  </si>
  <si>
    <t>Contacto con Otras Carga,</t>
  </si>
  <si>
    <t>Derrame,</t>
  </si>
  <si>
    <t>Merma,</t>
  </si>
  <si>
    <t>Rotura,</t>
  </si>
  <si>
    <t>Rajadura,</t>
  </si>
  <si>
    <t>Estadía en Recintos Aduanales 60 Días,</t>
  </si>
  <si>
    <t>Maniobras de Carga y Descarga,</t>
  </si>
  <si>
    <t>Bodega a Bodega,</t>
  </si>
  <si>
    <t>Destino</t>
  </si>
  <si>
    <t>CUALQUIER PARTE DE LA REP. MEXICANA</t>
  </si>
  <si>
    <t>Origen</t>
  </si>
  <si>
    <t>ESTADOS UNIDOS DE NORTEAMÉRICA Y REP. MEXICANA</t>
  </si>
  <si>
    <t>Medios de Transporte:</t>
  </si>
  <si>
    <t>CAMIONES DE S.P.F. VEHÍCULOS PROPIOS DEL ASEGURADO Y EMPRESAS FILIALES, FERROCARRILES Y AVIÓN</t>
  </si>
  <si>
    <t>LIMITE MÁXIMO POR EMBARQUE: (CAMIONES)</t>
  </si>
  <si>
    <t>LIMITE MÁXIMO POR EMBARQUE: (F.F.C.C.)</t>
  </si>
  <si>
    <t>LIMITE MÁXIMO POR EMBARQUE: (AVIÓN)</t>
  </si>
  <si>
    <t>LIMITE MÁXIMO POR EMBARQUE: (BARCO)</t>
  </si>
  <si>
    <t>TOTAL PRONOSTICO DE EMBARQUES:</t>
  </si>
  <si>
    <t xml:space="preserve">    M.N. $ </t>
  </si>
  <si>
    <t>Prima Mínima y de Deposito</t>
  </si>
  <si>
    <t xml:space="preserve">M.N. $ </t>
  </si>
  <si>
    <r>
      <t>CUOTA DE AJUSTE LA FINAL DE LA VIGENCIA:</t>
    </r>
    <r>
      <rPr>
        <b/>
        <sz val="10"/>
        <color indexed="12"/>
        <rFont val="Arial"/>
        <family val="2"/>
      </rPr>
      <t xml:space="preserve"> 0.00%</t>
    </r>
    <r>
      <rPr>
        <sz val="10"/>
        <rFont val="Arial"/>
        <family val="2"/>
      </rPr>
      <t xml:space="preserve"> SOBRE EMBARQUES REALES DEL ASEGURADO</t>
    </r>
  </si>
  <si>
    <t>20% SOBRE VALOR TOTAL DEL EMBARQUE CON MÍNIMO DE 100 DSMGVDF</t>
  </si>
  <si>
    <t>Demás Riesgos</t>
  </si>
  <si>
    <t>5% SOBRE EL VALOR TOTAL DEL EMBARQUE CON MÍNIMO DE 100 DSMGVDF</t>
  </si>
  <si>
    <r>
      <t xml:space="preserve">CLÁUSULA DE  REVISIÓN DE RESULTADOS: CUANDO LA SINIESTRALIDAD LLEGUE O REBASE EL </t>
    </r>
    <r>
      <rPr>
        <b/>
        <sz val="10"/>
        <color indexed="12"/>
        <rFont val="Arial"/>
        <family val="2"/>
      </rPr>
      <t>60%</t>
    </r>
    <r>
      <rPr>
        <sz val="10"/>
        <rFont val="Arial"/>
        <family val="2"/>
      </rPr>
      <t xml:space="preserve"> DE LA PRIMA PAGADA, EN ESE MOMENTO SE MODIFICARAN TÉRMINOS Y CONDICIONES DE LA PÓLIZA.</t>
    </r>
  </si>
  <si>
    <t>ESTA COTIZACIÓN ESTA SUJETA A QUE NO HA TENIDO SINIESTROS EN LOS ÚLTIMOS TRES AÑOS, SI EL RIESGO SI CUENTA CON SINIESTRALIDAD, ESTA COTIZACIÓN QUEDA SIN EFECTO Y TENDREMOS EL DERECHO DE RECOTIZAR.</t>
  </si>
  <si>
    <t>TODOS LOS TEXTOS SON DE ACUERDO A  GRUPO MEXICANO DE SEGUROS, S.A. DE C.V.</t>
  </si>
  <si>
    <t>En caso de vernos favorecidos con su orden de aseguramiento, nos permitimos informarle  que en cumplimiento del artículo 140 de la Ley General de Instituciones y Sociedades Mutualistas de Seguros y bajo la disposición de la Secretaría de Hacienda y Crédito Público, a través de la Comisión Nacional de Seguros y Fianzas, publicada el 14 de junio del 2004, establece que para la emisión de la póliza  correspondiente,  será necesario que el Asegurado nos facilite la información se mencionan en el formato de “Cédula de Identificación Fiscal” anexo y que proporcione la siguiente documentación:</t>
  </si>
  <si>
    <t>DOCUMENTOS Marque  X  los que hayan sido entregados  Si No
 Copia del Acta Constitutiva inscrita en el Registro Público que corresponda  
 Copia de la Compulsa de Estatutos o Reformas Estatutarias  
 Copia de escritura en donde conste el otorgamiento de poderes al representante legal.  
 Copia de la identificación oficial del representante legal.  
 Copia de Comprobante de domicilio de la empresa (recibo de teléfono, luz, agua)  
 Copia del RFC de la empresa o persona física  
 Copia del Alta en Hacienda.</t>
  </si>
  <si>
    <t>Esta cotización tiene una validez de 15 días naturales a partir de la fecha de envió ya que transcurrido este periodo se cancelara Automáticamente, asimismo y en caso de Cambio a los Términos y Condiciones aquí presentados, tendremos el Derecho de Renegociar esta Propuesta.</t>
  </si>
  <si>
    <t>QUEDO AL PENDIENTE DE SUS NOTICIAS, SALUDOS.</t>
  </si>
  <si>
    <t>ATTE.</t>
  </si>
  <si>
    <t>Lic. Adrián Alcántara Juárez</t>
  </si>
  <si>
    <t>SUSCRIPCION JR ESPARCIMIENTO</t>
  </si>
  <si>
    <t>HOJA CONTABLE</t>
  </si>
  <si>
    <t>RAMO COMERCIAL</t>
  </si>
  <si>
    <t>20 - SME 1ER RIESGO - ESPARCIMIENTO</t>
  </si>
  <si>
    <t>POLIZA A PRIMER RIESGO</t>
  </si>
  <si>
    <t>Recargo Forma de Pago:</t>
  </si>
  <si>
    <t>GIRO</t>
  </si>
  <si>
    <t>0590-ESPECTÁCULOS PÚBLICOS, CINES, TEATROS, PARQUES DE DIVERSIÓN, CASINOS Y/O SIMILARES</t>
  </si>
  <si>
    <t>SUBGIRO</t>
  </si>
  <si>
    <t>0590.05-Cines</t>
  </si>
  <si>
    <t>ASEGURADO</t>
  </si>
  <si>
    <t>COD. ASEG.</t>
  </si>
  <si>
    <t>TIPO DE MOVIMIENTO</t>
  </si>
  <si>
    <t>RENOVACION</t>
  </si>
  <si>
    <t>Factor Prorrata:</t>
  </si>
  <si>
    <t>DIRECCIÓN FISCAL</t>
  </si>
  <si>
    <t xml:space="preserve">JAVIER BARROS SIERRA 540 TORRE 1 PH1 COL SANTA FE ALVARO OBREGON CDMX CP 01210 </t>
  </si>
  <si>
    <t>TIPO DE PÓLIZA</t>
  </si>
  <si>
    <t>TODO RIESGO</t>
  </si>
  <si>
    <t>DIRECCIÓN DEL RIESGO</t>
  </si>
  <si>
    <t>ZONA TEV</t>
  </si>
  <si>
    <t>ZONA F.H.M.</t>
  </si>
  <si>
    <t>VIG. INICIO</t>
  </si>
  <si>
    <t>T. DE RIESGO:</t>
  </si>
  <si>
    <t>ORDINARIO</t>
  </si>
  <si>
    <t>AGENTE</t>
  </si>
  <si>
    <t>REM. ESC.</t>
  </si>
  <si>
    <t>Indice Variable</t>
  </si>
  <si>
    <t>VIG. FINAL</t>
  </si>
  <si>
    <t>MONEDA</t>
  </si>
  <si>
    <t>DÓLARES</t>
  </si>
  <si>
    <t>R.F.C.</t>
  </si>
  <si>
    <t>DÍAS DE VIGENCIA</t>
  </si>
  <si>
    <t>Coaseguro FHM</t>
  </si>
  <si>
    <t>PÓLIZA</t>
  </si>
  <si>
    <t xml:space="preserve">POLIZA NUEVA </t>
  </si>
  <si>
    <t>F. PAGO</t>
  </si>
  <si>
    <t>CALCULO</t>
  </si>
  <si>
    <t>DIRECTA</t>
  </si>
  <si>
    <t>IVA</t>
  </si>
  <si>
    <t>Coaseguro TEV</t>
  </si>
  <si>
    <t>COD. RAMO TECNICO</t>
  </si>
  <si>
    <t>SECCIÓN / COB.</t>
  </si>
  <si>
    <t>SECCIÓN / COBERTURA</t>
  </si>
  <si>
    <t>S/N</t>
  </si>
  <si>
    <t>Sublimite</t>
  </si>
  <si>
    <t>SUMA ASEGURADA</t>
  </si>
  <si>
    <t>CUOTAS</t>
  </si>
  <si>
    <t>PRIMA</t>
  </si>
  <si>
    <t>METODO DE CALCULO</t>
  </si>
  <si>
    <t>REC. PAGO FRACC.</t>
  </si>
  <si>
    <t>COM. %</t>
  </si>
  <si>
    <t>COMISIÓN</t>
  </si>
  <si>
    <t>COMISIÓN TOTAL</t>
  </si>
  <si>
    <t>FILTRO</t>
  </si>
  <si>
    <t>902</t>
  </si>
  <si>
    <t>001</t>
  </si>
  <si>
    <t>INCENDIO EDIFICIO</t>
  </si>
  <si>
    <t>INCENDIO</t>
  </si>
  <si>
    <t>COBERTURA BÁSICA</t>
  </si>
  <si>
    <t>Adicional</t>
  </si>
  <si>
    <t>%o Al Millar</t>
  </si>
  <si>
    <t>002</t>
  </si>
  <si>
    <t>EXTENSIÓN DE CUBIERTA (SIN HURACÁN Y GRANIZO)</t>
  </si>
  <si>
    <t>012</t>
  </si>
  <si>
    <t>MEJORAS Y ADAPTACIONES</t>
  </si>
  <si>
    <t>004</t>
  </si>
  <si>
    <t>INCISOS CONOCIDOS</t>
  </si>
  <si>
    <t>005</t>
  </si>
  <si>
    <t>INCISOS NO CONOCIDOS</t>
  </si>
  <si>
    <t>903</t>
  </si>
  <si>
    <t>HIDROMETEOROLOGICO EDIFICIO</t>
  </si>
  <si>
    <t>FHM</t>
  </si>
  <si>
    <t>040</t>
  </si>
  <si>
    <t>RIESGOS HIDROMETEOROLÓGICOS</t>
  </si>
  <si>
    <t>TERREMOTO EDIFICIO</t>
  </si>
  <si>
    <t>TEV</t>
  </si>
  <si>
    <t>055</t>
  </si>
  <si>
    <t>TERREMOTO Y ERUPCIÓN VOLCÁNICA</t>
  </si>
  <si>
    <t>INCENDIO EDIFICIO - REM ESC.</t>
  </si>
  <si>
    <t>011</t>
  </si>
  <si>
    <t>REMOCIÓN DE ESCOMBROS INCENDIO</t>
  </si>
  <si>
    <t>038</t>
  </si>
  <si>
    <t>REMOCIÓN DE ESCOMBROS FENÓMENOS HIDROMETEOROLÓGICOS</t>
  </si>
  <si>
    <t>044</t>
  </si>
  <si>
    <t>SUBTOTAL</t>
  </si>
  <si>
    <t xml:space="preserve"> </t>
  </si>
  <si>
    <t>INCENDIO CONTENIDOS</t>
  </si>
  <si>
    <t>013</t>
  </si>
  <si>
    <t>017</t>
  </si>
  <si>
    <t>028</t>
  </si>
  <si>
    <t>016</t>
  </si>
  <si>
    <t>COMBUSTIÓN ESPONTANEA</t>
  </si>
  <si>
    <t>DERRAME DE P.C.I</t>
  </si>
  <si>
    <t>Excluido</t>
  </si>
  <si>
    <t>EXISTENCIAS</t>
  </si>
  <si>
    <t>INCISO FLOTANTE</t>
  </si>
  <si>
    <t>014</t>
  </si>
  <si>
    <t>BIENES A LA INTEMPERIE INCENDIO</t>
  </si>
  <si>
    <t>015</t>
  </si>
  <si>
    <t>BIENES EN CUARTOS REFRIGERADOS</t>
  </si>
  <si>
    <t>019</t>
  </si>
  <si>
    <t>020</t>
  </si>
  <si>
    <t>HIDROMETEOROLOGICO CONTENIDOS</t>
  </si>
  <si>
    <t>046</t>
  </si>
  <si>
    <t>TERREMOTO CONTENIDOS</t>
  </si>
  <si>
    <t>INCENDIO CONTENIDOS - REM ESC.</t>
  </si>
  <si>
    <t>REMOCIÓN DE ESCOMBROS TERREMOTO Y ERUPCIÓN VOLCÁNICA</t>
  </si>
  <si>
    <t>027</t>
  </si>
  <si>
    <t>BIENES A LA INTEMPERIE FENÓMENOS HIDROMETEOROLÓGICOS</t>
  </si>
  <si>
    <t>BIENES A LA INTEMPERIE TERREMOTO Y ERUPCIÓN VOLCÁNICA</t>
  </si>
  <si>
    <t>003</t>
  </si>
  <si>
    <t>PERDIDAS CONSECUENCIALES INCENDIO</t>
  </si>
  <si>
    <t>029</t>
  </si>
  <si>
    <t>GANANCIAS BRUTAS UTILIDADES INCENDIO</t>
  </si>
  <si>
    <t>034</t>
  </si>
  <si>
    <t>PÉRDIDA DE UTILIDADES INCENDIO</t>
  </si>
  <si>
    <t>033</t>
  </si>
  <si>
    <t>PÉRDIDA DE RENTAS UTILIDADES INCENDIO</t>
  </si>
  <si>
    <t>REDUCCIÓN DE INGRESOS POR INTERRUPCIÓN DE ACTIVIDADES COMERCIALES</t>
  </si>
  <si>
    <t>030</t>
  </si>
  <si>
    <t>GASTOS EXTRAORDINARIOS INCENDIO</t>
  </si>
  <si>
    <t>031</t>
  </si>
  <si>
    <t>GASTOS EXTRAORDINARIOS PARA CASA HABITACIÓN INCENDIO</t>
  </si>
  <si>
    <t>032</t>
  </si>
  <si>
    <t>GASTOS FIJOS Y SALARIOS INCENDIO</t>
  </si>
  <si>
    <t>036</t>
  </si>
  <si>
    <t>SEGURO CONTINGENTE UTILIDADES INCENDIO</t>
  </si>
  <si>
    <t>CLÁUSULA DE OBSTRUCCIÓN DE ACCESO</t>
  </si>
  <si>
    <t>CLÁUSULA DE ENFERMEDADES INFECCIOSAS</t>
  </si>
  <si>
    <t>INTERRUPCIÓN POR ACTOS DE AUTORIDAD</t>
  </si>
  <si>
    <t>PERDIDAS CONSECUENCIALES FHM</t>
  </si>
  <si>
    <t>GASTOS FIJOS Y SALARIOS RIESGOS HIDROMETEOROLÓGICOS</t>
  </si>
  <si>
    <t>GASTOS EXTRAORDINARIOS RIESGOS HIDROMETEOROLÓGICOS</t>
  </si>
  <si>
    <t>GASTOS EXTRAORD. HABITACIÓN RIESGOS HIDROMETEOROLÓGICOS</t>
  </si>
  <si>
    <t>AMENAZA DE HURACÁN</t>
  </si>
  <si>
    <t>PERDIDAS CONSECUENCIALES TEV</t>
  </si>
  <si>
    <t>GASTOS FIJOS Y SALARIOS TERREMOTO Y ERUPCION VOLCANICA</t>
  </si>
  <si>
    <t>GASTOS EXTRAORDINARIOS TERREMOTO Y ERUPCIÓN VOLCÁNICA</t>
  </si>
  <si>
    <t>GASTOS EXTRAORDINARIOS CASA HABITACIÓN TERREMOTO Y ERUPCIÓN VOLCÁNICA</t>
  </si>
  <si>
    <t>CRISTALES</t>
  </si>
  <si>
    <t>D.MISC.</t>
  </si>
  <si>
    <t>ROTURA ACCIDENTAL DE CRISTALES</t>
  </si>
  <si>
    <t>% Al Porciento</t>
  </si>
  <si>
    <t>CRISTALES LUC</t>
  </si>
  <si>
    <t>ANUNCIOS LUMINOSOS</t>
  </si>
  <si>
    <t>ANUNCIOS LUMINOSOS LUC</t>
  </si>
  <si>
    <t>ROBO CON VIOLENCIA Y ASALTO</t>
  </si>
  <si>
    <t>ROBO CON VIOLENCIA</t>
  </si>
  <si>
    <t>ROBO POR ASALTO</t>
  </si>
  <si>
    <t>DAÑOS MATERIALES AL LOCAL</t>
  </si>
  <si>
    <t>JOYAS</t>
  </si>
  <si>
    <t>ASALTO FUERA DEL HOGAR</t>
  </si>
  <si>
    <t>ROBO CON VIOLENCIA Y ASALTO LUC</t>
  </si>
  <si>
    <t>DINERO Y/O VALORES</t>
  </si>
  <si>
    <t>DINERO Y/O VALORES - DENTRO Y FUERA LUC</t>
  </si>
  <si>
    <t>DINERO Y/O VALORES - DENTRO DEL LOCAL</t>
  </si>
  <si>
    <t>DINERO Y/O VALORES - FUERA DEL LOCAL</t>
  </si>
  <si>
    <t>DINERO Y/O VALORES - EXCESOS DENTRO Y FUERA LUC</t>
  </si>
  <si>
    <t>DINERO Y/O VALORES - EXCESOS DENTRO</t>
  </si>
  <si>
    <t>DINERO Y/O VALORES - EXCESOS FUERA</t>
  </si>
  <si>
    <t>DINERO Y/O VALORES LUC</t>
  </si>
  <si>
    <t>RIESGO CONTINGENTE</t>
  </si>
  <si>
    <t>RIESGOS CONTINGENTES</t>
  </si>
  <si>
    <t>SERVICIO DE ASISTENCIA PARA EL HOGAR</t>
  </si>
  <si>
    <t>OBJETOS PERSONALES</t>
  </si>
  <si>
    <t>INTERRUPCION FILMICA</t>
  </si>
  <si>
    <t>SABOTAJE Y TERRORISMO</t>
  </si>
  <si>
    <t>CALDERAS Y APARATOS SUJETOS A PRESIÓN</t>
  </si>
  <si>
    <t>D.TEC.</t>
  </si>
  <si>
    <t>COBERTURA ADICIONAL</t>
  </si>
  <si>
    <t>ROTURA DE MAQUINARIA</t>
  </si>
  <si>
    <t>EQUIPO DE CONTRATISTAS</t>
  </si>
  <si>
    <t>EQUIPO DE CONTRATISTAS TEV</t>
  </si>
  <si>
    <t>EQUIPO DE CONTRATISTAS FHM</t>
  </si>
  <si>
    <t>FENOMENOS HIDRO</t>
  </si>
  <si>
    <t>EQUIPO ELECTRONICO</t>
  </si>
  <si>
    <t>COBERTURA BÁSICA EQUIPO FIJO</t>
  </si>
  <si>
    <t>COBERTURA BÁSICA EQUIPO MÓVIL</t>
  </si>
  <si>
    <t>EXTENSIÓN DE CUBIERTA</t>
  </si>
  <si>
    <t>HUELGAS Y ALBOROTOS P.</t>
  </si>
  <si>
    <t>INUNDACIÓN</t>
  </si>
  <si>
    <t>DAÑOS POR AGUA Y DERRAME DE EQUIPOS DE PROTECCIÓN</t>
  </si>
  <si>
    <t>EQUIPO MÓVIL</t>
  </si>
  <si>
    <t>EQUIPO ELECTRONICO TEV</t>
  </si>
  <si>
    <t>EQUIPO ELECTRONICO FHM</t>
  </si>
  <si>
    <t>EQUIPO ELECTRONICO SECC II</t>
  </si>
  <si>
    <t>PORTADORES EXTERNOS DE DATOS</t>
  </si>
  <si>
    <t>EQUIPO ELECTRONICO SECC III</t>
  </si>
  <si>
    <t>906</t>
  </si>
  <si>
    <t>INCREMENTO EN EL COSTO OPERAC.</t>
  </si>
  <si>
    <t>MONTAJE DE MAQUINARIA</t>
  </si>
  <si>
    <t>MONTAJE DE MAQUINARIA TEV</t>
  </si>
  <si>
    <t>MONTAJE DE MAQUINARIA FHM</t>
  </si>
  <si>
    <t>OBRA CIVIL</t>
  </si>
  <si>
    <t>$ Prima</t>
  </si>
  <si>
    <t>OBRA CIVIL TEV</t>
  </si>
  <si>
    <t>OBRA CIVIL FHM</t>
  </si>
  <si>
    <t>RESPONSABILIDAD CIVIL MARITIMA</t>
  </si>
  <si>
    <t>RC MARITIMA</t>
  </si>
  <si>
    <t>RESPONSABILIDA CIVIL MARÍTIMA</t>
  </si>
  <si>
    <t>GASTOS DE DEFENSA</t>
  </si>
  <si>
    <t>RESPONSABILIDAD CIVIL GENERAL</t>
  </si>
  <si>
    <t>RC GRAL</t>
  </si>
  <si>
    <t>ACTIVIDADES E INMUEBLES</t>
  </si>
  <si>
    <t>ARRENDATARIO</t>
  </si>
  <si>
    <t>PRODUCTOS USA/CANADÁ</t>
  </si>
  <si>
    <t>PRODUCTOS EN MÉXICO</t>
  </si>
  <si>
    <t>PRODUCTOS RESTO DEL MUNDO EXCEPTO USA/CANADÁ</t>
  </si>
  <si>
    <t>INTOXICACION DE ALIMENTOS Y BEBIDAS</t>
  </si>
  <si>
    <t>ASUMIDA CASO POR CASO.</t>
  </si>
  <si>
    <t>CONCESIONARIOS O CONTRATISTAS CASO POR CASO</t>
  </si>
  <si>
    <t>CONTAMINACIÓN</t>
  </si>
  <si>
    <t>CONTRATISTAS INDEPENDIENTES (CASO POR CASO)</t>
  </si>
  <si>
    <t>CRUZADA POR RIESGOS DE VECINAJE</t>
  </si>
  <si>
    <t>CRUZADA POR VECINAJE DE LOS CONDÓMINOS</t>
  </si>
  <si>
    <t>DEPOSITARIO</t>
  </si>
  <si>
    <t>ESTACIONAMIENTO</t>
  </si>
  <si>
    <t>SERVICIOS ADICIONALES</t>
  </si>
  <si>
    <t>DEMANDAS RESTO DEL MUNDO EXCEPTO USA/CANADÁ</t>
  </si>
  <si>
    <t>DEMANDAS USA/CANADÁ</t>
  </si>
  <si>
    <t>RC SUBSIDIARIA PARA VEHICULOS</t>
  </si>
  <si>
    <t xml:space="preserve"> DAÑOS A VEHÍCULOS DURANTE LAS MANIOBRAS DE CARGA Y DESCARGA, ASÍ COMO A PERSONAS Y BIENES AFECTADOS</t>
  </si>
  <si>
    <t xml:space="preserve"> RC CRUZADA POR LA FABRICACIÓN Y COMERCIALIZACIÓN DE PRODUCTOS, ENTRE EMPRESAS PERTENECIENTES AL MIS</t>
  </si>
  <si>
    <t xml:space="preserve"> RC POR LA TRANSPORTACIÓN DE MATERIALES Y RESIDUOS PELIGROSOS, EXCLUSIVAMENTE EN LA REPÚBLICA MEXICA</t>
  </si>
  <si>
    <t xml:space="preserve"> RC PRODUCTOS DE EXPORTACIÓN.</t>
  </si>
  <si>
    <t xml:space="preserve"> RC PRODUCTOS FABRICADOS O COMERCIALIZADOS EN LA REPÚBLICA MEXICANA.</t>
  </si>
  <si>
    <t xml:space="preserve"> RC UNIÓN Y MEZCLA  O TRANSFORMACIÓN QUÍMICA, CONFORME TEXTO GMX, SE INCLUYE EN LAS COBERTURAS DE RC</t>
  </si>
  <si>
    <t>RESPONSABILIDAD CIVIL EN EXCESO AUTOMOVIL</t>
  </si>
  <si>
    <t>RETIRO DE PRODUCTO</t>
  </si>
  <si>
    <t>FAMILIAR</t>
  </si>
  <si>
    <t>FAMILIAR EN EL EXTRANJERO</t>
  </si>
  <si>
    <t>TRABAJADORES DOMÉSTICOS</t>
  </si>
  <si>
    <t>RESPONSABILIDAD CIVIL MEDICOS</t>
  </si>
  <si>
    <t>RC PROF</t>
  </si>
  <si>
    <t>RESPONSABILIDAD CIVIL PROFESIONAL MEDICA</t>
  </si>
  <si>
    <t>RESPONSABILIDAD CIVIL PRIMEROS AUXILIOS EN EL EXTRANJERO</t>
  </si>
  <si>
    <t>RESPONSABILIDAD CIVIL ESTABLECIMIENTOS DE SALUD</t>
  </si>
  <si>
    <t>RESPONSABILIDAD CIVIL PROFESIONAL</t>
  </si>
  <si>
    <t>PRODUCTOS EN MÉXICO FARMACOS</t>
  </si>
  <si>
    <t>PRODUCTOS EN MÉXICO OTROS</t>
  </si>
  <si>
    <t>ABOGADOS</t>
  </si>
  <si>
    <t>ACTUARIOS</t>
  </si>
  <si>
    <t>AGENCIAS DE VIAJES</t>
  </si>
  <si>
    <t>AGENTES DE SEGUROS</t>
  </si>
  <si>
    <t>ARQUITECTOS</t>
  </si>
  <si>
    <t>CERTIFICADORES/TASADORES/VALUADORES</t>
  </si>
  <si>
    <t>COLEGIOS</t>
  </si>
  <si>
    <t>CONSULTORES AMBIENTALES</t>
  </si>
  <si>
    <t>CONTADORES/AUDITORES</t>
  </si>
  <si>
    <t>CORREDORES DE BIENES RAÍCES</t>
  </si>
  <si>
    <t>CORREDORES DE REASEGURO</t>
  </si>
  <si>
    <t>DIRECTORS AND OFFICERS</t>
  </si>
  <si>
    <t>EMPRESAS DE SEGURIDAD</t>
  </si>
  <si>
    <t>FIDELIDAD DE EMPLEADOS</t>
  </si>
  <si>
    <t>GUARDERÍAS</t>
  </si>
  <si>
    <t>INFORMATÍCA</t>
  </si>
  <si>
    <t>INGENIEROS CIVILES</t>
  </si>
  <si>
    <t>INGENIEROS EN COMPUTACIÓN</t>
  </si>
  <si>
    <t>MERCADOTECNÍA</t>
  </si>
  <si>
    <t>PATRIMONIAL</t>
  </si>
  <si>
    <t>PUBLICIDAD</t>
  </si>
  <si>
    <t>RESPONSABILIDAD CIVIL PROFESIONAL VETERINARIO</t>
  </si>
  <si>
    <t>SERVICIOS FINANCIEROS</t>
  </si>
  <si>
    <t xml:space="preserve"> INDEMNIZACIÓN DIRECTA A CONSEJEROS Y FUNCIONARIOS.</t>
  </si>
  <si>
    <t xml:space="preserve"> REEMBOLSO A LA COMPAÑÍA.</t>
  </si>
  <si>
    <t xml:space="preserve"> PERIODO ADICIONAL DE DECLARACIÓN.</t>
  </si>
  <si>
    <t xml:space="preserve"> BIENES REPRESENTANTES LEGALES.</t>
  </si>
  <si>
    <t xml:space="preserve"> CARGOS EN ENTIDADES EXTERNAS.</t>
  </si>
  <si>
    <t xml:space="preserve"> PRÁCTICAS LABORALES.</t>
  </si>
  <si>
    <t xml:space="preserve"> GASTOS DE CRISIS POR REGULACIÓN.</t>
  </si>
  <si>
    <t xml:space="preserve"> CONSEJEROS NO EJECUTIVOS.</t>
  </si>
  <si>
    <t xml:space="preserve"> COSTOS DE RECUPERACIÓN DE REPUTACIÓN.</t>
  </si>
  <si>
    <t xml:space="preserve"> CONGELAMIENTO DE BIENES.</t>
  </si>
  <si>
    <t xml:space="preserve"> MULTAS Y SANCIONES CIVILES.</t>
  </si>
  <si>
    <t xml:space="preserve"> RESPONSABILIDAD ESTATUTARIA.</t>
  </si>
  <si>
    <t xml:space="preserve"> GASTOS DE EXTRADICIÓN</t>
  </si>
  <si>
    <t xml:space="preserve"> EMPRESAS DE SEGURIDAD</t>
  </si>
  <si>
    <t>RESPONSABILIDAD CIVIL PROFESIONAL SEVERIDAD</t>
  </si>
  <si>
    <t>ASISTENCIA PERDIDA FINANCERA</t>
  </si>
  <si>
    <t>NOTARIO</t>
  </si>
  <si>
    <t>PÉRDIDA FINANCIERA</t>
  </si>
  <si>
    <t>RESPONSABILIDAD CIVIL FUNCIONARIOS</t>
  </si>
  <si>
    <t>SERVIDORES PÚBLICOS BÁSICA</t>
  </si>
  <si>
    <t>POLÍTICA</t>
  </si>
  <si>
    <t>ADMINISTRATIVA</t>
  </si>
  <si>
    <t>PENAL</t>
  </si>
  <si>
    <t>RESPONSABILIDAD CIVIL PATRIMONIAL</t>
  </si>
  <si>
    <t>RESPONSABILIDAD CIVIL VIAJERO</t>
  </si>
  <si>
    <t>RC VIAJERO</t>
  </si>
  <si>
    <t>RESPONSABILIDAD CIVIL VIAJERO TERRESTRE</t>
  </si>
  <si>
    <t>RESPONSABILIDAD CIVIL VIAJERO MARITIMA</t>
  </si>
  <si>
    <t>RESPONSABILIDAD CIVIL AVIONES</t>
  </si>
  <si>
    <t>RC AVIONES</t>
  </si>
  <si>
    <t>RESPONSABILIDAD CIVIL L.U.C.</t>
  </si>
  <si>
    <t>ACCIDENTES PERSONALES</t>
  </si>
  <si>
    <t>EQUIPAJE</t>
  </si>
  <si>
    <t>GASTOS MÉDICOS</t>
  </si>
  <si>
    <t>PAGOS VOLUNTARIOS PASAJEROS</t>
  </si>
  <si>
    <t>AVN52E (FACULTATIVO)</t>
  </si>
  <si>
    <t>SEGURO DE DEDUCIBLE. (FACULTATIVO)</t>
  </si>
  <si>
    <t>CARGA</t>
  </si>
  <si>
    <t>RESPONSABILIDAD CIVIL AVIONES TURISTAS</t>
  </si>
  <si>
    <t>RESPONSABILIDAD CIVIL AEROPORTUARIA</t>
  </si>
  <si>
    <t>RESPONSABILIDAD CIVIL CONTRATISTAS</t>
  </si>
  <si>
    <t>RESPONSABILIDAD CIVIL OPERACIÓN DE AEROPUERTOS</t>
  </si>
  <si>
    <t>RESPOSABILIDAD CIVIL TEXTO ARIEL</t>
  </si>
  <si>
    <t>TRANSPORTE CARGA</t>
  </si>
  <si>
    <t>TRANSP</t>
  </si>
  <si>
    <t>RIESGOS ORDINARIOS DE TRANSITO</t>
  </si>
  <si>
    <t>ROBO PARCIAL</t>
  </si>
  <si>
    <t>ROBO TOTAL</t>
  </si>
  <si>
    <t>ROBO DE BULTO POR ENTERO</t>
  </si>
  <si>
    <t>ROBO EN ESTADÍA OBRAS DE ARTE</t>
  </si>
  <si>
    <t>TRANSPORTE CLAVO A CLAVO</t>
  </si>
  <si>
    <t>RESPONSABILIDAD CIVIL DECENAL</t>
  </si>
  <si>
    <t>RC DECENAL</t>
  </si>
  <si>
    <t>RC PROFESIONAL HABITABILIDAD</t>
  </si>
  <si>
    <t>RC  PROFESIONAL SEGURIDAD</t>
  </si>
  <si>
    <t>RC HABITABILIDAD 10%</t>
  </si>
  <si>
    <t>RC SEGURIDAD 10%</t>
  </si>
  <si>
    <t>RC PROFESIONAL HABITABILIDAD AG</t>
  </si>
  <si>
    <t>RC PROFESIONAL SEGURIDAD AG</t>
  </si>
  <si>
    <t>RC HABITABILIDAD AG 10%</t>
  </si>
  <si>
    <t>RC SEGURIDAD AG 10%</t>
  </si>
  <si>
    <t>RC HABITABILIDAD I.T.</t>
  </si>
  <si>
    <t>RC PROFESIONAL SEGURIDAD I.T.</t>
  </si>
  <si>
    <t>RC HABITABILIDAD I.T. 10%</t>
  </si>
  <si>
    <t>RC SEGURIDAD I.T.  10%</t>
  </si>
  <si>
    <t>CASCOS AEREOS</t>
  </si>
  <si>
    <t>C.AEREOS</t>
  </si>
  <si>
    <t>COBERTURA BÁSICA  (CASCO)</t>
  </si>
  <si>
    <t>CASCO GUERRA</t>
  </si>
  <si>
    <t>GASTOS DE BÚSQUEDA Y RESCATE</t>
  </si>
  <si>
    <t>PARTES Y REFACCIONES</t>
  </si>
  <si>
    <t>CASCOS MARITIMOS</t>
  </si>
  <si>
    <t>C.MARITIMOS</t>
  </si>
  <si>
    <t>COBERTURA BÁSICA (P.TOT.REAL/IMPLICITA)</t>
  </si>
  <si>
    <t>MEDIPET</t>
  </si>
  <si>
    <t>GASTOS MÉDICOS PARA MASCOTA</t>
  </si>
  <si>
    <t>GASTOS MÉDICOS Y FUNERARIOS PARA MASCOTA</t>
  </si>
  <si>
    <t>RESPONSABILIDAD CIVIL PARA MASCOTA</t>
  </si>
  <si>
    <t>SERVICIOS FUNERARIOS PARA MASCOTA</t>
  </si>
  <si>
    <t>TOTALES</t>
  </si>
  <si>
    <t>INCLUIDO</t>
  </si>
  <si>
    <t>SI</t>
  </si>
  <si>
    <t>SUMA TOTAL</t>
  </si>
  <si>
    <t>PRIMA NETA</t>
  </si>
  <si>
    <t>RECARGOS</t>
  </si>
  <si>
    <t>COMISIONES</t>
  </si>
  <si>
    <t>FAVOR DE CONFIRMAR QUE LA COMISION QUEDE EXACTA</t>
  </si>
  <si>
    <t>CONDICIONES GENERALES INCLUIDAS EN LA POLIZA</t>
  </si>
  <si>
    <t xml:space="preserve"> ARCHIVO </t>
  </si>
  <si>
    <t xml:space="preserve">  SI</t>
  </si>
  <si>
    <t>CONDICIONES GENERALES INCENDIO TODO RIESGO</t>
  </si>
  <si>
    <t>W_Multipól_TodoRiesgo_20.07.2016.2</t>
  </si>
  <si>
    <t>Castro, Daniela &lt;Daniela.Castro@marsh.com&gt;</t>
  </si>
  <si>
    <t>CONDICIONES GENERALES PERDIDAS CONSECUENCIALES</t>
  </si>
  <si>
    <t>W_Multipól.Per.Consecuen_20.07.2016.2</t>
  </si>
  <si>
    <t>CONDICIONES GENERALES DIVERSOS MISCELANEOS</t>
  </si>
  <si>
    <t>W_Multipól_Div.Miscelaneos_20.07.2016.2</t>
  </si>
  <si>
    <t>FAVOR DE PONER EL NOMBRE DE LA UBICACIÓN ARRIBA MENCIONADA</t>
  </si>
  <si>
    <t>CONDICIONES GENERALES EQUIPO ELECTRONICO</t>
  </si>
  <si>
    <t>W_Multipól.E.Elect_20.07.2016.2</t>
  </si>
  <si>
    <t>TIENE DESGLOSE DE RECIBOS</t>
  </si>
  <si>
    <t>CONDICIONES GENERELAES ROTURA DE MAQUINARIA</t>
  </si>
  <si>
    <t>W_Multipól.Rot.Maquinaria_20.07.2016.2</t>
  </si>
  <si>
    <t>FACTURACION ANTICIPADA</t>
  </si>
  <si>
    <t>CONDICIONES GENERALES CALDERAS</t>
  </si>
  <si>
    <t>W_Multipól.Cald.Rec.Suj.Presión_20.07.2016.2</t>
  </si>
  <si>
    <t>NO</t>
  </si>
  <si>
    <t>POLIZA NUEVA</t>
  </si>
  <si>
    <t>***COASEGURO SUSCRIPCION LIDER***</t>
  </si>
  <si>
    <t>27 - SME 1ER RIESGO - HOTELERÍA</t>
  </si>
  <si>
    <t>0755-HOTELES DE 5 O MAS ESTRELLAS (INCLUYE HOTELES VIP)</t>
  </si>
  <si>
    <t>0755.01-Hotel de 5 estrellas (excepcional) - Hotel de ciudad o urbano</t>
  </si>
  <si>
    <t>FIDEICOMISO F/1596</t>
  </si>
  <si>
    <t>CANCELACION</t>
  </si>
  <si>
    <t xml:space="preserve">SANTA FE 481 PISO 7 CRUZ MANCA CUAJIMALPA DE MORELOS DISTRITO FEDERAL C.P. 05349 </t>
  </si>
  <si>
    <t>JOSE COHEN ALFIE</t>
  </si>
  <si>
    <t>FFX121005C6A</t>
  </si>
  <si>
    <t>01-27-07000052-000-02</t>
  </si>
  <si>
    <t>PDF:</t>
  </si>
  <si>
    <t>AT´N:</t>
  </si>
  <si>
    <t>SLIP</t>
  </si>
  <si>
    <t>% DE</t>
  </si>
  <si>
    <t>PARTICIPACION</t>
  </si>
  <si>
    <t>LIDER</t>
  </si>
  <si>
    <t>GMX SEGUROS, S.A. DE C.V.</t>
  </si>
  <si>
    <t>SEGUIDOR</t>
  </si>
  <si>
    <t>GREAT AMERICA =</t>
  </si>
  <si>
    <t>EL AGUILA COMPAÑÍA DE SEGUROS, S.A. DE C.V.</t>
  </si>
  <si>
    <t>TOKIO MARINE COMPAÑÍA DE SEGUROS S.A. DE C. V.</t>
  </si>
  <si>
    <t>Datos Financieros</t>
  </si>
  <si>
    <t>Datos</t>
  </si>
  <si>
    <t>Uso del Inmueble</t>
  </si>
  <si>
    <t>10. Tienda departamental</t>
  </si>
  <si>
    <t>Tipo 1er Riesgo</t>
  </si>
  <si>
    <t>2 - Edificio, Contenidos y Pérdidas</t>
  </si>
  <si>
    <t>Zonas Catástrófica</t>
  </si>
  <si>
    <t>Zona Amis Terremoto</t>
  </si>
  <si>
    <t>E</t>
  </si>
  <si>
    <t>Zona Amis Huracán</t>
  </si>
  <si>
    <t>A3</t>
  </si>
  <si>
    <t>Tipo Construcción</t>
  </si>
  <si>
    <t>MACIZA</t>
  </si>
  <si>
    <t>Año Construcción</t>
  </si>
  <si>
    <t>Pisos Altos y Planta Baja</t>
  </si>
  <si>
    <t>Pisos Sótanos</t>
  </si>
  <si>
    <t>Piso Riesgo</t>
  </si>
  <si>
    <t>Coordenas Geográficas de Longuitud</t>
  </si>
  <si>
    <t>Coordenadas Geográficas de Latitud</t>
  </si>
  <si>
    <t>TEV Adicional 1</t>
  </si>
  <si>
    <t>Tipo Riesgo</t>
  </si>
  <si>
    <t>Inmueble Tipo Industrial</t>
  </si>
  <si>
    <t>Tipo de Suelo</t>
  </si>
  <si>
    <t>2. Firme</t>
  </si>
  <si>
    <t>Uso Principal</t>
  </si>
  <si>
    <t>17. Hotel</t>
  </si>
  <si>
    <t>Material de las Columnas</t>
  </si>
  <si>
    <t>1. Columnas de Concreto</t>
  </si>
  <si>
    <t>Forma Construcción Trabes</t>
  </si>
  <si>
    <t>1. Trabes coladas en sitio</t>
  </si>
  <si>
    <t>Si tiene Muros de Concreto</t>
  </si>
  <si>
    <t>1. Sí tiene muros de concreto</t>
  </si>
  <si>
    <t>Tipo de Estructura del Techo</t>
  </si>
  <si>
    <t>1. Cubierta Ligera</t>
  </si>
  <si>
    <t>Longuitud de los Claros</t>
  </si>
  <si>
    <t>2. Medianos</t>
  </si>
  <si>
    <t>Muros Prefabricados</t>
  </si>
  <si>
    <t>2. Sin muros prefabricados</t>
  </si>
  <si>
    <t>Tiene Contraventeo</t>
  </si>
  <si>
    <t>2. Estructura sin contraventeo</t>
  </si>
  <si>
    <t>TEV Adicional 2</t>
  </si>
  <si>
    <t>Tiene Columnas Cortas</t>
  </si>
  <si>
    <t>2. No tiene columnas cortas</t>
  </si>
  <si>
    <t>Tiene Sobrepeso</t>
  </si>
  <si>
    <t>2. No tiene sobre peso</t>
  </si>
  <si>
    <t>Posibilidades de Golpeteo</t>
  </si>
  <si>
    <t>4. No hay posibilidad de golpeteo</t>
  </si>
  <si>
    <t>Ubicación en Esquina</t>
  </si>
  <si>
    <t>2. No ubicado en esquina</t>
  </si>
  <si>
    <t>Irregularidad en la Altura</t>
  </si>
  <si>
    <t>1. Irregularidad nula</t>
  </si>
  <si>
    <t>Irregularidad en la Planta</t>
  </si>
  <si>
    <t>Tiene o No Hundimientos</t>
  </si>
  <si>
    <t>2. No tiene hundimientos diferenciales</t>
  </si>
  <si>
    <t>Ha sufrido Daños Previos</t>
  </si>
  <si>
    <t>1. Inmueble sin daños previos</t>
  </si>
  <si>
    <t>Entonces se Repararon</t>
  </si>
  <si>
    <t>1. Si fueron reparados</t>
  </si>
  <si>
    <t>Ha sido o no Reforzada</t>
  </si>
  <si>
    <t>2. No ha sido reforzada</t>
  </si>
  <si>
    <t>Año Reforzada</t>
  </si>
  <si>
    <t>Riesgo Valuable</t>
  </si>
  <si>
    <t>0. Sin clasificar</t>
  </si>
  <si>
    <t>FHM Datos de Localización</t>
  </si>
  <si>
    <t>Primera Línea Frente al Mar</t>
  </si>
  <si>
    <t>1. Primera línea</t>
  </si>
  <si>
    <t>Primera Línea Frente a Lago, Laguna, Río</t>
  </si>
  <si>
    <t>Sobreelevación de Desplante</t>
  </si>
  <si>
    <t>Rugosidad del Terreno</t>
  </si>
  <si>
    <t>2. Árboles aislados o construcciones dispersas</t>
  </si>
  <si>
    <t>FHM Datos de la Estructura</t>
  </si>
  <si>
    <t>Tipo de Cubierta</t>
  </si>
  <si>
    <t>2. Cubierta ligera sin diseño estructural o artesanal</t>
  </si>
  <si>
    <t>Piso de Riesgo</t>
  </si>
  <si>
    <t>Forma de la Cubierta</t>
  </si>
  <si>
    <t>1. Horizontal</t>
  </si>
  <si>
    <t>Irregularidad en Planta</t>
  </si>
  <si>
    <t>Objetos cerca de postes, anuncios, espectaculares o árboles</t>
  </si>
  <si>
    <t>2. No hay objetos</t>
  </si>
  <si>
    <t>Objetos en Azotea</t>
  </si>
  <si>
    <t>Tamaño de Cristal en Fachada</t>
  </si>
  <si>
    <t>2. Medianos, entre 0.5 y 1.5 metros cuadrados</t>
  </si>
  <si>
    <t>Tipo de Ventanas</t>
  </si>
  <si>
    <t>2. Media, ventanas que cuentan con cristales gruesos, cristales templados o tapial simple de madera</t>
  </si>
  <si>
    <t>Tipo de Domos</t>
  </si>
  <si>
    <t>1. Nula, el inmueble no tiene domos</t>
  </si>
  <si>
    <t>Soporte de Ventanas</t>
  </si>
  <si>
    <t>2. Soporte con diseño genérico</t>
  </si>
  <si>
    <t>% Cristal Fachada</t>
  </si>
  <si>
    <t>1. Porcentaje bajo, menor al 30%</t>
  </si>
  <si>
    <t>% Domos</t>
  </si>
  <si>
    <t>1. Porcentaje nulo 0%</t>
  </si>
  <si>
    <t>Tablarroca, Plástico y Lámina Fachada</t>
  </si>
  <si>
    <t>1. No tiene 0%</t>
  </si>
  <si>
    <t>Tipo de Muro de Contención</t>
  </si>
  <si>
    <t>4. Sin muro</t>
  </si>
  <si>
    <t>1. Casa habitación</t>
  </si>
  <si>
    <t>0 - Sin primer riesgo</t>
  </si>
  <si>
    <t>2. Casa habitación (lujo)</t>
  </si>
  <si>
    <t>1- Edificio y Contenidos</t>
  </si>
  <si>
    <t>3. Departamento</t>
  </si>
  <si>
    <t>4. Departamente (lujo)</t>
  </si>
  <si>
    <t>5. Vivienda (crédito hipotecario)</t>
  </si>
  <si>
    <t>6. Oficina</t>
  </si>
  <si>
    <t>A</t>
  </si>
  <si>
    <t>A1PY</t>
  </si>
  <si>
    <t>7. Hotel</t>
  </si>
  <si>
    <t>B</t>
  </si>
  <si>
    <t>8. Escuela</t>
  </si>
  <si>
    <t>B1</t>
  </si>
  <si>
    <t>A1GM</t>
  </si>
  <si>
    <t>9. Hospital, Clínica</t>
  </si>
  <si>
    <t>C</t>
  </si>
  <si>
    <t>A1IN</t>
  </si>
  <si>
    <t>D</t>
  </si>
  <si>
    <t>A2</t>
  </si>
  <si>
    <t>11. Restaurante</t>
  </si>
  <si>
    <t>12. Bodega c/cont. no vulnerables</t>
  </si>
  <si>
    <t>F</t>
  </si>
  <si>
    <t>13. Bodega c/cont. mixtos</t>
  </si>
  <si>
    <t>G</t>
  </si>
  <si>
    <t>14. Bodega c/cont. Vulnerables</t>
  </si>
  <si>
    <t>H1</t>
  </si>
  <si>
    <t>NO MACIZA</t>
  </si>
  <si>
    <t>15. Fábrica</t>
  </si>
  <si>
    <t>H2</t>
  </si>
  <si>
    <t>16. Restaurante</t>
  </si>
  <si>
    <t>I</t>
  </si>
  <si>
    <t>17. Gasolineras</t>
  </si>
  <si>
    <t>J</t>
  </si>
  <si>
    <t>18. Antenas de transmisión</t>
  </si>
  <si>
    <t>19. Albercas</t>
  </si>
  <si>
    <t>1. Roca</t>
  </si>
  <si>
    <t>20. Anuncios y rótulos</t>
  </si>
  <si>
    <t>2. Columnas de Acero</t>
  </si>
  <si>
    <t>21. Caminos, andadores, calles, patios</t>
  </si>
  <si>
    <t>3. Blando</t>
  </si>
  <si>
    <t>3. Sin columnas</t>
  </si>
  <si>
    <t>22. Tanques o silos</t>
  </si>
  <si>
    <t>4. Desconocido</t>
  </si>
  <si>
    <t>23. Elementos decorativos en áreas externas</t>
  </si>
  <si>
    <t>24. Instalaciones y canchas deportivas</t>
  </si>
  <si>
    <t>2. Trabes prefabricadas</t>
  </si>
  <si>
    <t>25. Luminarias</t>
  </si>
  <si>
    <t>3. No tiene trabes</t>
  </si>
  <si>
    <t>26. Muros de contención</t>
  </si>
  <si>
    <t>27. Palapas y pérgolas</t>
  </si>
  <si>
    <t>28. Sistemas de riego, incluye tuberías</t>
  </si>
  <si>
    <t>2. Cubierta Pesada</t>
  </si>
  <si>
    <t>2. No tiene muros de concreto</t>
  </si>
  <si>
    <t>1. Almacén</t>
  </si>
  <si>
    <t>1. Cortos</t>
  </si>
  <si>
    <t>1. Estructura con muros prefabricados</t>
  </si>
  <si>
    <t>2. Banco</t>
  </si>
  <si>
    <t>3. Biblioteca</t>
  </si>
  <si>
    <t>3. Largos</t>
  </si>
  <si>
    <t>4. Central de Comunicaciones</t>
  </si>
  <si>
    <t>5. Central Eléctrica</t>
  </si>
  <si>
    <t>1. Estructura con contraventeo</t>
  </si>
  <si>
    <t>1. Tiene columnas cortas</t>
  </si>
  <si>
    <t>6. Centro Comercial</t>
  </si>
  <si>
    <t>7. Comercio</t>
  </si>
  <si>
    <t>8. Depósito de sustancias explosivas</t>
  </si>
  <si>
    <t>1. Tiene sobrepeso</t>
  </si>
  <si>
    <t>1. Con edificios de menor altura</t>
  </si>
  <si>
    <t>9. Depósito de sustancias inflamables</t>
  </si>
  <si>
    <t>2. Con edificios de igual o mayor altura</t>
  </si>
  <si>
    <t>10. Depósito de sustancias Tóxicas</t>
  </si>
  <si>
    <t>3. Con edificios de menor y mayor altura</t>
  </si>
  <si>
    <t>11. Escuela</t>
  </si>
  <si>
    <t>12. Estacionamiento</t>
  </si>
  <si>
    <t>13. Fábrica</t>
  </si>
  <si>
    <t>1. Inmueble ubicado en esquina</t>
  </si>
  <si>
    <t>14. Funeraria</t>
  </si>
  <si>
    <t>2. Poca irregularidad</t>
  </si>
  <si>
    <t>15. Hangar</t>
  </si>
  <si>
    <t>3. Mucha irregularidad</t>
  </si>
  <si>
    <t>16. Hospital</t>
  </si>
  <si>
    <t>1. Tiene hundimientos diferenciales</t>
  </si>
  <si>
    <t>18. Industria</t>
  </si>
  <si>
    <t>2. Daños previos ligeros</t>
  </si>
  <si>
    <t>19. Laboratorio</t>
  </si>
  <si>
    <t>3. Daños previos severos</t>
  </si>
  <si>
    <t>20. Librería</t>
  </si>
  <si>
    <t>1. Si ha sido reforzada</t>
  </si>
  <si>
    <t>21. Museo</t>
  </si>
  <si>
    <t>2. No fueron reparados</t>
  </si>
  <si>
    <t>22. Oficina Gubernamental</t>
  </si>
  <si>
    <t>23. Oficina Privada</t>
  </si>
  <si>
    <t>1. Campo abierto plano</t>
  </si>
  <si>
    <t>24. Restaurante</t>
  </si>
  <si>
    <t>1. Valuable Independiente</t>
  </si>
  <si>
    <t>25. Servicios de Emergencia</t>
  </si>
  <si>
    <t>2. Valuable Colectiva o con capas</t>
  </si>
  <si>
    <t>3. Arbolado intenso, lomeríos, barrio residencial</t>
  </si>
  <si>
    <t>26. Terminal de Transporte</t>
  </si>
  <si>
    <t>3. No Valuable</t>
  </si>
  <si>
    <t>4. Muy accidentada, centro de la ciudad</t>
  </si>
  <si>
    <t>27. Tienda de Departamentos</t>
  </si>
  <si>
    <t>28. Vivienda</t>
  </si>
  <si>
    <t>1. Cubierta pesada</t>
  </si>
  <si>
    <t>29. Otro</t>
  </si>
  <si>
    <t>2. Fuera de primera línea</t>
  </si>
  <si>
    <t>3. Cubierta ligera con diseño genérico</t>
  </si>
  <si>
    <t>4. Cubierta ligera con diseño específico</t>
  </si>
  <si>
    <t>2. Inclinada con pendiente media</t>
  </si>
  <si>
    <t>3. Inclinada con pendiente alta</t>
  </si>
  <si>
    <t>4. Forma de sierra</t>
  </si>
  <si>
    <t>5. Forma de curva</t>
  </si>
  <si>
    <t>1. Si hay objetos</t>
  </si>
  <si>
    <t>1. Chicos, menores a 0.5 metros cuadrados</t>
  </si>
  <si>
    <t>1. Soporte sin diseño estructural o artesanal</t>
  </si>
  <si>
    <t>3. Grandes, Mayores a 1.5 metros cuadrados</t>
  </si>
  <si>
    <t>3. Soprote con diseño específico</t>
  </si>
  <si>
    <t>1. Baja, ventanas que cuentan con cortina anticiclónica, tapial estructural o películas plásticas</t>
  </si>
  <si>
    <t>2. Porcentaje medio, entre 30% y 60%</t>
  </si>
  <si>
    <t>2. Porcentaje bajo, menor al 10%</t>
  </si>
  <si>
    <t>3. Alta, ventanas que cuentan con cristales de poco espesor sin tapiales no cortinas anticiclónica</t>
  </si>
  <si>
    <t>3. Porcentaje alto, mayor al 60%</t>
  </si>
  <si>
    <t>3. Porcentaje medio, entre 10% y 25%</t>
  </si>
  <si>
    <t>4. Porcentaje alto, mayor al 25%</t>
  </si>
  <si>
    <t>2. Baja, domos que cuentan con cortina anticiclónica, tapial estructural o películas plásticas</t>
  </si>
  <si>
    <t>2. Contiene estos materiales sólo en algunas partes (menor al 20%)</t>
  </si>
  <si>
    <t>3. Media, domos que cuentan con cristales gruesos, cristales templados o tapial simple de madera</t>
  </si>
  <si>
    <t>3. Contiene estos materiales en muchas partes (entre 20% y 50%)</t>
  </si>
  <si>
    <t>4. Alta, domos que cuentan con cristales de poco espesor o de acrílico, sin tapiales ni cortinas anticiclónicas</t>
  </si>
  <si>
    <t>4. Presencia generalizada (mayor al 50%)</t>
  </si>
  <si>
    <t>1. Concreto reforzado con cimentación profunda</t>
  </si>
  <si>
    <t>2. Concreto reforzado con cimentación superficial</t>
  </si>
  <si>
    <t>3. Mampostería de piedra o tabique</t>
  </si>
  <si>
    <t>Aeronaves</t>
  </si>
  <si>
    <t>Tipo de Aeronave</t>
  </si>
  <si>
    <t>7 . Turboprop-Aeronave ala fija</t>
  </si>
  <si>
    <t>Uso de Aeronave</t>
  </si>
  <si>
    <t xml:space="preserve">13. Fumigador </t>
  </si>
  <si>
    <t>Aeropuerto Base</t>
  </si>
  <si>
    <t>37. Puebla, Puebla</t>
  </si>
  <si>
    <t>Tipo de Aeropuerto</t>
  </si>
  <si>
    <t>A - Los que cuentan con sistemas de aterrizaje por instrumentos (I.L.S.) e instrumentos de ayuda para navegación y aterrizaje como radio, radar, servicio meteorológico, torre de control, pista pavimentada e iluminada.</t>
  </si>
  <si>
    <t>Límite Geográfico de Operación</t>
  </si>
  <si>
    <t>4 - República Mexicana</t>
  </si>
  <si>
    <t>Tipo de Riesgo</t>
  </si>
  <si>
    <t>2 - RC Legal y Otras Coberturas</t>
  </si>
  <si>
    <t>Pasajeros</t>
  </si>
  <si>
    <t>Tripulantes</t>
  </si>
  <si>
    <t>Matrícula</t>
  </si>
  <si>
    <t>XB1425</t>
  </si>
  <si>
    <t>Año de Construcción</t>
  </si>
  <si>
    <t>1 . Aeronave ala fija</t>
  </si>
  <si>
    <t>Límite geográfico de operación</t>
  </si>
  <si>
    <t>2 . Aeronave ala rotativa</t>
  </si>
  <si>
    <t>1 - Continente Americano</t>
  </si>
  <si>
    <t>3 . Jet-Aeronave ala fija</t>
  </si>
  <si>
    <t>2 - Continente Americano c/ exclusiones: Cuba, Alaska y Hawai.</t>
  </si>
  <si>
    <t>4 . Pistón-Aeronave ala fija</t>
  </si>
  <si>
    <t>3 - Continente Americano c/ exclusiones: Cuba, Alaska, Hawai, Panamá, Colombia y Bolivia.</t>
  </si>
  <si>
    <t>5 . Pistón-Aeronave ala rotativa</t>
  </si>
  <si>
    <t>6 . Turbina-Aeronave ala rotativa</t>
  </si>
  <si>
    <t>5 - Todo el mundo</t>
  </si>
  <si>
    <t>99 - Otro límite geográfico</t>
  </si>
  <si>
    <t>Uso de la aeronave</t>
  </si>
  <si>
    <t>1. Aéreo-ambulancia</t>
  </si>
  <si>
    <t>1 - RC Legal</t>
  </si>
  <si>
    <t>2. Aéreo-fotografía</t>
  </si>
  <si>
    <t>3. Aerotaxi sin itinerario</t>
  </si>
  <si>
    <t>3 - Otras Coberturas</t>
  </si>
  <si>
    <t>4. Alquiler sin piloto</t>
  </si>
  <si>
    <t>5. Carga (Excluyendo carga colgante o eslingada)</t>
  </si>
  <si>
    <t>6. Clubes aéreos excluyendo instrucción</t>
  </si>
  <si>
    <t>7. Comercial</t>
  </si>
  <si>
    <t>8. Comercial con itinerario</t>
  </si>
  <si>
    <t xml:space="preserve">9. Contratados para ayuda industrial </t>
  </si>
  <si>
    <t>10. Control de tráfico</t>
  </si>
  <si>
    <t>11. Demostración excluyendo acrobacias aéreas</t>
  </si>
  <si>
    <t>12. Extinción de incendio</t>
  </si>
  <si>
    <t xml:space="preserve">14. Instrucción </t>
  </si>
  <si>
    <t xml:space="preserve">15. Investigación y rescate </t>
  </si>
  <si>
    <t xml:space="preserve">16. Localización de cardumen </t>
  </si>
  <si>
    <t>17. Oficial</t>
  </si>
  <si>
    <t xml:space="preserve">18. Privado y de placer </t>
  </si>
  <si>
    <t xml:space="preserve">19. Publicidad </t>
  </si>
  <si>
    <t>20. Transporte de correo</t>
  </si>
  <si>
    <t>Tipos de aeropuertos</t>
  </si>
  <si>
    <t>1. Acapulco, Guerrero</t>
  </si>
  <si>
    <t>2. Atizapán, Estado de México</t>
  </si>
  <si>
    <t>B - Los que cuentan con equipo de ayuda para la navegación y aterrizaje, como radio, radar, servicio meteorológico, torre de control, pista pavimentada e iluminada.</t>
  </si>
  <si>
    <t>3. Bajío, Guanajuato</t>
  </si>
  <si>
    <t>C - Los que cuentan con equipo de ayuda para navegación y aterrizaje, como radio, radar, servicio meteorológico, torre de control, pista pavimentada e iluminada, pero limitados a servicio diurno únicamente.</t>
  </si>
  <si>
    <t>4. Campeche, Campeche</t>
  </si>
  <si>
    <t>D - Los que cuentan con pistas pavimentadas, radio, cono de viento y limitados a servicio diurno.</t>
  </si>
  <si>
    <t>5. Cancún, Quintana Roo</t>
  </si>
  <si>
    <t xml:space="preserve">E - Cualquier pista o aeródromo, pero que esté autorizado por la correspondiente autoridad de aeronáutica civil, debiendo estar sujeta(s) la(s) aeronave(s) amparada(s) a la cláusula </t>
  </si>
  <si>
    <t>6. Cd. De México, Distrito Federal</t>
  </si>
  <si>
    <t xml:space="preserve">de campos de aterrizaje no autorizados (AV-23). - </t>
  </si>
  <si>
    <t>7. Cd. Del Carmen, Tabasco</t>
  </si>
  <si>
    <t>F - Cualquier otro aeropuerto, aeródromo o pista, siempre y cuando esté registrado ante las autoridades aeronáuticas correspondientes, debiendo estar sujeta la(s) aeronave(s) amparada(s) a la cláusula de campos de aterrizaje no autorizados. (AV-23)</t>
  </si>
  <si>
    <t xml:space="preserve">8. Cd. Juárez, Chihuahua </t>
  </si>
  <si>
    <t>9. Cd. Obregón, Sonora</t>
  </si>
  <si>
    <t>10. Chihuahua, Chihuahua</t>
  </si>
  <si>
    <t>11. Colima, Colima</t>
  </si>
  <si>
    <t>12. Corzo, Chiapas</t>
  </si>
  <si>
    <t>13. Cozumel, Quintana Roo</t>
  </si>
  <si>
    <t>14. Cuernavaca, Morelos</t>
  </si>
  <si>
    <t>15. Culiacán, Sinaloa</t>
  </si>
  <si>
    <t>16. Del Norte,  Nuevo León</t>
  </si>
  <si>
    <t>17. Durango, Durango</t>
  </si>
  <si>
    <t>18. Guadalajara, Jalisco</t>
  </si>
  <si>
    <t>19. Hermosillo, Sonora</t>
  </si>
  <si>
    <t>20. Huatulco, Oaxaca</t>
  </si>
  <si>
    <t>21. Ixtapa Zihuatanejo, Guerrero</t>
  </si>
  <si>
    <t>22. Jalapa, Veracruz</t>
  </si>
  <si>
    <t>23. La Paz, Baja California Sur</t>
  </si>
  <si>
    <t>24. Loreto, Baja California Sur</t>
  </si>
  <si>
    <t>25. Los Mochis, Sinaloa</t>
  </si>
  <si>
    <t>26. Manzanillo, Colima</t>
  </si>
  <si>
    <t>27. Matamoros, Tamaulipas</t>
  </si>
  <si>
    <t>28. Mazatlán, Sinaloa</t>
  </si>
  <si>
    <t>29. Mérida, Yucatán</t>
  </si>
  <si>
    <t>30. Mexicali, Baja California</t>
  </si>
  <si>
    <t>31. Minatitlán, Veracruz</t>
  </si>
  <si>
    <t>32. Monterrey, Nuevo León</t>
  </si>
  <si>
    <t>33. Nogales, Sonora</t>
  </si>
  <si>
    <t>34. Oaxaca, Oaxaca</t>
  </si>
  <si>
    <t>35. Piedras Negras, Coahuila</t>
  </si>
  <si>
    <t>36. Poza Rica, Veracruz</t>
  </si>
  <si>
    <t>38. Puerto Vallarta, Jalisco</t>
  </si>
  <si>
    <t>39. San José del Cabo, Baja California Sur</t>
  </si>
  <si>
    <t>40. San Luis Potosí, San Luis Potosí</t>
  </si>
  <si>
    <t>41. Tampico, Tamaulipas</t>
  </si>
  <si>
    <t>42. Tapachula, Chiapas</t>
  </si>
  <si>
    <t>43. Tijuana, Baja California</t>
  </si>
  <si>
    <t>44. Toluca, Estado de México</t>
  </si>
  <si>
    <t>45. Torreón, Coahuila</t>
  </si>
  <si>
    <t>46. Tuxtla, Chiapas</t>
  </si>
  <si>
    <t>47. Veracruz, Veracruz</t>
  </si>
  <si>
    <t>48. Villa Hermosa, Tabasco</t>
  </si>
  <si>
    <t>997. Otro aeropuerto base privado, Cualquier estado</t>
  </si>
  <si>
    <t>998. Otro aeropuerto base internacional, En el extranjero</t>
  </si>
  <si>
    <t>Tipo de Embarcación</t>
  </si>
  <si>
    <t xml:space="preserve">26 - Pesca Múltiple  </t>
  </si>
  <si>
    <t>Uso de la Embarcación</t>
  </si>
  <si>
    <t>4 - Privado y/o Placer</t>
  </si>
  <si>
    <t>Material de Construcción</t>
  </si>
  <si>
    <t>1 - Acero</t>
  </si>
  <si>
    <t>Bandera de la Embarcación</t>
  </si>
  <si>
    <t>1 - Nacional</t>
  </si>
  <si>
    <t>Puerto Base</t>
  </si>
  <si>
    <t>1 - Acapulco, Guerrero</t>
  </si>
  <si>
    <t>Área de Navegación</t>
  </si>
  <si>
    <t>1 - Aguas Nacionales</t>
  </si>
  <si>
    <t>Embarcación Clasificada</t>
  </si>
  <si>
    <t>Tipo de embarcación</t>
  </si>
  <si>
    <t xml:space="preserve">1 - Abastecedor  </t>
  </si>
  <si>
    <t>Bandera de la embarcación</t>
  </si>
  <si>
    <t>2 - Artefactos navales</t>
  </si>
  <si>
    <t>3 - Atunero</t>
  </si>
  <si>
    <t>2 - USA</t>
  </si>
  <si>
    <t>4 - Barcaza o Chalán</t>
  </si>
  <si>
    <t>3 - Europea</t>
  </si>
  <si>
    <t xml:space="preserve">5 - Barco-Escuela  </t>
  </si>
  <si>
    <t>4 - Asiática</t>
  </si>
  <si>
    <t xml:space="preserve">6 - Barco-Hidrográfico </t>
  </si>
  <si>
    <t>5 - Mar Caribe</t>
  </si>
  <si>
    <t xml:space="preserve">7 - Buque Frigorífico </t>
  </si>
  <si>
    <t>6 - Centroamericana y Sudamericana</t>
  </si>
  <si>
    <t xml:space="preserve">8 - Buque Transportador de Autos </t>
  </si>
  <si>
    <t xml:space="preserve">9 - Buque Transportador de Trenes </t>
  </si>
  <si>
    <t>Puerto base</t>
  </si>
  <si>
    <t xml:space="preserve">10 - Buque-Tanque  </t>
  </si>
  <si>
    <t>11 - Buque-Tanque petrolero y productos derivados</t>
  </si>
  <si>
    <t>2 - Adolfo López Mateos, Baja California Sur</t>
  </si>
  <si>
    <t xml:space="preserve">12 - Buque-Tanque Químico </t>
  </si>
  <si>
    <t>3 - Altamira, Tamaulipas</t>
  </si>
  <si>
    <t xml:space="preserve">13 - Buque-Tanque-minerales </t>
  </si>
  <si>
    <t>4 - Altata, Sinaloa</t>
  </si>
  <si>
    <t>14 - Camaronero</t>
  </si>
  <si>
    <t>5 - Alvarado, Veracruz</t>
  </si>
  <si>
    <t xml:space="preserve">15 - Carguero a granel  </t>
  </si>
  <si>
    <t>6 - Bahías de Huatulco, Oaxaca</t>
  </si>
  <si>
    <t>16 - Carguero general</t>
  </si>
  <si>
    <t>7 - Banco Playa, Quintana Roo</t>
  </si>
  <si>
    <t xml:space="preserve">17 - Carguero tipo Roll on - Roll off </t>
  </si>
  <si>
    <t>8 - Barra de Navidad, Guerrero</t>
  </si>
  <si>
    <t>18 - Dragas</t>
  </si>
  <si>
    <t>9 - Cabo San Lucas, Baja California Sur</t>
  </si>
  <si>
    <t xml:space="preserve">19 - Embarcación de Investigación </t>
  </si>
  <si>
    <t>10 - Campeche, Campeche</t>
  </si>
  <si>
    <t>20 - Embarcación menor utilizada para vigilancia</t>
  </si>
  <si>
    <t>11 - Cancún, Quintana Roo</t>
  </si>
  <si>
    <t>21 - Escamero</t>
  </si>
  <si>
    <t>12 - Cayo Arcas, Campeche</t>
  </si>
  <si>
    <t xml:space="preserve">22 - Ferry-Transbordador  </t>
  </si>
  <si>
    <t>13 - Cd. del Carmen, Campeche</t>
  </si>
  <si>
    <t>23 - Jet Sky o Moto Acuática</t>
  </si>
  <si>
    <t>14 - Celestún, Yucatán</t>
  </si>
  <si>
    <t>24 - Lancha</t>
  </si>
  <si>
    <t>15 - Chacala, Nayarit</t>
  </si>
  <si>
    <t>25 - Militar u Oficial</t>
  </si>
  <si>
    <t>16 - Champotón, Campeche</t>
  </si>
  <si>
    <t>17 - Chapala, Jalisco</t>
  </si>
  <si>
    <t xml:space="preserve">27 - Porta contenedor  </t>
  </si>
  <si>
    <t>18 - Chetumal, Quintana Roo</t>
  </si>
  <si>
    <t>28 - Remolcador</t>
  </si>
  <si>
    <t>19 - Chiltepec, Tabasco</t>
  </si>
  <si>
    <t>29 - Sardinero o Anchovetero</t>
  </si>
  <si>
    <t>20 - Chuburná, Yucatán</t>
  </si>
  <si>
    <t xml:space="preserve">30 - Tiburoneros  </t>
  </si>
  <si>
    <t>21 - Coatzacoalcos, Veracruz</t>
  </si>
  <si>
    <t>31 - Velero</t>
  </si>
  <si>
    <t>22 - Cruz de Huanacaxtle, Nayarit</t>
  </si>
  <si>
    <t xml:space="preserve">32 - Yate  </t>
  </si>
  <si>
    <t>23 - Dos Bocas, Tabasco</t>
  </si>
  <si>
    <t>99 - Otro tipo de embarcación</t>
  </si>
  <si>
    <t>24 - Dzilam de Bravo, Yucatán</t>
  </si>
  <si>
    <t>25 - El Cuyo, Yucatán</t>
  </si>
  <si>
    <t>Uso de la embarcación</t>
  </si>
  <si>
    <t>26 - El Mezquital, Tamaulipas</t>
  </si>
  <si>
    <t>1 - Comercial</t>
  </si>
  <si>
    <t>27 - El Sábalo, Sinaloa</t>
  </si>
  <si>
    <t>2 - Oficial</t>
  </si>
  <si>
    <t>28 - El Sauzal, Baja California</t>
  </si>
  <si>
    <t>3 - Pesca</t>
  </si>
  <si>
    <t>29 - Ensenada, Baja California</t>
  </si>
  <si>
    <t>30 - Escuinapa, Sinaloa</t>
  </si>
  <si>
    <t>5 - Turístico</t>
  </si>
  <si>
    <t>31 - Frontera, Tabasco</t>
  </si>
  <si>
    <t>32 - Guaymas, Sonora</t>
  </si>
  <si>
    <t>Material de construcción</t>
  </si>
  <si>
    <t>33 - Guerrero Negro, Baja California Sur</t>
  </si>
  <si>
    <t>34 - Holbox, Quintana Roo</t>
  </si>
  <si>
    <t>2 - Aluminio</t>
  </si>
  <si>
    <t>35 - Isla Aguada, Campeche</t>
  </si>
  <si>
    <t>3 - Fibra de Vidrio</t>
  </si>
  <si>
    <t>36 - Isla Cedros, Baja California</t>
  </si>
  <si>
    <t>4 - Madera</t>
  </si>
  <si>
    <t>37 - Isla Mujeres, Quintana Roo</t>
  </si>
  <si>
    <t>38 - Isla San Marcos, Baja California Sur</t>
  </si>
  <si>
    <t>Area de navegación</t>
  </si>
  <si>
    <t>39 - Ixtapa Zihuatanejo, Guerrero</t>
  </si>
  <si>
    <t>40 - La Aguada, Quintana Roo</t>
  </si>
  <si>
    <t xml:space="preserve">2 - Aguas Nacionales del Océano Pacífico y Golfo de California. </t>
  </si>
  <si>
    <t>41 - La Paz, Baja California Sur</t>
  </si>
  <si>
    <t xml:space="preserve">3 - Aguas Nacionales del Golfo de México y Mar Caribe. </t>
  </si>
  <si>
    <t>42 - La Pesca, Tamaulipas</t>
  </si>
  <si>
    <t>4 - Aguas Nacionales e Internacionales del Océano Pacífico</t>
  </si>
  <si>
    <t>43 - La Puntilla, Campeche</t>
  </si>
  <si>
    <t>5 - Aguas Nacionales e Internacionales del Océano Atlántico</t>
  </si>
  <si>
    <t>44 - Laguna Azul, Campeche</t>
  </si>
  <si>
    <t>6 - Aguas Nacionales y Norteamericanas</t>
  </si>
  <si>
    <t>45 - Las Coloradas, Yucatán</t>
  </si>
  <si>
    <t>7 - Aguas Nacionales e Internacionales (todo el mundo)</t>
  </si>
  <si>
    <t>46 - Lázaro Cárdenas, Michoacán</t>
  </si>
  <si>
    <t>8 - Aguas Interiores (ríos, presas, lagos, lagunas)</t>
  </si>
  <si>
    <t>47 - Lerma, Campeche</t>
  </si>
  <si>
    <t>48 - Loreto, Baja California Sur</t>
  </si>
  <si>
    <t>49 - Los Barriles, Baja California Sur</t>
  </si>
  <si>
    <t>50 - Majahual, Quintana Roo</t>
  </si>
  <si>
    <t>51 - Manzanillo, Colima</t>
  </si>
  <si>
    <t>52 - Mazatlán, Sinaloa</t>
  </si>
  <si>
    <t>53 - Minatitlán, Veracruz</t>
  </si>
  <si>
    <t>54 - Mulegé, Baja California Sur</t>
  </si>
  <si>
    <t>55 - Nautla, Veracruz</t>
  </si>
  <si>
    <t>56 - Nuevo Vallarta, Nayarit</t>
  </si>
  <si>
    <t>57 - Pajaritos, Veracruz</t>
  </si>
  <si>
    <t>58 - Pichilingue, Baja California Sur</t>
  </si>
  <si>
    <t>59 - Playa del Carmen, Quintana Roo</t>
  </si>
  <si>
    <t>60 - Presa, Nuevo León</t>
  </si>
  <si>
    <t>61 - Presa de la Boca, Nuevo León</t>
  </si>
  <si>
    <t>62 - Presa Santiago, Nuevo León</t>
  </si>
  <si>
    <t>63 - Progreso, Yucatán</t>
  </si>
  <si>
    <t>64 - Puerto Angel, Oaxaca</t>
  </si>
  <si>
    <t>65 - Puerto Aventuras, Quintana Roo</t>
  </si>
  <si>
    <t>66 - Puerto Balleto, Nayarit</t>
  </si>
  <si>
    <t>67 - Puerto Escondido, Baja California Sur</t>
  </si>
  <si>
    <t>68 - Puerto Escondido, Oaxaca</t>
  </si>
  <si>
    <t>69 - Puerto Madero, Chiapas</t>
  </si>
  <si>
    <t>70 - Puerto Marqués, Guerrero</t>
  </si>
  <si>
    <t>71 - Puerto Morelos, Quintana Roo</t>
  </si>
  <si>
    <t>72 - Puerto Vallarta, Jalisco</t>
  </si>
  <si>
    <t>73 - Punta Allen, Quintana Roo</t>
  </si>
  <si>
    <t>74 - Punta Prieta, Baja California Sur</t>
  </si>
  <si>
    <t>75 - Punta Venado, Quintana Roo</t>
  </si>
  <si>
    <t>76 - R. Sánchez Taboada, Sonora</t>
  </si>
  <si>
    <t>77 - Represa Don Martin, Nuevo León</t>
  </si>
  <si>
    <t>78 - Reynosa, Tamaulipas</t>
  </si>
  <si>
    <t>79 - Río Lagartos, Yucatán</t>
  </si>
  <si>
    <t>80 - Rosarito, Baja California</t>
  </si>
  <si>
    <t>81 - Salina Cruz, Oaxaca</t>
  </si>
  <si>
    <t>82 - San Blas, Nayarit</t>
  </si>
  <si>
    <t>83 - San Carlos, Baja California Sur</t>
  </si>
  <si>
    <t>84 - San Carlos, Sonora</t>
  </si>
  <si>
    <t>85 - San Felipe, Baja California</t>
  </si>
  <si>
    <t>86 - San Felipe, Yucatán</t>
  </si>
  <si>
    <t>87 - San Francisco, Campeche</t>
  </si>
  <si>
    <t>88 - San José del Cabos, Baja California Sur</t>
  </si>
  <si>
    <t>89 - San Juan de la Costa, Baja California Sur</t>
  </si>
  <si>
    <t>90 - San Pedrito, Colima</t>
  </si>
  <si>
    <t>91 - Sánchez Magallanes, Tabasco</t>
  </si>
  <si>
    <t>92 - Santa Clara, Sonora</t>
  </si>
  <si>
    <t>93 - Santa María, Baja California Sur</t>
  </si>
  <si>
    <t>94 - Santa Rosalía, Baja California Sur</t>
  </si>
  <si>
    <t>95 - Seybaplaya, Campeche</t>
  </si>
  <si>
    <t>96 - Sisal, Yucatán</t>
  </si>
  <si>
    <t>97 - Tampico, Tamaulipas</t>
  </si>
  <si>
    <t>98 - Teacapán, Sinaloa</t>
  </si>
  <si>
    <t>99 - Tecolutla, Veracruz</t>
  </si>
  <si>
    <t>100 - Telchac, Yucatán</t>
  </si>
  <si>
    <t>101 - Tlacotalpan , Veracruz</t>
  </si>
  <si>
    <t>102 - Topolobampo , Sinaloa</t>
  </si>
  <si>
    <t>103 - Tuxpan , Veracruz</t>
  </si>
  <si>
    <t>104 - Valle de Bravo, Estado de México</t>
  </si>
  <si>
    <t>105 - Venustiano Carranza , Baja California</t>
  </si>
  <si>
    <t>106 - Veracruz , Veracruz</t>
  </si>
  <si>
    <t>107 - Vicente Guerrero , Guerrero</t>
  </si>
  <si>
    <t>108 - Villahermosa, Tabasco</t>
  </si>
  <si>
    <t>109 - Xcalak, Quintana Roo</t>
  </si>
  <si>
    <t>110 - Yávaros, Sonora</t>
  </si>
  <si>
    <t>111 - Yukalpetén, Yucatán</t>
  </si>
  <si>
    <t>112 - Zihuatanejo, Guerrero</t>
  </si>
  <si>
    <t>997 - Otro puerto base privado, Cualquier estado</t>
  </si>
  <si>
    <t>998 - Otro puerto base internacional, En el extranjero</t>
  </si>
  <si>
    <t>Tipo de Seguro Transportes</t>
  </si>
  <si>
    <t>1 - Póliza a pronóstico</t>
  </si>
  <si>
    <t>Tipo Pronóstico</t>
  </si>
  <si>
    <t>1 - Declaración de Embarques</t>
  </si>
  <si>
    <t>Mercancía</t>
  </si>
  <si>
    <t>005 - Alcohol en latas</t>
  </si>
  <si>
    <t>Origen/Destino de los Embarques</t>
  </si>
  <si>
    <t>Medio de Transporte</t>
  </si>
  <si>
    <t>4 - Terrestre</t>
  </si>
  <si>
    <t>Pronóstico</t>
  </si>
  <si>
    <t>Puerto de Embarque</t>
  </si>
  <si>
    <t>Puerto de Desembarque</t>
  </si>
  <si>
    <t>Transportista</t>
  </si>
  <si>
    <t>Pedido</t>
  </si>
  <si>
    <t>Buque</t>
  </si>
  <si>
    <t>Nro. Viaje</t>
  </si>
  <si>
    <t>Fecha de Salida</t>
  </si>
  <si>
    <t>Desde</t>
  </si>
  <si>
    <t>Vía</t>
  </si>
  <si>
    <t>Tipo de Seguro</t>
  </si>
  <si>
    <t>Medios de Transporte</t>
  </si>
  <si>
    <t>1 - Aéreo</t>
  </si>
  <si>
    <t>2 - Póliza a declaración</t>
  </si>
  <si>
    <t>2 - Marítimo</t>
  </si>
  <si>
    <t>3 - Póliza específica por viaje</t>
  </si>
  <si>
    <t>3 - Ferrocarril</t>
  </si>
  <si>
    <t>Tipo de mercancía</t>
  </si>
  <si>
    <t>5 - Aéreo / Marítimo</t>
  </si>
  <si>
    <t xml:space="preserve">001 - Abarrotes sin vinos y licores </t>
  </si>
  <si>
    <t>6 - Aéreo / Ferrocarril</t>
  </si>
  <si>
    <t xml:space="preserve">002 - Abarrotes incluyendo vinos y licores </t>
  </si>
  <si>
    <t>7 - Aéreo / Terrestre</t>
  </si>
  <si>
    <t>003 - Aceites minerales, vegetales y/o animales en carro tanque</t>
  </si>
  <si>
    <t>8 - Marítimo / Ferrocarril</t>
  </si>
  <si>
    <t>004 - Aceites minerales, vegetales y/o animales en tambores</t>
  </si>
  <si>
    <t>9 - Marítimo / Terrestre</t>
  </si>
  <si>
    <t>10 - Ferrocarril / Terrestre</t>
  </si>
  <si>
    <t>006 - Algodón y/o borras en pacas</t>
  </si>
  <si>
    <t>11 - Aéreo / Marítimo / Ferrocarril</t>
  </si>
  <si>
    <t>007 - Alimentos preparados para animales</t>
  </si>
  <si>
    <t>12 - Aéreo / Marítimo / Terrestre</t>
  </si>
  <si>
    <t>008 - Anilinas y colorantes en envases de metal o plástico</t>
  </si>
  <si>
    <t>13 - Aéreo / Ferrocarril / Terrestre</t>
  </si>
  <si>
    <t>009 - Anilinas y colorantes en envases de cartón o papel</t>
  </si>
  <si>
    <t>14 - Marítimo / Ferrocarril / Terrestre</t>
  </si>
  <si>
    <t xml:space="preserve">0010 - Antigüedades y objetos de arte </t>
  </si>
  <si>
    <t>15 - Aéreo / Marítimo / Ferrocarril / Terrestre</t>
  </si>
  <si>
    <t>0011 - Aparatos científicos y/o médicos</t>
  </si>
  <si>
    <t>0012 - Aparatos de uso doméstico</t>
  </si>
  <si>
    <t>0013 - Artículos de asbesto y/o cemento</t>
  </si>
  <si>
    <t>0014 - Artículos de escritorio y/o oficina</t>
  </si>
  <si>
    <t>0015 - Artículos de regalo</t>
  </si>
  <si>
    <t>2 - Importación</t>
  </si>
  <si>
    <t>0016 - Armas de fuego</t>
  </si>
  <si>
    <t>3 - Exportación</t>
  </si>
  <si>
    <t>0017 - Artículos deportivos (excepto tenis)</t>
  </si>
  <si>
    <t>4 - Importación - Exportación</t>
  </si>
  <si>
    <t>0018 - Automóviles y camiones a bordo de vehículos</t>
  </si>
  <si>
    <t>5 - Nacional - Importación</t>
  </si>
  <si>
    <t>0019 - Azúcar encostalada</t>
  </si>
  <si>
    <t>6 - Nacional - Exportación</t>
  </si>
  <si>
    <t>0020 - Barnices en envases metálicos</t>
  </si>
  <si>
    <t>7 - Nacional - Importación - Exportación</t>
  </si>
  <si>
    <t xml:space="preserve">0021 - Barro, artículos de y/o curiosidades </t>
  </si>
  <si>
    <t xml:space="preserve">0022 - Bicicletas y motocicletas </t>
  </si>
  <si>
    <t xml:space="preserve">0023 - Bolsas de todo tipo </t>
  </si>
  <si>
    <t>0024 - Bulbos y cinescopios</t>
  </si>
  <si>
    <t>2 - Declaración de Ventas</t>
  </si>
  <si>
    <t>0025 - Cacao</t>
  </si>
  <si>
    <t>3 - Sin Pronóstico</t>
  </si>
  <si>
    <t>0026 - Café encostalado</t>
  </si>
  <si>
    <t>0027 - Cal en sacos y/o granel</t>
  </si>
  <si>
    <t>0028 - Calzado (excepto tenis)</t>
  </si>
  <si>
    <t>0029 - Calzado incluyendo tenis</t>
  </si>
  <si>
    <t>0030 - Cámaras y artículos fotográficos (excepto películas)</t>
  </si>
  <si>
    <t>0031 - Carnes congeladas o en canal</t>
  </si>
  <si>
    <t>0032 - Cartón</t>
  </si>
  <si>
    <t>0033 - Celofán</t>
  </si>
  <si>
    <t xml:space="preserve">0034 - Celulosa en pacas </t>
  </si>
  <si>
    <t>0035 - Cemento en sacos y/o granel</t>
  </si>
  <si>
    <t>0036 - Cerámica y onix, artículos</t>
  </si>
  <si>
    <t>0037 - Cereales y/o semillas en sacos y/o a granel</t>
  </si>
  <si>
    <t>0038 - Cerillos y fósforos</t>
  </si>
  <si>
    <t>0039 - Cerveza embotellada</t>
  </si>
  <si>
    <t>0040 - Cervezas y/o refrescos y/o vinos y/o licores y/o jugos en latas</t>
  </si>
  <si>
    <t>0041 - Cigarros y puros</t>
  </si>
  <si>
    <t>0042 - Cobre y/o aluminio</t>
  </si>
  <si>
    <t>0043 - Cocina, utensilios</t>
  </si>
  <si>
    <t>0044 - Copra</t>
  </si>
  <si>
    <t xml:space="preserve">0045 - Corcho y artículos de </t>
  </si>
  <si>
    <t>0046 - Cosméticos</t>
  </si>
  <si>
    <t>0047 - Cristalería</t>
  </si>
  <si>
    <t>0048 - Cuadros y/u oleos</t>
  </si>
  <si>
    <t>0049 - Cuchillería</t>
  </si>
  <si>
    <t>0050 - Cueros y pieles sin curtir</t>
  </si>
  <si>
    <t>0051 - Cueros y pieles curtidos</t>
  </si>
  <si>
    <t>0052 - Chiles secos</t>
  </si>
  <si>
    <t>0053 - Discos musicales y/o casettes y/o cd´s</t>
  </si>
  <si>
    <t>0054 - Dulces y chocolates</t>
  </si>
  <si>
    <t>0055 - Embarcaciones a bordo de vehículos</t>
  </si>
  <si>
    <t>0056 - Equipo electrónico, refacciones, accesorios y similares</t>
  </si>
  <si>
    <t>0057 - Especias</t>
  </si>
  <si>
    <t>0058 - Esponjas naturales</t>
  </si>
  <si>
    <t>0059 - Estructuras metálicas armadas o semi-armadas</t>
  </si>
  <si>
    <t>0060 - Explosivos</t>
  </si>
  <si>
    <t>0061 - Ferretería, embarques extranjeros</t>
  </si>
  <si>
    <t>0062 - Ferretería, embarques locales</t>
  </si>
  <si>
    <t>0063 - Fertilizantes en sacos y/o granel</t>
  </si>
  <si>
    <t>0064 - Fibras duras preparadas</t>
  </si>
  <si>
    <t>0065 - Focos y tubos fluorescentes</t>
  </si>
  <si>
    <t>0066 - Frutas secas (pistaches y/o almendras, etc.)</t>
  </si>
  <si>
    <t xml:space="preserve">0067 - Frutas y/o verduras frescas, plantas y/o flores </t>
  </si>
  <si>
    <t>0068 - Frutas, concentrados de</t>
  </si>
  <si>
    <t>0069 - Ganado y aves en pie</t>
  </si>
  <si>
    <t>0070 - Gases en cilindros</t>
  </si>
  <si>
    <t>0071 - Grasas en envases de cartón</t>
  </si>
  <si>
    <t>0072 - Grasas en envases de polietileno</t>
  </si>
  <si>
    <t>0073 - Grasas en envases metálicos o carro-tanque</t>
  </si>
  <si>
    <t>0074 - Harina de pescado</t>
  </si>
  <si>
    <t>0075 - Harina en sacos y/o a granel</t>
  </si>
  <si>
    <t>0076 - Herramientas no ligeras de mano, embarques extranjeros</t>
  </si>
  <si>
    <t>0077 - Herramientas no ligeras de mano, embarques locales</t>
  </si>
  <si>
    <t>0078 - Herramientas ligeras de mano, embarques extranjeros</t>
  </si>
  <si>
    <t>0079 - Herramientas ligeras de mano, embarques locales</t>
  </si>
  <si>
    <t xml:space="preserve">0080 - Hilos y/o hilazas y/o estambres </t>
  </si>
  <si>
    <t>0081 - Huevo</t>
  </si>
  <si>
    <t>0082 - Hule crudo, guayule y látex</t>
  </si>
  <si>
    <t>0083 - Insecticidas en polvo</t>
  </si>
  <si>
    <t xml:space="preserve">0084 - Insecticidas líquidos </t>
  </si>
  <si>
    <t>0085 - Instrumentos de precisión</t>
  </si>
  <si>
    <t xml:space="preserve">0086 - Instrumentos musicales (sin pianos) </t>
  </si>
  <si>
    <t>0087 - Jabones</t>
  </si>
  <si>
    <t>0088 - Jarciería</t>
  </si>
  <si>
    <t>0089 - Joyas finas</t>
  </si>
  <si>
    <t>0090 - Joyería de fantasía y artesanías metálicas</t>
  </si>
  <si>
    <t>0091 - Juguetería electrónica</t>
  </si>
  <si>
    <t>0092 - Juguetería no electrónica</t>
  </si>
  <si>
    <t>0093 - Lana en pacas</t>
  </si>
  <si>
    <t>0094 - Latería, embarques extranjeros</t>
  </si>
  <si>
    <t>0095 - Latería, embarques locales</t>
  </si>
  <si>
    <t>0096 - Leche, derivados de</t>
  </si>
  <si>
    <t>0097 - Leche en envases metálicos</t>
  </si>
  <si>
    <t>0098 - Leche en pipas</t>
  </si>
  <si>
    <t>0099 - Leche en polvo</t>
  </si>
  <si>
    <t>00100 - Leche fresca en botellas o envases de cartón o plástico</t>
  </si>
  <si>
    <t>00101 - Libros y revistas</t>
  </si>
  <si>
    <t>00102 - Linoleums</t>
  </si>
  <si>
    <t>00103 - Lubricantes automotrices</t>
  </si>
  <si>
    <t>00104 - Llantas y artefactos de hule</t>
  </si>
  <si>
    <t xml:space="preserve">00105 - Madera aserrada </t>
  </si>
  <si>
    <t xml:space="preserve">00106 - Madera labrada o laminada </t>
  </si>
  <si>
    <t>00107 - Maquinaria nueva y refacciones</t>
  </si>
  <si>
    <t>00108 - Maquinaria usada</t>
  </si>
  <si>
    <t>00109 - Máquinas de coser y/o de tejer, partes y refacciones</t>
  </si>
  <si>
    <t>00110 - Mariscos y pescados</t>
  </si>
  <si>
    <t xml:space="preserve">00111 - Mármoles y pizarras </t>
  </si>
  <si>
    <t>00112 - Materiales eléctricos sin artículos de naturaleza frágil</t>
  </si>
  <si>
    <t>00113 - Materiales eléctricos con artículos de naturaleza frágil</t>
  </si>
  <si>
    <t>00114 - Medicinas de patente</t>
  </si>
  <si>
    <t>00115 - Melazas en carros tanque, pipas o cisternas</t>
  </si>
  <si>
    <t xml:space="preserve">00116 - Menaje de casa </t>
  </si>
  <si>
    <t>00117 - Mercancía en general (para transportistas)</t>
  </si>
  <si>
    <t>00118 - Mercería, artículos de</t>
  </si>
  <si>
    <t xml:space="preserve">00119 - Metales no preciosos en barras </t>
  </si>
  <si>
    <t>00120 - Metales no preciosos laminados</t>
  </si>
  <si>
    <t>00121 - Metales preciosos en barras o laminados</t>
  </si>
  <si>
    <t>00122 - Miel en tambores metálicos</t>
  </si>
  <si>
    <t>00123 - Minerales no preciosos en bruto, concentrados y/o precipitados</t>
  </si>
  <si>
    <t>00124 - Minerales preciosos en bruto, concentrados y/o precipitados</t>
  </si>
  <si>
    <t>00125 - Mosaicos y azulejos</t>
  </si>
  <si>
    <t>00126 - Motores, bombas, bobinas y transformadores eléctricos</t>
  </si>
  <si>
    <t>00127 - Muebles de madera</t>
  </si>
  <si>
    <t>00128 - Muebles de metal</t>
  </si>
  <si>
    <t>00129 - Muebles sanitarios</t>
  </si>
  <si>
    <t>00130 - Papel embobinado</t>
  </si>
  <si>
    <t>00131 - Papel laminado</t>
  </si>
  <si>
    <t>00132 - Papelería</t>
  </si>
  <si>
    <t>00133 - Parafina</t>
  </si>
  <si>
    <t>00134 - Paraguas y sombrillas</t>
  </si>
  <si>
    <t xml:space="preserve">00135 - Película virgen en rollos </t>
  </si>
  <si>
    <t>00136 - Películas filmadas</t>
  </si>
  <si>
    <t>00137 - Perecederos</t>
  </si>
  <si>
    <t>00138 - Perfiles de aluminio</t>
  </si>
  <si>
    <t>00139 - Perfumería</t>
  </si>
  <si>
    <t>00140 - Petróleo y sus derivados en tanques</t>
  </si>
  <si>
    <t>00141 - Pianos</t>
  </si>
  <si>
    <t>00142 - Piel, artículos de</t>
  </si>
  <si>
    <t>00143 - Pinturas envasadas</t>
  </si>
  <si>
    <t>00144 - Plástico, artículos de</t>
  </si>
  <si>
    <t>00145 - Polietileno granulado en envases de cartón</t>
  </si>
  <si>
    <t>00146 - Polietileno granulado en envases de plástico</t>
  </si>
  <si>
    <t>00147 - Productos químicos en polvo en envase plástico</t>
  </si>
  <si>
    <t>00148 - Productos químicos en polvo en envases de cartón</t>
  </si>
  <si>
    <t>00149 - Productos químicos en termorefrigerantes</t>
  </si>
  <si>
    <t>00150 - Productos químicos inflamables en envase de plástico</t>
  </si>
  <si>
    <t>00151 - Productos químicos inflamables en tambores metálicos</t>
  </si>
  <si>
    <t>00152 - Productos químicos no inflamables en envases de plástico</t>
  </si>
  <si>
    <t>00153 - Productos químicos no inflamables en tambores metálicos</t>
  </si>
  <si>
    <t xml:space="preserve">00154 - Refacciones automotrices </t>
  </si>
  <si>
    <t>00155 - Refrescos embotellados y agua embotellada</t>
  </si>
  <si>
    <t>00156 - Relojería</t>
  </si>
  <si>
    <t>00157 - Ropa hecha, bonetería y lencería, embarques extranjeros</t>
  </si>
  <si>
    <t>00158 - Ropa hecha, bonetería y lencería, embarques locales</t>
  </si>
  <si>
    <t>00159 - Sal envasada</t>
  </si>
  <si>
    <t>00160 - Semen en termorefrigerante</t>
  </si>
  <si>
    <t>00161 - Tabaco en rama en pacas</t>
  </si>
  <si>
    <t>00162 - Tapetes y alfombras</t>
  </si>
  <si>
    <t xml:space="preserve">00163 - Telas en fardos </t>
  </si>
  <si>
    <t>00164 - Tubería metálica</t>
  </si>
  <si>
    <t>00165 - Varilla de acero</t>
  </si>
  <si>
    <t>00166 - Vidrio plano</t>
  </si>
  <si>
    <t>00167 - Vidrio, artículos de</t>
  </si>
  <si>
    <t>00168 - Viguetas de acero</t>
  </si>
  <si>
    <t>00169 - Vinos y licores embotellados</t>
  </si>
  <si>
    <t>00170 - Vinos y licores en pipa o carro tanque</t>
  </si>
  <si>
    <t>00171 - Yeso en sacos y/o granel</t>
  </si>
  <si>
    <t>00172 - Equipo de telefonía</t>
  </si>
  <si>
    <t>00173 - Mensajería en general</t>
  </si>
  <si>
    <t>Obra Civil  / Montaje</t>
  </si>
  <si>
    <t>Tipo de Construcción</t>
  </si>
  <si>
    <t xml:space="preserve">61 - Excavación, corte, relleno, trabajos de nivelación </t>
  </si>
  <si>
    <t>1 - Contrucción</t>
  </si>
  <si>
    <t>Condición</t>
  </si>
  <si>
    <t>2 - Remodelación / Rehabilitación</t>
  </si>
  <si>
    <t>Valor Reposición (Proy)</t>
  </si>
  <si>
    <t>Valor Equipo (Proy)</t>
  </si>
  <si>
    <t>Valor Reposición (Maq.)</t>
  </si>
  <si>
    <t>Valor Final</t>
  </si>
  <si>
    <t>Tipo de construcción y/o montaje</t>
  </si>
  <si>
    <t xml:space="preserve">1 - Aeropuertos, pistas de despegue y aterrizaje, pistas de rodaje </t>
  </si>
  <si>
    <t>1 - Nueva</t>
  </si>
  <si>
    <t>2 - Albercas cubiertas (piscinas)</t>
  </si>
  <si>
    <t>3 - Almacenes de varios pisos</t>
  </si>
  <si>
    <t>3 - Ampliación</t>
  </si>
  <si>
    <t>4 - Almacenes en forma de nave</t>
  </si>
  <si>
    <t>4 - Reinicio de la Construcción/Montaje</t>
  </si>
  <si>
    <t>5 - Cajón neumático</t>
  </si>
  <si>
    <t>6 - Calles urbanas, autopistas urbanas</t>
  </si>
  <si>
    <t>7 - Canales, navegables</t>
  </si>
  <si>
    <t>8 - Carreteras interurbanas y autopistas</t>
  </si>
  <si>
    <t>2 - Montaje</t>
  </si>
  <si>
    <t>9 - Carreteras provisionales de acceso a la obra</t>
  </si>
  <si>
    <t>10 - Casas plurifamiliares, edificios de apartamentos</t>
  </si>
  <si>
    <t>11 - Casas unifamiliares, Casas adosadas</t>
  </si>
  <si>
    <t xml:space="preserve">12 - Cavernas </t>
  </si>
  <si>
    <t>13 - Centrales calefactoras a distancia otras obras</t>
  </si>
  <si>
    <t>14 - Centrales calefactoras a distancia, sólo edificio de maquinaria</t>
  </si>
  <si>
    <t>15 - Centrales combinadas, centrales de energía Diesel, otras obras</t>
  </si>
  <si>
    <t>16 - Centrales combinadas, centrales de energía Diesel, sólo edificio de maquinaria</t>
  </si>
  <si>
    <t>17 - Centrales hidroeléctricas otras obras</t>
  </si>
  <si>
    <t>18 - Centrales hidroeléctricas sólo con galerías de entrada y salida</t>
  </si>
  <si>
    <t>19 - Centrales hidroeléctricas sólo edificio de maquinaria</t>
  </si>
  <si>
    <t xml:space="preserve">20 - Centrales hidroeléctricas, completas </t>
  </si>
  <si>
    <t>21 - Centrales nucleares otras obras</t>
  </si>
  <si>
    <t>22 - Centrales nucleares sólo edificio de maquinaria</t>
  </si>
  <si>
    <t>23 - Centrales nucleares sólo edificio reactor</t>
  </si>
  <si>
    <t>24 - Centrales térmicas convencionales otras obras</t>
  </si>
  <si>
    <t>25 - Centrales térmicas convencionales sólo edificio de maquinaria</t>
  </si>
  <si>
    <t xml:space="preserve">26 - Centros comerciales, supermercados </t>
  </si>
  <si>
    <t>27 - Centros de investigación y de ensayos</t>
  </si>
  <si>
    <t xml:space="preserve">28 - Chimeneas </t>
  </si>
  <si>
    <t>29 - Cimentaciones por pantalla continua, taladro de perforación</t>
  </si>
  <si>
    <t>30 - Colegios, guarderías, jardines infantiles</t>
  </si>
  <si>
    <t>31 - Construcción de ferrocarriles, líneas ferroviarias principales</t>
  </si>
  <si>
    <t>32 - Construcción de galerías y túneles a cielo abierto (falsos túneles)</t>
  </si>
  <si>
    <t>33 - Construcción de galerías y túneles, métodos de minería, roca inestable, requiere revestimiento durante la fase de construcción</t>
  </si>
  <si>
    <t>34 - Construcción de galerías y túneles, métodos de minería, roca sólida, no requiere revestimiento durante la fase de construcción</t>
  </si>
  <si>
    <t xml:space="preserve">35 - Construcción de Metros, completo </t>
  </si>
  <si>
    <t>36 - Construcción de viviendas de estructuras ligeras con madera</t>
  </si>
  <si>
    <t xml:space="preserve">37 - Defensas de riberas </t>
  </si>
  <si>
    <t>38 - Depósitos de agua y desagüe sobre tierra</t>
  </si>
  <si>
    <t>39 - Depósitos de agua y desagüe subterráneos</t>
  </si>
  <si>
    <t>40 - Depósitos frigoríficos de varios pisos</t>
  </si>
  <si>
    <t>41 - Depósitos frigoríficos en forma de nave</t>
  </si>
  <si>
    <t>42 - Diques rompeolas</t>
  </si>
  <si>
    <t>43 - Diques secos</t>
  </si>
  <si>
    <t xml:space="preserve">44 - Edificios de oficinas </t>
  </si>
  <si>
    <t>45 - Edificios industriales y fábricas de varios pisos</t>
  </si>
  <si>
    <t>46 - Edificios industriales y fábricas en forma de cúpula</t>
  </si>
  <si>
    <t>47 - Edificios industriales y fábricas en forma de nave</t>
  </si>
  <si>
    <t>48 - Edificios para hoteles</t>
  </si>
  <si>
    <t>49 - Edificios penitenciarios</t>
  </si>
  <si>
    <t>50 - Esclusas, instalaciones elevadoras para barcos</t>
  </si>
  <si>
    <t>51 - Esclusas, instalaciones elevadoras para barcos en aguas</t>
  </si>
  <si>
    <t>52 - Esclusas, instalaciones elevadoras para barcos en aguas en el interior del país</t>
  </si>
  <si>
    <t>53 - Estaciones de bombeo de agua y desagüe</t>
  </si>
  <si>
    <t xml:space="preserve">54 - Estaciones de ferrocarril </t>
  </si>
  <si>
    <t xml:space="preserve">55 - Estaciones depuradoras de agua </t>
  </si>
  <si>
    <t xml:space="preserve">56 - Estaciones ferroviarias de clasificación y de apartado, terminales de ferrocarriles </t>
  </si>
  <si>
    <t>57 - Estaciones/Apeaderos de autobuses y tranvías</t>
  </si>
  <si>
    <t>58 - Estadios deportivos, tribunas, anfiteatros al aire libre</t>
  </si>
  <si>
    <t>59 - Estadios deportivos, tribunas, anfiteatros completamente cubiertos</t>
  </si>
  <si>
    <t>60 - Estadios deportivos, tribunas, anfiteatros con cubierta sobre las tribunas</t>
  </si>
  <si>
    <t>62 - Explotación de mina a cielo abierto</t>
  </si>
  <si>
    <t>63 - Garajes de varios pisos</t>
  </si>
  <si>
    <t xml:space="preserve">64 - Garajes subterráneos </t>
  </si>
  <si>
    <t>65 - Gimnasios</t>
  </si>
  <si>
    <t xml:space="preserve">66 - Grandes almacenes, galerías comerciales </t>
  </si>
  <si>
    <t>67 - Hangares</t>
  </si>
  <si>
    <t>68 - Hospitales, sanatorios</t>
  </si>
  <si>
    <t>69 - Hoteles - pabellones y construcciones de una sola planta</t>
  </si>
  <si>
    <t>70 - Iglesias, mezquitas, templos</t>
  </si>
  <si>
    <t>71 - Industria alimentaria y de forraje</t>
  </si>
  <si>
    <t>72 - Industria automotriz, eléctrica, electromecánica y elaboradora de metales</t>
  </si>
  <si>
    <t>73 - Industria de la construcción y de materiales de construcción</t>
  </si>
  <si>
    <t>74 - Industria maderera y papelera</t>
  </si>
  <si>
    <t>75 - Industria metalúrgica</t>
  </si>
  <si>
    <t>76 - Industria minera</t>
  </si>
  <si>
    <t>77 - Industria petroquímica y elaboradora de gases</t>
  </si>
  <si>
    <t>78 - Industria química y productora de objetos de plástico</t>
  </si>
  <si>
    <t>79 - Instalaciones de tratamiento de agua, estaciones depuradoras de aguas negras</t>
  </si>
  <si>
    <t>80 - Inyecciones de cemento, inyecciones, membranas verticales</t>
  </si>
  <si>
    <t>81 - Jetties, terminales, embarcaderos</t>
  </si>
  <si>
    <t>82 - Librerías</t>
  </si>
  <si>
    <t>83 - Muros de contención</t>
  </si>
  <si>
    <t>84 - Muros de protección contra el ruido a lo largo de las autopistas</t>
  </si>
  <si>
    <t>85 - Obras de infraestructuras para nuevas viviendas / edificios comerciales, completo</t>
  </si>
  <si>
    <t>86 - Obras fluviales</t>
  </si>
  <si>
    <t>87 - Obras protectoras contra nieve y desprendimiento de rocas</t>
  </si>
  <si>
    <t>89 - Pasos por prensado</t>
  </si>
  <si>
    <t>90 - Perforaciones de sondeo</t>
  </si>
  <si>
    <t xml:space="preserve">91 - Pila y estribo de puente incluido cimentación </t>
  </si>
  <si>
    <t>92 - Plantas de incineración de basuras, otras obras</t>
  </si>
  <si>
    <t>93 - Plantas de incineración de basuras, sólo edificios de incineración</t>
  </si>
  <si>
    <t>94 - Pozos por diámetro</t>
  </si>
  <si>
    <t>95 - Pozos por profundidad</t>
  </si>
  <si>
    <t>96 - Presas</t>
  </si>
  <si>
    <t>97 - Presas de hormigón</t>
  </si>
  <si>
    <t>98 - Presas de hormigón compactado (roller-compacted)</t>
  </si>
  <si>
    <t xml:space="preserve">99 - Presas de tierra, presas con núcleo de piedra </t>
  </si>
  <si>
    <t>100 - Puentes colgantes</t>
  </si>
  <si>
    <t xml:space="preserve">101 - Puentes con tramos móviles </t>
  </si>
  <si>
    <t>102 - Puentes de arco</t>
  </si>
  <si>
    <t>103 - Puentes de cable inclinado (atirantados)</t>
  </si>
  <si>
    <t>104 - Puentes de vigas</t>
  </si>
  <si>
    <t>105 - Puentes sobre pontones</t>
  </si>
  <si>
    <t>106 - Recuperación de tierras</t>
  </si>
  <si>
    <t>107 - Recuperación de tierras</t>
  </si>
  <si>
    <t>108 - Restaurantes</t>
  </si>
  <si>
    <t>109 - Salas de exposiciones, salas de conferencias</t>
  </si>
  <si>
    <t>110 - Sifones</t>
  </si>
  <si>
    <t xml:space="preserve">111 - Sifones, esclusas </t>
  </si>
  <si>
    <t>112 - Silos</t>
  </si>
  <si>
    <t>113 - Sistema de abastecimiento de agua, completo</t>
  </si>
  <si>
    <t>114 - Sistemas de irrigación, completo</t>
  </si>
  <si>
    <t xml:space="preserve">115 - Sótanos de hormigón, cimentaciones, zócalo, recalce </t>
  </si>
  <si>
    <t>116 - Tablestacado como protección temporal contra inundaciones</t>
  </si>
  <si>
    <t>117 - Tablestacados, construcción de pilotes</t>
  </si>
  <si>
    <t>118 - Tanques, no de agua, bajo tierra</t>
  </si>
  <si>
    <t>119 - Tanques, no de agua, sobre tierra</t>
  </si>
  <si>
    <t>120 - Teatros, salas de conciertos, cines</t>
  </si>
  <si>
    <t>121 - Tendido de tuberías principales y redes de distribución</t>
  </si>
  <si>
    <t xml:space="preserve">122 - Terminales de aeropuertos </t>
  </si>
  <si>
    <t>123 - Torres de refrigeración</t>
  </si>
  <si>
    <t>124 - Torres de televisión</t>
  </si>
  <si>
    <t>125 - Torres para depósitos de agua</t>
  </si>
  <si>
    <t>126 - Trabajos de demolición, cantera, preparación del terreno y del material</t>
  </si>
  <si>
    <t>127 - Trabajos de nivelación, configuración del paisaje, parques, campos de golf, plantaciones</t>
  </si>
  <si>
    <t>128 - Transporte y tránsito de ferrocarriles ligeros</t>
  </si>
  <si>
    <t>129 - Tratamientos superficiales, Trabajos de mejora de carreteras y autopistas</t>
  </si>
  <si>
    <t>130 - Tuberías de agua y desagüe, vaciado in-situ</t>
  </si>
  <si>
    <t>131 - Túneles por inmersión de partes prefabricadas</t>
  </si>
  <si>
    <t>132 - Universidades</t>
  </si>
  <si>
    <t xml:space="preserve">133 - Zanjas </t>
  </si>
  <si>
    <t>COD</t>
  </si>
  <si>
    <t>SME - CLUB DEPORTIVO</t>
  </si>
  <si>
    <t>MULTIRIESGO</t>
  </si>
  <si>
    <t>ESP-MCDEP</t>
  </si>
  <si>
    <t>SME - COMERCIO</t>
  </si>
  <si>
    <t>MFC-MECOM</t>
  </si>
  <si>
    <t>SME - CONSTRUCCION</t>
  </si>
  <si>
    <t>MFC-MECON</t>
  </si>
  <si>
    <t>SME - ESPARCIMIENTO</t>
  </si>
  <si>
    <t>ESP-MESPR</t>
  </si>
  <si>
    <t>SME - ESPECTÁCULOS</t>
  </si>
  <si>
    <t>ESP-MESPT</t>
  </si>
  <si>
    <t>SME - ESTABLECIMIENTOS PARA LA SALUD</t>
  </si>
  <si>
    <t>SMD-MEEPS</t>
  </si>
  <si>
    <t>SME - EXPORTACIÓN</t>
  </si>
  <si>
    <t>MFC-MEEXP</t>
  </si>
  <si>
    <t>SME - GASOLINERAS</t>
  </si>
  <si>
    <t>MFC-MEGAS</t>
  </si>
  <si>
    <t>SME - GASTRONOMÍA</t>
  </si>
  <si>
    <t>ESP-MGAST</t>
  </si>
  <si>
    <t>SME - GOLF GMX</t>
  </si>
  <si>
    <t>ESP-MGOLF</t>
  </si>
  <si>
    <t>SME - HOTELERÍA</t>
  </si>
  <si>
    <t>ESP-MEHOT</t>
  </si>
  <si>
    <t>SME - INDUSTRIA</t>
  </si>
  <si>
    <t>MFC-MEIND</t>
  </si>
  <si>
    <t>SME - LÍNEAS GENERALES</t>
  </si>
  <si>
    <t>LGS-MELGS</t>
  </si>
  <si>
    <t>SME - MÉDICOS ODONTÓLOGOS</t>
  </si>
  <si>
    <t>SMD-MEODO</t>
  </si>
  <si>
    <t>SME - MÉDICOS VETERINARIOS</t>
  </si>
  <si>
    <t>SMD-MEVET</t>
  </si>
  <si>
    <t>SME - MÉDICOS Y SUS PROFESIONES AUXILIARES Y TÉCNICAS</t>
  </si>
  <si>
    <t>SMD-MEMED</t>
  </si>
  <si>
    <t>SME 1ER RIESGO - CLUB DEPORTIVO</t>
  </si>
  <si>
    <t>MULTIRIESGO 1ER RIESGO</t>
  </si>
  <si>
    <t>ESP-M1CDP</t>
  </si>
  <si>
    <t>SME 1ER RIESGO - COMERCIO</t>
  </si>
  <si>
    <t>MFC-M1COM</t>
  </si>
  <si>
    <t>SME 1ER RIESGO - CONSTRUCCIÓN</t>
  </si>
  <si>
    <t>MFC-M1ECO</t>
  </si>
  <si>
    <t>SME 1ER RIESGO - ESPARCIMIENTO</t>
  </si>
  <si>
    <t>ESP-M1EPA</t>
  </si>
  <si>
    <t>SME 1ER RIESGO - ESPECTÁCULOS</t>
  </si>
  <si>
    <t>ESP-M1ESP</t>
  </si>
  <si>
    <t>SME 1ER RIESGO - ESTABLECIMIENTOS PARA LA SALUD</t>
  </si>
  <si>
    <t>SMD-M1EPS</t>
  </si>
  <si>
    <t>SME 1ER RIESGO - EXPORTACIÓN</t>
  </si>
  <si>
    <t>MFC-M1EXP</t>
  </si>
  <si>
    <t>SME 1ER RIESGO - GASOLINERAS</t>
  </si>
  <si>
    <t>MFC-M1GAS</t>
  </si>
  <si>
    <t>SME 1ER RIESGO - GASTRONOMÍA</t>
  </si>
  <si>
    <t>ESP-M1GTR</t>
  </si>
  <si>
    <t>SME 1ER RIESGO - GOLF GMX</t>
  </si>
  <si>
    <t>ESP-M1GLF</t>
  </si>
  <si>
    <t>SME 1ER RIESGO - HOTELERÍA</t>
  </si>
  <si>
    <t>ESP-M1HOT</t>
  </si>
  <si>
    <t>SME 1ER RIESGO - INDUSTRIA</t>
  </si>
  <si>
    <t>MFC-M1IND</t>
  </si>
  <si>
    <t>SME 1ER RIESGO - LÍNEAS GENERALES</t>
  </si>
  <si>
    <t>LGS-M1LGS</t>
  </si>
  <si>
    <t>TRANSPORTES CARGA</t>
  </si>
  <si>
    <t>LGS-TRANS</t>
  </si>
  <si>
    <t>TRANSPORTES OBRAS DE ARTE (CLAVO A CLAVO)</t>
  </si>
  <si>
    <t>TRANSPORTES CARGA OBRAS DE ARTE</t>
  </si>
  <si>
    <t>LGS-OBART</t>
  </si>
  <si>
    <t>CASCOS AÉREOS (XA, XB , XC)</t>
  </si>
  <si>
    <t>CASCOS AÉREOS</t>
  </si>
  <si>
    <t>LGS-CAAER</t>
  </si>
  <si>
    <t>CASCOS AÉREOS C/QUEBRANTAMIENTO DE GARANTÍAS (XA, XB, XC)</t>
  </si>
  <si>
    <t>LGS-CAAQG</t>
  </si>
  <si>
    <t>CASCOS AÉREOS Y RC LEGAL</t>
  </si>
  <si>
    <t>LGS-CRCLG</t>
  </si>
  <si>
    <t>CASCOS MARÍTIMOS</t>
  </si>
  <si>
    <t>LGS-CASMA</t>
  </si>
  <si>
    <t>LGS-ECNTR</t>
  </si>
  <si>
    <t>HOGAR GMX</t>
  </si>
  <si>
    <t>LGS-HGMX</t>
  </si>
  <si>
    <t>HOLE IN ONE</t>
  </si>
  <si>
    <t>ESP-HOLEIO</t>
  </si>
  <si>
    <t>LGS-MMASC</t>
  </si>
  <si>
    <t>MONTAJE</t>
  </si>
  <si>
    <t>LGS-MONTJ</t>
  </si>
  <si>
    <t>LGS-OBCIV</t>
  </si>
  <si>
    <t>RESPONSABILIDAD CIVIL - EVENTOS</t>
  </si>
  <si>
    <t>RC EVENTOS</t>
  </si>
  <si>
    <t>ESP-RCEVE</t>
  </si>
  <si>
    <t>RESPONSABILIDAD CIVIL  HANGARES</t>
  </si>
  <si>
    <t>RC HANGARES</t>
  </si>
  <si>
    <t>LGS-RCHAN</t>
  </si>
  <si>
    <t>RESPONSABILIDAD CIVIL AEROPORTUARIAS</t>
  </si>
  <si>
    <t>RC AEROPORTUARIAS</t>
  </si>
  <si>
    <t>LGS-RCAER</t>
  </si>
  <si>
    <t>RESPONSABILIDAD CIVIL AVIACIÓN</t>
  </si>
  <si>
    <t>RC AVIACIÓN</t>
  </si>
  <si>
    <t>LGS-RCAVI</t>
  </si>
  <si>
    <t>RESPONSABILIDAD CIVIL CONTRATISTAS - AEROPUERTOS</t>
  </si>
  <si>
    <t>RC CONTRATISTAS AEROPUERTOS</t>
  </si>
  <si>
    <t>LGS-RCCAE</t>
  </si>
  <si>
    <t>RESPONSABILIDAD CIVIL GENERAL - INDIVIDUAL</t>
  </si>
  <si>
    <t>RC GENERAL</t>
  </si>
  <si>
    <t>LGS-RCGRA</t>
  </si>
  <si>
    <t>RESPONSABILIDAD CIVIL LEGAL AVIACIÓN</t>
  </si>
  <si>
    <t>RC LEGAL AVIACIÓN</t>
  </si>
  <si>
    <t>LGS-RCLGL</t>
  </si>
  <si>
    <t>RESPONSABILIDAD CIVIL MARÍTIMA</t>
  </si>
  <si>
    <t>RC MARÍTIMA</t>
  </si>
  <si>
    <t>LGS-RCMAT</t>
  </si>
  <si>
    <t>RESPONSABILIDAD CIVIL MUELLES Y ASTILLEROS</t>
  </si>
  <si>
    <t>RC MUELLES Y ASTILLEROS</t>
  </si>
  <si>
    <t>LGS-RCMUA</t>
  </si>
  <si>
    <t>RC PROFESIONAL</t>
  </si>
  <si>
    <t>PRO-PPROF</t>
  </si>
  <si>
    <t>RESPONSABILIDAD CIVIL PROFESIONAL - COLEGIOS</t>
  </si>
  <si>
    <t>RC PROFESIONAL COLEGIOS</t>
  </si>
  <si>
    <t>PRO-RCCOL</t>
  </si>
  <si>
    <t>RESPONSABILIDAD CIVIL PROFESIONAL - D&amp;O</t>
  </si>
  <si>
    <t>RC PROFESIONAL D&amp;O</t>
  </si>
  <si>
    <t>PRO-PDAOF</t>
  </si>
  <si>
    <t>RESPONSABILIDAD CIVIL PROFESIONAL - DECENAL TRADICIONAL</t>
  </si>
  <si>
    <t>DEC-RCDEC</t>
  </si>
  <si>
    <t>RESPONSABILIDAD CIVIL PROFESIONAL - DECENAL IT</t>
  </si>
  <si>
    <t>RC DECENAL IT</t>
  </si>
  <si>
    <t>DEC-RCDIT</t>
  </si>
  <si>
    <t>RESPONSABILIDAD CIVIL PROFESIONAL - DECENAL AG</t>
  </si>
  <si>
    <t>RC DECENAL AG</t>
  </si>
  <si>
    <t>DEC-RCDAG</t>
  </si>
  <si>
    <t>RESPONSABILIDAD CIVIL PROFESIONAL - ENTES PÚBLICOS</t>
  </si>
  <si>
    <t>RC PROFESIONAL EP</t>
  </si>
  <si>
    <t>PRO-PPEPU</t>
  </si>
  <si>
    <t>RESPONSABILIDAD CIVIL PROFESIONAL - ESTABLECIMIENTOS PARA LA SALUD</t>
  </si>
  <si>
    <t>SMD-PEPS</t>
  </si>
  <si>
    <t>RESPONSABILIDAD CIVIL PROFESIONAL - ESTANCIAS INFANTILES</t>
  </si>
  <si>
    <t>RC GUARDERÍAS</t>
  </si>
  <si>
    <t>PRO-RCGUA</t>
  </si>
  <si>
    <t>RESPONSABILIDAD CIVIL PROFESIONAL - ESTANCIAS INFANTILES IMSS</t>
  </si>
  <si>
    <t>RC GUARDERÍA IMSS</t>
  </si>
  <si>
    <t>PRO-RCIMS</t>
  </si>
  <si>
    <t>RESPONSABILIDAD CIVIL PROFESIONAL - ESTANCIAS INFANTILES SEDESOL</t>
  </si>
  <si>
    <t>RC GUARDERÍA SEDESOL</t>
  </si>
  <si>
    <t>PRO-RCSED</t>
  </si>
  <si>
    <t>RESPONSABILIDAD CIVIL PROFESIONAL - MÉDICOS ODONTÓLOGOS (GRUPO)</t>
  </si>
  <si>
    <t>SMD-PMOD</t>
  </si>
  <si>
    <t>RESPONSABILIDAD CIVIL PROFESIONAL - MÉDICOS ODONTÓLOGOS (INDIVIDUAL)</t>
  </si>
  <si>
    <t>RESPONSABILIDAD CIVIL PROFESIONAL - MÉDICOS VETERINARIOS (GRUPO)</t>
  </si>
  <si>
    <t>SMD-PMVE</t>
  </si>
  <si>
    <t>RESPONSABILIDAD CIVIL PROFESIONAL - MÉDICOS VETERINARIOS (INDIVIDUAL)</t>
  </si>
  <si>
    <t>RESPONSABILIDAD CIVIL PROFESIONAL - MÉDICOS Y SUS PROFESIONES AUXILIARES Y TÉCNICAS (GRUPO)</t>
  </si>
  <si>
    <t>SMD-PMED</t>
  </si>
  <si>
    <t>RESPONSABILIDAD CIVIL PROFESIONAL - MÉDICOS Y SUS PROFESIONES AUXILIARES Y TÉCNICAS (INDIVIDUAL)</t>
  </si>
  <si>
    <t>RESPONSABILIDAD CIVIL PROFESIONAL - MEJORA ESTETICA Y FÍSICA</t>
  </si>
  <si>
    <t>SMD-PMEF</t>
  </si>
  <si>
    <t>RESPONSABILIDAD CIVIL PROFESIONAL - PRUEBAS CLÍNICAS</t>
  </si>
  <si>
    <t>SMD-PPCL</t>
  </si>
  <si>
    <t>RESPONSABILIDAD CIVIL PROFESIONAL - SERVIDORES PÚBLICOS</t>
  </si>
  <si>
    <t>RC PROFESIONAL SP</t>
  </si>
  <si>
    <t>PRO-PSERP</t>
  </si>
  <si>
    <t>RESPONSABILIDAD CIVIL PROFESIONAL - VERIFICADORES DE INSUMOS PARA LA SALUD</t>
  </si>
  <si>
    <t>SMD-PVIS</t>
  </si>
  <si>
    <t>SME GRANDES RIESGOS COMERCIALES</t>
  </si>
  <si>
    <t>GRCOMERCIO</t>
  </si>
  <si>
    <t>SME GRANDES RIESGOS INDUSTRIALES</t>
  </si>
  <si>
    <t>GRINDUS</t>
  </si>
  <si>
    <t>RC CONTRATISTA</t>
  </si>
  <si>
    <t>RCCONT</t>
  </si>
  <si>
    <t>RESPONSABILIDAD CIVIL EXPORTACION</t>
  </si>
  <si>
    <t>RC EXPORTACION</t>
  </si>
  <si>
    <t>RCEXP</t>
  </si>
  <si>
    <t>RESPONSABILIDAD CIVIL COMERCIO</t>
  </si>
  <si>
    <t>RC COMERCIO</t>
  </si>
  <si>
    <t>RESPONSABILIDAD CIVIL INDUSTRIA</t>
  </si>
  <si>
    <t>RC INDUSTRIA</t>
  </si>
  <si>
    <t>DECENAL FOVISSSTE</t>
  </si>
  <si>
    <t>DECENALFOVISSSTE</t>
  </si>
  <si>
    <t>DECFOVISSS</t>
  </si>
  <si>
    <t>NO EXISTE RAMO COMERCIAL</t>
  </si>
  <si>
    <t>N</t>
  </si>
  <si>
    <t>Rango de Primas</t>
  </si>
  <si>
    <t>cod_sec.</t>
  </si>
  <si>
    <t>ramo_comercial</t>
  </si>
  <si>
    <t>cod_ramo_tecnico</t>
  </si>
  <si>
    <t>cod_tipo_secc.</t>
  </si>
  <si>
    <t>txt_SECCION</t>
  </si>
  <si>
    <t>NO APLICA</t>
  </si>
  <si>
    <t>NO EXISTE SECCIÓN</t>
  </si>
  <si>
    <t>RamoGiro</t>
  </si>
  <si>
    <t>cod_giro_negocio</t>
  </si>
  <si>
    <t>txt_desc</t>
  </si>
  <si>
    <t>cod_ramo</t>
  </si>
  <si>
    <t>0010-ABARROTES, MERCANCÍAS MIXTAS Y/O MISCELÁNEAS</t>
  </si>
  <si>
    <t>0020-ACEITES Y/O GRASAS COMESTIBLES DE ANIMALES Y/O VEGETALES</t>
  </si>
  <si>
    <t>0030-ACUMULADORES</t>
  </si>
  <si>
    <t>0040-AGUARDIENTE, ALCOHOL, LICORES, VINOS, SIDRAS Y/U OTRA BEBIDA ALCOHÓLICA (EXCLUYE CERVEZA Y MALTA Ver Giro 0390)</t>
  </si>
  <si>
    <t>0050-AGUARRAS</t>
  </si>
  <si>
    <t>0060-AGUA, BEBIDAS AZUCARADAS, REFRESCOS, JUGOS Y/U OTRA BEBIDA NO ALCOHÓLICA</t>
  </si>
  <si>
    <t>0070-ALFOMBRAS Y/O TAPICES</t>
  </si>
  <si>
    <t>0080-ALGODÓN ABSORBENTE</t>
  </si>
  <si>
    <t>0090-ALIMENTO PARA ANIMALES (EXCLUYE PAJA Y PASTOS SECOS Ver Giro 0980)</t>
  </si>
  <si>
    <t>0100-ALMACENES GENERALES DE DEPOSITO O AGENCIA ADUANAL</t>
  </si>
  <si>
    <t>0110-ANIMALES</t>
  </si>
  <si>
    <t>0120-ASTILLEROS (ARMADORAS)</t>
  </si>
  <si>
    <t>0130-AUTOMÓVILES, CAMIONETAS, AUTOBUSES, CAMIONES, TRACTOCAMIONES, BICICLETAS, MOTOCICLETAS, MAQUINARIA AGRÍCOLA Y/O MAQUINARIA CONSTRUCCIÓN (INCLUYE REFACCIONES)</t>
  </si>
  <si>
    <t>0140-AZÚCAR (INCLUYE AGUARDIENTE Y ALCOHOL)</t>
  </si>
  <si>
    <t>0150-AZUFRE</t>
  </si>
  <si>
    <t>0160-BALATAS Y EMBRAGUES</t>
  </si>
  <si>
    <t>0170-BAÑOS PÚBLICOS</t>
  </si>
  <si>
    <t>0180-BARNICES, PINTURAS, TINTAS, COLORANTES, PIGMENTOS Y/O LACAS</t>
  </si>
  <si>
    <t>0190-BASURA</t>
  </si>
  <si>
    <t>0200-BATERÍAS ELÉCTRICAS</t>
  </si>
  <si>
    <t>0210-BAZAR, MONTE DE PIEDAD Y/O CASA DE EMPEÑO</t>
  </si>
  <si>
    <t>0220-BIBLIOTECAS, MUSEOS, GALERIAS, SITIOS HISTÓRICOS Y/O JARDINES BOTÁNICOS</t>
  </si>
  <si>
    <t>0230-BILLARES Y/O BOLICHES</t>
  </si>
  <si>
    <t>0240-BORRA Y/O ESTOPA</t>
  </si>
  <si>
    <t>0250-BROCHAS Y/O PINCELES</t>
  </si>
  <si>
    <t>0260-CAFÉ</t>
  </si>
  <si>
    <t>0270-CALZADO, INDUSTRIA DEL (INCLUYE ZAPATERIAS)</t>
  </si>
  <si>
    <t>0280-CALDERAS (EXCLUYE FABRICACIÓN DE CALDERAS Ver Giro 0900)</t>
  </si>
  <si>
    <t>0290-CARBONES  DE  MOTOR</t>
  </si>
  <si>
    <t>0300-CARNES Y SUS DERIVADOS</t>
  </si>
  <si>
    <t>0310-CARTUCHOS PARA ARMAS DE FUEGO</t>
  </si>
  <si>
    <t>0320-CELULOSA, INCLUYE FIBRAS ARTIFICIALES (EXCLUYE PAPEL Y CARTÓN Ver Giro 1000)</t>
  </si>
  <si>
    <t>0330-CEMENTO, CAL Y/O YESO</t>
  </si>
  <si>
    <t>0340-CENTROS COMERCIALES, TIENDAS DEPARTAMENTALES, ALMACENES DE AUTOSERVICIO Y/O SUPERMERCADOS (INCLUYE CENTRALES DE ABASTOS, MERCADOS PÚBLICOS Y ARTÍCULOS USADOS)</t>
  </si>
  <si>
    <t>0350-CERÁMICA, BARRO, ARCILLA, LOZA Y/O PORCELANA (INCLUYE ALFARERÍA Y MATERIALES DE CONSTRUCCIÓN)</t>
  </si>
  <si>
    <t>0360-CERAS, PARAFINAS Y/O PASTAS PARA LIMPIAR METALES (INCLUYE VELAS Y VELADORAS)</t>
  </si>
  <si>
    <t>0370-CEREALES, GRANOS Y/O SEMILLAS</t>
  </si>
  <si>
    <t>0380-CERILLOS</t>
  </si>
  <si>
    <t>0390-CERVEZA Y/O MALTA</t>
  </si>
  <si>
    <t>0400-CHOCOLATES, COCOA Y/O CONFITERIA (EXCLUYE DULCES, SABORIZANTES Y SIMILARES ver Giro 0550)</t>
  </si>
  <si>
    <t>0410-CIENTÍFICOS, APARATOS Y/O INSTRUMENTOS (INCLUYE MÉDICOS, DE CONTROL, DE NAVEGACIÓN, DE MEDICIÓN Y DE PRECISIÓN)</t>
  </si>
  <si>
    <t>0420-COLCHONES, COLCHONETAS Y/O ALMOHADAS</t>
  </si>
  <si>
    <t>0430-COMBUSTIBLES, ADITIVOS Y/O LUBRICANTES DERIVADOS DEL PETRÓLEO</t>
  </si>
  <si>
    <t>0440-CONSTRUCCIÓN, INDUSTRIA DE LA</t>
  </si>
  <si>
    <t>0445-CONTRATISTAS</t>
  </si>
  <si>
    <t>0450-CONSERVAS ALIMENTICIAS, COLORANTES, MERMELADAS, JARABES, CONCENTRADOS NATURALES Y/O SIMILARES (EXCLUYE DESHIDRATADORAS Ver Giro 0530)</t>
  </si>
  <si>
    <t>0460-CORCHO, ARTÍCULOS DE</t>
  </si>
  <si>
    <t>0470-CRISTAL Y/O VIDRIO</t>
  </si>
  <si>
    <t>0480-CENTROS DE REHABILITACIÓN SOCIAL (INCLUYE ASILOS Y ORFANATOS)</t>
  </si>
  <si>
    <t>0490-CUEROS Y/O PIELES, Y SUS PRODUCTOS COMO BOLSAS O CINTURONES (EXCLUYE FABRICACIÓN Y VENTA DE CALZADO Ver Giro 0270)</t>
  </si>
  <si>
    <t>0500-CULTIVOS EN PIE (EXCLUYE FLORES, INVERNADEROS, VIVEROS Y FLORICULTURA Ver Giro 0650)</t>
  </si>
  <si>
    <t>0510-DEPORTES, ARTÍCULOS, MATERIALES Y/O APARATOS</t>
  </si>
  <si>
    <t>0520-DEPORTIVOS, CLUBES Y/O CAMPOS DE GOLF (INCLUYE GIMNASIOS Y HOLE IN ONE)</t>
  </si>
  <si>
    <t>0530-DESHIDRATADORAS DE FRUTAS, LEGUMBRES Y/O SIMILARES (PLANTAS)</t>
  </si>
  <si>
    <t>0540-DETERGENTES, JABONES, LIMPIADORES, DESINFECTANTES Y/O SIMILARES</t>
  </si>
  <si>
    <t>0550-DULCES, CHICLES, BOMBONES, SABORIZANTES Y/O SIMILARES (EXCLUYE CHOCOLATE, COCOA Y CONFITERIA Ver Giro 0400 )</t>
  </si>
  <si>
    <t>0560-ELECTRICIDAD Y APARATOS ELÉCTRICOS (INCLUYE ACCESORIOS DE ILUMINACION)</t>
  </si>
  <si>
    <t>0570-ELECTRONICOS, ARTICULOS, INSTRUMENTOS, MEDIOS Y/O APARATOS (INCLUYE ELECTRODOMESTICOS Y LINEA BLANCA)</t>
  </si>
  <si>
    <t>0575-EMBARCACIONES, MUELLES Y/O PUERTOS (EXCLUYE ASTILLEROS Ver Giro 0120)</t>
  </si>
  <si>
    <t>0576-EQUIPO DE CONTRATISTAS Y/O MAQUINARIA PESADA MOVIL</t>
  </si>
  <si>
    <t>0580-ESCUELAS, COLEGIOS, UNIVERSIDADES, JARDINES DE NIÑOS Y/U OTROS SERVICIOS EDUCATIVOS Y DE APOYO (EXCLUYE GUARDERIAS Y ESTANCIAS INFANTILES ver Giro 0690)</t>
  </si>
  <si>
    <t>0600-FARMACIA Y/O BOTICA (EXCLUYE FABRICACION DE MEDICINAS Ver Giro 0890)</t>
  </si>
  <si>
    <t>0610-FERRETERIA Y/O TLAPALERÍA</t>
  </si>
  <si>
    <t>0620-FERTILIZANTES, ABONOS Y/U OTROS AGROQUIMICOS</t>
  </si>
  <si>
    <t>0630-FIBRAS DURAS</t>
  </si>
  <si>
    <t>0640-FILTROS INDUSTRIALES Y/O AUTOMOTRICES</t>
  </si>
  <si>
    <t>0650-FLORES NATURALES, INVERNADEROS, VIVEROS Y/O FLORICULTURA (EXCLUYE OTROS CULTIVOS EN PIE Ver Giro 0500)</t>
  </si>
  <si>
    <t>0660-FOTOGRAFÍA Y/O FOTOSTÁTICAS (INCLUYE PELICULAS, PLACAS Y PAPEL SENSIBLE PARA FOTOGRAFIA)</t>
  </si>
  <si>
    <t>0670-FRITURAS, PAPAS FRITAS, CACAHUATES, CHICHARRONES Y/O SIMILARES</t>
  </si>
  <si>
    <t>0680-FRUTAS Y/O LEGUMBRES (SOLO TIENDA, EXPENDIO, ALMACÉN O BODEGA)</t>
  </si>
  <si>
    <t>0690-GUARDERÍAS Y/O ESTANCIAS INFANTILES</t>
  </si>
  <si>
    <t>0700-GASES INERTES, INCLUYE GASES INDUSTRIALES</t>
  </si>
  <si>
    <t>0710-HABITACIONES PARTICULARES, MASCOTAS Y/O SERVICIOS PARA EL HOGAR</t>
  </si>
  <si>
    <t>0720-HARINA DE PESCADO</t>
  </si>
  <si>
    <t>0730-HELADOS, NIEVES, PALETAS Y/O HIELO</t>
  </si>
  <si>
    <t>0740-HOSPITALES, CLÍNICAS, SANATORIOS, LABORATORIOS Y/O SERVICIOS RELACIONADOS (EXCLUYE CONSULTORIOS Ver Giro 0895, ASILOS Y ORFANATOS Ver Giro 0480)</t>
  </si>
  <si>
    <t>0750-HOTELES DE 1 A 4 ESTRELLAS, MOTELES, CAMPOS DE TURISTAS, ALBERGUES Y/O SIMILARES</t>
  </si>
  <si>
    <t>0760-HULE Y/O LATEX  NATURAL (INCLUYE HULE ESPUMA Y SINTETICO)</t>
  </si>
  <si>
    <t>0770-IGLESIAS, TEMPLOS, VELATORIOS, SERVICIOS FUNERARIOS Y/O ADMINISTRACIÓN DE CEMENTERIOS</t>
  </si>
  <si>
    <t>0780-IMPRENTA, LITOGRAFÍA Y/O ENCUADERNACIÓN, TALLER DE (EXCLUYE EDITORIALES Y TIENDA O EXPENDIO DE LIBROS, PERIÓDICOS Y REVISTAS Ver Giro 0850)</t>
  </si>
  <si>
    <t>0790-INSECTICIDAS, PESTICIDAS Y/O PLAGUICIDAS</t>
  </si>
  <si>
    <t>0800-INSTRUMENTOS MUSICALES</t>
  </si>
  <si>
    <t>0805-INTERMEDIACIÓN DE COMERCIO, SERVICIOS DE (SOLO OFICINAS, DE ACUERDO AL TIPO DE MERCANCIA SELECCIONE EL GIRO)</t>
  </si>
  <si>
    <t>0810-JUGUETES</t>
  </si>
  <si>
    <t>0820-LAVANDERÍAS, PLANCHADURIAS Y/O TINTORERÍAS</t>
  </si>
  <si>
    <t>0830-LECHE Y SUS DERIVADOS</t>
  </si>
  <si>
    <t>0840-LIBROS, PERIÓDICOS Y/O REVISTAS, INCLUYE EDITORIALES (EXCLUYE TALLER DE IMPRENTA, LITOGRAFIA Y CUADERNACIÓN Ver Giro 0780)</t>
  </si>
  <si>
    <t>0850-LLANTAS Y CÁMARAS</t>
  </si>
  <si>
    <t xml:space="preserve">0860-MADERA, ARTÍCULOS DE (INCLUYE TRIPLAY, LAMINADO, AGLUTINADO, FIBRACEL Y CHAPA) </t>
  </si>
  <si>
    <t>0870-MAQUINARIA Y/O EQUIPOS PARA INDUSTRIA, COMERCIO Y/O SERVICIOS (INCLUYE MONTAJE DE MAQUINARIA Y EQUIPOS)</t>
  </si>
  <si>
    <t>0880-MATERIALES PARA CONSTRUCCIÓN (INCLUYE CEMENTO Y CONCRETO)</t>
  </si>
  <si>
    <t>0890-MEDICINAS, PRODUCTOS FARMACEÚTICOS (EXCLUYE FARMACIA Y BOTICA Ver Giro 0600)</t>
  </si>
  <si>
    <t>0895-MÉDICOS Y/O CONSULTORIOS MÉDICOS</t>
  </si>
  <si>
    <t>0900-METALES Y/O PRODUCTOS DE METAL</t>
  </si>
  <si>
    <t>0910-MIEL DE ABEJA</t>
  </si>
  <si>
    <t>0920-MINAS, MINERALES NO COMBUSTIBLES</t>
  </si>
  <si>
    <t>0925-MINAS, MINERALES COMBUSTIBLES (INCLUYE CARBÓN MINERAL Y DERIVADOS)</t>
  </si>
  <si>
    <t>0930-MINAS, MINERALES FERROSOS</t>
  </si>
  <si>
    <t>0935-MINAS, MINERALES NO FERROSOS (INCLUYE ARENA, ARCILLA, ROCAS Y SIMILARES)</t>
  </si>
  <si>
    <t>0940-MUEBLES Y/O ARTÍCULOS RELACIONADOS (INCLUYE MUEBLES DE OFICINA Y ESTANTERÍA)</t>
  </si>
  <si>
    <t>0950-OFICINAS Y/O DESPACHOS PRIVADOS</t>
  </si>
  <si>
    <t>0955-OFICINAS DE GOBIERNO, ENTES Y/O SERVIDORES PÚBLICOS</t>
  </si>
  <si>
    <t>0960-OLEAGINOSAS</t>
  </si>
  <si>
    <t>0970-ÓPTICA, ARTÍCULOS DE</t>
  </si>
  <si>
    <t>0980-PAJA Y/O PASTOS SECOS</t>
  </si>
  <si>
    <t>0990-PAN, PASTAS ALIMENTICIAS, GALLETAS, TORTILLAS Y/O SIMILARES (INCLUYE ALMIDONES, FÉCULAS Y LEVADURAS)</t>
  </si>
  <si>
    <t>1000-PAPEL Y/O CARTÓN Y SUS PRODUCTOS (EXCLUYE FABRICACIÓN DE CELULOSA Ver Giro 0320)</t>
  </si>
  <si>
    <t>1100-PAPELERÍA, UTILES ESCOLARES Y/O ARTÍCULOS DE ESCRITORIO</t>
  </si>
  <si>
    <t>1110-PEGAMENTOS, ADHESIVOS, SELLADORES, RECUBRIMIENTOS Y/O SIMILARES</t>
  </si>
  <si>
    <t>1120-PELUQUERÍAS, SALONES Y/O CLÍNICAS DE BELLEZA</t>
  </si>
  <si>
    <t>1130-PERFUMES Y/O ARTÍCULOS DE TOCADOR</t>
  </si>
  <si>
    <t>1140-PINTURA, TALLER ARTÍSTICO</t>
  </si>
  <si>
    <t>1150-PLANTAS DE ASFALTO</t>
  </si>
  <si>
    <t>1160-PLÁSTICOS, PIEZAS, ARTÍCULOS Y/O PRODUCTOS DE</t>
  </si>
  <si>
    <t>1170-PRODUCTOS QUÍMICOS</t>
  </si>
  <si>
    <t>1180-PROTEÍNAS DE PESCADO</t>
  </si>
  <si>
    <t>1190-REFRIGERADORA O CONGELADORA, PLANTA</t>
  </si>
  <si>
    <t>1200-RELOJERÍA Y JOYERÍA</t>
  </si>
  <si>
    <t>1210-RESTAURANTES, BARES, CANTINAS, CENTROS NOCTURNOS, CABARETS Y/O DISCOTECAS</t>
  </si>
  <si>
    <t>1220-SAL</t>
  </si>
  <si>
    <t>1230-SOFTWARE, PROCESAMIENTO DE INFORMACIÓN, INTERNET, PAGINAS WEB Y/O SERVICIOS RELACIONADOS</t>
  </si>
  <si>
    <t>1240-TABACO</t>
  </si>
  <si>
    <t>1250-TAPICERIA</t>
  </si>
  <si>
    <t>1260-TELEFONÍA, TELÉGRAFO, CORREO Y MENSAJERÍA</t>
  </si>
  <si>
    <t>1270-TELEVISIÓN Y/O RADIO</t>
  </si>
  <si>
    <t>1280-TEXTILERAS</t>
  </si>
  <si>
    <t>1300-VIDEO CLUBS</t>
  </si>
  <si>
    <t>1310-RIESGOS INACTIVOS</t>
  </si>
  <si>
    <t>1320-SERVICIOS PROFESIONALES (PROFESIONES)</t>
  </si>
  <si>
    <t>0520-DEPORTIVOS, CLUBES Y CAMPOS DE GOLF (INCLUYE GIMNASIOS Y HOLE IN ONE)</t>
  </si>
  <si>
    <t>1290-TRANSPORTACIÓN DE MERCANCIAS Y/O SERVICIOS RELACIONADOS</t>
  </si>
  <si>
    <t>0135-AVIONES, AEROPUERTOS, HANGARES Y/O OPERACIONES AEROPORTUARIAS</t>
  </si>
  <si>
    <t>1295-TRANSPORTACIÓN DE PASAJEROS Y TURÍSTICO</t>
  </si>
  <si>
    <t>1 - SME - CLUB DEPORTIVO</t>
  </si>
  <si>
    <t>2 - SME - COMERCIO</t>
  </si>
  <si>
    <t>3 - SME - CONSTRUCCION</t>
  </si>
  <si>
    <t>4 - SME - ESPARCIMIENTO</t>
  </si>
  <si>
    <t>5 - SME - ESPECTÁCULOS</t>
  </si>
  <si>
    <t>6 - SME - ESTABLECIMIENTOS PARA LA SALUD</t>
  </si>
  <si>
    <t>7 - SME - EXPORTACIÓN</t>
  </si>
  <si>
    <t>8 - SME - GASOLINERAS</t>
  </si>
  <si>
    <t>9 - SME - GASTRONOMÍA</t>
  </si>
  <si>
    <t>10 - SME - GOLF GMX</t>
  </si>
  <si>
    <t>11 - SME - HOTELERÍA</t>
  </si>
  <si>
    <t>12 - SME - INDUSTRIA</t>
  </si>
  <si>
    <t>13 - SME - LÍNEAS GENERALES</t>
  </si>
  <si>
    <t>14 - SME - MÉDICOS ODONTÓLOGOS</t>
  </si>
  <si>
    <t>15 - SME - MÉDICOS VETERINARIOS</t>
  </si>
  <si>
    <t>16 - SME - MÉDICOS Y SUS PROFESIONES AUXILIARES Y TÉCNICAS</t>
  </si>
  <si>
    <t>17 - SME 1ER RIESGO - CLUB DEPORTIVO</t>
  </si>
  <si>
    <t>18 - SME 1ER RIESGO - COMERCIO</t>
  </si>
  <si>
    <t>19 - SME 1ER RIESGO - CONSTRUCCIÓN</t>
  </si>
  <si>
    <t>21 - SME 1ER RIESGO - ESPECTÁCULOS</t>
  </si>
  <si>
    <t>22 - SME 1ER RIESGO - ESTABLECIMIENTOS PARA LA SALUD</t>
  </si>
  <si>
    <t>23 - SME 1ER RIESGO - EXPORTACIÓN</t>
  </si>
  <si>
    <t>24 - SME 1ER RIESGO - GASOLINERAS</t>
  </si>
  <si>
    <t>25 - SME 1ER RIESGO - GASTRONOMÍA</t>
  </si>
  <si>
    <t>26 - SME 1ER RIESGO - GOLF GMX</t>
  </si>
  <si>
    <t>28 - SME 1ER RIESGO - INDUSTRIA</t>
  </si>
  <si>
    <t>29 - SME 1ER RIESGO - LÍNEAS GENERALES</t>
  </si>
  <si>
    <t>30 - TRANSPORTES CARGA</t>
  </si>
  <si>
    <t>31 - TRANSPORTES OBRAS DE ARTE (CLAVO A CLAVO)</t>
  </si>
  <si>
    <t>32 - CASCOS AÉREOS (XA, XB , XC)</t>
  </si>
  <si>
    <t>33 - CASCOS AÉREOS C/QUEBRANTAMIENTO DE GARANTÍAS (XA, XB, XC)</t>
  </si>
  <si>
    <t>34 - CASCOS AÉREOS Y RC LEGAL</t>
  </si>
  <si>
    <t>35 - CASCOS MARÍTIMOS</t>
  </si>
  <si>
    <t>36 - EQUIPO DE CONTRATISTAS</t>
  </si>
  <si>
    <t>37 - HOGAR GMX</t>
  </si>
  <si>
    <t>38 - HOLE IN ONE</t>
  </si>
  <si>
    <t>39 - MEDIPET</t>
  </si>
  <si>
    <t>40 - MONTAJE DE MAQUINARIA</t>
  </si>
  <si>
    <t>41 - OBRA CIVIL</t>
  </si>
  <si>
    <t>42 - RESPONSABILIDAD CIVIL - EVENTOS</t>
  </si>
  <si>
    <t>43 - RESPONSABILIDAD CIVIL  HANGARES</t>
  </si>
  <si>
    <t>44 - RESPONSABILIDAD CIVIL AEROPORTUARIAS</t>
  </si>
  <si>
    <t>45 - RESPONSABILIDAD CIVIL AVIACIÓN</t>
  </si>
  <si>
    <t>46 - RESPONSABILIDAD CIVIL CONTRATISTAS - AEROPUERTOS</t>
  </si>
  <si>
    <t>47 - RESPONSABILIDAD CIVIL GENERAL - INDIVIDUAL</t>
  </si>
  <si>
    <t>48 - RESPONSABILIDAD CIVIL LEGAL AVIACIÓN</t>
  </si>
  <si>
    <t>49 - RESPONSABILIDAD CIVIL MARÍTIMA</t>
  </si>
  <si>
    <t>50 - RESPONSABILIDAD CIVIL MUELLES Y ASTILLEROS</t>
  </si>
  <si>
    <t>51 - RESPONSABILIDAD CIVIL PROFESIONAL</t>
  </si>
  <si>
    <t>52 - RESPONSABILIDAD CIVIL PROFESIONAL - COLEGIOS</t>
  </si>
  <si>
    <t>53 - RESPONSABILIDAD CIVIL PROFESIONAL - D&amp;O</t>
  </si>
  <si>
    <t>54 - RESPONSABILIDAD CIVIL PROFESIONAL - DECENAL TRADICIONAL</t>
  </si>
  <si>
    <t>55 - RESPONSABILIDAD CIVIL PROFESIONAL - DECENAL IT</t>
  </si>
  <si>
    <t>56 - RESPONSABILIDAD CIVIL PROFESIONAL - DECENAL AG</t>
  </si>
  <si>
    <t>57 - RESPONSABILIDAD CIVIL PROFESIONAL - ENTES PÚBLICOS</t>
  </si>
  <si>
    <t>58 - RESPONSABILIDAD CIVIL PROFESIONAL - ESTABLECIMIENTOS PARA LA SALUD</t>
  </si>
  <si>
    <t>59 - RESPONSABILIDAD CIVIL PROFESIONAL - ESTANCIAS INFANTILES</t>
  </si>
  <si>
    <t>60 - RESPONSABILIDAD CIVIL PROFESIONAL - ESTANCIAS INFANTILES IMSS</t>
  </si>
  <si>
    <t>61 - RESPONSABILIDAD CIVIL PROFESIONAL - ESTANCIAS INFANTILES SEDESOL</t>
  </si>
  <si>
    <t>62 - RESPONSABILIDAD CIVIL PROFESIONAL - MÉDICOS ODONTÓLOGOS (GRUPO)</t>
  </si>
  <si>
    <t>63 - RESPONSABILIDAD CIVIL PROFESIONAL - MÉDICOS ODONTÓLOGOS (INDIVIDUAL)</t>
  </si>
  <si>
    <t>64 - RESPONSABILIDAD CIVIL PROFESIONAL - MÉDICOS VETERINARIOS (GRUPO)</t>
  </si>
  <si>
    <t>65 - RESPONSABILIDAD CIVIL PROFESIONAL - MÉDICOS VETERINARIOS (INDIVIDUAL)</t>
  </si>
  <si>
    <t>66 - RESPONSABILIDAD CIVIL PROFESIONAL - MÉDICOS Y SUS PROFESIONES AUXILIARES Y TÉCNICAS (GRUPO)</t>
  </si>
  <si>
    <t>67 - RESPONSABILIDAD CIVIL PROFESIONAL - MÉDICOS Y SUS PROFESIONES AUXILIARES Y TÉCNICAS (INDIVIDUAL)</t>
  </si>
  <si>
    <t>68 - RESPONSABILIDAD CIVIL PROFESIONAL - MEJORA ESTETICA Y FÍSICA</t>
  </si>
  <si>
    <t>69 - RESPONSABILIDAD CIVIL PROFESIONAL - PRUEBAS CLÍNICAS</t>
  </si>
  <si>
    <t>70 - RESPONSABILIDAD CIVIL PROFESIONAL - SERVIDORES PÚBLICOS</t>
  </si>
  <si>
    <t>71 - RESPONSABILIDAD CIVIL PROFESIONAL - VERIFICADORES DE INSUMOS PARA LA SALUD</t>
  </si>
  <si>
    <t>72 - SME GRANDES RIESGOS COMERCIALES</t>
  </si>
  <si>
    <t>73 - SME GRANDES RIESGOS INDUSTRIALES</t>
  </si>
  <si>
    <t>74 - RESPONSABILIDAD CIVIL CONTRATISTAS</t>
  </si>
  <si>
    <t>75 - RESPONSABILIDAD CIVIL EXPORTACION</t>
  </si>
  <si>
    <t>76 - RESPONSABILIDAD CIVIL COMERCIO</t>
  </si>
  <si>
    <t>77 - RESPONSABILIDAD CIVIL INDUSTRIA</t>
  </si>
  <si>
    <t>78 - DECENAL FOVISSSTE</t>
  </si>
  <si>
    <t>VALIDA GIRO</t>
  </si>
  <si>
    <t>0010.01-Tienda o expendio de abarrotes, mercancías mixtas y/o misceláneas</t>
  </si>
  <si>
    <t>0010.02-Almacén, bodega y/o distribución de abarrotes, mercancias mixtas y/o misceláneas</t>
  </si>
  <si>
    <t>0020.01-Tienda o expendio de aceites y/o grasas comestibles de animales y/o vegetales</t>
  </si>
  <si>
    <t>0020.02-Almacén, bodega y/o distribución de aceites y/o grasas comestibles de animales y/o vegetales</t>
  </si>
  <si>
    <t>0020.03-Fabricación de aceites y/o grasas comestibles de animales y/o vegetales</t>
  </si>
  <si>
    <t>0030.01-Tienda o expendio de acumuladores</t>
  </si>
  <si>
    <t>0030.02-Almacén, bodega y/o distribución de acumuladores</t>
  </si>
  <si>
    <t>0030.03-Reparación de acumuladores</t>
  </si>
  <si>
    <t>0030.04-Fabricación de acumuladores</t>
  </si>
  <si>
    <t>0040.01-Tienda o expendio de aguardiente, alcohol, licores, vinos, sidras y/u otra bebida alcohólica embotellada</t>
  </si>
  <si>
    <t>0040.02-Tienda o expendio de aguardiente, alcohol, licores, vinos, sidras y/u otra bebida alcohólica a granel</t>
  </si>
  <si>
    <t>0040.03-Almacén, bodega y/o distribución de aguardiente, alcohol, licores, vinos, sidras y/u otra bebida alcohólica embotellada</t>
  </si>
  <si>
    <t>0040.04-Almacén, bodega y/o distribución de aguardiente, alcohol, licores, vinos, sidras y/u otra bebida alcohólica a granel</t>
  </si>
  <si>
    <t>0040.05-Fabricación de aguardiente, alcohol, licores, vinos, sidras y/u otra bebida alcohólica</t>
  </si>
  <si>
    <t>0050.01-Fabricación de aguarras</t>
  </si>
  <si>
    <t>0060.01-Tienda o expendio de aguas, bebidas azucaradas, refrescos, jugos y/u otra bebida no alcohólica</t>
  </si>
  <si>
    <t>0060.02-Almacén, bodega y/o distribución de aguas, bebidas azucaradas, refrescos, jugos y/u otra bebida no alcohólica</t>
  </si>
  <si>
    <t>0060.03-Fabricación de aguas, bebidas azucaradas, refrescos, jugos y/u otra bebida no alcohólica</t>
  </si>
  <si>
    <t>0060.04-Estación de bombas de agua</t>
  </si>
  <si>
    <t>0060.05-Torres de enfriamiento de agua o tanques elevados</t>
  </si>
  <si>
    <t>0060.06-Plantas de tratamiento de aguas</t>
  </si>
  <si>
    <t>0070.01-Tienda o expendio de alfombras y/o tapices</t>
  </si>
  <si>
    <t>0070.02-Almacén, bodega y/o distribución de alfombras y/o tapices</t>
  </si>
  <si>
    <t>0070.03-Fabricación de alfombras y/o tapices</t>
  </si>
  <si>
    <t>0080.01-Tienda o expendio de algodón absorbente</t>
  </si>
  <si>
    <t>0080.02-Almacén, bodega y/o distribución de algodón absorbente</t>
  </si>
  <si>
    <t>0080.03-Fabricación de algodón absorbente</t>
  </si>
  <si>
    <t>0080.04-Despepite de algodón</t>
  </si>
  <si>
    <t>0090.01-Tienda o expendio de alimento para animales</t>
  </si>
  <si>
    <t>0090.02-Almacén, bodega y/o distribución de alimento para animales</t>
  </si>
  <si>
    <t>0090.03-Fabricación de alimento para animales sin uso de pastura</t>
  </si>
  <si>
    <t>0090.04-Fabricación de alimento para animales con uso de pastura</t>
  </si>
  <si>
    <t>0100.01-Almacén o bodega de mercancias mixtas en depósito (Almacenes generales de depósito)</t>
  </si>
  <si>
    <t>0100.02-Agencia Aduanal</t>
  </si>
  <si>
    <t>0110.01-Ganado en pie de bovinos</t>
  </si>
  <si>
    <t>0110.02-Ganado en pie de porcinos</t>
  </si>
  <si>
    <t>0110.03-Ganado en pie de ovinos y caprinos</t>
  </si>
  <si>
    <t>0110.04-Ganado en pie</t>
  </si>
  <si>
    <t>0110.05-Incubadoras y/o seleccionadoras de animales</t>
  </si>
  <si>
    <t>0110.06-Granja avícola</t>
  </si>
  <si>
    <t>0110.07-Establos</t>
  </si>
  <si>
    <t>0110.08-Acuicultura animal</t>
  </si>
  <si>
    <t>0120.01-Construcción y/o armado de buques con casco de acero</t>
  </si>
  <si>
    <t>0120.02-Construcción y/o armado de buques con casco de madera</t>
  </si>
  <si>
    <t>0130.01-Sala de exhibición, patio, bodega o tienda de automóviles y/o camionetas</t>
  </si>
  <si>
    <t>0130.02-Sala de exhibición, patio, bodega o tienda de autobuses y/o camiones</t>
  </si>
  <si>
    <t>0130.03-Sala de exhibición, patio, bodega o tienda de tractocamiones</t>
  </si>
  <si>
    <t>0130.04-Sala de exhibición, patio, bodega o tienda de bicicletas</t>
  </si>
  <si>
    <t>0130.05-Sala de exhibición, patio, bodega o tienda de motocicletas</t>
  </si>
  <si>
    <t>0130.06-Sala de exhibición, patio, bodega o tienda de maquinaria agrícola</t>
  </si>
  <si>
    <t>0130.07-Sala de exhibición, patio, bodega o tienda de maquinaria para construcción</t>
  </si>
  <si>
    <t>0130.08-Fabricación y/o armado de automóviles, camionetas, autobuses, camiones y/o tractocamiones</t>
  </si>
  <si>
    <t>0130.09-Fabricación de maquinaria agrícola</t>
  </si>
  <si>
    <t>0130.10-Fabricación y/o armado de carrocerías y/o remolques</t>
  </si>
  <si>
    <t>0130.11-Fabricación y/o armado de bicicletas y/o motocicletas</t>
  </si>
  <si>
    <t>0130.12-Tienda o expendio de refacciones para automóviles, camionetas, autobuses, camiones, bicicletas, motocicletas, maquinaria agrícola y/o maquinaria de construcción</t>
  </si>
  <si>
    <t>0130.13-Almacén, bodega y/o distribución de refacciones para automóviles, camionetas, autobuses, camiones, bicicletas, motocicletas, maquinaria agrícola y/o maquinaria de construcción</t>
  </si>
  <si>
    <t>0130.14-Fabricación de refacciones, partes y/o accesorios para la industria automotriz</t>
  </si>
  <si>
    <t>0130.15-Fabricación de motores, turbinas, transmisiones y/o sus partes</t>
  </si>
  <si>
    <t>0130.16-Fabricación de partes para el sistema de frenos de vehículos automotores</t>
  </si>
  <si>
    <t>0130.17-Talleres de mantenimiento y/o reparación de automóviles, camionetas, autobuses y/o camiones</t>
  </si>
  <si>
    <t>0130.18-Estacionamiento y/o pensión</t>
  </si>
  <si>
    <t>0130.19-Central Camionera</t>
  </si>
  <si>
    <t>0130.20-Alquiler y/o renta de autobuses con chofer</t>
  </si>
  <si>
    <t>0130.21-Alquiler y/o renta de automóviles, autobuses, camiones u otros transportes terrestres sin chofer</t>
  </si>
  <si>
    <t>0130.22-Maquinaria agrícola para trabajo en el campo</t>
  </si>
  <si>
    <t>0135.01-Aeronave ala fija</t>
  </si>
  <si>
    <t>0135.02-Aeronave ala rotativa</t>
  </si>
  <si>
    <t>0135.03-Jet-Aeronave ala fija</t>
  </si>
  <si>
    <t>0135.04-Pistón-Aeronave ala fija</t>
  </si>
  <si>
    <t>0135.05-Pistón-Aeronave ala rotativa</t>
  </si>
  <si>
    <t>0135.06-Turbina-Aeronave ala rotativa</t>
  </si>
  <si>
    <t>0135.07-Turboprop-Aeronave ala fija</t>
  </si>
  <si>
    <t>0135.08-Otro tipo de aeronave (ala rotativa o fija)</t>
  </si>
  <si>
    <t>0135.09-Aeropuerto</t>
  </si>
  <si>
    <t>0135.10-Hangar</t>
  </si>
  <si>
    <t>0135.11-Hangar de mantenimiento</t>
  </si>
  <si>
    <t>0135.12-Operaciones aeroportuarias</t>
  </si>
  <si>
    <t>0135.13-Servicios de contratistas para aeropuertos</t>
  </si>
  <si>
    <t>0140.01-Tienda o expendio de azúcar</t>
  </si>
  <si>
    <t>0140.02-Almacén, bodega y/o distribución de azúcar</t>
  </si>
  <si>
    <t>0140.03-Ingenio azucarero</t>
  </si>
  <si>
    <t>0140.04-Fabricación de azúcar y productos residuales de la caña sin obtención de aguardiente y/o alcohol</t>
  </si>
  <si>
    <t>0140.05-Fabricación de azúcar y productos residuales de la caña con obtención de aguardiente y/o alcohol</t>
  </si>
  <si>
    <t>0150.01-Almacén, bodega y/o distribución de azufre</t>
  </si>
  <si>
    <t>0150.02-Extractora de azufre</t>
  </si>
  <si>
    <t>0160.01-Fabricación de balatas y embragues</t>
  </si>
  <si>
    <t>0170.01-Baños públicos, con y sin calefacción</t>
  </si>
  <si>
    <t>0180.01-Tienda o expendio de barnices, pinturas, tintas, colorantes, pigmentos y/o lacas</t>
  </si>
  <si>
    <t>0180.02-Almacén, bodega y/o distribución de barnices, pinturas, tintas, colorantes, pigmentos y/o lacas</t>
  </si>
  <si>
    <t>0180.03-Fabricación de barnices, pinturas, tintas, colorantes, pigmentos y/o lacas</t>
  </si>
  <si>
    <t>0180.04-Fabricación de barnices, pinturas, tintas, colorantes, pigmentos y/o lacas cuando el cocimiento se haga en ollas totalmente cerradas y que no cuenten con sistema de extracción de gases o no cuenten con inyección automática de gas inerte</t>
  </si>
  <si>
    <t>0190.01-Planta de aprovechamiento de basura, sin uso de sustancias inflamables</t>
  </si>
  <si>
    <t>0200.01-Fabricación de baterías eléctricas</t>
  </si>
  <si>
    <t>0210.01-Monte de piedad y/o casa de empeño</t>
  </si>
  <si>
    <t>0210.02-Bazar sin taller(es)</t>
  </si>
  <si>
    <t>0210.03-Bazar con taller(es)</t>
  </si>
  <si>
    <t>0220.01-Bibliotecas</t>
  </si>
  <si>
    <t>0220.02-Museos y/o galerías</t>
  </si>
  <si>
    <t>0220.03-Sitios Históricos</t>
  </si>
  <si>
    <t>0220.04-Jardines Botánicos</t>
  </si>
  <si>
    <t>0230.01-Billares (establecimientos públicos)</t>
  </si>
  <si>
    <t>0230.02-Boliches (establecimientos públicos)</t>
  </si>
  <si>
    <t>0240.01-Fabricación de borra y/o estopa</t>
  </si>
  <si>
    <t>0250.01-Tienda o expendio de brochas y/o pinceles</t>
  </si>
  <si>
    <t>0250.02-Almacén, bodega y/o distribución de brochas y/o pinceles</t>
  </si>
  <si>
    <t>0250.03-Fabricación de brochas y/o pinceles sin carpintería</t>
  </si>
  <si>
    <t>0250.04-Fabricación de brochas y/o pinceles con carpintería</t>
  </si>
  <si>
    <t>0260.01-Tienda o expendio de café</t>
  </si>
  <si>
    <t>0260.02-Almacén, bodega y/o distribución de café</t>
  </si>
  <si>
    <t>0260.03-Fabricación de café soluble</t>
  </si>
  <si>
    <t>0260.04-Beneficiadora de café</t>
  </si>
  <si>
    <t>0260.05-Molino y tostador de café</t>
  </si>
  <si>
    <t>0270.01-Tienda o expendio de calzado y/o zapatería</t>
  </si>
  <si>
    <t>0270.02-Almacén, bodega y/o distribución de calzado</t>
  </si>
  <si>
    <t>0270.03-Fabricación de calzado de cuero y/o piel</t>
  </si>
  <si>
    <t>0270.04-Fabricación de calzado de tela con suela de hule o sintética</t>
  </si>
  <si>
    <t>0280.01-Casa de calderas</t>
  </si>
  <si>
    <t>0290.01-Fabricación de carbones de motor</t>
  </si>
  <si>
    <t>0300.01-Tienda o expendio de carne y sus derivados</t>
  </si>
  <si>
    <t>0300.02-Almacén, bodega y/o distribución de carne y sus derivados</t>
  </si>
  <si>
    <t>0300.03-Industria de la carne y sus derivados, fábrica, procesamiento y/o empaque</t>
  </si>
  <si>
    <t>0300.04-Matanza, empacado y/o procesamiento de carne y sus derivados</t>
  </si>
  <si>
    <t>0310.01-Fabricación de cartuchos para armas de fuego, efectuándose el llenado con maquinas automáticas con un máximo de 2 Kg. de pólvora por maquina y aceptándose la existencia de hasta 2 Kg. de pólvora de reserva para la alimentación de cada maquina</t>
  </si>
  <si>
    <t>0310.02-Fabricación de cartuchos para armas de fuego, efectuándose de otra forma que no cumpla con los requisitos anteriores</t>
  </si>
  <si>
    <t>0320.01-Almacén, bodega y/o distribución de celulosa</t>
  </si>
  <si>
    <t>0320.02-Fabricación de celulosa</t>
  </si>
  <si>
    <t>0320.03-Fabricación de fibras artificiales celulósicas, proteínicas y/o algínicas</t>
  </si>
  <si>
    <t>0330.01-Tienda o expendio de cemento, cal y/o yeso</t>
  </si>
  <si>
    <t>0330.02-Almacén, bodega y/o distribución de cemento, cal y/o yeso</t>
  </si>
  <si>
    <t>0330.03-Fabricación de cemento</t>
  </si>
  <si>
    <t>0330.04-Fabricación de cal y/o yeso</t>
  </si>
  <si>
    <t>0330.05-Fabricación de cemento, cal, yeso y/u otros productos minerales no metálicos</t>
  </si>
  <si>
    <t>0330.06-Explotación de caliza y piedra de yeso o yeso crudo (aljez)</t>
  </si>
  <si>
    <t>0340.01-Centro comercial</t>
  </si>
  <si>
    <t>0340.02-Tienda departamental</t>
  </si>
  <si>
    <t>0340.03-Almacén o tienda de autoservicio y/o supermercado</t>
  </si>
  <si>
    <t>0340.04-Central de abasto</t>
  </si>
  <si>
    <t>0340.05-Mercado público</t>
  </si>
  <si>
    <t>0340.06-Comercio al por menor de artículos usados</t>
  </si>
  <si>
    <t>0350.01-Tienda o expendio de cerámica, barro, loza y/o porcelana</t>
  </si>
  <si>
    <t>0350.02-Almacén, bodega y/o distribución de cerámica, barro, loza y/o porcelana</t>
  </si>
  <si>
    <t>0350.03-Fabricación de cerámica, barro, loza y/o porcelana</t>
  </si>
  <si>
    <t>0350.04-Fabricación de materiales de construcción de arcilla, cerámica, barro y/o porcelana</t>
  </si>
  <si>
    <t>0360.01-Tienda o expendio de ceras, parafinas y/o pastas para limpiar metales</t>
  </si>
  <si>
    <t>0360.02-Almacén, bodega y/o distribución de ceras, parafinas y/o pastas para limpiar metales</t>
  </si>
  <si>
    <t>0360.03-Fabricación de ceras, parafinas, velas, veladoras y/o pastas para limpiar metales</t>
  </si>
  <si>
    <t>0370.01-Tienda o expendio de cereales, granos y/o semillas</t>
  </si>
  <si>
    <t>0370.02-Almacén, bodega y/o distribución de cereales, granos y/o semillas</t>
  </si>
  <si>
    <t>0370.03-Beneficiadora de cereales, granos y/o semillas</t>
  </si>
  <si>
    <t>0370.04-Molino de cereales, granos y/o semillas</t>
  </si>
  <si>
    <t>0370.05-Molienda de cereales, granos y/o semillas</t>
  </si>
  <si>
    <t>0380.01-Almacén, bodega y/o distribución de cerillos</t>
  </si>
  <si>
    <t>0380.01-Fabricación de cerillos</t>
  </si>
  <si>
    <t>0390.01-Tienda o expendio de cerveza y/o malta</t>
  </si>
  <si>
    <t>0390.02-Almacén, bodega y/o distribución de cerveza y/o malta</t>
  </si>
  <si>
    <t>0390.03-Fabricación de cerveza y/o malta</t>
  </si>
  <si>
    <t>0400.01-Tienda o expendio de chocolates, cocoa y/o confitería</t>
  </si>
  <si>
    <t>0400.02-Almacén, bodega y/o distribución de chocolates, cocoa y/o confitería</t>
  </si>
  <si>
    <t>0400.03-Fabricación de chocolates, cocoa y/o confitería</t>
  </si>
  <si>
    <t>0410.01-Tienda o expendio de aparatos y/o instrumentos científicos, médicos, de control, de navegación, de medición y/o de precisión</t>
  </si>
  <si>
    <t>0410.02-Almacén, bodega y/o distribución de aparatos y/o instrumentos científicos, médicos, de control, de navegación, de medición y/o de precisión</t>
  </si>
  <si>
    <t>0410.03-Fabricación de aparatos y/o instrumentos científicos, médicos, de control, de navegación, de medición y/o de precisión</t>
  </si>
  <si>
    <t>0410.04-Fabricación de equipo y material para uso médico, dental y para laboratorio</t>
  </si>
  <si>
    <t>0420.01-Tienda o expendio de colchones, colchonetas y/o almohadas</t>
  </si>
  <si>
    <t>0420.02-Almacén, bodega y/o distribución de colchones, colchonetas y/o almohadas</t>
  </si>
  <si>
    <t>0420.03-Fabricación de colchones, colchonetas y/o almohadas</t>
  </si>
  <si>
    <t>0430.01-Tienda o expendio de combustibles, aditivos y/o lubricantes derivados del petróleo</t>
  </si>
  <si>
    <t>0430.02-Almacén o bodega de combustibles, aditivos y/o lubricantes derivados del petróleo</t>
  </si>
  <si>
    <t>0430.03-Estaciones de gasolina o gasolinera (expendio de gasolina)</t>
  </si>
  <si>
    <t>0430.04-Tienda o expendio de aditivos y/o lubricantes derivados del petróleo</t>
  </si>
  <si>
    <t>0430.05-Fabricación de combustibles, aditivos y/o lubricantes derivados del petróleo</t>
  </si>
  <si>
    <t>0430.06-Industria del coque y otros derivados del petróleo</t>
  </si>
  <si>
    <t>0440.01-Industria de la construcción</t>
  </si>
  <si>
    <t>0440.02-Construcción de vivienda INFONAVIT</t>
  </si>
  <si>
    <t>0440.03-Construcción de vivienda FOVISSSTE</t>
  </si>
  <si>
    <t>0440.04-Construcción de vivienda (residencial y no residencial)</t>
  </si>
  <si>
    <t>0440.05-Construcción de viviendas de estructuras ligeras con madera</t>
  </si>
  <si>
    <t>0440.06-Obras de infraestructuras para nuevas viviendas / edificios comerciales, completo</t>
  </si>
  <si>
    <t>0440.07-Construcción de obras para el abastecimiento de agua, petróleo, gas, electricidad y telecomunicaciones</t>
  </si>
  <si>
    <t>0440.08-Construcción de vías de comunicación (calles, autopistas, carreteras)</t>
  </si>
  <si>
    <t>0440.09-Construcción de ferrocarriles, líneas ferroviarias principales</t>
  </si>
  <si>
    <t xml:space="preserve">0440.10-Construcción de sistema de transporte publico metro, completo </t>
  </si>
  <si>
    <t>0440.11-Cimentaciones, montaje de estructuras prefabricadas y trabajos en exteriores</t>
  </si>
  <si>
    <t xml:space="preserve">0440.12-Construcción de aeropuertos, pistas de despegue y aterrizaje, pistas de rodaje </t>
  </si>
  <si>
    <t>0440.13-Construcción de albercas y/o piscinas cubiertas</t>
  </si>
  <si>
    <t>0440.14-Construcción de almacenes</t>
  </si>
  <si>
    <t>0440.15-Construcción con cajón neumático</t>
  </si>
  <si>
    <t>0440.16-Construcción de canales navegables</t>
  </si>
  <si>
    <t>0440.17-Construcción de centrales hidroeléctricas</t>
  </si>
  <si>
    <t>0440.18-Construcción de centrales térmicas</t>
  </si>
  <si>
    <t xml:space="preserve">0440.19-Construcción de centros comerciales y/o supermercados </t>
  </si>
  <si>
    <t>0440.20-Construcción de centros de investigación y de ensayos</t>
  </si>
  <si>
    <t>0440.21-Construcción de colegios, guarderías y jardines infantiles</t>
  </si>
  <si>
    <t>0440.21-Construcción de colegios, guarderías, jardines infantiles</t>
  </si>
  <si>
    <t>0440.22-Construcción de galerías y túneles</t>
  </si>
  <si>
    <t xml:space="preserve">0440.23-Construcción de defensas de riberas </t>
  </si>
  <si>
    <t>0440.24-Construcción de depósitos de agua y desagüe sobre tierra</t>
  </si>
  <si>
    <t>0440.25-Construcción de depósitos de agua y desagüe subterráneos</t>
  </si>
  <si>
    <t>0440.26-Construcción de depósitos frigoríficos de varios pisos</t>
  </si>
  <si>
    <t>0440.27-Construcción de depósitos frigoríficos en forma de nave</t>
  </si>
  <si>
    <t>0440.28-Construcción de diques rompeolas</t>
  </si>
  <si>
    <t>0440.29-Construcción de diques secos</t>
  </si>
  <si>
    <t xml:space="preserve">0440.30-Construcción de edificios de oficinas </t>
  </si>
  <si>
    <t>0440.31-Construcción de edificios industriales y fábricas de varios pisos</t>
  </si>
  <si>
    <t>0440.32-Construcción de edificios industriales y fábricas en forma de nave</t>
  </si>
  <si>
    <t>0440.33-Construcción de edificios para hoteles</t>
  </si>
  <si>
    <t>0440.34-Construcción de edificios penitenciarios</t>
  </si>
  <si>
    <t>0440.35-Construcción de esclusas, instalaciones elevadoras para barcos</t>
  </si>
  <si>
    <t>0440.36-Construcción de esclusas, instalaciones elevadoras para barcos en aguas</t>
  </si>
  <si>
    <t>0440.37-Construcción de estaciones de bombeo de agua y desagüe</t>
  </si>
  <si>
    <t xml:space="preserve">0440.38-Construcción de estaciones depuradoras de agua </t>
  </si>
  <si>
    <t xml:space="preserve">0440.39-Construcción de estaciones de ferrocarril </t>
  </si>
  <si>
    <t xml:space="preserve">0440.40-Construcción de estaciones ferroviarias de clasificación y de apartado, terminales de ferrocarriles </t>
  </si>
  <si>
    <t>0440.41-Construcción de estaciones/apeaderos de autobuses y tranvías</t>
  </si>
  <si>
    <t>0440.42-Construcción de estadios deportivos, tribunas, anfiteatros al aire libre</t>
  </si>
  <si>
    <t>0440.43-Construcción de estadios deportivos, tribunas, anfiteatros completamente cubiertos</t>
  </si>
  <si>
    <t>0440.44-Construcción de estadios deportivos, tribunas, anfiteatros con cubierta sobre las tribunas</t>
  </si>
  <si>
    <t>0440.45-Construcción de garajes de varios pisos</t>
  </si>
  <si>
    <t xml:space="preserve">0440.46-Construcción de garajes subterráneos </t>
  </si>
  <si>
    <t>0440.47-Construcción de gimnasios</t>
  </si>
  <si>
    <t xml:space="preserve">0440.48-Construcción de grandes almacenes, galerías comerciales </t>
  </si>
  <si>
    <t>0440.49-Construcción de hangares</t>
  </si>
  <si>
    <t>0440.50-Construcción de hospitales, sanatorios, clínicas</t>
  </si>
  <si>
    <t>0440.51-Construcción de hoteles - pabellones y construcciones de una sola planta</t>
  </si>
  <si>
    <t>0440.52-Construcción de iglesias, mezquitas, templos</t>
  </si>
  <si>
    <t>0440.53-Construcción de jetties, terminales, embarcaderos</t>
  </si>
  <si>
    <t>0440.54-Construcción de muros de contención</t>
  </si>
  <si>
    <t xml:space="preserve">0440.55-Construcción de pila y estribo de puente, incluida cimentación </t>
  </si>
  <si>
    <t>0440.56-Construcción de plantas de incineración de basuras</t>
  </si>
  <si>
    <t>0440.57-Construcción de pozos</t>
  </si>
  <si>
    <t>0440.58-Construcción de presas</t>
  </si>
  <si>
    <t>0440.59-Construcción de puentes colgantes</t>
  </si>
  <si>
    <t xml:space="preserve">0440.60-Construcción de puentes con tramos móviles </t>
  </si>
  <si>
    <t>0440.61-Construcción de puentes de arco</t>
  </si>
  <si>
    <t>0440.62-Construcción de puentes de cable inclinado (atirantados)</t>
  </si>
  <si>
    <t>0440.63-Construcción de puentes de vigas</t>
  </si>
  <si>
    <t>0440.64-Construcción de puentes sobre pontones</t>
  </si>
  <si>
    <t>0440.65-Construcción de restaurantes</t>
  </si>
  <si>
    <t>0440.66-Construcción de salas de exposiciones, salas de conferencias</t>
  </si>
  <si>
    <t>0440.67-Construcción de silos</t>
  </si>
  <si>
    <t>0440.68-Construcción de sistemas de abastecimiento de agua, completo</t>
  </si>
  <si>
    <t>0440.69-Construcción de sistemas de irrigación, completo</t>
  </si>
  <si>
    <t xml:space="preserve">0440.70-Construcción de sótanos de hormigón, cimentaciones, zócalo, recalce </t>
  </si>
  <si>
    <t>0440.71-Construcción de tanques, no de agua, bajo tierra</t>
  </si>
  <si>
    <t>0440.72-Construcción de tanques, no de agua, sobre tierra</t>
  </si>
  <si>
    <t>0440.73-Construcción de teatros, salas de conciertos, cines</t>
  </si>
  <si>
    <t xml:space="preserve">0440.74-Construcción de terminales de aeropuertos </t>
  </si>
  <si>
    <t>0440.75-Construcción de torres de refrigeración</t>
  </si>
  <si>
    <t>0440.76-Construcción de torres de televisión</t>
  </si>
  <si>
    <t>0440.77-Construcción de torres para depósitos de agua</t>
  </si>
  <si>
    <t>0440.78-Construcción de túneles por inmersión de partes prefabricadas</t>
  </si>
  <si>
    <t>0440.79-Construcción de universidades</t>
  </si>
  <si>
    <t>0440.80-Obras fluviales</t>
  </si>
  <si>
    <t>0440.81-División de terrenos y construcción de obras de urbanización</t>
  </si>
  <si>
    <t>0440.82-Tendido de tuberías principales y redes de distribución</t>
  </si>
  <si>
    <t xml:space="preserve">0440.83-Excavación, corte, relleno, trabajos de nivelación </t>
  </si>
  <si>
    <t>0440.84-Instalaciones de tratamiento de agua, estaciones depuradoras de aguas negras</t>
  </si>
  <si>
    <t>0440.85-Instalaciones y equipamiento en construcciones</t>
  </si>
  <si>
    <t>0440.86-Inyecciones de cemento, inyecciones, membranas verticales</t>
  </si>
  <si>
    <t>0440.87-Pasos por prensado</t>
  </si>
  <si>
    <t>0440.88-Perforaciones de sondeo</t>
  </si>
  <si>
    <t>0440.89-Recuperación de tierras</t>
  </si>
  <si>
    <t>0440.90-Tablestacado como protección temporal contra inundaciones</t>
  </si>
  <si>
    <t>0440.91-Tablestacados, construcción de pilotes</t>
  </si>
  <si>
    <t>0440.92-Trabajos de acabados en edificaciones</t>
  </si>
  <si>
    <t>0440.93-Trabajos de demolición, cantera, preparación del terreno y del material</t>
  </si>
  <si>
    <t>0440.94-Trabajos de nivelación, configuración del paisaje, parques, campos de golf, plantaciones</t>
  </si>
  <si>
    <t>0440.95-Transporte y tránsito de ferrocarriles ligeros</t>
  </si>
  <si>
    <t>0440.96-Tratamientos superficiales, trabajos de mejora de carreteras y/o autopistas</t>
  </si>
  <si>
    <t>0440.97-Tuberías de agua y desagüe, vaciado in-situ</t>
  </si>
  <si>
    <t xml:space="preserve">0440.98-Zanjas </t>
  </si>
  <si>
    <t>0440.99-Otras construcciones de ingeniería civil u obra pesada</t>
  </si>
  <si>
    <t>0445.01-Adaptaciones y/o mejoras de inmuebles, como para: oficinas, hospitales y consultorios, talleres, casas-habitación, vestidores y baños</t>
  </si>
  <si>
    <t>0445.02-Aplicación de aislamiento a tanques</t>
  </si>
  <si>
    <t>0445.03-Aplicación de impermeabilizantes</t>
  </si>
  <si>
    <t>0445.04-Aplicación de pintura</t>
  </si>
  <si>
    <t>0445.05-Aplicación de pintura anticorrosiva a puentes elevados</t>
  </si>
  <si>
    <t>0445.06-Aplicación de recubrimientos anticorrosivos</t>
  </si>
  <si>
    <t>0445.07-Aplicación de recubrimientos anticorrosivos y pintura de tuberías</t>
  </si>
  <si>
    <t>0445.08-Aplicación, levantamiento y/o rehabilitación de aislamientos térmicos</t>
  </si>
  <si>
    <t>0445.09-Armado y/o suministro de dispositivos y accesorios para perforación</t>
  </si>
  <si>
    <t>0445.10-Arrendamiento de maquinaria y/o equipos en general</t>
  </si>
  <si>
    <t>0445.11-Auditorías ambientales y monitoreo de emisión de contaminantes</t>
  </si>
  <si>
    <t>0445.12-Conexión de tuberías</t>
  </si>
  <si>
    <t>0445.13-Construcción de drenajes e instalaciones sanitarias</t>
  </si>
  <si>
    <t>0445.14-Construcción de estacionamientos en terminales de servicio</t>
  </si>
  <si>
    <t>0445.15-Construcción de señalamientos de instalaciones subterráneas</t>
  </si>
  <si>
    <t>0445.16-Construcción, reacondicionamiento y/o rehabilitación de cercas o bardas perimetrales</t>
  </si>
  <si>
    <t>0445.17-Desarmado, reparación y/o prueba de válvulas en tuberías</t>
  </si>
  <si>
    <t>0445.18-Diagnósticos de suelos</t>
  </si>
  <si>
    <t>0445.19-Edificación de inmuebles, como: oficinas, estacionamientos de oficinas, casetas de operadores, escuelas de adiestramiento, vestidores y baños, casas-habitación</t>
  </si>
  <si>
    <t>0445.20-Estudios hidrogeológicos</t>
  </si>
  <si>
    <t>0445.21-Estudios sismológicos</t>
  </si>
  <si>
    <t>0445.22-Instalación de cercas de malla de alambre</t>
  </si>
  <si>
    <t>0445.23-Instalación de protecciones contra incendio</t>
  </si>
  <si>
    <t>0445.24-Instalación de sistemas de aire acondicionado</t>
  </si>
  <si>
    <t>0445.25-Instalación de sistemas de interconexión en plantas</t>
  </si>
  <si>
    <t>0445.26-Instalación de sistemas de vigilancia</t>
  </si>
  <si>
    <t>0445.27-Instalación y/o mantenimiento de sistemas de lubricación</t>
  </si>
  <si>
    <t>0445.28-Instalación y/o rehabilitación de equipos y sistemas electrónicos</t>
  </si>
  <si>
    <t>0445.29-Instalación y/o mantenimiento de equipos de cómputo</t>
  </si>
  <si>
    <t>0445.30-Instalación y/o mantenimiento de sistemas de intercomunicación en elevadores</t>
  </si>
  <si>
    <t>0445.31-Instalación y/o mantenimiento de sistemas telefónicos y sus subsistemas</t>
  </si>
  <si>
    <t>0445.32-Instalación, reparación, reacondicionamiento, modernización y/o rehabilitación de compresores</t>
  </si>
  <si>
    <t>0445.33-Instalación de sistemas de interconexión de compresores</t>
  </si>
  <si>
    <t>0445.34-Maniobras de carga y descarga</t>
  </si>
  <si>
    <t>0445.35-Mantenimiento de maquinaria y/o equipos en general</t>
  </si>
  <si>
    <t>0445.36-Mantenimiento de aparatos de Rayos X</t>
  </si>
  <si>
    <t>0445.37-Mantenimiento de básculas y sus componentes</t>
  </si>
  <si>
    <t>0445.38-Mantenimiento de bienes muebles</t>
  </si>
  <si>
    <t>0445.39-Mantenimiento de equipos de perforación</t>
  </si>
  <si>
    <t>0445.40-Mantenimiento de equipos de transporte</t>
  </si>
  <si>
    <t>0445.41-Mantenimiento de plantas</t>
  </si>
  <si>
    <t>0445.42-Mantenimiento de plantas receptoras de gas</t>
  </si>
  <si>
    <t>0445.43-Mantenimiento de sistemas de aire acondicionado</t>
  </si>
  <si>
    <t>0445.44-Mantenimiento de software</t>
  </si>
  <si>
    <t>0445.45-Mantenimiento y/o aplicación de anticorrosivos a cercas o bardas perimetrales</t>
  </si>
  <si>
    <t>0445.46-Mantenimiento y/o rehabilitación de inmuebles</t>
  </si>
  <si>
    <t>0445.47-Mantenimiento y/o rehabilitación de protecciones contra incendio</t>
  </si>
  <si>
    <t>0445.48-Mantenimiento, modificación, reacondicionamiento y/o rehabilitación de equipos y sistemas eléctricos</t>
  </si>
  <si>
    <t>0445.49-Pavimentación</t>
  </si>
  <si>
    <t>0445.50-Pintura y rotulación de tanques</t>
  </si>
  <si>
    <t>0445.51-Pruebas a equipos de mezclado</t>
  </si>
  <si>
    <t>0445.52-Reacondicionamiento y/o rehabilitación de drenajes</t>
  </si>
  <si>
    <t>0445.53-Reparación y/o rehabilitación de maquinaria y/o equipos en general</t>
  </si>
  <si>
    <t>0445.54-Rehabilitación de corredores de tuberías</t>
  </si>
  <si>
    <t>0445.55-Rehabilitación de espuelas de ferrocarril</t>
  </si>
  <si>
    <t>0445.56-Rehabilitación y/o automatización de actuadores hidráulicos y neumáticos</t>
  </si>
  <si>
    <t>0445.57-Reparación de equipos generadores de niebla</t>
  </si>
  <si>
    <t>0445.58-Reparación de sellos mecánicos de bombas centrifugas</t>
  </si>
  <si>
    <t>0445.59-Reparación, mantenimiento y/o rehabilitación de diques</t>
  </si>
  <si>
    <t>0445.60-Reposición de losas en llenado de auto tanques y tambores</t>
  </si>
  <si>
    <t>0445.61-Retiro de materiales en almacenes y/o plantas</t>
  </si>
  <si>
    <t>0445.62-Rotulación y/o señalamientos en plantas</t>
  </si>
  <si>
    <t>0445.63-Servicios de lavado de pozos y filtración de fluidos</t>
  </si>
  <si>
    <t>0445.64-Servicios de limpieza de hidrocarburos</t>
  </si>
  <si>
    <t>0445.65-Servicios de limpieza de tanques</t>
  </si>
  <si>
    <t>0445.66-Servicios de limpieza de tuberías</t>
  </si>
  <si>
    <t>0445.67-Servicios de limpieza y desazolve de drenajes</t>
  </si>
  <si>
    <t>0445.68-Servicios de alimentación y hotelería</t>
  </si>
  <si>
    <t>0445.69-Servicios de capacitación al personal</t>
  </si>
  <si>
    <t>0445.70-Servicios de consultoría y asesoría técnica especializada</t>
  </si>
  <si>
    <t>0445.71-Servicios de embalaje de partes de maquinaria</t>
  </si>
  <si>
    <t>0445.72-Servicios de fotocopiado</t>
  </si>
  <si>
    <t>0445.73-Servicios de fumigación y control de plagas</t>
  </si>
  <si>
    <t>0445.74-Servicios de jardinería</t>
  </si>
  <si>
    <t>0445.75-Servicios de limpieza de inmuebles</t>
  </si>
  <si>
    <t>0445.76-Servicios de radiografiado industrial en soldadura y tuberías en plantas</t>
  </si>
  <si>
    <t>0445.77-Otros servicios de contratistas</t>
  </si>
  <si>
    <t>0445.78-Supervisión de estaciones de servicio</t>
  </si>
  <si>
    <t>0445.79-Supervisión de pozos</t>
  </si>
  <si>
    <t>0445.80-Tapado de tuberías</t>
  </si>
  <si>
    <t>0445.81-Trabajos de soldadura</t>
  </si>
  <si>
    <t>0445.82-Otros trabajos y/o servicios de contratistas</t>
  </si>
  <si>
    <t>0450.01-Tienda o expendio de conservas alimenticias, colorantes, mermeladas, jarabes, concentrados naturales y otros</t>
  </si>
  <si>
    <t>0450.02-Almacén, bodega y/o distribución de conservas alimenticias, colorantes, mermeladas, jarabes, concentrados naturales y/o similares</t>
  </si>
  <si>
    <t>0450.03-Fabricación, elaboración, congelación, encurtido, empacado y/o enlatado de conservas alimenticias, colorantes, mermeladas, jarabes, concentrados naturales y/o similares</t>
  </si>
  <si>
    <t>0460.01-Tienda o expendio de artículos de corcho</t>
  </si>
  <si>
    <t>0460.02-Almacén, bodega y/o distribución de artículos de corcho</t>
  </si>
  <si>
    <t>0460.03-Fabricación de artículos de corcho</t>
  </si>
  <si>
    <t>0470.01-Tienda o expendio de cristales, vidrios y/o productos de cristal y/o vidrio</t>
  </si>
  <si>
    <t>0470.02-Almacén, bodega y/o distribución de cristales, vidrios y/o productos de cristal y/o vidrio</t>
  </si>
  <si>
    <t>0470.03-Fabricación de cristales, vidrios y/o productos de cristal y/o vidrio</t>
  </si>
  <si>
    <t>0480.01-Centro de rehabilitación social con y sin taller</t>
  </si>
  <si>
    <t>0480.02-Residencias con cuidados de enfermeras para enfermos convalecientes, en rehabilitación, incurables y terminales</t>
  </si>
  <si>
    <t>0480.03-Residencias para el cuidado de personas con problemas de retardo mental, salud mental y abuso de substancias</t>
  </si>
  <si>
    <t>0480.04-Asilos y otras residencias para el cuidado de ancianos y discapacitados</t>
  </si>
  <si>
    <t>0480.05-Orfanatos y otras residencias de asistencia social</t>
  </si>
  <si>
    <t>0490.01-Tienda o expendio de cueros y/o pieles y sus productos</t>
  </si>
  <si>
    <t>0490.02-Almacén, bodega y/o distribución de cueros y/o pieles y sus productos</t>
  </si>
  <si>
    <t>0490.03-Curtido y acabado de cuero y/o piel</t>
  </si>
  <si>
    <t>0490.04-Fabricación de artículos de cuero y/o piel: bolsas, cinturones, carteras y/o similares (excepto calzado)</t>
  </si>
  <si>
    <t>0500.01-Cultivos en pie sin uso de calefactores</t>
  </si>
  <si>
    <t>0500.02-Cultivos en pie con uso de calefactores</t>
  </si>
  <si>
    <t>0500.03-Silvicultura</t>
  </si>
  <si>
    <t>0500.04-Cultivo de granos y semillas oleaginosas</t>
  </si>
  <si>
    <t>0500.05-Cultivo de hortalizas</t>
  </si>
  <si>
    <t>0500.06-Cultivo de frutales y nueces</t>
  </si>
  <si>
    <t>0500.07-Servicios relacionados con la agricultura</t>
  </si>
  <si>
    <t>0500.08-Comercio al por mayor de materias primas agropecuarias</t>
  </si>
  <si>
    <t>0510.01-Tienda o expendio de artículos, materiales y/o aparatos de deportes, sin armería</t>
  </si>
  <si>
    <t>0510.02-Tienda o expendio de artículos, materiales y/o aparatos de deportes, con armería</t>
  </si>
  <si>
    <t>0510.03-Almacén, bodega y/o distribución de artículos, materiales y/o aparatos de deportes, sin armería</t>
  </si>
  <si>
    <t>0510.04-Almacén, bodega y/o distribución de artículos, materiales y/o aparatos de deportes, con armería</t>
  </si>
  <si>
    <t>0510.05-Fabricación de artículos, materiales y/o aparatos de deportes, sin armería</t>
  </si>
  <si>
    <t>0510.06-Fabricación de artículos, materiales y/o aparatos de deportes, con armería</t>
  </si>
  <si>
    <t>0520.01-Clubes y/o centros deportivos o recreativos</t>
  </si>
  <si>
    <t>0520.02-Gimnasios</t>
  </si>
  <si>
    <t>0520.03-Campo de Golf</t>
  </si>
  <si>
    <t>0520.04-Campo de Golf - Hole in One</t>
  </si>
  <si>
    <t>0530.01-Deshidratadora de frutas, legumbres y/o similares</t>
  </si>
  <si>
    <t>0540.01-Tienda o expendio de detergentes, jabones, limpiadores, desinfectantes, aromatizantes y/o similares</t>
  </si>
  <si>
    <t>0540.02-Almacén, bodega y/o distribución de detergentes, jabones, limpiadores, desinfectantes, aromatizantes y/o similares</t>
  </si>
  <si>
    <t>0540.03-Fabricación de detergentes , jabones, limpiadores, desinfectantes, aromatizantes y/o similares sin uso de material inflamable y/o explosivos</t>
  </si>
  <si>
    <t>0540.04-Fabricación de detergentes, jabones, limpiadores, desinfectantes, aromatizantes y/o similares con uso de material inflamable y/o explosivos</t>
  </si>
  <si>
    <t>0550.01-Tienda o expendio de dulces, chicles, bombones, saborizantes y/o similares</t>
  </si>
  <si>
    <t>0550.02-Almacén, bodega y/o distribución de dulces, chicles, bombones, saborizantes y/o similares</t>
  </si>
  <si>
    <t>0550.03-Fabricación de dulces, chicles, bombones, saborizantes y/o similares sin fuego abierto</t>
  </si>
  <si>
    <t>0550.04-Fabricación de dulces, chicles, bombones, saborizantes y/o similares con fuego abierto</t>
  </si>
  <si>
    <t>0560.01-Tienda o expendio de artículos, materiales, aparatos y/o equipos eléctricos y/o accesorios de iluminación</t>
  </si>
  <si>
    <t>0560.02-Almacén, bodega y/o distribución de artículos, materiales, aparatos y/o equipos eléctricos y/o accesorios de iluminación</t>
  </si>
  <si>
    <t>0560.03-Fabricación de artículos, materiales, aparatos y/o equipos eléctricos</t>
  </si>
  <si>
    <t>0560.04-Fabricación de aparatos eléctricos de uso doméstico, excepto aparatos electrónicos</t>
  </si>
  <si>
    <t>0560.05-Fabricación de accesorios de iluminación</t>
  </si>
  <si>
    <t>0560.06-Fabricación de equipos de aire acondicionado</t>
  </si>
  <si>
    <t>0560.07-Fabricación de equipo de generación y distribución de energía eléctrica</t>
  </si>
  <si>
    <t>0560.08-Plantas distribuidoras y/o recibidoras y/o transformadoras de electricidad</t>
  </si>
  <si>
    <t>0560.09-Plantas generadoras de electricidad hidroeléctricas</t>
  </si>
  <si>
    <t>0560.10-Plantas generadoras de electricidad geotérmicas</t>
  </si>
  <si>
    <t>0560.11-Plantas generadoras de electricidad termoeléctricas</t>
  </si>
  <si>
    <t>0560.12-Plantas generadoras de electricidad diesel</t>
  </si>
  <si>
    <t>0560.13-Plantas generadoras de electricidad eólicas</t>
  </si>
  <si>
    <t>0560.14-Plantas generadoras de electricidad solar</t>
  </si>
  <si>
    <t>0570.01-Tienda o expendio de artículos, instrumentos, medios y/o aparatos electrónicos</t>
  </si>
  <si>
    <t>0570.02-Tienda o expendio de electrodomésticos y aparatos de linea blanca</t>
  </si>
  <si>
    <t>0570.03-Tienda o expendio de computadoras, teléfonos y otros aparatos de comunicación</t>
  </si>
  <si>
    <t>0570.04-Almacén, bodega y/o distribución de artículos, instrumentos, medios y/o aparatos electrónicos</t>
  </si>
  <si>
    <t>0570.05-Almacén, bodega y/o distribución de electrodomésticos y aparatos de linea blanca</t>
  </si>
  <si>
    <t>0570.06-Almacén, bodega y/o distribución de computadoras, teléfonos y otros aparatos de comunicación</t>
  </si>
  <si>
    <t>0570.07-Fabricación, armado o ensamblado de artículos, instrumentos, medios y/o aparatos electrónicos</t>
  </si>
  <si>
    <t>0570.08-Fabricación, armado o ensamblado de computadoras y equipo periférico</t>
  </si>
  <si>
    <t>0570.09-Fabricación, armado o ensamblado de equipo de comunicación</t>
  </si>
  <si>
    <t>0570.10-Fabricación, armado o ensamblado de equipo de audio y de video</t>
  </si>
  <si>
    <t>0570.11-Fabricación, armado o ensamblado de componentes electrónicos</t>
  </si>
  <si>
    <t>0570.12-Fabricación y reproducción de medios magnéticos y ópticos</t>
  </si>
  <si>
    <t>0575.01-Embarcación de uso comercial</t>
  </si>
  <si>
    <t>0575.02-Embarcación de uso oficial</t>
  </si>
  <si>
    <t>0575.03-Embarcación pesquera</t>
  </si>
  <si>
    <t>0575.04-Embarcación de uso privado y/o placer</t>
  </si>
  <si>
    <t>0575.05-Embarcación de uso turístico</t>
  </si>
  <si>
    <t>0575.06-Buque abastecedor</t>
  </si>
  <si>
    <t>0575.07-Buque remolcador</t>
  </si>
  <si>
    <t>0575.08-Embarcación de servicio</t>
  </si>
  <si>
    <t>0575.09-Embarcación de otro uso</t>
  </si>
  <si>
    <t>0575.10-Muelle</t>
  </si>
  <si>
    <t>0575.11-Puerto</t>
  </si>
  <si>
    <t>0576.01-Maquinaria autopropulsada o remolcada de uso general</t>
  </si>
  <si>
    <t>0576.02-Maquinaria fija de uso general</t>
  </si>
  <si>
    <t>0576.03-Maquinaria semifija de uso general</t>
  </si>
  <si>
    <t>0576.04-Grúas montadas sobre camión</t>
  </si>
  <si>
    <t>0576.05-Grúas giratorias de torre</t>
  </si>
  <si>
    <t>0576.06-Grúas móviles sobre rieles, orugas o ruedas, dragas terrestres</t>
  </si>
  <si>
    <t>0576.07-Maquinaria para minería y obras subterráneas a cielo abierto</t>
  </si>
  <si>
    <t>0576.08-Maquinaria para minería y obras subterráneas bajo tierra, incluye perforación de túneles o galerías</t>
  </si>
  <si>
    <t>0576.09-Maquinaria autopropulsada trabajando en presas, puentes, puertos y muelles</t>
  </si>
  <si>
    <t>0576.10-Equipos de perforación de pozos y pilotaje, excluyendo perforación petrolera y geotérmica</t>
  </si>
  <si>
    <t>0576.11-Maquinaria agricola</t>
  </si>
  <si>
    <t>0576.12-Maquinaria para explotación de bosques, excluyendo sierras y herramientas de mano</t>
  </si>
  <si>
    <t>0576.13-Maquinaria para movimiento de carga y descarga, excepto grúas</t>
  </si>
  <si>
    <t>0576.14-Equipo ferroviario (locomotoras, furgones, remolcadores, carros de ferrocarril y grúas ferroviarias)</t>
  </si>
  <si>
    <t>0576.15-Otros equipos, excluyendo equipos portátiles</t>
  </si>
  <si>
    <t>0580.01-Escuelas, Colegios, Universidades y/o Jardines de Niños</t>
  </si>
  <si>
    <t>0580.02-Jardin de niños</t>
  </si>
  <si>
    <t>0580.03-Escuelas de educación básica, media y especial</t>
  </si>
  <si>
    <t>0580.04-Escuelas de educación postbachillerato no universitaria</t>
  </si>
  <si>
    <t>0580.05-Escuelas de educación superior</t>
  </si>
  <si>
    <t>0580.06-Escuelas comerciales, de computación y de capacitación para ejecutivos</t>
  </si>
  <si>
    <t>0580.07-Escuelas de oficios</t>
  </si>
  <si>
    <t>0580.08-Otros servicios educativos</t>
  </si>
  <si>
    <t>0580.09-Servicios de apoyo a la educación</t>
  </si>
  <si>
    <t>0590.01-Espectáculos públicos al aire libre con material incombustible</t>
  </si>
  <si>
    <t>0590.02-Espectáculos públicos al aire libre con material combustible</t>
  </si>
  <si>
    <t>0590.03-Espectáculos públicos cubiertos con material incombustible</t>
  </si>
  <si>
    <t>0590.04-Espectáculos públicos cubiertos con material combustible</t>
  </si>
  <si>
    <t>0590.06-Teatros o auditorios</t>
  </si>
  <si>
    <t>0590.07-Industria fílmica y del video</t>
  </si>
  <si>
    <t>0590.08-Industria del sonido</t>
  </si>
  <si>
    <t>0590.09-Parques con instalaciones recreativas y casas de juegos electrónicos</t>
  </si>
  <si>
    <t>0590.10-Casinos, loterías y otros juegos de azar</t>
  </si>
  <si>
    <t>0590.11-Otros servicios recreativos</t>
  </si>
  <si>
    <t>0600.01-Farmacia y/o botica (tienda o expendio)</t>
  </si>
  <si>
    <t>0600.02-Almacén, bodega y/o distribución de artículos y/o productos farmacéuticos</t>
  </si>
  <si>
    <t>0610.01-Ferretería y/o tlapalería, sin venta de solventes (tienda o expendio)</t>
  </si>
  <si>
    <t>0610.02-Ferretería y/o tlapalería, con venta de solventes (tienda o expendio)</t>
  </si>
  <si>
    <t>0610.03-Almacén, bodega y/o distribución de artículos de ferretería y/o tlapalería, sin venta de solvemtes</t>
  </si>
  <si>
    <t>0610.04-Almacén, bodega y/o distribución de artículos de ferretería y/o tlapalería, con venta de solvemtes</t>
  </si>
  <si>
    <t>0610.05-Fabricación de artículos de ferretería y/o tlapalería, sin incluir solventes</t>
  </si>
  <si>
    <t>0620.01-Tienda o expendio de fertilizantes, abonos y/u otros agroquímicos</t>
  </si>
  <si>
    <t>0620.02-Almacén, bodega y/o distribución de fertilizantes, abonos y/u otros agroquímicos</t>
  </si>
  <si>
    <t>0620.03-Fabricación de fertilizantes, abonos y/u otros agroquímicos</t>
  </si>
  <si>
    <t>0630.01-Tienda o expendio de fibras duras</t>
  </si>
  <si>
    <t>0630.02-Almacén, bodega y/o distribución de fibras duras</t>
  </si>
  <si>
    <t>0630.03-Fabricación de fibras duras con separación de áreas</t>
  </si>
  <si>
    <t>0630.04-Fabricación de fibras duras con rompedora y batientes sin separación de áreas</t>
  </si>
  <si>
    <t>0630.05-Industria textil de fibras duras y cordelería</t>
  </si>
  <si>
    <t>0640.01-Tienda o expendio de filtros industriales y/o automotrices</t>
  </si>
  <si>
    <t>0640.02-Almacén, bodega y/o distribución de filtros industriales y/o automotrices</t>
  </si>
  <si>
    <t>0640.03-Fabricación de filtros automotrices</t>
  </si>
  <si>
    <t>0640.04-Fabricación de filtros industriales</t>
  </si>
  <si>
    <t>0650.01-Tienda o expendio de flores naturales</t>
  </si>
  <si>
    <t>0650.02-Almacén, bodega y/o distribución de flores naturales</t>
  </si>
  <si>
    <t>0650.03-Invernaderos, viveros y floricultura</t>
  </si>
  <si>
    <t>0660.01-Tienda o expendio de material y/o equipo de fotografía</t>
  </si>
  <si>
    <t>0660.02-Almacén, bodega y/o distribución de material y/o equipo de fotografía</t>
  </si>
  <si>
    <t>0660.03-Servicios de revelado de fotografías</t>
  </si>
  <si>
    <t>0660.04-Estudio de fotografía</t>
  </si>
  <si>
    <t>0660.05-Fabricación de películas, placas y papel sensible para fotografía</t>
  </si>
  <si>
    <t>0660.06-Tienda o expendio de fotocopiadoras</t>
  </si>
  <si>
    <t>0660.07-Almacén, bodega y/o distribución de fotocopiadoras</t>
  </si>
  <si>
    <t>0660.08-Servicios de fotocopiado</t>
  </si>
  <si>
    <t>0660.09-Taller de reparación de equipos de fotografía y/o fotocopiadoras</t>
  </si>
  <si>
    <t>0660.10-Fabricación de reparación de equipos de fotografía y/o fotocopiadoras</t>
  </si>
  <si>
    <t>0670.01-Tienda o expendio de frituras, papas fritas, cacahuates, chicharrones y/o similares</t>
  </si>
  <si>
    <t>0670.02-Almacén, bodega y/o distribución de frituras, papas fritas, cacahuates, chicharrones y/o similares</t>
  </si>
  <si>
    <t>0670.03-Fabricación de frituras, papas fritas, cacahuates, chicharrones y/o similares</t>
  </si>
  <si>
    <t>0680.01-Tienda o expendio de frutas y/o legumbres</t>
  </si>
  <si>
    <t>0680.02-Almacén, bodega y/o distribución de frutas y/o legumbres</t>
  </si>
  <si>
    <t>0690.01-Guarderías del IMSS</t>
  </si>
  <si>
    <t>0690.02-Estancias infantiles de SEDESOL</t>
  </si>
  <si>
    <t>0690.03-Estancias infantiles y/o Guarderías</t>
  </si>
  <si>
    <t>0690.03-Guarderías y/o Estancias infantiles</t>
  </si>
  <si>
    <t>0700.01-Depósito o distribución de gases inertes (gases derivados del aire)</t>
  </si>
  <si>
    <t>0700.02-Fabricación de gases inertes (gases derivados del aire)</t>
  </si>
  <si>
    <t>0700.03-Fabricación de gases industriales</t>
  </si>
  <si>
    <t>0710.01-Condominio / Departamento</t>
  </si>
  <si>
    <t>0710.02-Condominio / Departamento de lujo</t>
  </si>
  <si>
    <t>0710.03-Edificios en condominio para uso de vivienda B25</t>
  </si>
  <si>
    <t>0710.04-Casa Habitación</t>
  </si>
  <si>
    <t>0710.05-Casa Habitación de lujo</t>
  </si>
  <si>
    <t>0710.06-Casas unifamiliares</t>
  </si>
  <si>
    <t>0710.07-Casa de campo</t>
  </si>
  <si>
    <t>0710.08-Mascotas</t>
  </si>
  <si>
    <t>0710.09-Servicio de empleados domésticos para hogares</t>
  </si>
  <si>
    <t>0710.10-Reparación y mantenimiento de artículos para el hogar y personales</t>
  </si>
  <si>
    <t>0710.11-Alquiler de artículos para el hogar</t>
  </si>
  <si>
    <t>0720.01-Tienda o expendio de harina de pescado</t>
  </si>
  <si>
    <t>0720.02-Almacén, bodega y/o distribución de harina de pescado</t>
  </si>
  <si>
    <t>0720.03-Fabricación de harina de pescado</t>
  </si>
  <si>
    <t>0720.04-Molienda de harina de pescado</t>
  </si>
  <si>
    <t>0720.05-Fabricación de alimentos con harina de pescado</t>
  </si>
  <si>
    <t>0730.01-Tienda o expendio de helados, nieves, paletas y/o hielo</t>
  </si>
  <si>
    <t>0730.02-Almacén, bodega y/o distribución de helados, nieves, paletas y/o hielo</t>
  </si>
  <si>
    <t>0730.03-Fabricación de helados, nieves y/o paletas</t>
  </si>
  <si>
    <t>0730.04-Elaboración de helados, nieves y/o paletas (incluyendo de agua)</t>
  </si>
  <si>
    <t>0730.05-Fabricación de hielo, excluye hielo seco</t>
  </si>
  <si>
    <t>0740.01-Hospitales Generales</t>
  </si>
  <si>
    <t>0740.02-Hospitales de especialidades médicas</t>
  </si>
  <si>
    <t>0740.03-Hospitales psiquiátricos y para el tratamiento por abuso de substancias</t>
  </si>
  <si>
    <t>0740.04-Clínicas</t>
  </si>
  <si>
    <t>0740.05-Clínica dental</t>
  </si>
  <si>
    <t>0740.06-Centros de rehabilitación</t>
  </si>
  <si>
    <t>0740.07-Centros para la atención de pacientes que no requieren hospitalización</t>
  </si>
  <si>
    <t>0740.08-Servicios de enfermería a domicilio</t>
  </si>
  <si>
    <t>0740.09-Servicios de ambulancias, de bancos de órganos y otros servicios auxiliares al tratamiento médico</t>
  </si>
  <si>
    <t>0740.10-Laboratorios clínicos, médicos y de diagnóstico</t>
  </si>
  <si>
    <t>0740.11-Pruebas clínicas</t>
  </si>
  <si>
    <t>0740.12-Verificadores de insumos para la salud</t>
  </si>
  <si>
    <t>0750.01-Hotel de 1 estrella (económico) - Hotel de ciudad o urbano</t>
  </si>
  <si>
    <t>0750.02-Hotel de 1 estrella (económico) - Hotel de aeropuerto</t>
  </si>
  <si>
    <t>0750.03-Hotel de 1 estrella (económico) - Hotel bussiness class o negocios</t>
  </si>
  <si>
    <t>0750.04-Hotel de 1 estrella (económico) - Hotel low cost</t>
  </si>
  <si>
    <t>0750.05-Hotel de 1 estrella (económico) - Hotel de playa</t>
  </si>
  <si>
    <t>0750.06-Hotel de 1 estrella (económico) - Hotel de naturaleza o de montaña</t>
  </si>
  <si>
    <t>0750.07-Hotel de 1 estrella (económico) - Hotel apartamentos o familiar</t>
  </si>
  <si>
    <t>0750.08-Hotel de 1 estrella (económico) - Hotel posada</t>
  </si>
  <si>
    <t>0750.09-Hotel de 1 estrella (económico) - Hotel monumento</t>
  </si>
  <si>
    <t>0750.10-Hotel de 1 estrella (económico) - Hotel balneario</t>
  </si>
  <si>
    <t>0750.11-Hotel de 1 estrella (económico) - Hotel de paso o motel</t>
  </si>
  <si>
    <t>0750.12-Hotel de 1 estrella (económico) - Hotel casino</t>
  </si>
  <si>
    <t>0750.13-Hotel de 1 estrella (económico) - Hotel club o deportivo</t>
  </si>
  <si>
    <t>0750.14-Hotel de 1 estrella (económico) - Hotel gastronómico</t>
  </si>
  <si>
    <t>0750.15-Hotel de 1 estrella (económico) - Hotel de temporada</t>
  </si>
  <si>
    <t>0750.17-Hotel de 1 estrella (económico) - Hotel rústico</t>
  </si>
  <si>
    <t>0750.18-Hotel de 1 estrella (económico) - Hotel vacacional</t>
  </si>
  <si>
    <t>0750.19-Hotel de 2 estrellas (valor) - Hotel de ciudad o urbano</t>
  </si>
  <si>
    <t>0750.20-Hotel de 2 estrellas (valor) - Hotel de aeropuerto</t>
  </si>
  <si>
    <t>0750.21-Hotel de 2 estrellas (valor) - Hotel bussiness class o negocios</t>
  </si>
  <si>
    <t>0750.22-Hotel de 2 estrellas (valor) - Hotel low cost</t>
  </si>
  <si>
    <t>0750.23-Hotel de 2 estrellas (valor) - Hotel de playa</t>
  </si>
  <si>
    <t>0750.24-Hotel de 2 estrellas (valor) - Hotel de naturaleza o de montaña</t>
  </si>
  <si>
    <t>0750.25-Hotel de 2 estrellas (valor) - Hotel apartamentos o familiar</t>
  </si>
  <si>
    <t>0750.26-Hotel de 2 estrellas (valor) - Hotel posada</t>
  </si>
  <si>
    <t>0750.27-Hotel de 2 estrellas (valor) - Hotel monumento</t>
  </si>
  <si>
    <t>0750.28-Hotel de 2 estrellas (valor) - Hotel balneario</t>
  </si>
  <si>
    <t>0750.29-Hotel de 2 estrellas (valor) - Hotel de paso o motel</t>
  </si>
  <si>
    <t>0750.30-Hotel de 2 estrellas (valor) - Hotel casino</t>
  </si>
  <si>
    <t>0750.31-Hotel de 2 estrellas (valor) - Hotel club o deportivo</t>
  </si>
  <si>
    <t>0750.32-Hotel de 2 estrellas (valor) - Hotel gastronómico</t>
  </si>
  <si>
    <t>0750.33-Hotel de 2 estrellas (valor) - Hotel de temporada</t>
  </si>
  <si>
    <t>0750.34-Hotel de 2 estrellas (valor) - Hotel rústico</t>
  </si>
  <si>
    <t>0750.35-Hotel de 2 estrellas (valor) - Hotel vacacional</t>
  </si>
  <si>
    <t>0750.36-Hotel de 3 estrellas (calidad) - Hotel de ciudad o urbano</t>
  </si>
  <si>
    <t>0750.37-Hotel de 3 estrellas (calidad) - Hotel de aeropuerto</t>
  </si>
  <si>
    <t>0750.38-Hotel de 3 estrellas (calidad) - Hotel bussiness class o negocios</t>
  </si>
  <si>
    <t>0750.39-Hotel de 3 estrellas (calidad) - Hotel low cost</t>
  </si>
  <si>
    <t>0750.40-Hotel de 3 estrellas (calidad) - Hotel de playa</t>
  </si>
  <si>
    <t>0750.41-Hotel de 3 estrellas (calidad) - Hotel de naturaleza o de montaña</t>
  </si>
  <si>
    <t>0750.42-Hotel de 3 estrellas (calidad) - Hotel apartamentos o familiar</t>
  </si>
  <si>
    <t>0750.43-Hotel de 3 estrellas (calidad) - Hotel posada</t>
  </si>
  <si>
    <t>0750.44-Hotel de 3 estrellas (calidad) - Hotel monumento</t>
  </si>
  <si>
    <t>0750.45-Hotel de 3 estrellas (calidad) - Hotel balneario</t>
  </si>
  <si>
    <t>0750.46-Hotel de 3 estrellas (calidad) - Hotel de paso o motel</t>
  </si>
  <si>
    <t>0750.47-Hotel de 3 estrellas (calidad) - Hotel casino</t>
  </si>
  <si>
    <t>0750.48-Hotel de 3 estrellas (calidad) - Hotel club o deportivo</t>
  </si>
  <si>
    <t>0750.49-Hotel de 3 estrellas (calidad) - Hotel gastronómico</t>
  </si>
  <si>
    <t>0750.50-Hotel de 3 estrellas (calidad) - Hotel de temporada</t>
  </si>
  <si>
    <t>0750.51-Hotel de 3 estrellas (calidad) - Hotel rústico</t>
  </si>
  <si>
    <t>0750.52-Hotel de 3 estrellas (calidad) - Hotel vacacional</t>
  </si>
  <si>
    <t>0750.53-Hotel de 4 estrellas (superior) - Hotel de ciudad o urbano</t>
  </si>
  <si>
    <t>0750.54-Hotel de 4 estrellas (superior) - Hotel de aeropuerto</t>
  </si>
  <si>
    <t>0750.55-Hotel de 4 estrellas (superior) - Hotel bussiness class o negocios</t>
  </si>
  <si>
    <t>0750.56-Hotel de 4 estrellas (superior) - Hotel low cost</t>
  </si>
  <si>
    <t>0750.57-Hotel de 4 estrellas (superior) - Hotel de playa</t>
  </si>
  <si>
    <t>0750.58-Hotel de 4 estrellas (superior) - Hotel de naturaleza o de montaña</t>
  </si>
  <si>
    <t>0750.59-Hotel de 4 estrellas (superior) - Hotel apartamentos o familiar</t>
  </si>
  <si>
    <t>0750.60-Hotel de 4 estrellas (superior) - Hotel posada</t>
  </si>
  <si>
    <t>0750.61-Hotel de 4 estrellas (superior) - Hotel monumento</t>
  </si>
  <si>
    <t>0750.62-Hotel de 4 estrellas (superior) - Hotel balneario</t>
  </si>
  <si>
    <t>0750.63-Hotel de 4 estrellas (superior) - Hotel de paso o motel</t>
  </si>
  <si>
    <t>0750.64-Hotel de 4 estrellas (superior) - Hotel casino</t>
  </si>
  <si>
    <t>0750.65-Hotel de 4 estrellas (superior) - Hotel club o deportivo</t>
  </si>
  <si>
    <t>0750.66-Hotel de 4 estrellas (superior) - Hotel gastronómico</t>
  </si>
  <si>
    <t>0750.67-Hotel de 4 estrellas (superior) - Hotel de temporada</t>
  </si>
  <si>
    <t>0750.68-Hotel de 4 estrellas (superior) - Hotel rústico</t>
  </si>
  <si>
    <t>0750.69-Hotel de 4 estrellas (superior) - Hotel vacacional</t>
  </si>
  <si>
    <t>0750.70-Campos turistas, campamentos y albergues recreativos</t>
  </si>
  <si>
    <t>0750.71-Pensiones y casas de huéspedes, y departamentos y casas amueblados con servicios de hotelería</t>
  </si>
  <si>
    <t>0755.02-Hotel de 5 estrellas (excepcional) - Hotel de aeropuerto</t>
  </si>
  <si>
    <t>0755.03-Hotel de 5 estrellas (excepcional) - Hotel bussiness class o negocios</t>
  </si>
  <si>
    <t>0755.04-Hotel de 5 estrellas (excepcional) - Hotel low cost</t>
  </si>
  <si>
    <t>0755.05-Hotel de 5 estrellas (excepcional) - Hotel de playa</t>
  </si>
  <si>
    <t>0755.06-Hotel de 5 estrellas (excepcional) - Hotel de naturaleza o de montaña</t>
  </si>
  <si>
    <t>0755.07-Hotel de 5 estrellas (excepcional) - Hotel apartamentos o familiar</t>
  </si>
  <si>
    <t>0755.08-Hotel de 5 estrellas (excepcional) - Hotel posada</t>
  </si>
  <si>
    <t>0755.09-Hotel de 5 estrellas (excepcional) - Hotel monumento</t>
  </si>
  <si>
    <t>0755.10-Hotel de 5 estrellas (excepcional) - Hotel balneario</t>
  </si>
  <si>
    <t>0755.11-Hotel de 5 estrellas (excepcional) - Hotel casino</t>
  </si>
  <si>
    <t>0755.12-Hotel de 5 estrellas (excepcional) - Hotel club o deportivo</t>
  </si>
  <si>
    <t>0755.13-Hotel de 5 estrellas (excepcional) - Hotel gastronómico</t>
  </si>
  <si>
    <t>0755.14-Hotel de 5 estrellas (excepcional) - Hotel de temporada</t>
  </si>
  <si>
    <t>0755.15-Hotel de 5 estrellas (excepcional) - Hotel rústico</t>
  </si>
  <si>
    <t>0755.16-Hotel de 5 estrellas (excepcional) - Hotel vacacional</t>
  </si>
  <si>
    <t>0755.17-Hotel de 6 estrellas (Gran turismo) - Hotel de ciudad o urbano</t>
  </si>
  <si>
    <t>0755.18-Hotel de 6 estrellas (Gran turismo) - Hotel de aeropuerto</t>
  </si>
  <si>
    <t>0755.19-Hotel de 6 estrellas (Gran turismo) - Hotel bussiness class o negocios</t>
  </si>
  <si>
    <t>0755.20-Hotel de 6 estrellas (Gran turismo) - Hotel low cost</t>
  </si>
  <si>
    <t>0755.21-Hotel de 6 estrellas (Gran turismo) - Hotel de playa</t>
  </si>
  <si>
    <t>0755.22-Hotel de 6 estrellas (Gran turismo) - Hotel de naturaleza o de montaña</t>
  </si>
  <si>
    <t>0755.23-Hotel de 6 estrellas (Gran turismo) - Hotel apartamentos o familiar</t>
  </si>
  <si>
    <t>0755.24-Hotel de 6 estrellas (Gran turismo) - Hotel posada</t>
  </si>
  <si>
    <t>0755.25-Hotel de 6 estrellas (Gran turismo) - Hotel monumento</t>
  </si>
  <si>
    <t>0755.26-Hotel de 6 estrellas (Gran turismo) - Hotel balneario</t>
  </si>
  <si>
    <t>0755.27-Hotel de 6 estrellas (Gran turismo) - Hotel casino</t>
  </si>
  <si>
    <t>0755.28-Hotel de 6 estrellas (Gran turismo) - Hotel club o deportivo</t>
  </si>
  <si>
    <t>0755.29-Hotel de 6 estrellas (Gran turismo) - Hotel gastronómico</t>
  </si>
  <si>
    <t>0755.30-Hotel de 6 estrellas (Gran turismo) - Hotel de temporada</t>
  </si>
  <si>
    <t>0755.31-Hotel de 6 estrellas (Gran turismo) - Hotel rústico</t>
  </si>
  <si>
    <t>0755.32-Hotel de 6 estrellas (Gran turismo) - Hotel vacacional</t>
  </si>
  <si>
    <t>0755.33-Hotel de 7 estrellas (VIP) - Hotel de ciudad o urbano</t>
  </si>
  <si>
    <t>0755.34-Hotel de 7 estrellas (VIP) - Hotel de aeropuerto</t>
  </si>
  <si>
    <t>0755.35-Hotel de 7 estrellas (VIP) - Hotel bussiness class o negocios</t>
  </si>
  <si>
    <t>0755.36-Hotel de 7 estrellas (VIP) - Hotel low cost</t>
  </si>
  <si>
    <t>0755.37-Hotel de 7 estrellas (VIP) - Hotel de playa</t>
  </si>
  <si>
    <t>0755.38-Hotel de 7 estrellas (VIP) - Hotel de naturaleza o de montaña</t>
  </si>
  <si>
    <t>0755.39-Hotel de 7 estrellas (VIP) - Hotel apartamentos o familiar</t>
  </si>
  <si>
    <t>0755.40-Hotel de 7 estrellas (VIP) - Hotel posada</t>
  </si>
  <si>
    <t>0755.41-Hotel de 7 estrellas (VIP) - Hotel monumento</t>
  </si>
  <si>
    <t>0755.42-Hotel de 7 estrellas (VIP) - Hotel balneario</t>
  </si>
  <si>
    <t>0755.43-Hotel de 7 estrellas (VIP) - Hotel casino</t>
  </si>
  <si>
    <t>0755.44-Hotel de 7 estrellas (VIP) - Hotel club o deportivo</t>
  </si>
  <si>
    <t>0755.45-Hotel de 7 estrellas (VIP) - Hotel gastronómico</t>
  </si>
  <si>
    <t>0755.46-Hotel de 7 estrellas (VIP) - Hotel de temporada</t>
  </si>
  <si>
    <t>0755.47-Hotel de 7 estrellas (VIP) - Hotel rústico</t>
  </si>
  <si>
    <t>0755.48-Hotel de 7 estrellas (VIP) - Hotel vacacional</t>
  </si>
  <si>
    <t>0755.49-Hoteles, moteles, campos turistas y similares de 5 o mas estrellas</t>
  </si>
  <si>
    <t>0760.01-Tienda o expendio de hules y/o látex natural</t>
  </si>
  <si>
    <t>0760.02-Almacén, bodega y/o distribución de hules y/o látex natural</t>
  </si>
  <si>
    <t>0760.03-Fabricación de hules y/o látex natural sin uso de disolventes</t>
  </si>
  <si>
    <t>0760.04-Fabricación de hules y/o látex natural con uso de disolventes, estando los departamentos de cemento y depósitos debidamente separados</t>
  </si>
  <si>
    <t>0760.05-Fabricación de hules y/o látex natural con uso de disolventes, y no separados los departamentos de cemento y depósitos</t>
  </si>
  <si>
    <t>0760.06-Fabricación de hule sintético</t>
  </si>
  <si>
    <t>0760.07-Fabricación de espumas uretánicas (hule espuma) y sus productos</t>
  </si>
  <si>
    <t>0770.01-Iglesias y/o templos</t>
  </si>
  <si>
    <t>0770.02-Velatorios, servicios funerarios y administración de cementerios</t>
  </si>
  <si>
    <t>0780.01-Taller de imprenta, litografía y/o encuadernación</t>
  </si>
  <si>
    <t>0790.01-Tienda o expendio de insecticidas, pesticidas y/o plaguicidas</t>
  </si>
  <si>
    <t>0790.02-Almacén, bodega y/o distribución de insecticidas, pesticidas y/o plaguicidas</t>
  </si>
  <si>
    <t>0790.03-Fabricación de insecticidas, pesticidas y/o plaguicidas sin uso de disolventes inflamables</t>
  </si>
  <si>
    <t>0790.04-Fabricación de insecticidas, pesticidas y/o plaguicidas con uso de disolventes inflamables</t>
  </si>
  <si>
    <t>0800.01-Tienda o expendio de instrumentos musicales</t>
  </si>
  <si>
    <t>0800.02-Almacén, bodega y/o distribución de instrumentos musicales</t>
  </si>
  <si>
    <t>0800.03-Fabricación de instrumentos musicales sin uso de madera</t>
  </si>
  <si>
    <t>0800.04-Fabricación de instrumentos musicales sin labrado de madera</t>
  </si>
  <si>
    <t>0805.01-Intermediación de comercio al por menor</t>
  </si>
  <si>
    <t xml:space="preserve">0805.02-Intermediación de comercio al por mayor </t>
  </si>
  <si>
    <t>0810.01-Tienda o expendio de juguetes o juguetería</t>
  </si>
  <si>
    <t>0810.02-Almacén, bodega y/o distribución de juguetes</t>
  </si>
  <si>
    <t>0810.03-Fabricación de juguetes</t>
  </si>
  <si>
    <t>0820.01-Lavandería, planchaduría y/o tintorería</t>
  </si>
  <si>
    <t>0830.01-Tienda o expendio de leche y sus derivados</t>
  </si>
  <si>
    <t>0830.02-Almacén, bodega y/o distribución de leche y sus derivados</t>
  </si>
  <si>
    <t>0830.03-Fabricación de leche y sus derivados</t>
  </si>
  <si>
    <t>0830.04-Elaboración de leche condensada, evaporada y/o en polvo</t>
  </si>
  <si>
    <t>0840.01-Librerías</t>
  </si>
  <si>
    <t>0840.02-Tienda o expendio de periódicos y/o revistas</t>
  </si>
  <si>
    <t>0840.03-Almacén, bodega y/o distribución de libros, revistas y/o periódicos</t>
  </si>
  <si>
    <t>0840.04-Editoriales. Edición de periódicos, revistas, libros y/o similares, excepto a través de Internet</t>
  </si>
  <si>
    <t>0850.01-Tienda o expendio de llantas y cámaras</t>
  </si>
  <si>
    <t>0850.02-Almacén, bodega y/o distribución de llantas y cámaras</t>
  </si>
  <si>
    <t>0850.03-Fabricación de llantas y cámaras</t>
  </si>
  <si>
    <t>0860.01-Tienda o expendio de artículos de madera</t>
  </si>
  <si>
    <t>0860.02-Almacen, bodega y/o distribución de articulos de madera y/o maderas al aire libre y sotechados</t>
  </si>
  <si>
    <t>0860.03-Taller de artículos de madera a mano</t>
  </si>
  <si>
    <t>0860.04-Fabricación de artículos de madera</t>
  </si>
  <si>
    <t>0860.05-Fabricación de triplay, fibracel, chapa, laminados y/o aglutinados de madera</t>
  </si>
  <si>
    <t>0860.06-Aserrado y conservación de la madera</t>
  </si>
  <si>
    <t>0860.07-Viveros forestales y recolección de productos forestales</t>
  </si>
  <si>
    <t>0860.08-Tala de árboles</t>
  </si>
  <si>
    <t>0860.09-Servicios relacionados con el aprovechamiento forestal</t>
  </si>
  <si>
    <t>0870.01-Sala de exhibición, patio o tienda de maquinaria y equipo para los servicios y para actividades comerciales</t>
  </si>
  <si>
    <t>0870.02-Almacén, bodega y/o distribución de maquinaria y equipo para los servicios y para actividades comerciales</t>
  </si>
  <si>
    <t>0870.03-Almacén, bodega y/o distribución de maquinaria, mobiliario y equipo de uso general</t>
  </si>
  <si>
    <t>0870.04-Fabricación de maquinaria y equipo para el comercio y los servicios</t>
  </si>
  <si>
    <t>0870.04-Fabricación de maquinaria y equipo para el comercio y/o los servicios</t>
  </si>
  <si>
    <t>0870.05-Fabricación de sistemas de aire acondicionado, calefacción y de refrigeración industrial y comercial</t>
  </si>
  <si>
    <t>0870.06-Fabricación y/o armado de maquinaria y equipo para las actividades agropecuarias, para la construcción y para la industria extractiva</t>
  </si>
  <si>
    <t>0870.07-Fabricación y/o armado de maquinaria y equipo para las industrias manufactureras, excepto la metalmecánica</t>
  </si>
  <si>
    <t>0870.08-Fabricación y/o armado de maquinaria y equipo para la industria metalmecánica</t>
  </si>
  <si>
    <t>0870.09-Fabricación y/o armado de otra maquinaria y equipo para la industria en general</t>
  </si>
  <si>
    <t>0870.10-Talleres de mantenimiento y/o reparación de maquinaria y equipo agropecuario, industrial, comercial y de servicios</t>
  </si>
  <si>
    <t>0870.11-Alquiler y/o renta de maquinaria y equipo industrial, comercial y de servicios</t>
  </si>
  <si>
    <t>0870.12-Montaje de Máquinas de Fabricación</t>
  </si>
  <si>
    <t>0870.13-Montaje de Máquinas y Equipos en todos los ramos Industriales</t>
  </si>
  <si>
    <t>0870.14-Montaje de Plantas completas</t>
  </si>
  <si>
    <t>0870.15-Montaje de Plantas de Fuerza</t>
  </si>
  <si>
    <t>0870.16-Montaje de Puentes de Acero</t>
  </si>
  <si>
    <t>0870.17-Montaje de Líneas de Transmisión</t>
  </si>
  <si>
    <t>0870.18-Montaje de Subestaciones Eléctricas</t>
  </si>
  <si>
    <t>0870.19-Montaje de Gasoductos y/u Oleoductos</t>
  </si>
  <si>
    <t>0870.20-Montaje de Turbinas (en general)</t>
  </si>
  <si>
    <t>0870.21-Montaje de Transformadores</t>
  </si>
  <si>
    <t>0870.22-Montaje de Máquinas de vapor</t>
  </si>
  <si>
    <t>0870.23-Montaje de Compresores refrigeradores completos</t>
  </si>
  <si>
    <t>0870.24-Montaje de Hornos</t>
  </si>
  <si>
    <t>0870.25-Montaje de Tanques y/o Recipientes</t>
  </si>
  <si>
    <t>0870.26-Montaje de Molinos</t>
  </si>
  <si>
    <t>0870.27-Montaje de Máquinas para hacer papel y/o cartón</t>
  </si>
  <si>
    <t>0870.28-Montaje de Prensas Rotativas</t>
  </si>
  <si>
    <t>0870.29-Montaje de Refinerías</t>
  </si>
  <si>
    <t>0870.30-Montaje de Maquinaria y/o Equipo para Artes Gráficas</t>
  </si>
  <si>
    <t>0870.31-Montaje de Plantas de Agua Potable</t>
  </si>
  <si>
    <t>0870.32-Montaje de Instalaciones Eéctricas</t>
  </si>
  <si>
    <t>0870.33-Montaje de Equipos de Aire Acondicionado</t>
  </si>
  <si>
    <t>0870.34-Montaje de otras máquinas y/o equipos</t>
  </si>
  <si>
    <t>0880.01-Tienda o expendio de materiales para la construcción</t>
  </si>
  <si>
    <t>0880.02-Almacén, bodega y/o distribución de materiales para la construcción</t>
  </si>
  <si>
    <t>0880.03-Fabricación de materiales para la construcción excepto cemento y concreto</t>
  </si>
  <si>
    <t>0880.04-Fabricación de cemento y productos de concreto</t>
  </si>
  <si>
    <t>0880.10-Tienda o expendio de materiales para la construcción</t>
  </si>
  <si>
    <t>0890.01-Fabricación de productos farmacéuticos</t>
  </si>
  <si>
    <t>0895.01-Médico general</t>
  </si>
  <si>
    <t>0895.02-Médico con especialidad(es)</t>
  </si>
  <si>
    <t>0895.03-Médico cirujano</t>
  </si>
  <si>
    <t>0895.04-Médico cirujano con especialidad(es)</t>
  </si>
  <si>
    <t>0895.05-Profesional técnico y/o auxiliar de la medicina</t>
  </si>
  <si>
    <t>0895.06-Médico odontólogo</t>
  </si>
  <si>
    <t>0895.07-Médico odontólogo cirujano maxilofacial</t>
  </si>
  <si>
    <t>0895.08-Profesional técnico y/o auxiliar de la medicina odontológica</t>
  </si>
  <si>
    <t>0895.09-Médico veterinario</t>
  </si>
  <si>
    <t>0895.10-Consultorio médico</t>
  </si>
  <si>
    <t>0895.11-Consultorio dental</t>
  </si>
  <si>
    <t>0895.12-Consultorio veterinario</t>
  </si>
  <si>
    <t>0895.13-Clínica y/o hospital veterinario</t>
  </si>
  <si>
    <t>0895.14-Otros consultorios para el cuidado de la salud</t>
  </si>
  <si>
    <t>0900.01-Tienda o expendio de metales y/o productos de metal</t>
  </si>
  <si>
    <t>0900.02-Almacén, bodega y/o distribución de metales y/o productos de metal</t>
  </si>
  <si>
    <t>0900.03-Fabricación de metales sin fundición</t>
  </si>
  <si>
    <t>0900.04-Fabricación de metales con fundición</t>
  </si>
  <si>
    <t>0900.05-Fabricación de metales sin fundición y con carpintería separada</t>
  </si>
  <si>
    <t>0900.06-Fabricación de metales con fundición y con carpintería comunicadas</t>
  </si>
  <si>
    <t>0900.07-Galvanoplastia en piezas metálicas, comprendiendo niquelado, cromado, plateado, galvanizado y/o similares</t>
  </si>
  <si>
    <t>0900.08-Fundición y moldeo de piezas metálicas ferrosas y no ferrosas</t>
  </si>
  <si>
    <t>0900.09-Fabricación de calderas, calderas industriales, tanques y envases metálicos</t>
  </si>
  <si>
    <t>0900.10-Fabricación de productos de hierro y acero de material comprado</t>
  </si>
  <si>
    <t>0900.11-Moldeo por fundición de piezas metálicas</t>
  </si>
  <si>
    <t>0900.12-Fabricación de productos metálicos forjados y troquelados</t>
  </si>
  <si>
    <t>0900.13-Fabricación de herramientas de mano sin motor y utensilios de cocina metálicos</t>
  </si>
  <si>
    <t>0900.14-Fabricación de estructuras metálicas y productos de herrería</t>
  </si>
  <si>
    <t>0900.15-Fabricación de herrajes y cerraduras</t>
  </si>
  <si>
    <t>0900.16-Fabricación de alambre, productos de alambre y resortes</t>
  </si>
  <si>
    <t>0900.17-Maquinado de piezas metálicas y fabricación de tornillos</t>
  </si>
  <si>
    <t>0900.18-Recubrimientos y terminados metálicos</t>
  </si>
  <si>
    <t>0900.19-Fabricación de otros productos metálicos con fundición</t>
  </si>
  <si>
    <t>0900.20-Fabricación de otros productos metálicos sin fundición</t>
  </si>
  <si>
    <t>0910.01-Tienda o expendio de miel de abeja</t>
  </si>
  <si>
    <t>0910.02-Almacén, bodega y/o distribución de miel de abeja</t>
  </si>
  <si>
    <t>0910.03-Planta pasteurizadota de miel de abeja</t>
  </si>
  <si>
    <t>0920.01-Tienda o expendio de minerales no combustibles</t>
  </si>
  <si>
    <t>0920.02-Almacén, bodega y/o distribución de minerales no combustibles</t>
  </si>
  <si>
    <t>0920.03-Mina de minerales no combustibles subterránea</t>
  </si>
  <si>
    <t>0920.04-Mina de minerales no combustibles a cielo abierto</t>
  </si>
  <si>
    <t>0920.05-Beneficio de minerales no combustibles subterráneo</t>
  </si>
  <si>
    <t>0920.06-Beneficio de minerales no combustibles a cielo abierto</t>
  </si>
  <si>
    <t>0925.01-Tienda o expendio de minerales combustibles</t>
  </si>
  <si>
    <t>0925.02-Almacén, bodega y/o distribución de minerales combustibles</t>
  </si>
  <si>
    <t>0925.03-Mina de minerales combustibles subterránea</t>
  </si>
  <si>
    <t>0925.04-Mina de minerales combustibles a cielo abierto</t>
  </si>
  <si>
    <t>0925.05-Mina de carbón mineral</t>
  </si>
  <si>
    <t>0925.06-Beneficio de minerales combustibles subterráneo</t>
  </si>
  <si>
    <t>0925.07-Beneficio de minerales combustibles a cielo abierto</t>
  </si>
  <si>
    <t>0925.08-Industria del coque y otros derivados del carbón mineral</t>
  </si>
  <si>
    <t>0930.01-Almacén, bodega y/o distribución de minerales ferrosos o de hierro</t>
  </si>
  <si>
    <t>0930.02-Explotación o beneficio de minerales ferrosos o de hierro</t>
  </si>
  <si>
    <t>0930.03-Industria básica del hierro y del acero</t>
  </si>
  <si>
    <t>0930.04-Fundición del fierro primario (arrabio o fierro esponja)</t>
  </si>
  <si>
    <t>0930.05-Fabricación de acero y desbastes primarios</t>
  </si>
  <si>
    <t>0930.06-Minería de minerales metálicos</t>
  </si>
  <si>
    <t>0935.01-Almacén, bodega y/o distribución de minerales no ferrosos</t>
  </si>
  <si>
    <t>0935.02-Explotación o beneficio de minerales metálicos no ferrosos</t>
  </si>
  <si>
    <t>0935.03-Industria básica de metales no ferrosos, excepto aluminio</t>
  </si>
  <si>
    <t>0935.04-Industria del aluminio</t>
  </si>
  <si>
    <t>0935.05-Explotación o beneficio de arcilla, arena, rocas y/o similares</t>
  </si>
  <si>
    <t>0940.01-Mueblería, tienda o expendio de muebles y/o artículos relacionados de materiales inflamables</t>
  </si>
  <si>
    <t>0940.02-Mueblería, tienda o expendio de muebles y/o artículos relacionados de materiales no inflamables</t>
  </si>
  <si>
    <t>0940.03-Almacén, bodega y/o distribución de muebles y/o artículos relacionados de materiales inflamables</t>
  </si>
  <si>
    <t>0940.04-Almacén, bodega y/o distribución de muebles y/o artículos relacionados de materiales no inflamables</t>
  </si>
  <si>
    <t>0940.05-Fabricación y/o reparación de muebles y/o artículos relacionados de materiales inflamables</t>
  </si>
  <si>
    <t>0940.06-Fabricación y/o reparación de muebles de oficina y estantería</t>
  </si>
  <si>
    <t>0940.07-Fabricación y/o reparación de muebles y/o artículos relacionados de materiales no inflamables</t>
  </si>
  <si>
    <t>0950.01-Edificios de oficinas, centros financieros y/o centros de negocios</t>
  </si>
  <si>
    <t>0950.02-Instituciones de seguros y fianzas</t>
  </si>
  <si>
    <t>0950.03-Banca central</t>
  </si>
  <si>
    <t>0950.04-Banca múltiple</t>
  </si>
  <si>
    <t>0950.05-Instituciones financieras de fomento económico</t>
  </si>
  <si>
    <t>0950.06-Uniones de crédito e instituciones de ahorro</t>
  </si>
  <si>
    <t>0950.07-Otras instituciones de intermediación crediticia y financiera no bursátil</t>
  </si>
  <si>
    <t>0950.08-Servicios relacionados con la intermediación crediticia</t>
  </si>
  <si>
    <t>0950.09-Casas de bolsa, casas de cambio y centros cambiarios</t>
  </si>
  <si>
    <t>0950.10-Bolsa de valores</t>
  </si>
  <si>
    <t>0950.11-Otros servicios de inversión e intermediación bursátil</t>
  </si>
  <si>
    <t>0950.12-Servicios de empleo</t>
  </si>
  <si>
    <t>0950.13-Otras oficinas y/o despachos privados</t>
  </si>
  <si>
    <t>0955.01-Oficinas - Dependencias dedicadas a preservar y sustentar el desarrollo social y natural del país</t>
  </si>
  <si>
    <t>0955.02-Oficinas - Dependencias encaminadas a conducir la política interior y exterior del país</t>
  </si>
  <si>
    <t>0955.03-Oficinas - Dependencias encaminadas a programas de desarrollo de transporte y comunicaciones de acuerdo a las necesidades del país</t>
  </si>
  <si>
    <t>0955.04-Oficinas - Dependencias encaminadas a conducir la política nacional en materia de asistencia social, servicios médicos y salubridad general</t>
  </si>
  <si>
    <t>0955.05-Oficinas - Órganos federales cuyas funciones se enfocan a manejar la deuda pública de la Federación</t>
  </si>
  <si>
    <t>0955.06-Oficinas - Órganos federales cuyas funciones se enfocan a coordinar y vigilar el sistema bancario del país</t>
  </si>
  <si>
    <t>0955.07-Oficinas - Órganos federales cuyas funciones se enfocan a ejercer las atribuciones que le señale las leyes en materia de seguros</t>
  </si>
  <si>
    <t>0955.08-Oficinas - Órganos federales cuyas funciones se enfocan a representar el interés de la Federación en asuntos fiscales</t>
  </si>
  <si>
    <t>0955.09-Oficinas - Órganos federales cuyas funciones se enfocan al comercio exterior</t>
  </si>
  <si>
    <t>0955.10-Oficinas - Órganos federales cuyas funciones se enfocan a regulación de las áreas prioritarias como petróleo, electricidad, energía nuclear</t>
  </si>
  <si>
    <t>0955.11-Oficinas - Entidades que tiene a su cargo la conducción y vigilancia del ejército y fuerza armada del país</t>
  </si>
  <si>
    <t>0955.12-Oficinas - Órganos legislativos</t>
  </si>
  <si>
    <t>0955.13-Oficinas - Administración pública en general</t>
  </si>
  <si>
    <t>0955.14-Oficinas - Regulación y fomento del desarrollo económico</t>
  </si>
  <si>
    <t>0955.15-Oficinas - Impartición de justicia y mantenimiento de la seguridad y el orden público</t>
  </si>
  <si>
    <t>0955.16-Oficinas - Regulación y fomento de actividades para mejorar y preservar el medio ambiente</t>
  </si>
  <si>
    <t>0955.17-Oficinas - Actividades administrativas de instituciones de bienestar social</t>
  </si>
  <si>
    <t>0955.18-Oficinas - Actividades de seguridad nacional</t>
  </si>
  <si>
    <t>0955.19-Oficinas - Organismos internacionales y extraterritoriales</t>
  </si>
  <si>
    <t>0955.20-Oficinas - Otras oficinas de gobierno</t>
  </si>
  <si>
    <t>0955.21-Servidores Públicos - Dependencias dedicadas a preservar y sustentar el desarrollo social y natural del país</t>
  </si>
  <si>
    <t>0955.22-Servidores Públicos - Dependencias encaminadas a conducir la política interior y exterior del país</t>
  </si>
  <si>
    <t>0955.23-Servidores Públicos - Dependencias encaminadas a programas de desarrollo de transporte y comunicaciones de acuerdo a las necesidades del país</t>
  </si>
  <si>
    <t>0955.24-Servidores Públicos - Dependencias encaminadas a conducir la política nacional en materia de asistencia social, servicios médicos y salubridad general</t>
  </si>
  <si>
    <t>0955.25-Servidores Públicos - Órganos federales cuyas funciones se enfocan a manejar la deuda pública de la Federación</t>
  </si>
  <si>
    <t>0955.26-Servidores Públicos - Órganos federales cuyas funciones se enfocan a coordinar y vigilar el sistema bancario del país</t>
  </si>
  <si>
    <t>0955.27-Servidores Públicos - Órganos federales cuyas funciones se enfocan a ejercer las atribuciones que le señale las leyes en materia de seguros</t>
  </si>
  <si>
    <t>0955.28-Servidores Públicos - Órganos federales cuyas funciones se enfocan a representar el interés de la Federación en asuntos fiscales</t>
  </si>
  <si>
    <t>0955.29-Servidores Públicos - Órganos federales cuyas funciones se enfocan al comercio exterior</t>
  </si>
  <si>
    <t>0955.30-Servidores Públicos - Órganos federales cuyas funciones se enfocan a regulación de las áreas prioritarias como petróleo, electricidad, energía nuclear</t>
  </si>
  <si>
    <t>0955.31-Servidores Públicos - Entidades que tiene a su cargo la conducción y vigilancia del ejército y fuerza armada del país</t>
  </si>
  <si>
    <t>0955.32-Servidores Públicos - Órganos legislativos</t>
  </si>
  <si>
    <t>0955.33-Servidores Públicos - Administración pública en general</t>
  </si>
  <si>
    <t>0955.34-Servidores Públicos - Regulación y fomento del desarrollo económico</t>
  </si>
  <si>
    <t>0955.35-Servidores Públicos - Impartición de justicia y mantenimiento de la seguridad y el orden público</t>
  </si>
  <si>
    <t>0955.36-Servidores Públicos - Regulación y fomento de actividades para mejorar y preservar el medio ambiente</t>
  </si>
  <si>
    <t>0955.37-Servidores Públicos - Actividades administrativas de instituciones de bienestar social</t>
  </si>
  <si>
    <t>0955.38-Servidores Públicos - Actividades de seguridad nacional</t>
  </si>
  <si>
    <t>0955.39-Servidores Públicos - Organismos internacionales y extraterritoriales</t>
  </si>
  <si>
    <t>0955.40-Servidores Públicos - Otros servidores públicos</t>
  </si>
  <si>
    <t>0960.01-Tienda o expendio de oleaginosas a granel</t>
  </si>
  <si>
    <t>0960.02-Silos, almacén, bodega y/o distribución de oleaginosas a granel</t>
  </si>
  <si>
    <t>0960.03-Molino de pasta o descascarador de oleaginosas</t>
  </si>
  <si>
    <t>0960.04-Tostador de oleaginosas</t>
  </si>
  <si>
    <t>0970.01-Tienda o expendio de artículos de óptica</t>
  </si>
  <si>
    <t>0970.02-Almacén, bodega y/o distribución de artículos de óptica</t>
  </si>
  <si>
    <t>0970.03-Fabricación de artículos de óptica</t>
  </si>
  <si>
    <t>0980.01-Tienda o expendio de paja y/o pasto seco</t>
  </si>
  <si>
    <t>0980.02-Almacén, bodega y/o distribución de paja y/o pasto seco</t>
  </si>
  <si>
    <t>0990.01-Tienda o expendio de pan, pastas alimenticias, galletas, tortillas y/o similares</t>
  </si>
  <si>
    <t>0990.02-Almacén, bodega y/o distribución de pan, pastas alimenticias, galletas, tortillas y/o similares</t>
  </si>
  <si>
    <t>0990.03-Fabricación de pan, pastas alimenticias, galletas, tortillas y/o similares sin fuego abierto</t>
  </si>
  <si>
    <t>0990.04-Fabricación de pan, pastas alimenticias, galletas, tortillas y/o similares con fuego abierto</t>
  </si>
  <si>
    <t>0990.05-Fabricación de almidones, féculas y/o levaduras</t>
  </si>
  <si>
    <t>1000.01-Tienda o expendio de papel y/o cartón</t>
  </si>
  <si>
    <t>1000.02-Almacén, bodega y/o distribución de papel y/o cartón</t>
  </si>
  <si>
    <t>1000.03-Almacén, bodega y/o distribución de papel y/o cartón impermeabilizado con chapopote o similares</t>
  </si>
  <si>
    <t>1000.04-Almacén, bodega y/o distribución de desperdicio de papel y/o cartón</t>
  </si>
  <si>
    <t>1000.05-Fabricación de papel y/o cartón y sus productos derivados</t>
  </si>
  <si>
    <t>1000.06-Fabricación de papel y/o cartón con otros procesos, usando adhesivos, tintas plastificantes sin impermeabilización</t>
  </si>
  <si>
    <t>1000.07-Fabricación de papel y/o cartón  con impermeabilización a base de chapopote y/o similares</t>
  </si>
  <si>
    <t>1000.08-Manufactura de celulosa, papel y sus productos</t>
  </si>
  <si>
    <t>1000.09-Selección, recolección o reciclado de papel y/o cartón</t>
  </si>
  <si>
    <t>1000.10-Fabricación de productos de papel y/o cartón</t>
  </si>
  <si>
    <t>1100.01-Tienda o expendio de artículos de papelería, útiles escolares y/o artículos de escritorio</t>
  </si>
  <si>
    <t>1100.02-Almacén, bodega y/o distribución de artículos de papelería, útiles escolares y/o artículos de escritorio</t>
  </si>
  <si>
    <t>1100.03-Fabricación de artículos de papelería, útiles escolares y/o artículos de escritorio</t>
  </si>
  <si>
    <t>1110.01-Tienda o expendio de pegamentos, adhesivos, selladores, recubrimientos y/o similares</t>
  </si>
  <si>
    <t>1110.02-Almacén, bodega y/o distribución de pegamentos, adhesivos, selladores, recubrimientos y/o similares</t>
  </si>
  <si>
    <t>1110.03-Fabricación de pegamentos, adhesivos, selladores, recubrimientos y/o similares, sin inflamables ni calor</t>
  </si>
  <si>
    <t>1110.04-Fabricación de pegamentos, adhesivos, selladores, recubrimientos y/o similares, con inflamables</t>
  </si>
  <si>
    <t>1110.05-Fabricación de adhesivos, impermeabilizantes y/o similares</t>
  </si>
  <si>
    <t>1110.06-Acabado y recubrimiento plástico y/o adhesivo de textiles</t>
  </si>
  <si>
    <t>1120.01-Peluquería, salón y/o clínica de belleza</t>
  </si>
  <si>
    <t>1130.01-Tienda o expendio de perfumes y/o artículos de tocador</t>
  </si>
  <si>
    <t>1130.02-Almacén, bodega y/o distribución de perfumes y/o artículos de tocador</t>
  </si>
  <si>
    <t>1130.03-Mezcla de perfumes y/o artículos de tocador sin extracción o síntesis</t>
  </si>
  <si>
    <t>1130.04-Mezcla de perfumes y/o artículos de tocador con extracción o síntesis</t>
  </si>
  <si>
    <t>1140.01-Taller artístico de pintura</t>
  </si>
  <si>
    <t>1150.01-Planta de asfalto</t>
  </si>
  <si>
    <t>1160.01-Tienda o expendio de piezas, artículos y/o productos de plástico</t>
  </si>
  <si>
    <t>1160.02-Almacén, bodega y/o distribución de piezas, artículos y/o productos de plástico</t>
  </si>
  <si>
    <t>1160.03-Fábrica de piezas, artículos y/o productos de plásticos sin uso de sustancias inflamables y calor indirecto</t>
  </si>
  <si>
    <t>1160.04-Fábrica de piezas, artículos y/o productos de plásticos sin uso de sustancias inflamables y con calor indirecto</t>
  </si>
  <si>
    <t>1160.05-Fábrica de piezas, artículos y/o productos de plásticos con uso de sustancias inflamables y con calor indirecto</t>
  </si>
  <si>
    <t>1170.01-Tienda o expendio de productos químicos no inflamables</t>
  </si>
  <si>
    <t>1170.02-Tienda o expendio de productos químicos inflamables</t>
  </si>
  <si>
    <t>1170.03-Almacén, bodega y/o distribución de productos químicos no inflamables</t>
  </si>
  <si>
    <t>1170.04-Almacén, bodega y/o distribución de productos químicos inflamables</t>
  </si>
  <si>
    <t>1170.05-Fabricación de productos químicos no inflamables</t>
  </si>
  <si>
    <t>1170.06-Fabricación de productos químicos inflamables</t>
  </si>
  <si>
    <t>1170.07-Fabricación, almacén, bodega y/o distribución de productos químicos explosivos</t>
  </si>
  <si>
    <t>1170.08-Fabricación de productos químicos básicos orgánicos (incluyendo ácidos, bases, y sales orgánicos, y tetraetilo de plomo)</t>
  </si>
  <si>
    <t>1170.09-Fabricación de productos químicos básicos inorgánicos</t>
  </si>
  <si>
    <t>1180.01-Fabricación de proteínas de pescado, sin fabricación de harinas</t>
  </si>
  <si>
    <t>1190.01-Planta refrigeradora o congeladora</t>
  </si>
  <si>
    <t xml:space="preserve">1200.01-Relojería y joyería. Tienda o expendio de relojes y joyas </t>
  </si>
  <si>
    <t>1200.02-Almacén, bodega y/o distribución de relojes y joyas</t>
  </si>
  <si>
    <t>1200.03-Taller de reparación de relojes y joyería</t>
  </si>
  <si>
    <t>1210.01-Restaurantes con/sin bar (establecimientos públicos)</t>
  </si>
  <si>
    <t>1210.02-Restaurantes de autoservicio y de comida para llevar</t>
  </si>
  <si>
    <t>1210.03-Servicios de preparación de alimentos por encargo</t>
  </si>
  <si>
    <t>1210.04-Bares, cantinas, centros nocturnos, cabarets y/o discotecas</t>
  </si>
  <si>
    <t>1220.01-Almacén, bodega y/o distribución de sal</t>
  </si>
  <si>
    <t>1220.02-Planta extractora, concentradora y refinadora de sal con proceso de elaboración solar</t>
  </si>
  <si>
    <t>1220.03-Otros procesos de fabricación de sal</t>
  </si>
  <si>
    <t xml:space="preserve">1230.01-Edición de software, excepto a través de Internet </t>
  </si>
  <si>
    <t>1230.02-Creación y difusión de contenido exclusivamente a través de Internet</t>
  </si>
  <si>
    <t>1230.03-Proveedores de acceso a internet y servicios de búsqueda en la red</t>
  </si>
  <si>
    <t>1230.04-Procesamiento electrónico de información, hospedaje de páginas web y/o otros servicios relacionados</t>
  </si>
  <si>
    <t>1240.01-Tienda o expendio de tabaco</t>
  </si>
  <si>
    <t>1240.02-Almacén, bodega, beneficio y/o distribución de tabaco</t>
  </si>
  <si>
    <t>1240.03-Fabricación con horno de secado, seleccionadora y/o empacadora de tabaco</t>
  </si>
  <si>
    <t>1240.04-Fabricación sin horno de secado, seleccionadora y/o empacadora de tabaco</t>
  </si>
  <si>
    <t>1250.01-Taller de tapicería</t>
  </si>
  <si>
    <t>1260.01-Instalaciones de teléfonos, telégrafos y otras telecomunicaciones alámbricas</t>
  </si>
  <si>
    <t>1260.02-Telefonía celular y otras telecomunicaciones inalámbricas, excepto los servicios de satélites</t>
  </si>
  <si>
    <t>1260.03-Servicios postales</t>
  </si>
  <si>
    <t>1260.04-Servicios de mensajería y paquetería foránea</t>
  </si>
  <si>
    <t>1260.05-Servicios de mensajería y paquetería local</t>
  </si>
  <si>
    <t>1270.01-Difusoras y repetidoras de televisión y/o radio</t>
  </si>
  <si>
    <t>1270.02-Torres y antenas de televisión y/o radio debidamente separadas</t>
  </si>
  <si>
    <t>1270.03-Producción de programación de canales para sistemas de televisión por cable o satelitales, excepto a través de Internet</t>
  </si>
  <si>
    <t>1270.04-Distribución por suscripción de programas de televisión, excepto a través de Internet</t>
  </si>
  <si>
    <t>1280.01-Tienda o expendio de ropa, bonetería, mercería, estambres, accesorios de vestir, telas, casimires, blancos y/o similares</t>
  </si>
  <si>
    <t>1280.02-Almacén, bodega y/o distribución de ropa, bonetería, mercería, estambres, accesorios de vestir, telas, casimires, blancos y/o similares</t>
  </si>
  <si>
    <t>1280.03-Confección de prendas y articulos textiles</t>
  </si>
  <si>
    <t>1280.04-Tejido de prendas de vestir de punto</t>
  </si>
  <si>
    <t>1280.05-Confección de accesorios de vestir con material textil</t>
  </si>
  <si>
    <t>1280.06-Confección de alfombras, blancos y/o similares</t>
  </si>
  <si>
    <t>1280.07-Fabricación de telas</t>
  </si>
  <si>
    <t>1280.08-Fabricación de textiles, hilados, tejidos y fibras artificiales sin rompedoras y batientes</t>
  </si>
  <si>
    <t>1280.09-Fabricación de textiles, hilados, tejidos y fibras artificiales con rompedoras y batientes con equipos que extractor de polvos y pelusas</t>
  </si>
  <si>
    <t>1280.10-Fabricación de textiles, hilados, tejidos y fibras artificiales con rompedoras y batientes con comunicación</t>
  </si>
  <si>
    <t>1280.11-Fabricación de textiles, hilados, tejidos y fibras artificiales con rompedoras y batientes sin comunicación</t>
  </si>
  <si>
    <t>1280.12-Fabricación de textiles, hilados, tejidos y fibras artificiales con rompedoras y batientes con equipos que extractor de polvos y pelusas</t>
  </si>
  <si>
    <t>1280.13-Fabricación y preparación de textiles de fibras blandas y cordelería</t>
  </si>
  <si>
    <t>1280.14-Fabricación de textiles, hilados, tejidos y fibras artificiales sin rompedoras y batientes</t>
  </si>
  <si>
    <t>1280.15-Fabricación y preparación de textiles de fibras de henequén</t>
  </si>
  <si>
    <t>1290.01-Autotransporte de carga general (terrestre)</t>
  </si>
  <si>
    <t>1290.02-Autotransporte de carga especializado</t>
  </si>
  <si>
    <t>1290.03-Transporte aéreo regular (se realiza con sujeción a itinerarios y horario prefijados)</t>
  </si>
  <si>
    <t>1290.04-Transporte aéreo no regular (se realiza sin sujeción a itinerario u horarios prefijados)</t>
  </si>
  <si>
    <t>1290.05-Transporte por ferrocarril</t>
  </si>
  <si>
    <t>1290.06-Transporte marítimo altamar</t>
  </si>
  <si>
    <t>1290.07-Transporte por aguas interiores</t>
  </si>
  <si>
    <t>1290.08-Transporte mixto aéreo / marítimo</t>
  </si>
  <si>
    <t>1290.09-Transporte mixto aéreo / ferrocarril</t>
  </si>
  <si>
    <t>1290.10-Transporte mixto aéreo / terrestre</t>
  </si>
  <si>
    <t>1290.11-Transporte mixto marítimo / ferrocarril</t>
  </si>
  <si>
    <t>1290.12-Transporte mixto marítimo / terrestre</t>
  </si>
  <si>
    <t>1290.13-Transporte mixto ferrocarril / terrestre</t>
  </si>
  <si>
    <t>1290.14-Transporte mixto aéreo / marítimo / ferrocarril</t>
  </si>
  <si>
    <t>1290.15-Transporte mixto aéreo / marítimo / terrestre</t>
  </si>
  <si>
    <t>1290.16-Transporte mixto aéreo / ferrocarril / terrestre</t>
  </si>
  <si>
    <t>1290.17-Transporte mixto marítimo / ferrocarril / terrestre</t>
  </si>
  <si>
    <t>1290.18-Transporte mixto aéreo / marítimo / ferrocarril / terrestre</t>
  </si>
  <si>
    <t>1290.19-Servicios relacionados con el transporte aéreo</t>
  </si>
  <si>
    <t>1290.20-Servicios relacionados con el transporte por ferrocarril</t>
  </si>
  <si>
    <t>1290.21-Servicios relacionados con el transporte por agua</t>
  </si>
  <si>
    <t>1290.22-Servicios relacionados con el transporte por carretera</t>
  </si>
  <si>
    <t>1290.23-Servicios de intermediación para el transporte de carga</t>
  </si>
  <si>
    <t>1295.01-Transporte colectivo de pasajeros urbano y suburbano</t>
  </si>
  <si>
    <t>1295.02-Transporte de pasajeros interurbano y rural</t>
  </si>
  <si>
    <t>1295.03-Servicio de taxis y limusinas</t>
  </si>
  <si>
    <t>1295.04-Transporte escolar y de personal</t>
  </si>
  <si>
    <t>1295.05-Otro transporte terrestre de pasajeros</t>
  </si>
  <si>
    <t>1295.06-Transporte marítimo de pasajeros</t>
  </si>
  <si>
    <t>1295.07-Transporte turístico por tierra</t>
  </si>
  <si>
    <t>1295.08-Transporte turístico por agua</t>
  </si>
  <si>
    <t>1295.09-Otro transporte turístico</t>
  </si>
  <si>
    <t>1300.01-Tienda y/o local de renta y venta de videos y/o videojuegos</t>
  </si>
  <si>
    <t>1310.01-Riesgos industriales con suspención de operaciones</t>
  </si>
  <si>
    <t>1310.02-Edificios desocupados</t>
  </si>
  <si>
    <t>1320.01-Desarrolladores de vivienda</t>
  </si>
  <si>
    <t>1320.02-Desarrolladores de vivienda INFONAVIT</t>
  </si>
  <si>
    <t>1320.03-Desarrolladores de vivienda FOVISSSTE</t>
  </si>
  <si>
    <t>1320.04-Agentes de seguros</t>
  </si>
  <si>
    <t>1320.05-Reaseguradores</t>
  </si>
  <si>
    <t>1320.06-Corredores de reaseguro</t>
  </si>
  <si>
    <t>1320.07-Servicios relacionados con los seguros y las fianzas</t>
  </si>
  <si>
    <t>1320.08-Arquitectos e ingenieros</t>
  </si>
  <si>
    <t>1320.09-Certificadores, tasadores y/o valuadores</t>
  </si>
  <si>
    <t>1320.10-Contadores</t>
  </si>
  <si>
    <t>1320.11-Directors and Officers</t>
  </si>
  <si>
    <t>1320.12-Abogados</t>
  </si>
  <si>
    <t>1320.13-Notarios</t>
  </si>
  <si>
    <t>1320.14-Publicidad</t>
  </si>
  <si>
    <t>1320.15-Mercadotecnia</t>
  </si>
  <si>
    <t>1320.16-Actuarios</t>
  </si>
  <si>
    <t>1320.17-Corredores de bienes raíces e inmobiliarias</t>
  </si>
  <si>
    <t>1320.18-Ingenieros civiles</t>
  </si>
  <si>
    <t>1320.19-Ingenieros en computación</t>
  </si>
  <si>
    <t>1320.20-Servicios financieros</t>
  </si>
  <si>
    <t>1320.21-Auditoría</t>
  </si>
  <si>
    <t>1320.22-Diseño especializado</t>
  </si>
  <si>
    <t>1320.23-Ingeniería en informática</t>
  </si>
  <si>
    <t>1320.24-Consultoría administrativa, científica y técnica</t>
  </si>
  <si>
    <t>1320.25-Consultoría ambiental</t>
  </si>
  <si>
    <t>1320.26-Investigación científica y desarrollo</t>
  </si>
  <si>
    <t>1320.27-Administración de negocios</t>
  </si>
  <si>
    <t>1320.28-Agencias de viajes y servicios de reservaciones</t>
  </si>
  <si>
    <t>1320.29-Empresas de seguridad, investigación y protección</t>
  </si>
  <si>
    <t>1320.30-Limpieza de oficinas</t>
  </si>
  <si>
    <t>1320.31-Asociaciones y organizaciones comerciales, laborales, profesionales y recreativas</t>
  </si>
  <si>
    <t>1320.32-Asociaciones y organizaciones religiosas, políticas y civiles</t>
  </si>
  <si>
    <t>1320.33-Asistencia Pérdida Financiera</t>
  </si>
  <si>
    <t>1320.34-Compañías y grupos de espectáculos artísticos</t>
  </si>
  <si>
    <t>1320.35-Deportistas y equipos deportivos profesionales y semiprofesionales</t>
  </si>
  <si>
    <t>1320.36-Promotores de espectáculos artísticos, deportivos y similares</t>
  </si>
  <si>
    <t>1320.37-Agentes y representantes de artistas, deportistas y similares</t>
  </si>
  <si>
    <t>1320.38-Artistas y técnicos independientes</t>
  </si>
  <si>
    <t>GEN</t>
  </si>
  <si>
    <t>GRUPO ALIMENTARIO Y DEL SABOR, S.A. DE C.V.</t>
  </si>
  <si>
    <t>NumeroDeUbicaciones</t>
  </si>
  <si>
    <t>SUSCRIPTOR</t>
  </si>
  <si>
    <t>CLAVESUSCRIPTOR</t>
  </si>
  <si>
    <t>DULCE HUERTA</t>
  </si>
  <si>
    <t>DHUERTA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</si>
</sst>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164" formatCode="_(&quot;$&quot;* #,##0.00_);_(&quot;$&quot;* \(#,##0.00\);_(&quot;$&quot;* &quot;-&quot;??_);_(@_)"/>
    <numFmt numFmtId="165" formatCode="_(* #,##0.00_);_(* \(#,##0.00\);_(* &quot;-&quot;??_);_(@_)"/>
    <numFmt numFmtId="166" formatCode="000"/>
    <numFmt numFmtId="167" formatCode="0.0%"/>
    <numFmt numFmtId="168" formatCode="dd/mm/yyyy;@"/>
    <numFmt numFmtId="169" formatCode="&quot;UBICACION &quot;\ 0"/>
    <numFmt numFmtId="170" formatCode="_(* #,##0.000000_);_(* \(#,##0.000000\);_(* &quot;-&quot;??_);_(@_)"/>
    <numFmt numFmtId="171" formatCode="_(* #,##0.0000_);_(* \(#,##0.0000\);_(* &quot;-&quot;??_);_(@_)"/>
    <numFmt numFmtId="172" formatCode="#,##0.0000_ ;\-#,##0.0000\ "/>
    <numFmt numFmtId="173" formatCode="_-* #,##0.0000_-;\-* #,##0.0000_-;_-* &quot;-&quot;??_-;_-@_-"/>
    <numFmt numFmtId="174" formatCode="00000"/>
    <numFmt numFmtId="175" formatCode="&quot;INDICE VARIABLE - &quot;\ 0%"/>
    <numFmt numFmtId="176" formatCode="000.00"/>
    <numFmt numFmtId="177" formatCode="0.000"/>
    <numFmt numFmtId="178" formatCode="_-* #,##0_-;\-* #,##0_-;_-* &quot;-&quot;??_-;_-@_-"/>
    <numFmt numFmtId="179" formatCode="_(* #,##0.000_);_(* \(#,##0.000\);_(* &quot;-&quot;??_);_(@_)"/>
    <numFmt numFmtId="180" formatCode="[$-80A]d&quot; de &quot;mmmm&quot; de &quot;yyyy;@"/>
    <numFmt numFmtId="181" formatCode="#,##0.00000;[Red]\-#,##0.00000"/>
    <numFmt numFmtId="182" formatCode="0.00000%"/>
    <numFmt numFmtId="183" formatCode="0.00000"/>
    <numFmt numFmtId="184" formatCode="#,##0.00000"/>
  </numFmts>
  <fonts count="73" x14ac:knownFonts="1">
    <font>
      <sz val="11"/>
      <color theme="1"/>
      <name val="Calibri"/>
      <family val="2"/>
      <scheme val="minor"/>
    </font>
    <font>
      <sz val="11"/>
      <color theme="1"/>
      <name val="Calibri"/>
      <family val="2"/>
      <scheme val="minor"/>
    </font>
    <font>
      <sz val="9"/>
      <color theme="1"/>
      <name val="Calibri"/>
      <family val="2"/>
      <scheme val="minor"/>
    </font>
    <font>
      <sz val="10"/>
      <name val="Arial"/>
      <family val="2"/>
    </font>
    <font>
      <b/>
      <sz val="20"/>
      <color indexed="12"/>
      <name val="Arial"/>
      <family val="2"/>
    </font>
    <font>
      <b/>
      <sz val="10"/>
      <name val="Arial"/>
      <family val="2"/>
    </font>
    <font>
      <b/>
      <sz val="10"/>
      <color indexed="12"/>
      <name val="Arial"/>
      <family val="2"/>
    </font>
    <font>
      <sz val="10"/>
      <color indexed="10"/>
      <name val="Arial"/>
      <family val="2"/>
    </font>
    <font>
      <b/>
      <sz val="9"/>
      <color indexed="12"/>
      <name val="Arial"/>
      <family val="2"/>
    </font>
    <font>
      <sz val="8"/>
      <name val="Arial"/>
      <family val="2"/>
    </font>
    <font>
      <b/>
      <sz val="8"/>
      <name val="Arial"/>
      <family val="2"/>
    </font>
    <font>
      <b/>
      <sz val="10"/>
      <color indexed="8"/>
      <name val="Arial"/>
      <family val="2"/>
    </font>
    <font>
      <b/>
      <sz val="9"/>
      <name val="Arial"/>
      <family val="2"/>
    </font>
    <font>
      <sz val="9"/>
      <name val="Arial"/>
      <family val="2"/>
    </font>
    <font>
      <sz val="8"/>
      <color theme="1"/>
      <name val="Calibri"/>
      <family val="2"/>
      <scheme val="minor"/>
    </font>
    <font>
      <sz val="9"/>
      <color indexed="12"/>
      <name val="Arial"/>
      <family val="2"/>
    </font>
    <font>
      <sz val="11"/>
      <name val="Arial"/>
      <family val="2"/>
    </font>
    <font>
      <b/>
      <sz val="9"/>
      <color rgb="FFFF0000"/>
      <name val="Arial"/>
      <family val="2"/>
    </font>
    <font>
      <b/>
      <sz val="9"/>
      <color theme="1"/>
      <name val="Arial"/>
      <family val="2"/>
    </font>
    <font>
      <b/>
      <sz val="10"/>
      <color indexed="9"/>
      <name val="Arial"/>
      <family val="2"/>
    </font>
    <font>
      <b/>
      <sz val="8"/>
      <color theme="1"/>
      <name val="Calibri"/>
      <family val="2"/>
      <scheme val="minor"/>
    </font>
    <font>
      <b/>
      <sz val="11"/>
      <color theme="1"/>
      <name val="Calibri"/>
      <family val="2"/>
      <scheme val="minor"/>
    </font>
    <font>
      <b/>
      <sz val="9"/>
      <color indexed="12"/>
      <name val="Calibri"/>
      <family val="2"/>
      <scheme val="minor"/>
    </font>
    <font>
      <sz val="10"/>
      <color theme="1"/>
      <name val="Arial"/>
      <family val="2"/>
    </font>
    <font>
      <sz val="10"/>
      <color theme="1"/>
      <name val="Calibri"/>
      <family val="2"/>
      <scheme val="minor"/>
    </font>
    <font>
      <b/>
      <sz val="10"/>
      <color theme="1"/>
      <name val="Calibri"/>
      <family val="2"/>
      <scheme val="minor"/>
    </font>
    <font>
      <b/>
      <sz val="10"/>
      <color theme="0"/>
      <name val="Calibri"/>
      <family val="2"/>
      <scheme val="minor"/>
    </font>
    <font>
      <sz val="10"/>
      <name val="Arial"/>
      <family val="2"/>
    </font>
    <font>
      <sz val="10"/>
      <color indexed="12"/>
      <name val="Arial"/>
      <family val="2"/>
    </font>
    <font>
      <b/>
      <i/>
      <sz val="18"/>
      <color indexed="12"/>
      <name val="Arial"/>
      <family val="2"/>
    </font>
    <font>
      <sz val="12"/>
      <color indexed="48"/>
      <name val="Arial"/>
      <family val="2"/>
    </font>
    <font>
      <b/>
      <i/>
      <sz val="14"/>
      <name val="Arial"/>
      <family val="2"/>
    </font>
    <font>
      <b/>
      <i/>
      <sz val="12"/>
      <color indexed="12"/>
      <name val="Arial"/>
      <family val="2"/>
    </font>
    <font>
      <b/>
      <i/>
      <sz val="10"/>
      <color indexed="12"/>
      <name val="Arial"/>
      <family val="2"/>
    </font>
    <font>
      <b/>
      <i/>
      <sz val="11"/>
      <name val="Arial"/>
      <family val="2"/>
    </font>
    <font>
      <b/>
      <sz val="14"/>
      <name val="Arial"/>
      <family val="2"/>
    </font>
    <font>
      <b/>
      <sz val="14"/>
      <color indexed="12"/>
      <name val="Arial"/>
      <family val="2"/>
    </font>
    <font>
      <b/>
      <sz val="12"/>
      <color indexed="12"/>
      <name val="Arial"/>
      <family val="2"/>
    </font>
    <font>
      <b/>
      <sz val="13"/>
      <color indexed="12"/>
      <name val="Arial"/>
      <family val="2"/>
    </font>
    <font>
      <b/>
      <sz val="12"/>
      <name val="Arial"/>
      <family val="2"/>
    </font>
    <font>
      <sz val="18"/>
      <color indexed="12"/>
      <name val="Arial"/>
      <family val="2"/>
    </font>
    <font>
      <b/>
      <sz val="11"/>
      <color indexed="12"/>
      <name val="Arial"/>
      <family val="2"/>
    </font>
    <font>
      <b/>
      <sz val="11"/>
      <name val="Arial"/>
      <family val="2"/>
    </font>
    <font>
      <sz val="8"/>
      <color indexed="81"/>
      <name val="Tahoma"/>
      <family val="2"/>
    </font>
    <font>
      <b/>
      <sz val="8"/>
      <color indexed="81"/>
      <name val="Tahoma"/>
      <family val="2"/>
    </font>
    <font>
      <sz val="14"/>
      <color theme="1"/>
      <name val="Calibri"/>
      <family val="2"/>
      <scheme val="minor"/>
    </font>
    <font>
      <u/>
      <sz val="11"/>
      <color theme="10"/>
      <name val="Calibri"/>
      <family val="2"/>
      <scheme val="minor"/>
    </font>
    <font>
      <sz val="12"/>
      <color theme="1"/>
      <name val="Calibri"/>
      <family val="2"/>
      <scheme val="minor"/>
    </font>
    <font>
      <u/>
      <sz val="9"/>
      <color theme="10"/>
      <name val="Calibri"/>
      <family val="2"/>
      <scheme val="minor"/>
    </font>
    <font>
      <b/>
      <sz val="16"/>
      <color theme="1"/>
      <name val="Calibri"/>
      <family val="2"/>
      <scheme val="minor"/>
    </font>
    <font>
      <sz val="12"/>
      <color theme="1"/>
      <name val="Cambria"/>
      <family val="1"/>
    </font>
    <font>
      <b/>
      <sz val="11"/>
      <color rgb="FF000000"/>
      <name val="Calibri"/>
      <family val="2"/>
    </font>
    <font>
      <sz val="11"/>
      <color rgb="FF000000"/>
      <name val="Calibri"/>
      <family val="2"/>
    </font>
    <font>
      <b/>
      <sz val="9"/>
      <color rgb="FF000000"/>
      <name val="Calibri"/>
      <family val="2"/>
    </font>
    <font>
      <b/>
      <sz val="18"/>
      <color theme="1"/>
      <name val="Calibri"/>
      <family val="2"/>
      <scheme val="minor"/>
    </font>
    <font>
      <b/>
      <sz val="9"/>
      <color theme="1"/>
      <name val="Calibri"/>
      <family val="2"/>
      <scheme val="minor"/>
    </font>
    <font>
      <sz val="11"/>
      <color theme="1"/>
      <name val="Symbol"/>
      <family val="1"/>
      <charset val="2"/>
    </font>
    <font>
      <sz val="7"/>
      <color theme="1"/>
      <name val="Times New Roman"/>
      <family val="1"/>
    </font>
    <font>
      <sz val="11"/>
      <color theme="1"/>
      <name val="Arial"/>
      <family val="2"/>
    </font>
    <font>
      <sz val="9"/>
      <color theme="1"/>
      <name val="Symbol"/>
      <family val="1"/>
      <charset val="2"/>
    </font>
    <font>
      <sz val="9"/>
      <color theme="1"/>
      <name val="Arial"/>
      <family val="2"/>
    </font>
    <font>
      <sz val="7"/>
      <color theme="1"/>
      <name val="Arial"/>
      <family val="2"/>
    </font>
    <font>
      <b/>
      <sz val="18"/>
      <color rgb="FFFF0000"/>
      <name val="Calibri"/>
      <family val="2"/>
      <scheme val="minor"/>
    </font>
    <font>
      <b/>
      <sz val="10"/>
      <color rgb="FFFA7D00"/>
      <name val="Roboto"/>
      <family val="2"/>
    </font>
    <font>
      <b/>
      <sz val="10"/>
      <name val="Calibri"/>
      <family val="2"/>
    </font>
    <font>
      <sz val="8"/>
      <name val="Calibri"/>
      <family val="2"/>
    </font>
    <font>
      <b/>
      <sz val="9"/>
      <name val="Calibri"/>
      <family val="2"/>
    </font>
    <font>
      <sz val="8"/>
      <color rgb="FF00468A"/>
      <name val="Calibri"/>
      <family val="2"/>
    </font>
    <font>
      <sz val="10"/>
      <color theme="1"/>
      <name val="Times New Roman"/>
      <family val="1"/>
    </font>
    <font>
      <b/>
      <sz val="10"/>
      <color rgb="FFFFFFFF"/>
      <name val="Arial"/>
      <family val="2"/>
    </font>
    <font>
      <u/>
      <sz val="10"/>
      <color indexed="12"/>
      <name val="Arial"/>
      <family val="2"/>
    </font>
    <font>
      <b/>
      <sz val="14"/>
      <color theme="1"/>
      <name val="Calibri"/>
      <family val="2"/>
      <scheme val="minor"/>
    </font>
    <font>
      <sz val="8"/>
      <color rgb="FFFF0000"/>
      <name val="Calibri"/>
      <family val="2"/>
    </font>
  </fonts>
  <fills count="22">
    <fill>
      <patternFill patternType="none"/>
    </fill>
    <fill>
      <patternFill patternType="gray125"/>
    </fill>
    <fill>
      <patternFill patternType="solid">
        <fgColor rgb="FFFFFF00"/>
        <bgColor indexed="64"/>
      </patternFill>
    </fill>
    <fill>
      <patternFill patternType="solid">
        <fgColor theme="3" tint="0.39997558519241921"/>
        <bgColor indexed="64"/>
      </patternFill>
    </fill>
    <fill>
      <patternFill patternType="solid">
        <fgColor indexed="42"/>
        <bgColor indexed="64"/>
      </patternFill>
    </fill>
    <fill>
      <patternFill patternType="solid">
        <fgColor indexed="13"/>
        <bgColor indexed="64"/>
      </patternFill>
    </fill>
    <fill>
      <patternFill patternType="solid">
        <fgColor indexed="44"/>
        <bgColor indexed="64"/>
      </patternFill>
    </fill>
    <fill>
      <patternFill patternType="solid">
        <fgColor theme="5" tint="0.59999389629810485"/>
        <bgColor indexed="64"/>
      </patternFill>
    </fill>
    <fill>
      <patternFill patternType="solid">
        <fgColor indexed="8"/>
        <bgColor indexed="64"/>
      </patternFill>
    </fill>
    <fill>
      <patternFill patternType="solid">
        <fgColor indexed="22"/>
        <bgColor indexed="64"/>
      </patternFill>
    </fill>
    <fill>
      <patternFill patternType="solid">
        <fgColor theme="3" tint="0.59999389629810485"/>
        <bgColor indexed="64"/>
      </patternFill>
    </fill>
    <fill>
      <patternFill patternType="solid">
        <fgColor rgb="FFFF0000"/>
        <bgColor indexed="64"/>
      </patternFill>
    </fill>
    <fill>
      <patternFill patternType="solid">
        <fgColor rgb="FFFFFF99"/>
        <bgColor indexed="64"/>
      </patternFill>
    </fill>
    <fill>
      <patternFill patternType="solid">
        <fgColor rgb="FF3366FF"/>
        <bgColor indexed="64"/>
      </patternFill>
    </fill>
    <fill>
      <patternFill patternType="solid">
        <fgColor indexed="41"/>
        <bgColor indexed="64"/>
      </patternFill>
    </fill>
    <fill>
      <patternFill patternType="solid">
        <fgColor indexed="27"/>
        <bgColor indexed="64"/>
      </patternFill>
    </fill>
    <fill>
      <patternFill patternType="solid">
        <fgColor indexed="9"/>
        <bgColor indexed="64"/>
      </patternFill>
    </fill>
    <fill>
      <patternFill patternType="solid">
        <fgColor rgb="FFF2F2F2"/>
      </patternFill>
    </fill>
    <fill>
      <patternFill patternType="solid">
        <fgColor theme="4" tint="0.79998168889431442"/>
        <bgColor indexed="64"/>
      </patternFill>
    </fill>
    <fill>
      <patternFill patternType="solid">
        <fgColor theme="2"/>
        <bgColor indexed="64"/>
      </patternFill>
    </fill>
    <fill>
      <patternFill patternType="solid">
        <fgColor theme="0"/>
        <bgColor indexed="64"/>
      </patternFill>
    </fill>
    <fill>
      <patternFill patternType="solid">
        <fgColor rgb="FF000000"/>
        <bgColor indexed="64"/>
      </patternFill>
    </fill>
  </fills>
  <borders count="171">
    <border>
      <left/>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ck">
        <color indexed="64"/>
      </right>
      <top/>
      <bottom/>
      <diagonal/>
    </border>
    <border>
      <left style="thick">
        <color indexed="64"/>
      </left>
      <right style="thick">
        <color indexed="64"/>
      </right>
      <top style="thick">
        <color indexed="64"/>
      </top>
      <bottom style="thick">
        <color indexed="64"/>
      </bottom>
      <diagonal/>
    </border>
    <border>
      <left style="thick">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ck">
        <color indexed="64"/>
      </right>
      <top/>
      <bottom style="thin">
        <color indexed="64"/>
      </bottom>
      <diagonal/>
    </border>
    <border>
      <left style="thick">
        <color indexed="64"/>
      </left>
      <right style="thick">
        <color indexed="64"/>
      </right>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medium">
        <color indexed="64"/>
      </right>
      <top/>
      <bottom/>
      <diagonal/>
    </border>
    <border>
      <left style="thin">
        <color indexed="64"/>
      </left>
      <right style="thin">
        <color indexed="64"/>
      </right>
      <top style="thick">
        <color indexed="64"/>
      </top>
      <bottom style="thin">
        <color indexed="64"/>
      </bottom>
      <diagonal/>
    </border>
    <border>
      <left style="thin">
        <color indexed="64"/>
      </left>
      <right style="thin">
        <color indexed="64"/>
      </right>
      <top style="thin">
        <color indexed="64"/>
      </top>
      <bottom/>
      <diagonal/>
    </border>
    <border>
      <left style="thick">
        <color indexed="64"/>
      </left>
      <right style="thin">
        <color indexed="64"/>
      </right>
      <top style="thick">
        <color indexed="64"/>
      </top>
      <bottom style="thick">
        <color indexed="64"/>
      </bottom>
      <diagonal/>
    </border>
    <border>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top style="thick">
        <color indexed="64"/>
      </top>
      <bottom style="thin">
        <color indexed="64"/>
      </bottom>
      <diagonal/>
    </border>
    <border>
      <left style="thick">
        <color indexed="64"/>
      </left>
      <right/>
      <top style="thin">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theme="0"/>
      </left>
      <right style="thin">
        <color theme="0"/>
      </right>
      <top style="thin">
        <color theme="0"/>
      </top>
      <bottom style="thin">
        <color theme="0"/>
      </bottom>
      <diagonal/>
    </border>
    <border>
      <left/>
      <right style="thick">
        <color indexed="64"/>
      </right>
      <top/>
      <bottom style="thin">
        <color indexed="64"/>
      </bottom>
      <diagonal/>
    </border>
    <border>
      <left style="thin">
        <color indexed="64"/>
      </left>
      <right style="thick">
        <color indexed="64"/>
      </right>
      <top style="thin">
        <color indexed="64"/>
      </top>
      <bottom/>
      <diagonal/>
    </border>
    <border>
      <left style="thick">
        <color indexed="64"/>
      </left>
      <right/>
      <top style="thick">
        <color indexed="64"/>
      </top>
      <bottom style="thick">
        <color indexed="64"/>
      </bottom>
      <diagonal/>
    </border>
    <border>
      <left/>
      <right style="medium">
        <color indexed="64"/>
      </right>
      <top style="thick">
        <color indexed="64"/>
      </top>
      <bottom style="thick">
        <color indexed="64"/>
      </bottom>
      <diagonal/>
    </border>
    <border>
      <left style="thin">
        <color indexed="64"/>
      </left>
      <right/>
      <top style="thick">
        <color indexed="64"/>
      </top>
      <bottom style="thick">
        <color indexed="64"/>
      </bottom>
      <diagonal/>
    </border>
    <border>
      <left/>
      <right/>
      <top style="thick">
        <color indexed="64"/>
      </top>
      <bottom style="thick">
        <color indexed="64"/>
      </bottom>
      <diagonal/>
    </border>
    <border>
      <left style="medium">
        <color indexed="64"/>
      </left>
      <right/>
      <top style="medium">
        <color indexed="64"/>
      </top>
      <bottom style="thick">
        <color indexed="64"/>
      </bottom>
      <diagonal/>
    </border>
    <border>
      <left/>
      <right/>
      <top style="medium">
        <color indexed="64"/>
      </top>
      <bottom style="thick">
        <color indexed="64"/>
      </bottom>
      <diagonal/>
    </border>
    <border>
      <left/>
      <right style="medium">
        <color indexed="64"/>
      </right>
      <top style="medium">
        <color indexed="64"/>
      </top>
      <bottom style="thick">
        <color indexed="64"/>
      </bottom>
      <diagonal/>
    </border>
    <border>
      <left style="thick">
        <color indexed="64"/>
      </left>
      <right/>
      <top/>
      <bottom style="thick">
        <color indexed="64"/>
      </bottom>
      <diagonal/>
    </border>
    <border>
      <left/>
      <right style="thin">
        <color indexed="64"/>
      </right>
      <top/>
      <bottom style="thick">
        <color indexed="64"/>
      </bottom>
      <diagonal/>
    </border>
    <border>
      <left style="thick">
        <color indexed="64"/>
      </left>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right style="thin">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style="thin">
        <color indexed="64"/>
      </right>
      <top/>
      <bottom style="thick">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diagonal/>
    </border>
    <border>
      <left style="double">
        <color indexed="64"/>
      </left>
      <right/>
      <top style="double">
        <color indexed="64"/>
      </top>
      <bottom style="thick">
        <color indexed="64"/>
      </bottom>
      <diagonal/>
    </border>
    <border>
      <left/>
      <right/>
      <top style="double">
        <color indexed="64"/>
      </top>
      <bottom style="thick">
        <color indexed="64"/>
      </bottom>
      <diagonal/>
    </border>
    <border>
      <left/>
      <right style="double">
        <color indexed="64"/>
      </right>
      <top style="double">
        <color indexed="64"/>
      </top>
      <bottom style="thick">
        <color indexed="64"/>
      </bottom>
      <diagonal/>
    </border>
    <border>
      <left style="double">
        <color indexed="64"/>
      </left>
      <right style="double">
        <color indexed="64"/>
      </right>
      <top/>
      <bottom style="thin">
        <color indexed="64"/>
      </bottom>
      <diagonal/>
    </border>
    <border>
      <left style="double">
        <color indexed="64"/>
      </left>
      <right/>
      <top style="thick">
        <color indexed="64"/>
      </top>
      <bottom style="thin">
        <color indexed="64"/>
      </bottom>
      <diagonal/>
    </border>
    <border>
      <left/>
      <right style="double">
        <color indexed="64"/>
      </right>
      <top style="thick">
        <color indexed="64"/>
      </top>
      <bottom style="thin">
        <color indexed="64"/>
      </bottom>
      <diagonal/>
    </border>
    <border>
      <left style="double">
        <color indexed="64"/>
      </left>
      <right style="double">
        <color indexed="64"/>
      </right>
      <top style="thin">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top style="thin">
        <color indexed="64"/>
      </top>
      <bottom/>
      <diagonal/>
    </border>
    <border>
      <left/>
      <right style="double">
        <color indexed="64"/>
      </right>
      <top style="thin">
        <color indexed="64"/>
      </top>
      <bottom/>
      <diagonal/>
    </border>
    <border>
      <left style="double">
        <color indexed="64"/>
      </left>
      <right style="double">
        <color indexed="64"/>
      </right>
      <top style="thin">
        <color indexed="64"/>
      </top>
      <bottom/>
      <diagonal/>
    </border>
    <border>
      <left style="double">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bottom style="thin">
        <color indexed="64"/>
      </bottom>
      <diagonal/>
    </border>
    <border>
      <left/>
      <right/>
      <top/>
      <bottom style="thin">
        <color indexed="64"/>
      </bottom>
      <diagonal/>
    </border>
    <border>
      <left/>
      <right style="double">
        <color indexed="64"/>
      </right>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right/>
      <top style="double">
        <color indexed="64"/>
      </top>
      <bottom style="double">
        <color indexed="64"/>
      </bottom>
      <diagonal/>
    </border>
    <border>
      <left style="double">
        <color indexed="64"/>
      </left>
      <right/>
      <top style="double">
        <color indexed="64"/>
      </top>
      <bottom style="medium">
        <color indexed="64"/>
      </bottom>
      <diagonal/>
    </border>
    <border>
      <left/>
      <right/>
      <top style="double">
        <color indexed="64"/>
      </top>
      <bottom style="medium">
        <color indexed="64"/>
      </bottom>
      <diagonal/>
    </border>
    <border>
      <left/>
      <right style="double">
        <color indexed="64"/>
      </right>
      <top style="double">
        <color indexed="64"/>
      </top>
      <bottom style="medium">
        <color indexed="64"/>
      </bottom>
      <diagonal/>
    </border>
    <border>
      <left style="double">
        <color indexed="64"/>
      </left>
      <right style="double">
        <color indexed="64"/>
      </right>
      <top style="double">
        <color indexed="64"/>
      </top>
      <bottom style="double">
        <color indexed="64"/>
      </bottom>
      <diagonal/>
    </border>
    <border>
      <left style="double">
        <color indexed="64"/>
      </left>
      <right style="thin">
        <color indexed="64"/>
      </right>
      <top style="double">
        <color indexed="64"/>
      </top>
      <bottom/>
      <diagonal/>
    </border>
    <border>
      <left style="thin">
        <color indexed="64"/>
      </left>
      <right style="thin">
        <color indexed="64"/>
      </right>
      <top style="double">
        <color indexed="64"/>
      </top>
      <bottom/>
      <diagonal/>
    </border>
    <border>
      <left style="thin">
        <color indexed="64"/>
      </left>
      <right style="double">
        <color indexed="64"/>
      </right>
      <top style="double">
        <color indexed="64"/>
      </top>
      <bottom/>
      <diagonal/>
    </border>
    <border>
      <left style="double">
        <color indexed="64"/>
      </left>
      <right/>
      <top/>
      <bottom/>
      <diagonal/>
    </border>
    <border>
      <left style="thin">
        <color indexed="64"/>
      </left>
      <right style="double">
        <color indexed="64"/>
      </right>
      <top style="thin">
        <color indexed="64"/>
      </top>
      <bottom style="thin">
        <color indexed="64"/>
      </bottom>
      <diagonal/>
    </border>
    <border>
      <left/>
      <right style="double">
        <color indexed="64"/>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style="double">
        <color indexed="64"/>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medium">
        <color indexed="64"/>
      </left>
      <right style="double">
        <color indexed="64"/>
      </right>
      <top style="medium">
        <color indexed="64"/>
      </top>
      <bottom style="medium">
        <color indexed="64"/>
      </bottom>
      <diagonal/>
    </border>
    <border>
      <left style="double">
        <color indexed="64"/>
      </left>
      <right style="thin">
        <color indexed="64"/>
      </right>
      <top style="thin">
        <color indexed="64"/>
      </top>
      <bottom style="thin">
        <color indexed="64"/>
      </bottom>
      <diagonal/>
    </border>
    <border>
      <left style="double">
        <color indexed="64"/>
      </left>
      <right style="double">
        <color indexed="64"/>
      </right>
      <top/>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right/>
      <top style="double">
        <color indexed="64"/>
      </top>
      <bottom/>
      <diagonal/>
    </border>
    <border>
      <left style="double">
        <color indexed="64"/>
      </left>
      <right/>
      <top style="thick">
        <color indexed="64"/>
      </top>
      <bottom style="thick">
        <color indexed="64"/>
      </bottom>
      <diagonal/>
    </border>
    <border>
      <left/>
      <right style="double">
        <color indexed="64"/>
      </right>
      <top style="thick">
        <color indexed="64"/>
      </top>
      <bottom style="thick">
        <color indexed="64"/>
      </bottom>
      <diagonal/>
    </border>
    <border>
      <left style="double">
        <color indexed="64"/>
      </left>
      <right style="medium">
        <color indexed="64"/>
      </right>
      <top style="thick">
        <color indexed="64"/>
      </top>
      <bottom style="thick">
        <color indexed="64"/>
      </bottom>
      <diagonal/>
    </border>
    <border>
      <left style="medium">
        <color indexed="64"/>
      </left>
      <right style="medium">
        <color indexed="64"/>
      </right>
      <top style="thick">
        <color indexed="64"/>
      </top>
      <bottom style="thick">
        <color indexed="64"/>
      </bottom>
      <diagonal/>
    </border>
    <border>
      <left style="medium">
        <color indexed="64"/>
      </left>
      <right style="double">
        <color indexed="64"/>
      </right>
      <top style="thick">
        <color indexed="64"/>
      </top>
      <bottom style="thick">
        <color indexed="64"/>
      </bottom>
      <diagonal/>
    </border>
    <border>
      <left style="double">
        <color indexed="64"/>
      </left>
      <right style="medium">
        <color indexed="64"/>
      </right>
      <top style="thick">
        <color indexed="64"/>
      </top>
      <bottom style="medium">
        <color indexed="64"/>
      </bottom>
      <diagonal/>
    </border>
    <border>
      <left/>
      <right style="thin">
        <color indexed="64"/>
      </right>
      <top style="thick">
        <color indexed="64"/>
      </top>
      <bottom style="medium">
        <color indexed="64"/>
      </bottom>
      <diagonal/>
    </border>
    <border>
      <left style="thin">
        <color indexed="64"/>
      </left>
      <right style="thin">
        <color indexed="64"/>
      </right>
      <top style="thick">
        <color indexed="64"/>
      </top>
      <bottom style="medium">
        <color indexed="64"/>
      </bottom>
      <diagonal/>
    </border>
    <border>
      <left style="thin">
        <color indexed="64"/>
      </left>
      <right style="double">
        <color indexed="64"/>
      </right>
      <top style="thick">
        <color indexed="64"/>
      </top>
      <bottom style="medium">
        <color indexed="64"/>
      </bottom>
      <diagonal/>
    </border>
    <border>
      <left style="double">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double">
        <color indexed="64"/>
      </right>
      <top style="medium">
        <color indexed="64"/>
      </top>
      <bottom style="medium">
        <color indexed="64"/>
      </bottom>
      <diagonal/>
    </border>
    <border>
      <left/>
      <right style="double">
        <color indexed="64"/>
      </right>
      <top style="medium">
        <color indexed="64"/>
      </top>
      <bottom style="medium">
        <color indexed="64"/>
      </bottom>
      <diagonal/>
    </border>
    <border>
      <left style="double">
        <color indexed="64"/>
      </left>
      <right/>
      <top style="medium">
        <color indexed="64"/>
      </top>
      <bottom style="medium">
        <color indexed="64"/>
      </bottom>
      <diagonal/>
    </border>
    <border>
      <left style="double">
        <color indexed="64"/>
      </left>
      <right style="medium">
        <color indexed="64"/>
      </right>
      <top style="medium">
        <color indexed="64"/>
      </top>
      <bottom style="thick">
        <color indexed="64"/>
      </bottom>
      <diagonal/>
    </border>
    <border>
      <left/>
      <right style="thin">
        <color indexed="64"/>
      </right>
      <top style="medium">
        <color indexed="64"/>
      </top>
      <bottom style="thick">
        <color indexed="64"/>
      </bottom>
      <diagonal/>
    </border>
    <border>
      <left style="thin">
        <color indexed="64"/>
      </left>
      <right style="thin">
        <color indexed="64"/>
      </right>
      <top style="medium">
        <color indexed="64"/>
      </top>
      <bottom style="thick">
        <color indexed="64"/>
      </bottom>
      <diagonal/>
    </border>
    <border>
      <left style="thin">
        <color indexed="64"/>
      </left>
      <right style="double">
        <color indexed="64"/>
      </right>
      <top style="medium">
        <color indexed="64"/>
      </top>
      <bottom style="thick">
        <color indexed="64"/>
      </bottom>
      <diagonal/>
    </border>
    <border>
      <left style="double">
        <color indexed="64"/>
      </left>
      <right style="medium">
        <color indexed="64"/>
      </right>
      <top style="thick">
        <color indexed="64"/>
      </top>
      <bottom/>
      <diagonal/>
    </border>
    <border>
      <left style="medium">
        <color indexed="64"/>
      </left>
      <right style="medium">
        <color indexed="64"/>
      </right>
      <top style="thick">
        <color indexed="64"/>
      </top>
      <bottom/>
      <diagonal/>
    </border>
    <border>
      <left style="medium">
        <color indexed="64"/>
      </left>
      <right style="double">
        <color indexed="64"/>
      </right>
      <top style="thick">
        <color indexed="64"/>
      </top>
      <bottom/>
      <diagonal/>
    </border>
    <border>
      <left style="double">
        <color indexed="64"/>
      </left>
      <right/>
      <top style="medium">
        <color indexed="64"/>
      </top>
      <bottom/>
      <diagonal/>
    </border>
    <border>
      <left/>
      <right style="double">
        <color indexed="64"/>
      </right>
      <top style="medium">
        <color indexed="64"/>
      </top>
      <bottom/>
      <diagonal/>
    </border>
    <border>
      <left style="double">
        <color indexed="64"/>
      </left>
      <right/>
      <top/>
      <bottom style="thick">
        <color indexed="64"/>
      </bottom>
      <diagonal/>
    </border>
    <border>
      <left/>
      <right/>
      <top/>
      <bottom style="thick">
        <color indexed="64"/>
      </bottom>
      <diagonal/>
    </border>
    <border>
      <left/>
      <right style="double">
        <color indexed="64"/>
      </right>
      <top/>
      <bottom style="thick">
        <color indexed="64"/>
      </bottom>
      <diagonal/>
    </border>
    <border>
      <left/>
      <right/>
      <top/>
      <bottom style="double">
        <color indexed="64"/>
      </bottom>
      <diagonal/>
    </border>
    <border>
      <left style="medium">
        <color indexed="64"/>
      </left>
      <right style="medium">
        <color indexed="64"/>
      </right>
      <top/>
      <bottom style="medium">
        <color indexed="64"/>
      </bottom>
      <diagonal/>
    </border>
    <border>
      <left style="thin">
        <color indexed="64"/>
      </left>
      <right/>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bottom style="medium">
        <color indexed="64"/>
      </bottom>
      <diagonal/>
    </border>
    <border>
      <left/>
      <right style="thin">
        <color indexed="64"/>
      </right>
      <top/>
      <bottom/>
      <diagonal/>
    </border>
    <border>
      <left style="thin">
        <color indexed="64"/>
      </left>
      <right/>
      <top/>
      <bottom/>
      <diagonal/>
    </border>
    <border>
      <left/>
      <right style="thin">
        <color indexed="64"/>
      </right>
      <top/>
      <bottom style="medium">
        <color indexed="64"/>
      </bottom>
      <diagonal/>
    </border>
    <border>
      <left style="thin">
        <color indexed="64"/>
      </left>
      <right style="thin">
        <color indexed="64"/>
      </right>
      <top/>
      <bottom/>
      <diagonal/>
    </border>
    <border>
      <left style="medium">
        <color indexed="64"/>
      </left>
      <right style="medium">
        <color indexed="64"/>
      </right>
      <top/>
      <bottom/>
      <diagonal/>
    </border>
    <border>
      <left style="thin">
        <color rgb="FF7F7F7F"/>
      </left>
      <right style="thin">
        <color rgb="FF7F7F7F"/>
      </right>
      <top style="thin">
        <color rgb="FF7F7F7F"/>
      </top>
      <bottom style="thin">
        <color rgb="FF7F7F7F"/>
      </bottom>
      <diagonal/>
    </border>
    <border>
      <left style="medium">
        <color indexed="54"/>
      </left>
      <right style="medium">
        <color indexed="54"/>
      </right>
      <top/>
      <bottom style="medium">
        <color indexed="54"/>
      </bottom>
      <diagonal/>
    </border>
    <border>
      <left style="medium">
        <color rgb="FFFFFFFF"/>
      </left>
      <right style="medium">
        <color rgb="FFFFFFFF"/>
      </right>
      <top style="medium">
        <color rgb="FFFFFFFF"/>
      </top>
      <bottom style="medium">
        <color rgb="FFFFFFFF"/>
      </bottom>
      <diagonal/>
    </border>
    <border>
      <left/>
      <right style="medium">
        <color rgb="FFFFFFFF"/>
      </right>
      <top style="medium">
        <color rgb="FFFFFFFF"/>
      </top>
      <bottom style="medium">
        <color rgb="FFFFFFFF"/>
      </bottom>
      <diagonal/>
    </border>
    <border>
      <left style="medium">
        <color rgb="FFFFFFFF"/>
      </left>
      <right style="medium">
        <color rgb="FFFFFFFF"/>
      </right>
      <top/>
      <bottom style="medium">
        <color rgb="FFFFFFFF"/>
      </bottom>
      <diagonal/>
    </border>
    <border>
      <left/>
      <right style="medium">
        <color rgb="FFFFFFFF"/>
      </right>
      <top/>
      <bottom style="medium">
        <color rgb="FFFFFFFF"/>
      </bottom>
      <diagonal/>
    </border>
    <border>
      <left style="medium">
        <color indexed="54"/>
      </left>
      <right style="medium">
        <color indexed="54"/>
      </right>
      <top style="medium">
        <color indexed="54"/>
      </top>
      <bottom style="medium">
        <color indexed="54"/>
      </bottom>
      <diagonal/>
    </border>
  </borders>
  <cellStyleXfs count="16">
    <xf numFmtId="0" fontId="0" fillId="0" borderId="0"/>
    <xf numFmtId="165"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27" fillId="0" borderId="0"/>
    <xf numFmtId="9" fontId="27" fillId="0" borderId="0" applyFont="0" applyFill="0" applyBorder="0" applyAlignment="0" applyProtection="0"/>
    <xf numFmtId="164" fontId="27" fillId="0" borderId="0" applyFont="0" applyFill="0" applyBorder="0" applyAlignment="0" applyProtection="0"/>
    <xf numFmtId="0" fontId="46" fillId="0" borderId="0" applyNumberFormat="0" applyFill="0" applyBorder="0" applyAlignment="0" applyProtection="0"/>
    <xf numFmtId="0" fontId="3" fillId="0" borderId="0"/>
    <xf numFmtId="165" fontId="3" fillId="0" borderId="0" applyFont="0" applyFill="0" applyBorder="0" applyAlignment="0" applyProtection="0"/>
    <xf numFmtId="0" fontId="3" fillId="0" borderId="0"/>
    <xf numFmtId="165" fontId="3" fillId="0" borderId="0" applyFont="0" applyFill="0" applyBorder="0" applyAlignment="0" applyProtection="0"/>
    <xf numFmtId="0" fontId="63" fillId="17" borderId="164" applyNumberFormat="0" applyAlignment="0" applyProtection="0"/>
    <xf numFmtId="165" fontId="3" fillId="0" borderId="0" applyFont="0" applyFill="0" applyBorder="0" applyAlignment="0" applyProtection="0"/>
    <xf numFmtId="0" fontId="70" fillId="0" borderId="0" applyNumberFormat="0" applyFill="0" applyBorder="0" applyAlignment="0" applyProtection="0">
      <alignment vertical="top"/>
      <protection locked="0"/>
    </xf>
    <xf numFmtId="164" fontId="1" fillId="0" borderId="0" applyFont="0" applyFill="0" applyBorder="0" applyAlignment="0" applyProtection="0"/>
  </cellStyleXfs>
  <cellXfs count="779">
    <xf numFmtId="0" fontId="0" fillId="0" borderId="0" xfId="0"/>
    <xf numFmtId="0" fontId="2" fillId="0" borderId="0" xfId="0" applyFont="1"/>
    <xf numFmtId="2" fontId="2" fillId="0" borderId="0" xfId="0" applyNumberFormat="1" applyFont="1"/>
    <xf numFmtId="49" fontId="0" fillId="0" borderId="0" xfId="0" applyNumberFormat="1"/>
    <xf numFmtId="165" fontId="0" fillId="0" borderId="0" xfId="0" applyNumberFormat="1" applyAlignment="1">
      <alignment horizontal="center" vertical="center"/>
    </xf>
    <xf numFmtId="167" fontId="0" fillId="0" borderId="0" xfId="0" applyNumberFormat="1" applyAlignment="1">
      <alignment horizontal="center" vertical="center"/>
    </xf>
    <xf numFmtId="0" fontId="0" fillId="0" borderId="0" xfId="0" applyAlignment="1">
      <alignment horizontal="center" vertical="center"/>
    </xf>
    <xf numFmtId="165" fontId="5" fillId="0" borderId="0" xfId="0" applyNumberFormat="1" applyFont="1" applyAlignment="1">
      <alignment horizontal="center" vertical="center"/>
    </xf>
    <xf numFmtId="0" fontId="7" fillId="0" borderId="0" xfId="0" applyFont="1" applyAlignment="1">
      <alignment horizontal="center" vertical="center"/>
    </xf>
    <xf numFmtId="165" fontId="3" fillId="0" borderId="6" xfId="0" applyNumberFormat="1" applyFont="1" applyBorder="1" applyAlignment="1">
      <alignment horizontal="center" vertical="center"/>
    </xf>
    <xf numFmtId="170" fontId="3" fillId="0" borderId="6" xfId="0" applyNumberFormat="1" applyFont="1" applyBorder="1" applyAlignment="1">
      <alignment horizontal="center" vertical="center"/>
    </xf>
    <xf numFmtId="10" fontId="3" fillId="0" borderId="6" xfId="2" applyNumberFormat="1" applyFont="1" applyBorder="1" applyAlignment="1">
      <alignment horizontal="center" vertical="center"/>
    </xf>
    <xf numFmtId="165" fontId="3" fillId="0" borderId="7" xfId="0" applyNumberFormat="1" applyFont="1" applyBorder="1" applyAlignment="1">
      <alignment horizontal="center" vertical="center"/>
    </xf>
    <xf numFmtId="0" fontId="7" fillId="0" borderId="8" xfId="0" applyFont="1" applyBorder="1" applyAlignment="1">
      <alignment horizontal="center" vertical="center"/>
    </xf>
    <xf numFmtId="49" fontId="5" fillId="6" borderId="9" xfId="0" applyNumberFormat="1" applyFont="1" applyFill="1" applyBorder="1" applyAlignment="1">
      <alignment horizontal="center" vertical="center"/>
    </xf>
    <xf numFmtId="0" fontId="10" fillId="6" borderId="10" xfId="0" applyFont="1" applyFill="1" applyBorder="1" applyAlignment="1">
      <alignment horizontal="right" vertical="center" wrapText="1"/>
    </xf>
    <xf numFmtId="165" fontId="5" fillId="6" borderId="10" xfId="0" applyNumberFormat="1" applyFont="1" applyFill="1" applyBorder="1" applyAlignment="1">
      <alignment horizontal="center" vertical="center"/>
    </xf>
    <xf numFmtId="170" fontId="5" fillId="6" borderId="10" xfId="0" applyNumberFormat="1" applyFont="1" applyFill="1" applyBorder="1" applyAlignment="1">
      <alignment horizontal="center" vertical="center"/>
    </xf>
    <xf numFmtId="0" fontId="11" fillId="0" borderId="0" xfId="0" applyFont="1"/>
    <xf numFmtId="0" fontId="10" fillId="4" borderId="10" xfId="0" applyFont="1" applyFill="1" applyBorder="1" applyAlignment="1">
      <alignment vertical="center" wrapText="1"/>
    </xf>
    <xf numFmtId="165" fontId="3" fillId="0" borderId="10" xfId="0" applyNumberFormat="1" applyFont="1" applyBorder="1" applyAlignment="1">
      <alignment horizontal="center" vertical="center"/>
    </xf>
    <xf numFmtId="170" fontId="3" fillId="0" borderId="10" xfId="0" applyNumberFormat="1" applyFont="1" applyBorder="1" applyAlignment="1">
      <alignment horizontal="center" vertical="center"/>
    </xf>
    <xf numFmtId="1" fontId="0" fillId="0" borderId="0" xfId="0" applyNumberFormat="1" applyAlignment="1">
      <alignment horizontal="center" vertical="center"/>
    </xf>
    <xf numFmtId="0" fontId="9" fillId="4" borderId="10" xfId="0" applyFont="1" applyFill="1" applyBorder="1" applyAlignment="1">
      <alignment vertical="center" wrapText="1"/>
    </xf>
    <xf numFmtId="49" fontId="5" fillId="6" borderId="9" xfId="0" quotePrefix="1" applyNumberFormat="1" applyFont="1" applyFill="1" applyBorder="1" applyAlignment="1">
      <alignment horizontal="center" vertical="center"/>
    </xf>
    <xf numFmtId="49" fontId="5" fillId="6" borderId="14" xfId="0" applyNumberFormat="1" applyFont="1" applyFill="1" applyBorder="1" applyAlignment="1">
      <alignment horizontal="center" vertical="center"/>
    </xf>
    <xf numFmtId="49" fontId="5" fillId="6" borderId="14" xfId="0" quotePrefix="1" applyNumberFormat="1" applyFont="1" applyFill="1" applyBorder="1" applyAlignment="1">
      <alignment horizontal="center" vertical="center"/>
    </xf>
    <xf numFmtId="0" fontId="9" fillId="0" borderId="6" xfId="0" applyFont="1" applyBorder="1" applyAlignment="1">
      <alignment vertical="center" wrapText="1"/>
    </xf>
    <xf numFmtId="0" fontId="10" fillId="4" borderId="6" xfId="0" applyFont="1" applyFill="1" applyBorder="1" applyAlignment="1">
      <alignment vertical="center" wrapText="1"/>
    </xf>
    <xf numFmtId="0" fontId="9" fillId="0" borderId="10" xfId="0" applyFont="1" applyBorder="1" applyAlignment="1">
      <alignment vertical="center" wrapText="1"/>
    </xf>
    <xf numFmtId="0" fontId="10" fillId="4" borderId="6" xfId="0" applyFont="1" applyFill="1" applyBorder="1" applyAlignment="1">
      <alignment horizontal="center" vertical="center" wrapText="1"/>
    </xf>
    <xf numFmtId="49" fontId="13" fillId="0" borderId="5" xfId="0" applyNumberFormat="1" applyFont="1" applyBorder="1" applyAlignment="1">
      <alignment horizontal="center" vertical="center"/>
    </xf>
    <xf numFmtId="49" fontId="13" fillId="0" borderId="15" xfId="0" applyNumberFormat="1" applyFont="1" applyBorder="1" applyAlignment="1">
      <alignment horizontal="center" vertical="center"/>
    </xf>
    <xf numFmtId="166" fontId="10" fillId="4" borderId="6" xfId="0" applyNumberFormat="1" applyFont="1" applyFill="1" applyBorder="1" applyAlignment="1">
      <alignment horizontal="center" vertical="center" wrapText="1"/>
    </xf>
    <xf numFmtId="49" fontId="13" fillId="0" borderId="9" xfId="0" applyNumberFormat="1" applyFont="1" applyBorder="1" applyAlignment="1">
      <alignment horizontal="center" vertical="center"/>
    </xf>
    <xf numFmtId="49" fontId="13" fillId="0" borderId="14" xfId="0" applyNumberFormat="1" applyFont="1" applyBorder="1" applyAlignment="1">
      <alignment horizontal="center" vertical="center"/>
    </xf>
    <xf numFmtId="166" fontId="13" fillId="0" borderId="15" xfId="0" applyNumberFormat="1" applyFont="1" applyBorder="1" applyAlignment="1">
      <alignment horizontal="center" vertical="center"/>
    </xf>
    <xf numFmtId="166" fontId="9" fillId="0" borderId="6" xfId="0" applyNumberFormat="1" applyFont="1" applyBorder="1" applyAlignment="1">
      <alignment vertical="center" wrapText="1"/>
    </xf>
    <xf numFmtId="0" fontId="10" fillId="6" borderId="10" xfId="0" applyFont="1" applyFill="1" applyBorder="1" applyAlignment="1">
      <alignment horizontal="left" vertical="center" wrapText="1"/>
    </xf>
    <xf numFmtId="0" fontId="14" fillId="0" borderId="0" xfId="0" applyFont="1"/>
    <xf numFmtId="0" fontId="8" fillId="4" borderId="4" xfId="0" applyFont="1" applyFill="1" applyBorder="1" applyAlignment="1">
      <alignment horizontal="center" vertical="center" wrapText="1"/>
    </xf>
    <xf numFmtId="0" fontId="15" fillId="4" borderId="0" xfId="0" applyFont="1" applyFill="1" applyAlignment="1">
      <alignment horizontal="center" vertical="center" wrapText="1"/>
    </xf>
    <xf numFmtId="165" fontId="3" fillId="7" borderId="6" xfId="0" applyNumberFormat="1" applyFont="1" applyFill="1" applyBorder="1" applyAlignment="1">
      <alignment horizontal="center" vertical="center"/>
    </xf>
    <xf numFmtId="165" fontId="3" fillId="7" borderId="10" xfId="0" applyNumberFormat="1" applyFont="1" applyFill="1" applyBorder="1" applyAlignment="1">
      <alignment horizontal="center" vertical="center"/>
    </xf>
    <xf numFmtId="166" fontId="14" fillId="0" borderId="0" xfId="0" applyNumberFormat="1" applyFont="1"/>
    <xf numFmtId="165" fontId="14" fillId="0" borderId="0" xfId="1" applyFont="1"/>
    <xf numFmtId="165" fontId="14" fillId="0" borderId="0" xfId="0" applyNumberFormat="1" applyFont="1"/>
    <xf numFmtId="0" fontId="16" fillId="4" borderId="0" xfId="0" applyFont="1" applyFill="1" applyAlignment="1">
      <alignment vertical="center" wrapText="1"/>
    </xf>
    <xf numFmtId="0" fontId="0" fillId="7" borderId="0" xfId="0" applyFill="1"/>
    <xf numFmtId="171" fontId="3" fillId="0" borderId="6" xfId="0" applyNumberFormat="1" applyFont="1" applyBorder="1" applyAlignment="1">
      <alignment horizontal="center" vertical="center"/>
    </xf>
    <xf numFmtId="168" fontId="6" fillId="0" borderId="0" xfId="0" applyNumberFormat="1" applyFont="1" applyAlignment="1">
      <alignment horizontal="center" vertical="center"/>
    </xf>
    <xf numFmtId="165" fontId="0" fillId="0" borderId="0" xfId="0" applyNumberFormat="1" applyAlignment="1">
      <alignment vertical="center"/>
    </xf>
    <xf numFmtId="0" fontId="17" fillId="3" borderId="16" xfId="0" applyFont="1" applyFill="1" applyBorder="1"/>
    <xf numFmtId="165" fontId="17" fillId="3" borderId="16" xfId="0" applyNumberFormat="1" applyFont="1" applyFill="1" applyBorder="1"/>
    <xf numFmtId="10" fontId="18" fillId="0" borderId="10" xfId="0" applyNumberFormat="1" applyFont="1" applyBorder="1" applyAlignment="1">
      <alignment horizontal="center"/>
    </xf>
    <xf numFmtId="0" fontId="18" fillId="7" borderId="10" xfId="0" applyFont="1" applyFill="1" applyBorder="1" applyAlignment="1">
      <alignment horizontal="center"/>
    </xf>
    <xf numFmtId="0" fontId="18" fillId="7" borderId="19" xfId="0" applyFont="1" applyFill="1" applyBorder="1" applyAlignment="1">
      <alignment horizontal="center"/>
    </xf>
    <xf numFmtId="0" fontId="18" fillId="0" borderId="10" xfId="0" applyFont="1" applyBorder="1"/>
    <xf numFmtId="173" fontId="18" fillId="0" borderId="10" xfId="1" applyNumberFormat="1" applyFont="1" applyBorder="1" applyAlignment="1"/>
    <xf numFmtId="1" fontId="6" fillId="0" borderId="0" xfId="0" applyNumberFormat="1" applyFont="1" applyAlignment="1">
      <alignment horizontal="center" vertical="center"/>
    </xf>
    <xf numFmtId="9" fontId="6" fillId="0" borderId="0" xfId="0" applyNumberFormat="1" applyFont="1" applyAlignment="1">
      <alignment horizontal="center" vertical="center"/>
    </xf>
    <xf numFmtId="165" fontId="0" fillId="0" borderId="3" xfId="0" applyNumberFormat="1" applyBorder="1" applyAlignment="1">
      <alignment horizontal="center" vertical="center"/>
    </xf>
    <xf numFmtId="49" fontId="8" fillId="4" borderId="20" xfId="0" applyNumberFormat="1" applyFont="1" applyFill="1" applyBorder="1" applyAlignment="1">
      <alignment horizontal="center" vertical="center" wrapText="1"/>
    </xf>
    <xf numFmtId="49" fontId="8" fillId="4" borderId="21" xfId="0" applyNumberFormat="1" applyFont="1" applyFill="1" applyBorder="1" applyAlignment="1">
      <alignment horizontal="center" vertical="center" wrapText="1"/>
    </xf>
    <xf numFmtId="0" fontId="8" fillId="4" borderId="22" xfId="0" applyFont="1" applyFill="1" applyBorder="1" applyAlignment="1">
      <alignment horizontal="center" vertical="center" wrapText="1"/>
    </xf>
    <xf numFmtId="165" fontId="8" fillId="4" borderId="22" xfId="0" applyNumberFormat="1" applyFont="1" applyFill="1" applyBorder="1" applyAlignment="1">
      <alignment horizontal="center" vertical="center" wrapText="1"/>
    </xf>
    <xf numFmtId="167" fontId="8" fillId="4" borderId="22" xfId="0" applyNumberFormat="1" applyFont="1" applyFill="1" applyBorder="1" applyAlignment="1">
      <alignment horizontal="center" vertical="center" wrapText="1"/>
    </xf>
    <xf numFmtId="165" fontId="8" fillId="4" borderId="23" xfId="0" applyNumberFormat="1" applyFont="1" applyFill="1" applyBorder="1" applyAlignment="1">
      <alignment horizontal="center" vertical="center" wrapText="1"/>
    </xf>
    <xf numFmtId="10" fontId="5" fillId="7" borderId="6" xfId="2" applyNumberFormat="1" applyFont="1" applyFill="1" applyBorder="1" applyAlignment="1">
      <alignment horizontal="center" vertical="center"/>
    </xf>
    <xf numFmtId="49" fontId="5" fillId="0" borderId="0" xfId="0" quotePrefix="1" applyNumberFormat="1" applyFont="1" applyAlignment="1">
      <alignment horizontal="center" vertical="center"/>
    </xf>
    <xf numFmtId="165" fontId="5" fillId="0" borderId="10" xfId="0" applyNumberFormat="1" applyFont="1" applyBorder="1" applyAlignment="1">
      <alignment horizontal="center" vertical="center"/>
    </xf>
    <xf numFmtId="165" fontId="5" fillId="0" borderId="10" xfId="0" applyNumberFormat="1" applyFont="1" applyBorder="1" applyAlignment="1">
      <alignment vertical="center"/>
    </xf>
    <xf numFmtId="165" fontId="6" fillId="0" borderId="10" xfId="0" applyNumberFormat="1" applyFont="1" applyBorder="1" applyAlignment="1">
      <alignment horizontal="center" vertical="center"/>
    </xf>
    <xf numFmtId="165" fontId="5" fillId="0" borderId="6" xfId="0" applyNumberFormat="1" applyFont="1" applyBorder="1" applyAlignment="1">
      <alignment vertical="center"/>
    </xf>
    <xf numFmtId="165" fontId="6" fillId="0" borderId="6" xfId="0" applyNumberFormat="1" applyFont="1" applyBorder="1" applyAlignment="1">
      <alignment horizontal="center" vertical="center"/>
    </xf>
    <xf numFmtId="165" fontId="5" fillId="0" borderId="6" xfId="0" applyNumberFormat="1" applyFont="1" applyBorder="1" applyAlignment="1">
      <alignment horizontal="center" vertical="center"/>
    </xf>
    <xf numFmtId="167" fontId="5" fillId="0" borderId="10" xfId="0" applyNumberFormat="1" applyFont="1" applyBorder="1" applyAlignment="1">
      <alignment vertical="center"/>
    </xf>
    <xf numFmtId="9" fontId="6" fillId="0" borderId="11" xfId="2" applyFont="1" applyFill="1" applyBorder="1" applyAlignment="1">
      <alignment horizontal="center" vertical="center"/>
    </xf>
    <xf numFmtId="174" fontId="6" fillId="4" borderId="6" xfId="0" applyNumberFormat="1" applyFont="1" applyFill="1" applyBorder="1" applyAlignment="1">
      <alignment horizontal="center" vertical="center" wrapText="1"/>
    </xf>
    <xf numFmtId="167" fontId="5" fillId="0" borderId="10" xfId="0" applyNumberFormat="1" applyFont="1" applyBorder="1" applyAlignment="1">
      <alignment horizontal="right" vertical="center"/>
    </xf>
    <xf numFmtId="9" fontId="6" fillId="0" borderId="10" xfId="2" applyFont="1" applyFill="1" applyBorder="1" applyAlignment="1">
      <alignment horizontal="center" vertical="center"/>
    </xf>
    <xf numFmtId="175" fontId="9" fillId="0" borderId="6" xfId="0" applyNumberFormat="1" applyFont="1" applyBorder="1" applyAlignment="1">
      <alignment horizontal="left" vertical="center" wrapText="1"/>
    </xf>
    <xf numFmtId="0" fontId="10" fillId="4" borderId="5" xfId="0" applyFont="1" applyFill="1" applyBorder="1" applyAlignment="1">
      <alignment horizontal="center" vertical="center" wrapText="1"/>
    </xf>
    <xf numFmtId="0" fontId="10" fillId="4" borderId="7" xfId="0" applyFont="1" applyFill="1" applyBorder="1" applyAlignment="1">
      <alignment vertical="center" wrapText="1"/>
    </xf>
    <xf numFmtId="165" fontId="5" fillId="6" borderId="11" xfId="0" applyNumberFormat="1" applyFont="1" applyFill="1" applyBorder="1" applyAlignment="1">
      <alignment horizontal="center" vertical="center"/>
    </xf>
    <xf numFmtId="49" fontId="5" fillId="6" borderId="30" xfId="0" quotePrefix="1" applyNumberFormat="1" applyFont="1" applyFill="1" applyBorder="1" applyAlignment="1">
      <alignment horizontal="center" vertical="center"/>
    </xf>
    <xf numFmtId="49" fontId="5" fillId="6" borderId="31" xfId="0" quotePrefix="1" applyNumberFormat="1" applyFont="1" applyFill="1" applyBorder="1" applyAlignment="1">
      <alignment horizontal="center" vertical="center"/>
    </xf>
    <xf numFmtId="165" fontId="5" fillId="6" borderId="19" xfId="0" applyNumberFormat="1" applyFont="1" applyFill="1" applyBorder="1" applyAlignment="1">
      <alignment horizontal="center" vertical="center"/>
    </xf>
    <xf numFmtId="0" fontId="6" fillId="4" borderId="28" xfId="0" applyFont="1" applyFill="1" applyBorder="1" applyAlignment="1">
      <alignment horizontal="center" vertical="center" wrapText="1"/>
    </xf>
    <xf numFmtId="0" fontId="6" fillId="7" borderId="18" xfId="0" applyFont="1" applyFill="1" applyBorder="1" applyAlignment="1">
      <alignment horizontal="center" vertical="center"/>
    </xf>
    <xf numFmtId="167" fontId="12" fillId="0" borderId="0" xfId="0" applyNumberFormat="1" applyFont="1" applyAlignment="1">
      <alignment horizontal="center" vertical="center"/>
    </xf>
    <xf numFmtId="0" fontId="9" fillId="4" borderId="6" xfId="0" applyFont="1" applyFill="1" applyBorder="1" applyAlignment="1">
      <alignment vertical="center" wrapText="1"/>
    </xf>
    <xf numFmtId="2" fontId="14" fillId="0" borderId="0" xfId="0" applyNumberFormat="1" applyFont="1"/>
    <xf numFmtId="165" fontId="19" fillId="8" borderId="32" xfId="0" applyNumberFormat="1" applyFont="1" applyFill="1" applyBorder="1"/>
    <xf numFmtId="0" fontId="19" fillId="8" borderId="32" xfId="0" applyFont="1" applyFill="1" applyBorder="1"/>
    <xf numFmtId="165" fontId="19" fillId="8" borderId="32" xfId="0" applyNumberFormat="1" applyFont="1" applyFill="1" applyBorder="1" applyAlignment="1">
      <alignment horizontal="center"/>
    </xf>
    <xf numFmtId="0" fontId="19" fillId="8" borderId="32" xfId="0" applyFont="1" applyFill="1" applyBorder="1" applyAlignment="1">
      <alignment horizontal="center"/>
    </xf>
    <xf numFmtId="165" fontId="10" fillId="4" borderId="6" xfId="0" applyNumberFormat="1" applyFont="1" applyFill="1" applyBorder="1" applyAlignment="1">
      <alignment vertical="center" wrapText="1"/>
    </xf>
    <xf numFmtId="0" fontId="7" fillId="0" borderId="33" xfId="0" applyFont="1" applyBorder="1" applyAlignment="1">
      <alignment horizontal="center" vertical="center"/>
    </xf>
    <xf numFmtId="0" fontId="10" fillId="6" borderId="19" xfId="0" applyFont="1" applyFill="1" applyBorder="1" applyAlignment="1">
      <alignment horizontal="right" vertical="center" wrapText="1"/>
    </xf>
    <xf numFmtId="0" fontId="10" fillId="6" borderId="19" xfId="0" applyFont="1" applyFill="1" applyBorder="1" applyAlignment="1">
      <alignment horizontal="left" vertical="center" wrapText="1"/>
    </xf>
    <xf numFmtId="170" fontId="5" fillId="6" borderId="19" xfId="0" applyNumberFormat="1" applyFont="1" applyFill="1" applyBorder="1" applyAlignment="1">
      <alignment horizontal="center" vertical="center"/>
    </xf>
    <xf numFmtId="165" fontId="5" fillId="6" borderId="34" xfId="0" applyNumberFormat="1" applyFont="1" applyFill="1" applyBorder="1" applyAlignment="1">
      <alignment horizontal="center" vertical="center"/>
    </xf>
    <xf numFmtId="0" fontId="19" fillId="8" borderId="32" xfId="0" applyFont="1" applyFill="1" applyBorder="1" applyAlignment="1">
      <alignment horizontal="right"/>
    </xf>
    <xf numFmtId="165" fontId="19" fillId="8" borderId="32" xfId="1" applyFont="1" applyFill="1" applyBorder="1"/>
    <xf numFmtId="0" fontId="20" fillId="2" borderId="2" xfId="0" applyFont="1" applyFill="1" applyBorder="1"/>
    <xf numFmtId="176" fontId="14" fillId="0" borderId="0" xfId="0" applyNumberFormat="1" applyFont="1"/>
    <xf numFmtId="0" fontId="14" fillId="0" borderId="0" xfId="0" applyFont="1" applyAlignment="1">
      <alignment horizontal="left"/>
    </xf>
    <xf numFmtId="164" fontId="14" fillId="0" borderId="0" xfId="3" applyFont="1"/>
    <xf numFmtId="168" fontId="6" fillId="0" borderId="45" xfId="0" applyNumberFormat="1" applyFont="1" applyBorder="1" applyAlignment="1">
      <alignment horizontal="center" vertical="center"/>
    </xf>
    <xf numFmtId="9" fontId="0" fillId="0" borderId="0" xfId="0" applyNumberFormat="1"/>
    <xf numFmtId="165" fontId="0" fillId="0" borderId="0" xfId="1" applyFont="1"/>
    <xf numFmtId="165" fontId="21" fillId="0" borderId="0" xfId="0" applyNumberFormat="1" applyFont="1"/>
    <xf numFmtId="165" fontId="5" fillId="7" borderId="6" xfId="0" applyNumberFormat="1" applyFont="1" applyFill="1" applyBorder="1" applyAlignment="1">
      <alignment horizontal="center" vertical="center"/>
    </xf>
    <xf numFmtId="171" fontId="3" fillId="0" borderId="10" xfId="0" applyNumberFormat="1" applyFont="1" applyBorder="1" applyAlignment="1">
      <alignment horizontal="center" vertical="center"/>
    </xf>
    <xf numFmtId="177" fontId="2" fillId="0" borderId="0" xfId="0" applyNumberFormat="1" applyFont="1"/>
    <xf numFmtId="166" fontId="6" fillId="7" borderId="18" xfId="0" applyNumberFormat="1" applyFont="1" applyFill="1" applyBorder="1" applyAlignment="1">
      <alignment horizontal="center" vertical="center"/>
    </xf>
    <xf numFmtId="165" fontId="5" fillId="0" borderId="22" xfId="0" applyNumberFormat="1" applyFont="1" applyBorder="1" applyAlignment="1">
      <alignment horizontal="center" vertical="center"/>
    </xf>
    <xf numFmtId="1" fontId="20" fillId="2" borderId="1" xfId="0" applyNumberFormat="1" applyFont="1" applyFill="1" applyBorder="1"/>
    <xf numFmtId="0" fontId="21" fillId="0" borderId="0" xfId="0" applyFont="1"/>
    <xf numFmtId="0" fontId="22" fillId="9" borderId="10" xfId="0" applyFont="1" applyFill="1" applyBorder="1" applyAlignment="1">
      <alignment horizontal="left"/>
    </xf>
    <xf numFmtId="0" fontId="22" fillId="10" borderId="10" xfId="0" applyFont="1" applyFill="1" applyBorder="1" applyAlignment="1">
      <alignment horizontal="left"/>
    </xf>
    <xf numFmtId="0" fontId="2" fillId="0" borderId="10" xfId="0" applyFont="1" applyBorder="1"/>
    <xf numFmtId="0" fontId="22" fillId="0" borderId="10" xfId="0" applyFont="1" applyBorder="1" applyAlignment="1">
      <alignment horizontal="left"/>
    </xf>
    <xf numFmtId="0" fontId="22" fillId="0" borderId="0" xfId="0" applyFont="1" applyAlignment="1">
      <alignment horizontal="left"/>
    </xf>
    <xf numFmtId="0" fontId="22" fillId="0" borderId="14" xfId="0" applyFont="1" applyBorder="1" applyAlignment="1">
      <alignment horizontal="left"/>
    </xf>
    <xf numFmtId="0" fontId="2" fillId="0" borderId="10" xfId="0" applyFont="1" applyBorder="1" applyAlignment="1">
      <alignment wrapText="1"/>
    </xf>
    <xf numFmtId="0" fontId="22" fillId="0" borderId="14" xfId="0" applyFont="1" applyBorder="1" applyAlignment="1">
      <alignment horizontal="left" wrapText="1"/>
    </xf>
    <xf numFmtId="0" fontId="22" fillId="0" borderId="10" xfId="0" applyFont="1" applyBorder="1" applyAlignment="1">
      <alignment horizontal="left" wrapText="1"/>
    </xf>
    <xf numFmtId="0" fontId="2" fillId="0" borderId="10" xfId="0" applyFont="1" applyBorder="1" applyAlignment="1">
      <alignment vertical="top"/>
    </xf>
    <xf numFmtId="164" fontId="22" fillId="0" borderId="10" xfId="3" applyFont="1" applyFill="1" applyBorder="1" applyAlignment="1">
      <alignment horizontal="left" wrapText="1"/>
    </xf>
    <xf numFmtId="164" fontId="22" fillId="0" borderId="10" xfId="0" applyNumberFormat="1" applyFont="1" applyBorder="1" applyAlignment="1">
      <alignment horizontal="left" wrapText="1"/>
    </xf>
    <xf numFmtId="165" fontId="5" fillId="7" borderId="10" xfId="0" applyNumberFormat="1" applyFont="1" applyFill="1" applyBorder="1" applyAlignment="1">
      <alignment horizontal="center" vertical="center"/>
    </xf>
    <xf numFmtId="165" fontId="0" fillId="0" borderId="19" xfId="0" applyNumberFormat="1" applyBorder="1" applyAlignment="1">
      <alignment horizontal="center" vertical="center"/>
    </xf>
    <xf numFmtId="165" fontId="5" fillId="2" borderId="48" xfId="0" applyNumberFormat="1" applyFont="1" applyFill="1" applyBorder="1" applyAlignment="1">
      <alignment horizontal="center" vertical="center"/>
    </xf>
    <xf numFmtId="0" fontId="6" fillId="7" borderId="49" xfId="0" applyFont="1" applyFill="1" applyBorder="1" applyAlignment="1">
      <alignment vertical="center"/>
    </xf>
    <xf numFmtId="0" fontId="8" fillId="4" borderId="50" xfId="0" applyFont="1" applyFill="1" applyBorder="1" applyAlignment="1">
      <alignment horizontal="center" vertical="center" wrapText="1"/>
    </xf>
    <xf numFmtId="165" fontId="8" fillId="4" borderId="50" xfId="0" applyNumberFormat="1" applyFont="1" applyFill="1" applyBorder="1" applyAlignment="1">
      <alignment horizontal="center" vertical="center" wrapText="1"/>
    </xf>
    <xf numFmtId="169" fontId="5" fillId="0" borderId="1" xfId="0" applyNumberFormat="1" applyFont="1" applyBorder="1" applyAlignment="1">
      <alignment horizontal="center" vertical="center"/>
    </xf>
    <xf numFmtId="165" fontId="0" fillId="0" borderId="51" xfId="0" applyNumberFormat="1" applyBorder="1" applyAlignment="1">
      <alignment horizontal="center" vertical="center"/>
    </xf>
    <xf numFmtId="172" fontId="0" fillId="0" borderId="2" xfId="1" applyNumberFormat="1" applyFont="1" applyFill="1" applyBorder="1" applyAlignment="1">
      <alignment horizontal="center" vertical="center"/>
    </xf>
    <xf numFmtId="9" fontId="21" fillId="0" borderId="0" xfId="0" applyNumberFormat="1" applyFont="1"/>
    <xf numFmtId="165" fontId="21" fillId="0" borderId="52" xfId="0" applyNumberFormat="1" applyFont="1" applyBorder="1"/>
    <xf numFmtId="9" fontId="21" fillId="0" borderId="1" xfId="0" applyNumberFormat="1" applyFont="1" applyBorder="1"/>
    <xf numFmtId="165" fontId="21" fillId="0" borderId="51" xfId="1" applyFont="1" applyBorder="1"/>
    <xf numFmtId="165" fontId="21" fillId="0" borderId="2" xfId="0" applyNumberFormat="1" applyFont="1" applyBorder="1"/>
    <xf numFmtId="0" fontId="21" fillId="0" borderId="52" xfId="0" applyFont="1" applyBorder="1"/>
    <xf numFmtId="0" fontId="21" fillId="0" borderId="51" xfId="0" applyFont="1" applyBorder="1"/>
    <xf numFmtId="0" fontId="21" fillId="0" borderId="2" xfId="0" applyFont="1" applyBorder="1"/>
    <xf numFmtId="165" fontId="0" fillId="0" borderId="52" xfId="0" applyNumberFormat="1" applyBorder="1"/>
    <xf numFmtId="0" fontId="0" fillId="0" borderId="53" xfId="0" applyBorder="1"/>
    <xf numFmtId="0" fontId="0" fillId="0" borderId="16" xfId="0" applyBorder="1"/>
    <xf numFmtId="9" fontId="0" fillId="0" borderId="54" xfId="0" applyNumberFormat="1" applyBorder="1"/>
    <xf numFmtId="0" fontId="0" fillId="0" borderId="17" xfId="0" applyBorder="1"/>
    <xf numFmtId="0" fontId="0" fillId="0" borderId="54" xfId="0" applyBorder="1"/>
    <xf numFmtId="165" fontId="21" fillId="0" borderId="55" xfId="0" applyNumberFormat="1" applyFont="1" applyBorder="1"/>
    <xf numFmtId="9" fontId="0" fillId="0" borderId="56" xfId="0" applyNumberFormat="1" applyBorder="1"/>
    <xf numFmtId="165" fontId="0" fillId="0" borderId="53" xfId="1" applyFont="1" applyBorder="1"/>
    <xf numFmtId="165" fontId="0" fillId="0" borderId="16" xfId="1" applyFont="1" applyBorder="1"/>
    <xf numFmtId="165" fontId="0" fillId="0" borderId="0" xfId="1" applyFont="1" applyBorder="1"/>
    <xf numFmtId="165" fontId="0" fillId="0" borderId="17" xfId="1" applyFont="1" applyBorder="1"/>
    <xf numFmtId="9" fontId="21" fillId="0" borderId="56" xfId="0" applyNumberFormat="1" applyFont="1" applyBorder="1"/>
    <xf numFmtId="165" fontId="21" fillId="0" borderId="53" xfId="1" applyFont="1" applyBorder="1"/>
    <xf numFmtId="165" fontId="21" fillId="0" borderId="16" xfId="0" applyNumberFormat="1" applyFont="1" applyBorder="1"/>
    <xf numFmtId="0" fontId="0" fillId="0" borderId="57" xfId="0" applyBorder="1"/>
    <xf numFmtId="0" fontId="0" fillId="0" borderId="58" xfId="0" applyBorder="1"/>
    <xf numFmtId="0" fontId="0" fillId="0" borderId="59" xfId="0" applyBorder="1"/>
    <xf numFmtId="0" fontId="11" fillId="0" borderId="54" xfId="0" applyFont="1" applyBorder="1"/>
    <xf numFmtId="0" fontId="11" fillId="0" borderId="17" xfId="0" applyFont="1" applyBorder="1"/>
    <xf numFmtId="0" fontId="24" fillId="0" borderId="0" xfId="0" applyFont="1"/>
    <xf numFmtId="0" fontId="24" fillId="0" borderId="60" xfId="0" applyFont="1" applyBorder="1"/>
    <xf numFmtId="0" fontId="24" fillId="0" borderId="61" xfId="0" applyFont="1" applyBorder="1"/>
    <xf numFmtId="178" fontId="24" fillId="0" borderId="61" xfId="1" applyNumberFormat="1" applyFont="1" applyFill="1" applyBorder="1"/>
    <xf numFmtId="0" fontId="24" fillId="0" borderId="62" xfId="0" applyFont="1" applyBorder="1"/>
    <xf numFmtId="0" fontId="24" fillId="0" borderId="63" xfId="0" applyFont="1" applyBorder="1"/>
    <xf numFmtId="0" fontId="24" fillId="0" borderId="64" xfId="0" applyFont="1" applyBorder="1"/>
    <xf numFmtId="9" fontId="24" fillId="0" borderId="6" xfId="2" applyFont="1" applyBorder="1"/>
    <xf numFmtId="9" fontId="24" fillId="0" borderId="65" xfId="2" applyFont="1" applyFill="1" applyBorder="1"/>
    <xf numFmtId="0" fontId="24" fillId="0" borderId="66" xfId="0" applyFont="1" applyBorder="1"/>
    <xf numFmtId="0" fontId="24" fillId="0" borderId="10" xfId="0" applyFont="1" applyBorder="1"/>
    <xf numFmtId="9" fontId="24" fillId="0" borderId="10" xfId="2" applyFont="1" applyBorder="1"/>
    <xf numFmtId="9" fontId="24" fillId="0" borderId="67" xfId="2" applyFont="1" applyFill="1" applyBorder="1"/>
    <xf numFmtId="9" fontId="24" fillId="0" borderId="10" xfId="2" applyFont="1" applyFill="1" applyBorder="1"/>
    <xf numFmtId="9" fontId="24" fillId="0" borderId="10" xfId="0" applyNumberFormat="1" applyFont="1" applyBorder="1"/>
    <xf numFmtId="0" fontId="24" fillId="0" borderId="68" xfId="0" applyFont="1" applyBorder="1"/>
    <xf numFmtId="0" fontId="24" fillId="0" borderId="19" xfId="0" applyFont="1" applyBorder="1"/>
    <xf numFmtId="0" fontId="24" fillId="0" borderId="69" xfId="0" applyFont="1" applyBorder="1"/>
    <xf numFmtId="0" fontId="24" fillId="0" borderId="70" xfId="0" applyFont="1" applyBorder="1"/>
    <xf numFmtId="9" fontId="24" fillId="0" borderId="19" xfId="2" applyFont="1" applyFill="1" applyBorder="1"/>
    <xf numFmtId="9" fontId="24" fillId="0" borderId="19" xfId="2" applyFont="1" applyBorder="1"/>
    <xf numFmtId="9" fontId="24" fillId="0" borderId="71" xfId="2" applyFont="1" applyFill="1" applyBorder="1"/>
    <xf numFmtId="9" fontId="25" fillId="0" borderId="61" xfId="0" applyNumberFormat="1" applyFont="1" applyBorder="1"/>
    <xf numFmtId="9" fontId="25" fillId="0" borderId="60" xfId="0" applyNumberFormat="1" applyFont="1" applyBorder="1"/>
    <xf numFmtId="9" fontId="25" fillId="0" borderId="62" xfId="0" applyNumberFormat="1" applyFont="1" applyBorder="1"/>
    <xf numFmtId="9" fontId="24" fillId="0" borderId="0" xfId="2" applyFont="1"/>
    <xf numFmtId="9" fontId="24" fillId="0" borderId="0" xfId="0" applyNumberFormat="1" applyFont="1"/>
    <xf numFmtId="0" fontId="26" fillId="11" borderId="0" xfId="0" applyFont="1" applyFill="1" applyAlignment="1">
      <alignment horizontal="center"/>
    </xf>
    <xf numFmtId="0" fontId="24" fillId="12" borderId="0" xfId="0" applyFont="1" applyFill="1"/>
    <xf numFmtId="0" fontId="25" fillId="12" borderId="0" xfId="0" applyFont="1" applyFill="1" applyAlignment="1">
      <alignment horizontal="center"/>
    </xf>
    <xf numFmtId="0" fontId="26" fillId="13" borderId="0" xfId="0" applyFont="1" applyFill="1" applyAlignment="1">
      <alignment horizontal="center"/>
    </xf>
    <xf numFmtId="165" fontId="21" fillId="0" borderId="0" xfId="1" applyFont="1"/>
    <xf numFmtId="165" fontId="0" fillId="0" borderId="0" xfId="0" applyNumberFormat="1"/>
    <xf numFmtId="165" fontId="21" fillId="0" borderId="0" xfId="1" applyFont="1" applyBorder="1"/>
    <xf numFmtId="178" fontId="24" fillId="2" borderId="61" xfId="1" applyNumberFormat="1" applyFont="1" applyFill="1" applyBorder="1"/>
    <xf numFmtId="0" fontId="24" fillId="2" borderId="61" xfId="0" applyFont="1" applyFill="1" applyBorder="1"/>
    <xf numFmtId="9" fontId="21" fillId="0" borderId="0" xfId="2" applyFont="1"/>
    <xf numFmtId="0" fontId="24" fillId="2" borderId="66" xfId="0" applyFont="1" applyFill="1" applyBorder="1"/>
    <xf numFmtId="49" fontId="6" fillId="0" borderId="10" xfId="2" applyNumberFormat="1" applyFont="1" applyFill="1" applyBorder="1" applyAlignment="1">
      <alignment horizontal="center" vertical="center"/>
    </xf>
    <xf numFmtId="164" fontId="10" fillId="4" borderId="6" xfId="0" applyNumberFormat="1" applyFont="1" applyFill="1" applyBorder="1" applyAlignment="1">
      <alignment vertical="center" wrapText="1"/>
    </xf>
    <xf numFmtId="179" fontId="5" fillId="7" borderId="6" xfId="0" applyNumberFormat="1" applyFont="1" applyFill="1" applyBorder="1" applyAlignment="1">
      <alignment horizontal="center" vertical="center"/>
    </xf>
    <xf numFmtId="171" fontId="5" fillId="7" borderId="6" xfId="0" applyNumberFormat="1" applyFont="1" applyFill="1" applyBorder="1" applyAlignment="1">
      <alignment horizontal="center" vertical="center"/>
    </xf>
    <xf numFmtId="171" fontId="3" fillId="7" borderId="10" xfId="0" applyNumberFormat="1" applyFont="1" applyFill="1" applyBorder="1" applyAlignment="1">
      <alignment horizontal="center" vertical="center"/>
    </xf>
    <xf numFmtId="0" fontId="28" fillId="0" borderId="0" xfId="4" applyFont="1"/>
    <xf numFmtId="0" fontId="5" fillId="14" borderId="75" xfId="4" applyFont="1" applyFill="1" applyBorder="1" applyAlignment="1" applyProtection="1">
      <alignment horizontal="left" vertical="center" wrapText="1"/>
      <protection locked="0"/>
    </xf>
    <xf numFmtId="0" fontId="33" fillId="0" borderId="0" xfId="4" applyFont="1"/>
    <xf numFmtId="0" fontId="5" fillId="14" borderId="78" xfId="4" applyFont="1" applyFill="1" applyBorder="1" applyProtection="1">
      <protection locked="0"/>
    </xf>
    <xf numFmtId="0" fontId="6" fillId="5" borderId="13" xfId="4" applyFont="1" applyFill="1" applyBorder="1" applyAlignment="1" applyProtection="1">
      <alignment horizontal="left" vertical="center"/>
      <protection locked="0"/>
    </xf>
    <xf numFmtId="0" fontId="6" fillId="5" borderId="80" xfId="4" applyFont="1" applyFill="1" applyBorder="1" applyAlignment="1" applyProtection="1">
      <alignment horizontal="left" vertical="center"/>
      <protection locked="0"/>
    </xf>
    <xf numFmtId="0" fontId="6" fillId="5" borderId="81" xfId="4" applyFont="1" applyFill="1" applyBorder="1" applyAlignment="1" applyProtection="1">
      <alignment horizontal="right" vertical="center" wrapText="1"/>
      <protection locked="0"/>
    </xf>
    <xf numFmtId="49" fontId="6" fillId="5" borderId="82" xfId="4" applyNumberFormat="1" applyFont="1" applyFill="1" applyBorder="1" applyAlignment="1" applyProtection="1">
      <alignment horizontal="center" vertical="center" wrapText="1"/>
      <protection locked="0"/>
    </xf>
    <xf numFmtId="0" fontId="5" fillId="15" borderId="85" xfId="4" applyFont="1" applyFill="1" applyBorder="1" applyAlignment="1" applyProtection="1">
      <alignment horizontal="left"/>
      <protection locked="0"/>
    </xf>
    <xf numFmtId="1" fontId="6" fillId="0" borderId="80" xfId="4" applyNumberFormat="1" applyFont="1" applyBorder="1" applyAlignment="1" applyProtection="1">
      <alignment horizontal="center"/>
      <protection locked="0"/>
    </xf>
    <xf numFmtId="0" fontId="5" fillId="15" borderId="78" xfId="4" applyFont="1" applyFill="1" applyBorder="1" applyProtection="1">
      <protection locked="0"/>
    </xf>
    <xf numFmtId="49" fontId="6" fillId="5" borderId="80" xfId="4" applyNumberFormat="1" applyFont="1" applyFill="1" applyBorder="1" applyAlignment="1" applyProtection="1">
      <alignment horizontal="center"/>
      <protection locked="0"/>
    </xf>
    <xf numFmtId="10" fontId="6" fillId="5" borderId="80" xfId="5" applyNumberFormat="1" applyFont="1" applyFill="1" applyBorder="1" applyAlignment="1" applyProtection="1">
      <alignment horizontal="center"/>
      <protection locked="0"/>
    </xf>
    <xf numFmtId="180" fontId="6" fillId="5" borderId="78" xfId="4" applyNumberFormat="1" applyFont="1" applyFill="1" applyBorder="1" applyAlignment="1" applyProtection="1">
      <alignment horizontal="center" vertical="center" wrapText="1"/>
      <protection locked="0"/>
    </xf>
    <xf numFmtId="0" fontId="6" fillId="5" borderId="80" xfId="4" applyFont="1" applyFill="1" applyBorder="1" applyAlignment="1" applyProtection="1">
      <alignment horizontal="center"/>
      <protection locked="0"/>
    </xf>
    <xf numFmtId="0" fontId="6" fillId="5" borderId="78" xfId="4" applyFont="1" applyFill="1" applyBorder="1" applyProtection="1">
      <protection locked="0"/>
    </xf>
    <xf numFmtId="0" fontId="6" fillId="5" borderId="13" xfId="4" applyFont="1" applyFill="1" applyBorder="1" applyAlignment="1" applyProtection="1">
      <alignment horizontal="center"/>
      <protection locked="0"/>
    </xf>
    <xf numFmtId="0" fontId="6" fillId="5" borderId="13" xfId="4" applyFont="1" applyFill="1" applyBorder="1" applyProtection="1">
      <protection locked="0"/>
    </xf>
    <xf numFmtId="0" fontId="5" fillId="14" borderId="89" xfId="4" applyFont="1" applyFill="1" applyBorder="1" applyProtection="1">
      <protection locked="0"/>
    </xf>
    <xf numFmtId="0" fontId="5" fillId="15" borderId="89" xfId="4" applyFont="1" applyFill="1" applyBorder="1" applyAlignment="1" applyProtection="1">
      <alignment horizontal="left" vertical="center" wrapText="1"/>
      <protection locked="0"/>
    </xf>
    <xf numFmtId="10" fontId="6" fillId="5" borderId="92" xfId="5" applyNumberFormat="1" applyFont="1" applyFill="1" applyBorder="1" applyAlignment="1" applyProtection="1">
      <alignment horizontal="center" vertical="center" wrapText="1"/>
      <protection locked="0"/>
    </xf>
    <xf numFmtId="0" fontId="5" fillId="0" borderId="93" xfId="4" applyFont="1" applyBorder="1" applyProtection="1">
      <protection locked="0"/>
    </xf>
    <xf numFmtId="0" fontId="3" fillId="0" borderId="93" xfId="4" applyFont="1" applyBorder="1" applyProtection="1">
      <protection locked="0"/>
    </xf>
    <xf numFmtId="164" fontId="5" fillId="0" borderId="93" xfId="4" applyNumberFormat="1" applyFont="1" applyBorder="1" applyProtection="1">
      <protection locked="0"/>
    </xf>
    <xf numFmtId="0" fontId="6" fillId="0" borderId="0" xfId="4" applyFont="1" applyAlignment="1">
      <alignment horizontal="center"/>
    </xf>
    <xf numFmtId="0" fontId="5" fillId="4" borderId="97" xfId="4" applyFont="1" applyFill="1" applyBorder="1" applyAlignment="1" applyProtection="1">
      <alignment horizontal="center" vertical="center" wrapText="1"/>
      <protection locked="0"/>
    </xf>
    <xf numFmtId="4" fontId="5" fillId="4" borderId="97" xfId="4" applyNumberFormat="1" applyFont="1" applyFill="1" applyBorder="1" applyAlignment="1" applyProtection="1">
      <alignment horizontal="center" vertical="center" wrapText="1"/>
      <protection locked="0"/>
    </xf>
    <xf numFmtId="4" fontId="6" fillId="0" borderId="0" xfId="4" applyNumberFormat="1" applyFont="1" applyAlignment="1">
      <alignment horizontal="center"/>
    </xf>
    <xf numFmtId="0" fontId="3" fillId="0" borderId="98" xfId="4" applyFont="1" applyBorder="1" applyProtection="1">
      <protection locked="0"/>
    </xf>
    <xf numFmtId="0" fontId="3" fillId="0" borderId="99" xfId="4" applyFont="1" applyBorder="1" applyProtection="1">
      <protection locked="0"/>
    </xf>
    <xf numFmtId="4" fontId="5" fillId="0" borderId="100" xfId="4" applyNumberFormat="1" applyFont="1" applyBorder="1" applyAlignment="1" applyProtection="1">
      <alignment horizontal="center"/>
      <protection locked="0"/>
    </xf>
    <xf numFmtId="4" fontId="28" fillId="0" borderId="0" xfId="4" applyNumberFormat="1" applyFont="1"/>
    <xf numFmtId="0" fontId="5" fillId="0" borderId="101" xfId="4" applyFont="1" applyBorder="1" applyProtection="1">
      <protection locked="0"/>
    </xf>
    <xf numFmtId="0" fontId="5" fillId="0" borderId="10" xfId="4" applyFont="1" applyBorder="1" applyProtection="1">
      <protection locked="0"/>
    </xf>
    <xf numFmtId="164" fontId="6" fillId="5" borderId="10" xfId="6" applyFont="1" applyFill="1" applyBorder="1" applyAlignment="1" applyProtection="1">
      <alignment horizontal="center"/>
      <protection locked="0"/>
    </xf>
    <xf numFmtId="181" fontId="6" fillId="5" borderId="10" xfId="4" applyNumberFormat="1" applyFont="1" applyFill="1" applyBorder="1" applyProtection="1">
      <protection locked="0"/>
    </xf>
    <xf numFmtId="164" fontId="3" fillId="0" borderId="10" xfId="6" applyFont="1" applyBorder="1" applyProtection="1">
      <protection locked="0"/>
    </xf>
    <xf numFmtId="10" fontId="6" fillId="5" borderId="102" xfId="5" applyNumberFormat="1" applyFont="1" applyFill="1" applyBorder="1" applyAlignment="1" applyProtection="1">
      <alignment horizontal="center"/>
      <protection locked="0"/>
    </xf>
    <xf numFmtId="0" fontId="3" fillId="0" borderId="101" xfId="4" applyFont="1" applyBorder="1" applyProtection="1">
      <protection locked="0"/>
    </xf>
    <xf numFmtId="164" fontId="3" fillId="0" borderId="10" xfId="6" applyFont="1" applyBorder="1" applyAlignment="1" applyProtection="1">
      <alignment horizontal="center"/>
      <protection locked="0"/>
    </xf>
    <xf numFmtId="10" fontId="5" fillId="0" borderId="102" xfId="5" applyNumberFormat="1" applyFont="1" applyBorder="1" applyAlignment="1" applyProtection="1">
      <alignment horizontal="center"/>
      <protection locked="0"/>
    </xf>
    <xf numFmtId="10" fontId="6" fillId="5" borderId="101" xfId="5" applyNumberFormat="1" applyFont="1" applyFill="1" applyBorder="1" applyProtection="1">
      <protection locked="0"/>
    </xf>
    <xf numFmtId="181" fontId="3" fillId="0" borderId="10" xfId="4" applyNumberFormat="1" applyFont="1" applyBorder="1" applyProtection="1">
      <protection locked="0"/>
    </xf>
    <xf numFmtId="10" fontId="6" fillId="0" borderId="101" xfId="5" applyNumberFormat="1" applyFont="1" applyFill="1" applyBorder="1" applyProtection="1">
      <protection locked="0"/>
    </xf>
    <xf numFmtId="0" fontId="3" fillId="0" borderId="10" xfId="4" applyFont="1" applyBorder="1" applyAlignment="1" applyProtection="1">
      <alignment horizontal="right"/>
      <protection locked="0"/>
    </xf>
    <xf numFmtId="10" fontId="6" fillId="0" borderId="101" xfId="5" applyNumberFormat="1" applyFont="1" applyFill="1" applyBorder="1" applyAlignment="1" applyProtection="1">
      <alignment horizontal="right"/>
      <protection locked="0"/>
    </xf>
    <xf numFmtId="0" fontId="3" fillId="0" borderId="10" xfId="4" applyFont="1" applyBorder="1" applyProtection="1">
      <protection locked="0"/>
    </xf>
    <xf numFmtId="40" fontId="3" fillId="0" borderId="10" xfId="4" applyNumberFormat="1" applyFont="1" applyBorder="1" applyProtection="1">
      <protection locked="0"/>
    </xf>
    <xf numFmtId="4" fontId="5" fillId="0" borderId="102" xfId="4" applyNumberFormat="1" applyFont="1" applyBorder="1" applyAlignment="1" applyProtection="1">
      <alignment horizontal="center"/>
      <protection locked="0"/>
    </xf>
    <xf numFmtId="10" fontId="6" fillId="0" borderId="101" xfId="4" applyNumberFormat="1" applyFont="1" applyBorder="1" applyProtection="1">
      <protection locked="0"/>
    </xf>
    <xf numFmtId="0" fontId="3" fillId="0" borderId="0" xfId="4" applyFont="1" applyProtection="1">
      <protection locked="0"/>
    </xf>
    <xf numFmtId="164" fontId="3" fillId="0" borderId="0" xfId="6" applyFont="1" applyBorder="1" applyProtection="1">
      <protection locked="0"/>
    </xf>
    <xf numFmtId="40" fontId="3" fillId="0" borderId="0" xfId="4" applyNumberFormat="1" applyFont="1" applyProtection="1">
      <protection locked="0"/>
    </xf>
    <xf numFmtId="4" fontId="5" fillId="0" borderId="103" xfId="4" applyNumberFormat="1" applyFont="1" applyBorder="1" applyAlignment="1" applyProtection="1">
      <alignment horizontal="center"/>
      <protection locked="0"/>
    </xf>
    <xf numFmtId="0" fontId="5" fillId="0" borderId="101" xfId="4" applyFont="1" applyBorder="1" applyAlignment="1" applyProtection="1">
      <alignment horizontal="left"/>
      <protection locked="0"/>
    </xf>
    <xf numFmtId="0" fontId="5" fillId="0" borderId="0" xfId="4" applyFont="1" applyAlignment="1" applyProtection="1">
      <alignment horizontal="left"/>
      <protection locked="0"/>
    </xf>
    <xf numFmtId="164" fontId="6" fillId="0" borderId="0" xfId="6" applyFont="1" applyFill="1" applyBorder="1" applyProtection="1">
      <protection locked="0"/>
    </xf>
    <xf numFmtId="181" fontId="6" fillId="0" borderId="0" xfId="4" applyNumberFormat="1" applyFont="1" applyProtection="1">
      <protection locked="0"/>
    </xf>
    <xf numFmtId="9" fontId="5" fillId="0" borderId="103" xfId="5" applyFont="1" applyBorder="1" applyAlignment="1" applyProtection="1">
      <alignment horizontal="center"/>
      <protection locked="0"/>
    </xf>
    <xf numFmtId="164" fontId="35" fillId="0" borderId="10" xfId="6" applyFont="1" applyBorder="1" applyProtection="1">
      <protection locked="0"/>
    </xf>
    <xf numFmtId="164" fontId="36" fillId="5" borderId="10" xfId="6" applyFont="1" applyFill="1" applyBorder="1" applyProtection="1">
      <protection locked="0"/>
    </xf>
    <xf numFmtId="0" fontId="5" fillId="0" borderId="101" xfId="4" applyFont="1" applyBorder="1" applyAlignment="1" applyProtection="1">
      <alignment horizontal="right"/>
      <protection locked="0"/>
    </xf>
    <xf numFmtId="0" fontId="5" fillId="0" borderId="0" xfId="4" applyFont="1" applyAlignment="1" applyProtection="1">
      <alignment horizontal="right"/>
      <protection locked="0"/>
    </xf>
    <xf numFmtId="164" fontId="37" fillId="0" borderId="0" xfId="6" applyFont="1" applyFill="1" applyBorder="1" applyProtection="1">
      <protection locked="0"/>
    </xf>
    <xf numFmtId="40" fontId="3" fillId="0" borderId="107" xfId="4" applyNumberFormat="1" applyFont="1" applyBorder="1" applyAlignment="1" applyProtection="1">
      <alignment horizontal="right"/>
      <protection locked="0"/>
    </xf>
    <xf numFmtId="40" fontId="3" fillId="0" borderId="13" xfId="4" applyNumberFormat="1" applyFont="1" applyBorder="1" applyProtection="1">
      <protection locked="0"/>
    </xf>
    <xf numFmtId="164" fontId="3" fillId="0" borderId="108" xfId="6" applyFont="1" applyBorder="1" applyProtection="1">
      <protection locked="0"/>
    </xf>
    <xf numFmtId="40" fontId="28" fillId="0" borderId="0" xfId="4" applyNumberFormat="1" applyFont="1"/>
    <xf numFmtId="40" fontId="5" fillId="0" borderId="103" xfId="4" applyNumberFormat="1" applyFont="1" applyBorder="1" applyAlignment="1" applyProtection="1">
      <alignment horizontal="center"/>
      <protection locked="0"/>
    </xf>
    <xf numFmtId="164" fontId="5" fillId="0" borderId="111" xfId="6" applyFont="1" applyBorder="1" applyProtection="1">
      <protection locked="0"/>
    </xf>
    <xf numFmtId="40" fontId="6" fillId="0" borderId="0" xfId="4" applyNumberFormat="1" applyFont="1"/>
    <xf numFmtId="40" fontId="3" fillId="0" borderId="0" xfId="4" applyNumberFormat="1" applyFont="1" applyAlignment="1" applyProtection="1">
      <alignment horizontal="center"/>
      <protection locked="0"/>
    </xf>
    <xf numFmtId="181" fontId="3" fillId="0" borderId="0" xfId="4" applyNumberFormat="1" applyFont="1" applyProtection="1">
      <protection locked="0"/>
    </xf>
    <xf numFmtId="0" fontId="3" fillId="0" borderId="0" xfId="4" applyFont="1" applyAlignment="1" applyProtection="1">
      <alignment horizontal="left"/>
      <protection locked="0"/>
    </xf>
    <xf numFmtId="182" fontId="6" fillId="5" borderId="0" xfId="5" applyNumberFormat="1" applyFont="1" applyFill="1" applyBorder="1" applyAlignment="1" applyProtection="1">
      <alignment horizontal="center"/>
      <protection locked="0"/>
    </xf>
    <xf numFmtId="183" fontId="3" fillId="0" borderId="10" xfId="4" applyNumberFormat="1" applyFont="1" applyBorder="1" applyProtection="1">
      <protection locked="0"/>
    </xf>
    <xf numFmtId="182" fontId="6" fillId="0" borderId="0" xfId="5" applyNumberFormat="1" applyFont="1" applyFill="1" applyBorder="1" applyAlignment="1" applyProtection="1">
      <alignment horizontal="center"/>
      <protection locked="0"/>
    </xf>
    <xf numFmtId="164" fontId="6" fillId="0" borderId="10" xfId="6" applyFont="1" applyFill="1" applyBorder="1" applyAlignment="1" applyProtection="1">
      <alignment horizontal="center"/>
      <protection locked="0"/>
    </xf>
    <xf numFmtId="164" fontId="5" fillId="0" borderId="10" xfId="6" applyFont="1" applyFill="1" applyBorder="1" applyAlignment="1" applyProtection="1">
      <alignment horizontal="center"/>
      <protection locked="0"/>
    </xf>
    <xf numFmtId="184" fontId="3" fillId="0" borderId="10" xfId="4" applyNumberFormat="1" applyFont="1" applyBorder="1" applyProtection="1">
      <protection locked="0"/>
    </xf>
    <xf numFmtId="0" fontId="3" fillId="0" borderId="101" xfId="4" applyFont="1" applyBorder="1" applyAlignment="1" applyProtection="1">
      <alignment horizontal="left"/>
      <protection locked="0"/>
    </xf>
    <xf numFmtId="40" fontId="6" fillId="0" borderId="0" xfId="4" applyNumberFormat="1" applyFont="1" applyAlignment="1" applyProtection="1">
      <alignment horizontal="center"/>
      <protection locked="0"/>
    </xf>
    <xf numFmtId="40" fontId="5" fillId="4" borderId="113" xfId="4" applyNumberFormat="1" applyFont="1" applyFill="1" applyBorder="1" applyProtection="1">
      <protection locked="0"/>
    </xf>
    <xf numFmtId="0" fontId="3" fillId="0" borderId="86" xfId="4" applyFont="1" applyBorder="1" applyAlignment="1" applyProtection="1">
      <alignment horizontal="left"/>
      <protection locked="0"/>
    </xf>
    <xf numFmtId="0" fontId="3" fillId="0" borderId="87" xfId="4" applyFont="1" applyBorder="1" applyAlignment="1" applyProtection="1">
      <alignment horizontal="left"/>
      <protection locked="0"/>
    </xf>
    <xf numFmtId="164" fontId="6" fillId="5" borderId="10" xfId="6" applyFont="1" applyFill="1" applyBorder="1" applyAlignment="1" applyProtection="1">
      <alignment horizontal="right"/>
      <protection locked="0"/>
    </xf>
    <xf numFmtId="0" fontId="3" fillId="0" borderId="101" xfId="4" applyFont="1" applyBorder="1" applyAlignment="1" applyProtection="1">
      <alignment horizontal="right"/>
      <protection locked="0"/>
    </xf>
    <xf numFmtId="10" fontId="6" fillId="0" borderId="0" xfId="5" applyNumberFormat="1" applyFont="1" applyFill="1" applyBorder="1" applyAlignment="1" applyProtection="1">
      <alignment horizontal="center"/>
      <protection locked="0"/>
    </xf>
    <xf numFmtId="164" fontId="3" fillId="0" borderId="10" xfId="6" applyFont="1" applyFill="1" applyBorder="1" applyAlignment="1" applyProtection="1">
      <alignment horizontal="right"/>
      <protection locked="0"/>
    </xf>
    <xf numFmtId="0" fontId="3" fillId="0" borderId="114" xfId="4" applyFont="1" applyBorder="1" applyProtection="1">
      <protection locked="0"/>
    </xf>
    <xf numFmtId="40" fontId="5" fillId="0" borderId="115" xfId="4" applyNumberFormat="1" applyFont="1" applyBorder="1" applyAlignment="1" applyProtection="1">
      <alignment horizontal="center"/>
      <protection locked="0"/>
    </xf>
    <xf numFmtId="40" fontId="3" fillId="0" borderId="93" xfId="4" applyNumberFormat="1" applyFont="1" applyBorder="1" applyProtection="1">
      <protection locked="0"/>
    </xf>
    <xf numFmtId="0" fontId="3" fillId="0" borderId="116" xfId="4" applyFont="1" applyBorder="1" applyProtection="1">
      <protection locked="0"/>
    </xf>
    <xf numFmtId="0" fontId="3" fillId="0" borderId="117" xfId="4" applyFont="1" applyBorder="1" applyProtection="1">
      <protection locked="0"/>
    </xf>
    <xf numFmtId="164" fontId="5" fillId="6" borderId="120" xfId="6" applyFont="1" applyFill="1" applyBorder="1" applyProtection="1">
      <protection locked="0"/>
    </xf>
    <xf numFmtId="40" fontId="5" fillId="6" borderId="117" xfId="4" applyNumberFormat="1" applyFont="1" applyFill="1" applyBorder="1" applyAlignment="1" applyProtection="1">
      <alignment horizontal="center"/>
      <protection locked="0"/>
    </xf>
    <xf numFmtId="0" fontId="5" fillId="0" borderId="101" xfId="4" applyFont="1" applyBorder="1" applyAlignment="1" applyProtection="1">
      <alignment horizontal="center"/>
      <protection locked="0"/>
    </xf>
    <xf numFmtId="0" fontId="5" fillId="4" borderId="121" xfId="4" applyFont="1" applyFill="1" applyBorder="1" applyAlignment="1" applyProtection="1">
      <alignment horizontal="center"/>
      <protection locked="0"/>
    </xf>
    <xf numFmtId="10" fontId="6" fillId="5" borderId="102" xfId="5" applyNumberFormat="1" applyFont="1" applyFill="1" applyBorder="1" applyProtection="1">
      <protection locked="0"/>
    </xf>
    <xf numFmtId="40" fontId="5" fillId="6" borderId="103" xfId="4" applyNumberFormat="1" applyFont="1" applyFill="1" applyBorder="1" applyAlignment="1" applyProtection="1">
      <alignment horizontal="center"/>
      <protection locked="0"/>
    </xf>
    <xf numFmtId="40" fontId="3" fillId="0" borderId="101" xfId="4" applyNumberFormat="1" applyFont="1" applyBorder="1" applyAlignment="1" applyProtection="1">
      <alignment horizontal="center"/>
      <protection locked="0"/>
    </xf>
    <xf numFmtId="1" fontId="6" fillId="5" borderId="121" xfId="4" applyNumberFormat="1" applyFont="1" applyFill="1" applyBorder="1" applyAlignment="1" applyProtection="1">
      <alignment horizontal="center"/>
      <protection locked="0"/>
    </xf>
    <xf numFmtId="164" fontId="5" fillId="6" borderId="102" xfId="6" applyFont="1" applyFill="1" applyBorder="1" applyProtection="1">
      <protection locked="0"/>
    </xf>
    <xf numFmtId="0" fontId="28" fillId="0" borderId="0" xfId="4" applyFont="1" applyAlignment="1">
      <alignment horizontal="center"/>
    </xf>
    <xf numFmtId="1" fontId="5" fillId="6" borderId="121" xfId="4" applyNumberFormat="1" applyFont="1" applyFill="1" applyBorder="1" applyAlignment="1" applyProtection="1">
      <alignment horizontal="center"/>
      <protection locked="0"/>
    </xf>
    <xf numFmtId="164" fontId="5" fillId="6" borderId="102" xfId="4" applyNumberFormat="1" applyFont="1" applyFill="1" applyBorder="1" applyProtection="1">
      <protection locked="0"/>
    </xf>
    <xf numFmtId="10" fontId="3" fillId="6" borderId="123" xfId="4" applyNumberFormat="1" applyFont="1" applyFill="1" applyBorder="1" applyAlignment="1" applyProtection="1">
      <alignment horizontal="center"/>
      <protection locked="0"/>
    </xf>
    <xf numFmtId="2" fontId="28" fillId="0" borderId="0" xfId="4" applyNumberFormat="1" applyFont="1" applyAlignment="1">
      <alignment horizontal="center"/>
    </xf>
    <xf numFmtId="1" fontId="3" fillId="0" borderId="103" xfId="4" applyNumberFormat="1" applyFont="1" applyBorder="1" applyAlignment="1" applyProtection="1">
      <alignment horizontal="left"/>
      <protection locked="0"/>
    </xf>
    <xf numFmtId="0" fontId="28" fillId="6" borderId="123" xfId="4" applyFont="1" applyFill="1" applyBorder="1" applyProtection="1">
      <protection locked="0"/>
    </xf>
    <xf numFmtId="10" fontId="6" fillId="5" borderId="103" xfId="5" applyNumberFormat="1" applyFont="1" applyFill="1" applyBorder="1" applyAlignment="1" applyProtection="1">
      <alignment horizontal="center"/>
      <protection locked="0"/>
    </xf>
    <xf numFmtId="40" fontId="5" fillId="0" borderId="114" xfId="4" applyNumberFormat="1" applyFont="1" applyBorder="1" applyProtection="1">
      <protection locked="0"/>
    </xf>
    <xf numFmtId="40" fontId="5" fillId="0" borderId="115" xfId="4" applyNumberFormat="1" applyFont="1" applyBorder="1" applyProtection="1">
      <protection locked="0"/>
    </xf>
    <xf numFmtId="164" fontId="5" fillId="6" borderId="126" xfId="6" applyFont="1" applyFill="1" applyBorder="1" applyProtection="1">
      <protection locked="0"/>
    </xf>
    <xf numFmtId="0" fontId="5" fillId="6" borderId="115" xfId="4" applyFont="1" applyFill="1" applyBorder="1" applyAlignment="1" applyProtection="1">
      <alignment horizontal="center"/>
      <protection locked="0"/>
    </xf>
    <xf numFmtId="40" fontId="5" fillId="0" borderId="0" xfId="4" applyNumberFormat="1" applyFont="1" applyProtection="1">
      <protection locked="0"/>
    </xf>
    <xf numFmtId="40" fontId="3" fillId="0" borderId="103" xfId="4" applyNumberFormat="1" applyFont="1" applyBorder="1" applyProtection="1">
      <protection locked="0"/>
    </xf>
    <xf numFmtId="0" fontId="3" fillId="0" borderId="103" xfId="4" applyFont="1" applyBorder="1" applyAlignment="1" applyProtection="1">
      <alignment horizontal="left"/>
      <protection locked="0"/>
    </xf>
    <xf numFmtId="0" fontId="5" fillId="0" borderId="101" xfId="4" applyFont="1" applyBorder="1" applyAlignment="1" applyProtection="1">
      <alignment wrapText="1"/>
      <protection locked="0"/>
    </xf>
    <xf numFmtId="0" fontId="5" fillId="0" borderId="0" xfId="4" applyFont="1" applyAlignment="1" applyProtection="1">
      <alignment horizontal="center"/>
      <protection locked="0"/>
    </xf>
    <xf numFmtId="180" fontId="5" fillId="0" borderId="0" xfId="4" applyNumberFormat="1" applyFont="1" applyAlignment="1" applyProtection="1">
      <alignment horizontal="center"/>
      <protection locked="0"/>
    </xf>
    <xf numFmtId="1" fontId="3" fillId="0" borderId="103" xfId="4" applyNumberFormat="1" applyFont="1" applyBorder="1" applyAlignment="1" applyProtection="1">
      <alignment horizontal="center"/>
      <protection locked="0"/>
    </xf>
    <xf numFmtId="0" fontId="3" fillId="0" borderId="0" xfId="4" applyFont="1" applyAlignment="1" applyProtection="1">
      <alignment horizontal="center"/>
      <protection locked="0"/>
    </xf>
    <xf numFmtId="0" fontId="28" fillId="0" borderId="0" xfId="4" applyFont="1" applyProtection="1">
      <protection locked="0"/>
    </xf>
    <xf numFmtId="0" fontId="28" fillId="5" borderId="0" xfId="4" applyFont="1" applyFill="1" applyAlignment="1" applyProtection="1">
      <alignment horizontal="justify" vertical="center" wrapText="1"/>
      <protection locked="0"/>
    </xf>
    <xf numFmtId="0" fontId="28" fillId="5" borderId="103" xfId="4" applyFont="1" applyFill="1" applyBorder="1" applyAlignment="1" applyProtection="1">
      <alignment horizontal="justify" vertical="center" wrapText="1"/>
      <protection locked="0"/>
    </xf>
    <xf numFmtId="0" fontId="6" fillId="5" borderId="130" xfId="4" applyFont="1" applyFill="1" applyBorder="1" applyAlignment="1" applyProtection="1">
      <alignment horizontal="center"/>
      <protection locked="0"/>
    </xf>
    <xf numFmtId="0" fontId="3" fillId="0" borderId="133" xfId="4" applyFont="1" applyBorder="1" applyAlignment="1" applyProtection="1">
      <alignment horizontal="left" vertical="center" wrapText="1"/>
      <protection locked="0"/>
    </xf>
    <xf numFmtId="0" fontId="3" fillId="0" borderId="137" xfId="4" applyFont="1" applyBorder="1" applyAlignment="1" applyProtection="1">
      <alignment horizontal="left" vertical="center" wrapText="1"/>
      <protection locked="0"/>
    </xf>
    <xf numFmtId="0" fontId="28" fillId="0" borderId="1" xfId="4" applyFont="1" applyBorder="1" applyAlignment="1" applyProtection="1">
      <alignment horizontal="justify" vertical="center" wrapText="1"/>
      <protection locked="0"/>
    </xf>
    <xf numFmtId="0" fontId="3" fillId="0" borderId="137" xfId="4" applyFont="1" applyBorder="1" applyAlignment="1" applyProtection="1">
      <alignment horizontal="justify" vertical="center" wrapText="1"/>
      <protection locked="0"/>
    </xf>
    <xf numFmtId="0" fontId="3" fillId="0" borderId="137" xfId="4" applyFont="1" applyBorder="1" applyAlignment="1" applyProtection="1">
      <alignment vertical="center" wrapText="1"/>
      <protection locked="0"/>
    </xf>
    <xf numFmtId="0" fontId="28" fillId="0" borderId="51" xfId="4" applyFont="1" applyBorder="1" applyAlignment="1" applyProtection="1">
      <alignment horizontal="center" vertical="center" wrapText="1"/>
      <protection locked="0"/>
    </xf>
    <xf numFmtId="0" fontId="3" fillId="0" borderId="142" xfId="4" applyFont="1" applyBorder="1" applyAlignment="1" applyProtection="1">
      <alignment horizontal="left" vertical="center" wrapText="1"/>
      <protection locked="0"/>
    </xf>
    <xf numFmtId="0" fontId="3" fillId="0" borderId="101" xfId="4" applyFont="1" applyBorder="1" applyAlignment="1" applyProtection="1">
      <alignment horizontal="left" vertical="center" wrapText="1"/>
      <protection locked="0"/>
    </xf>
    <xf numFmtId="0" fontId="5" fillId="0" borderId="101" xfId="4" applyFont="1" applyBorder="1" applyAlignment="1" applyProtection="1">
      <alignment horizontal="left" vertical="center" wrapText="1"/>
      <protection locked="0"/>
    </xf>
    <xf numFmtId="0" fontId="5" fillId="0" borderId="0" xfId="4" applyFont="1" applyAlignment="1" applyProtection="1">
      <alignment horizontal="left" vertical="center" wrapText="1"/>
      <protection locked="0"/>
    </xf>
    <xf numFmtId="0" fontId="5" fillId="0" borderId="103" xfId="4" applyFont="1" applyBorder="1" applyAlignment="1" applyProtection="1">
      <alignment horizontal="left" vertical="center" wrapText="1"/>
      <protection locked="0"/>
    </xf>
    <xf numFmtId="0" fontId="5" fillId="0" borderId="146" xfId="4" applyFont="1" applyBorder="1" applyAlignment="1" applyProtection="1">
      <alignment horizontal="center" vertical="center" wrapText="1"/>
      <protection locked="0"/>
    </xf>
    <xf numFmtId="0" fontId="28" fillId="5" borderId="137" xfId="4" applyFont="1" applyFill="1" applyBorder="1" applyAlignment="1" applyProtection="1">
      <alignment vertical="center" wrapText="1"/>
      <protection locked="0"/>
    </xf>
    <xf numFmtId="0" fontId="3" fillId="0" borderId="0" xfId="4" applyFont="1" applyAlignment="1" applyProtection="1">
      <alignment horizontal="left" vertical="center" wrapText="1"/>
      <protection locked="0"/>
    </xf>
    <xf numFmtId="0" fontId="3" fillId="0" borderId="103" xfId="4" applyFont="1" applyBorder="1" applyAlignment="1" applyProtection="1">
      <alignment horizontal="left" vertical="center" wrapText="1"/>
      <protection locked="0"/>
    </xf>
    <xf numFmtId="0" fontId="5" fillId="0" borderId="0" xfId="4" applyFont="1" applyAlignment="1" applyProtection="1">
      <alignment horizontal="center" vertical="center" wrapText="1"/>
      <protection locked="0"/>
    </xf>
    <xf numFmtId="4" fontId="3" fillId="0" borderId="0" xfId="4" applyNumberFormat="1" applyFont="1" applyAlignment="1" applyProtection="1">
      <alignment horizontal="right" vertical="center" wrapText="1"/>
      <protection locked="0"/>
    </xf>
    <xf numFmtId="0" fontId="3" fillId="0" borderId="101" xfId="4" applyFont="1" applyBorder="1" applyAlignment="1" applyProtection="1">
      <alignment vertical="center" wrapText="1"/>
      <protection locked="0"/>
    </xf>
    <xf numFmtId="0" fontId="3" fillId="0" borderId="0" xfId="4" applyFont="1" applyAlignment="1" applyProtection="1">
      <alignment horizontal="justify" vertical="center" wrapText="1"/>
      <protection locked="0"/>
    </xf>
    <xf numFmtId="0" fontId="3" fillId="0" borderId="103" xfId="4" applyFont="1" applyBorder="1" applyAlignment="1" applyProtection="1">
      <alignment horizontal="justify" vertical="center" wrapText="1"/>
      <protection locked="0"/>
    </xf>
    <xf numFmtId="164" fontId="3" fillId="0" borderId="0" xfId="4" applyNumberFormat="1" applyFont="1" applyAlignment="1" applyProtection="1">
      <alignment vertical="center" wrapText="1"/>
      <protection locked="0"/>
    </xf>
    <xf numFmtId="0" fontId="6" fillId="5" borderId="103" xfId="4" applyFont="1" applyFill="1" applyBorder="1" applyAlignment="1" applyProtection="1">
      <alignment horizontal="center"/>
      <protection locked="0"/>
    </xf>
    <xf numFmtId="0" fontId="28" fillId="5" borderId="0" xfId="4" applyFont="1" applyFill="1" applyAlignment="1" applyProtection="1">
      <alignment horizontal="left"/>
      <protection locked="0"/>
    </xf>
    <xf numFmtId="4" fontId="28" fillId="5" borderId="103" xfId="4" applyNumberFormat="1" applyFont="1" applyFill="1" applyBorder="1" applyAlignment="1" applyProtection="1">
      <alignment horizontal="right"/>
      <protection locked="0"/>
    </xf>
    <xf numFmtId="0" fontId="6" fillId="5" borderId="0" xfId="4" applyFont="1" applyFill="1" applyAlignment="1" applyProtection="1">
      <alignment horizontal="left"/>
      <protection locked="0"/>
    </xf>
    <xf numFmtId="0" fontId="6" fillId="5" borderId="0" xfId="4" applyFont="1" applyFill="1" applyAlignment="1" applyProtection="1">
      <alignment horizontal="right"/>
      <protection locked="0"/>
    </xf>
    <xf numFmtId="4" fontId="6" fillId="5" borderId="103" xfId="4" applyNumberFormat="1" applyFont="1" applyFill="1" applyBorder="1" applyAlignment="1" applyProtection="1">
      <alignment horizontal="right"/>
      <protection locked="0"/>
    </xf>
    <xf numFmtId="40" fontId="3" fillId="0" borderId="0" xfId="4" applyNumberFormat="1" applyFont="1" applyAlignment="1" applyProtection="1">
      <alignment horizontal="right"/>
      <protection locked="0"/>
    </xf>
    <xf numFmtId="0" fontId="5" fillId="0" borderId="0" xfId="4" applyFont="1" applyProtection="1">
      <protection locked="0"/>
    </xf>
    <xf numFmtId="0" fontId="28" fillId="0" borderId="101" xfId="4" applyFont="1" applyBorder="1" applyProtection="1">
      <protection locked="0"/>
    </xf>
    <xf numFmtId="0" fontId="28" fillId="0" borderId="103" xfId="4" applyFont="1" applyBorder="1" applyProtection="1">
      <protection locked="0"/>
    </xf>
    <xf numFmtId="0" fontId="6" fillId="5" borderId="103" xfId="4" applyFont="1" applyFill="1" applyBorder="1" applyAlignment="1" applyProtection="1">
      <alignment horizontal="center" vertical="center" wrapText="1"/>
      <protection locked="0"/>
    </xf>
    <xf numFmtId="0" fontId="28" fillId="5" borderId="0" xfId="4" applyFont="1" applyFill="1" applyAlignment="1" applyProtection="1">
      <alignment horizontal="left" vertical="center" wrapText="1"/>
      <protection locked="0"/>
    </xf>
    <xf numFmtId="0" fontId="3" fillId="0" borderId="0" xfId="4" applyFont="1" applyAlignment="1" applyProtection="1">
      <alignment vertical="center" wrapText="1"/>
      <protection locked="0"/>
    </xf>
    <xf numFmtId="0" fontId="3" fillId="0" borderId="103" xfId="4" applyFont="1" applyBorder="1" applyAlignment="1" applyProtection="1">
      <alignment vertical="center" wrapText="1"/>
      <protection locked="0"/>
    </xf>
    <xf numFmtId="164" fontId="5" fillId="0" borderId="0" xfId="4" applyNumberFormat="1" applyFont="1" applyAlignment="1" applyProtection="1">
      <alignment horizontal="left" vertical="center" wrapText="1"/>
      <protection locked="0"/>
    </xf>
    <xf numFmtId="0" fontId="5" fillId="0" borderId="101" xfId="4" applyFont="1" applyBorder="1" applyAlignment="1" applyProtection="1">
      <alignment horizontal="justify" vertical="center" wrapText="1"/>
      <protection locked="0"/>
    </xf>
    <xf numFmtId="0" fontId="28" fillId="5" borderId="103" xfId="4" applyFont="1" applyFill="1" applyBorder="1" applyAlignment="1" applyProtection="1">
      <alignment horizontal="left" vertical="center" wrapText="1"/>
      <protection locked="0"/>
    </xf>
    <xf numFmtId="0" fontId="3" fillId="0" borderId="101" xfId="4" applyFont="1" applyBorder="1" applyAlignment="1" applyProtection="1">
      <alignment horizontal="center" vertical="center" wrapText="1"/>
      <protection locked="0"/>
    </xf>
    <xf numFmtId="164" fontId="3" fillId="0" borderId="0" xfId="4" applyNumberFormat="1" applyFont="1" applyAlignment="1" applyProtection="1">
      <alignment horizontal="left" vertical="center" wrapText="1"/>
      <protection locked="0"/>
    </xf>
    <xf numFmtId="0" fontId="3" fillId="0" borderId="0" xfId="4" applyFont="1" applyAlignment="1" applyProtection="1">
      <alignment horizontal="left" wrapText="1"/>
      <protection locked="0"/>
    </xf>
    <xf numFmtId="0" fontId="3" fillId="0" borderId="103" xfId="4" applyFont="1" applyBorder="1" applyAlignment="1" applyProtection="1">
      <alignment horizontal="left" wrapText="1"/>
      <protection locked="0"/>
    </xf>
    <xf numFmtId="164" fontId="3" fillId="0" borderId="0" xfId="4" applyNumberFormat="1" applyFont="1" applyAlignment="1" applyProtection="1">
      <alignment horizontal="left" wrapText="1"/>
      <protection locked="0"/>
    </xf>
    <xf numFmtId="0" fontId="27" fillId="0" borderId="0" xfId="4" applyAlignment="1" applyProtection="1">
      <alignment wrapText="1"/>
      <protection locked="0"/>
    </xf>
    <xf numFmtId="0" fontId="27" fillId="0" borderId="101" xfId="4" applyBorder="1" applyAlignment="1" applyProtection="1">
      <alignment horizontal="left" vertical="center" wrapText="1"/>
      <protection locked="0"/>
    </xf>
    <xf numFmtId="0" fontId="27" fillId="0" borderId="0" xfId="4" applyAlignment="1" applyProtection="1">
      <alignment horizontal="left" vertical="center" wrapText="1"/>
      <protection locked="0"/>
    </xf>
    <xf numFmtId="0" fontId="27" fillId="0" borderId="103" xfId="4" applyBorder="1" applyAlignment="1" applyProtection="1">
      <alignment horizontal="left" vertical="center" wrapText="1"/>
      <protection locked="0"/>
    </xf>
    <xf numFmtId="0" fontId="3" fillId="0" borderId="101" xfId="4" applyFont="1" applyBorder="1" applyAlignment="1">
      <alignment horizontal="left" vertical="center" wrapText="1"/>
    </xf>
    <xf numFmtId="0" fontId="3" fillId="0" borderId="0" xfId="4" applyFont="1"/>
    <xf numFmtId="40" fontId="3" fillId="0" borderId="0" xfId="4" applyNumberFormat="1" applyFont="1"/>
    <xf numFmtId="40" fontId="3" fillId="0" borderId="103" xfId="4" applyNumberFormat="1" applyFont="1" applyBorder="1"/>
    <xf numFmtId="0" fontId="3" fillId="0" borderId="101" xfId="4" applyFont="1" applyBorder="1" applyAlignment="1" applyProtection="1">
      <alignment horizontal="justify" vertical="center" wrapText="1"/>
      <protection locked="0"/>
    </xf>
    <xf numFmtId="0" fontId="3" fillId="0" borderId="101" xfId="4" applyFont="1" applyBorder="1" applyAlignment="1">
      <alignment vertical="center" wrapText="1"/>
    </xf>
    <xf numFmtId="0" fontId="3" fillId="0" borderId="0" xfId="4" applyFont="1" applyAlignment="1">
      <alignment horizontal="left" vertical="center" wrapText="1"/>
    </xf>
    <xf numFmtId="0" fontId="3" fillId="0" borderId="103" xfId="4" applyFont="1" applyBorder="1" applyAlignment="1">
      <alignment horizontal="left" vertical="center" wrapText="1"/>
    </xf>
    <xf numFmtId="0" fontId="5" fillId="0" borderId="101" xfId="4" applyFont="1" applyBorder="1" applyAlignment="1">
      <alignment horizontal="left" vertical="center" wrapText="1"/>
    </xf>
    <xf numFmtId="0" fontId="28" fillId="0" borderId="0" xfId="4" applyFont="1" applyAlignment="1">
      <alignment horizontal="left" vertical="center" wrapText="1"/>
    </xf>
    <xf numFmtId="0" fontId="28" fillId="0" borderId="103" xfId="4" applyFont="1" applyBorder="1" applyAlignment="1">
      <alignment horizontal="left" vertical="center" wrapText="1"/>
    </xf>
    <xf numFmtId="0" fontId="3" fillId="0" borderId="103" xfId="4" applyFont="1" applyBorder="1"/>
    <xf numFmtId="0" fontId="28" fillId="5" borderId="0" xfId="4" applyFont="1" applyFill="1" applyAlignment="1">
      <alignment horizontal="left" vertical="center" wrapText="1"/>
    </xf>
    <xf numFmtId="0" fontId="28" fillId="5" borderId="103" xfId="4" applyFont="1" applyFill="1" applyBorder="1" applyAlignment="1">
      <alignment horizontal="left" vertical="center" wrapText="1"/>
    </xf>
    <xf numFmtId="0" fontId="28" fillId="0" borderId="0" xfId="4" applyFont="1" applyAlignment="1" applyProtection="1">
      <alignment horizontal="left" vertical="center" wrapText="1"/>
      <protection locked="0"/>
    </xf>
    <xf numFmtId="0" fontId="28" fillId="0" borderId="103" xfId="4" applyFont="1" applyBorder="1" applyAlignment="1" applyProtection="1">
      <alignment horizontal="left" vertical="center" wrapText="1"/>
      <protection locked="0"/>
    </xf>
    <xf numFmtId="0" fontId="3" fillId="0" borderId="101" xfId="4" applyFont="1" applyBorder="1" applyAlignment="1" applyProtection="1">
      <alignment horizontal="left" vertical="center"/>
      <protection locked="0"/>
    </xf>
    <xf numFmtId="4" fontId="28" fillId="5" borderId="0" xfId="4" applyNumberFormat="1" applyFont="1" applyFill="1" applyAlignment="1" applyProtection="1">
      <alignment horizontal="right"/>
      <protection locked="0"/>
    </xf>
    <xf numFmtId="40" fontId="28" fillId="5" borderId="0" xfId="4" applyNumberFormat="1" applyFont="1" applyFill="1" applyAlignment="1" applyProtection="1">
      <alignment horizontal="right"/>
      <protection locked="0"/>
    </xf>
    <xf numFmtId="0" fontId="5" fillId="0" borderId="101" xfId="4" applyFont="1" applyBorder="1" applyAlignment="1" applyProtection="1">
      <alignment horizontal="left" vertical="center"/>
      <protection locked="0"/>
    </xf>
    <xf numFmtId="0" fontId="6" fillId="0" borderId="0" xfId="4" applyFont="1" applyProtection="1">
      <protection locked="0"/>
    </xf>
    <xf numFmtId="40" fontId="28" fillId="0" borderId="0" xfId="4" applyNumberFormat="1" applyFont="1" applyProtection="1">
      <protection locked="0"/>
    </xf>
    <xf numFmtId="40" fontId="28" fillId="0" borderId="103" xfId="4" applyNumberFormat="1" applyFont="1" applyBorder="1" applyProtection="1">
      <protection locked="0"/>
    </xf>
    <xf numFmtId="0" fontId="5" fillId="0" borderId="114" xfId="4" applyFont="1" applyBorder="1" applyProtection="1">
      <protection locked="0"/>
    </xf>
    <xf numFmtId="0" fontId="28" fillId="0" borderId="154" xfId="4" applyFont="1" applyBorder="1" applyProtection="1">
      <protection locked="0"/>
    </xf>
    <xf numFmtId="40" fontId="28" fillId="0" borderId="154" xfId="4" applyNumberFormat="1" applyFont="1" applyBorder="1" applyProtection="1">
      <protection locked="0"/>
    </xf>
    <xf numFmtId="40" fontId="28" fillId="0" borderId="115" xfId="4" applyNumberFormat="1" applyFont="1" applyBorder="1" applyProtection="1">
      <protection locked="0"/>
    </xf>
    <xf numFmtId="0" fontId="6" fillId="0" borderId="10" xfId="2" applyNumberFormat="1" applyFont="1" applyFill="1" applyBorder="1" applyAlignment="1">
      <alignment horizontal="center" vertical="center"/>
    </xf>
    <xf numFmtId="0" fontId="28" fillId="0" borderId="0" xfId="0" applyFont="1"/>
    <xf numFmtId="181" fontId="6" fillId="5" borderId="10" xfId="0" applyNumberFormat="1" applyFont="1" applyFill="1" applyBorder="1" applyProtection="1">
      <protection locked="0"/>
    </xf>
    <xf numFmtId="10" fontId="28" fillId="0" borderId="0" xfId="5" applyNumberFormat="1" applyFont="1" applyAlignment="1">
      <alignment horizontal="center"/>
    </xf>
    <xf numFmtId="165" fontId="45" fillId="0" borderId="0" xfId="0" applyNumberFormat="1" applyFont="1" applyAlignment="1">
      <alignment horizontal="center" vertical="center"/>
    </xf>
    <xf numFmtId="167" fontId="45" fillId="0" borderId="0" xfId="0" applyNumberFormat="1" applyFont="1" applyAlignment="1">
      <alignment horizontal="center" vertical="center"/>
    </xf>
    <xf numFmtId="10" fontId="5" fillId="0" borderId="93" xfId="2" applyNumberFormat="1" applyFont="1" applyBorder="1" applyAlignment="1" applyProtection="1">
      <alignment horizontal="center"/>
      <protection locked="0"/>
    </xf>
    <xf numFmtId="0" fontId="0" fillId="0" borderId="10" xfId="0" applyBorder="1"/>
    <xf numFmtId="0" fontId="10" fillId="6" borderId="0" xfId="0" applyFont="1" applyFill="1" applyAlignment="1">
      <alignment horizontal="right" vertical="center" wrapText="1"/>
    </xf>
    <xf numFmtId="0" fontId="12" fillId="6" borderId="0" xfId="0" applyFont="1" applyFill="1" applyAlignment="1">
      <alignment horizontal="center" vertical="center" wrapText="1"/>
    </xf>
    <xf numFmtId="0" fontId="51" fillId="0" borderId="16" xfId="0" applyFont="1" applyBorder="1" applyAlignment="1">
      <alignment horizontal="center" vertical="center" wrapText="1"/>
    </xf>
    <xf numFmtId="10" fontId="52" fillId="0" borderId="59" xfId="0" applyNumberFormat="1" applyFont="1" applyBorder="1" applyAlignment="1">
      <alignment horizontal="center" vertical="center"/>
    </xf>
    <xf numFmtId="10" fontId="52" fillId="0" borderId="52" xfId="0" applyNumberFormat="1" applyFont="1" applyBorder="1" applyAlignment="1">
      <alignment horizontal="center" vertical="center"/>
    </xf>
    <xf numFmtId="0" fontId="52" fillId="0" borderId="60" xfId="0" applyFont="1" applyBorder="1" applyAlignment="1">
      <alignment horizontal="center" vertical="center"/>
    </xf>
    <xf numFmtId="49" fontId="0" fillId="0" borderId="17" xfId="0" applyNumberFormat="1" applyBorder="1"/>
    <xf numFmtId="0" fontId="50" fillId="0" borderId="159" xfId="0" applyFont="1" applyBorder="1"/>
    <xf numFmtId="49" fontId="0" fillId="0" borderId="53" xfId="0" applyNumberFormat="1" applyBorder="1"/>
    <xf numFmtId="0" fontId="53" fillId="0" borderId="59" xfId="0" applyFont="1" applyBorder="1" applyAlignment="1">
      <alignment horizontal="center" vertical="center" wrapText="1"/>
    </xf>
    <xf numFmtId="0" fontId="52" fillId="0" borderId="161" xfId="0" applyFont="1" applyBorder="1" applyAlignment="1">
      <alignment horizontal="center" vertical="center"/>
    </xf>
    <xf numFmtId="10" fontId="0" fillId="0" borderId="0" xfId="2" applyNumberFormat="1" applyFont="1" applyAlignment="1">
      <alignment horizontal="center" vertical="center"/>
    </xf>
    <xf numFmtId="165" fontId="3" fillId="0" borderId="93" xfId="1" applyFont="1" applyFill="1" applyBorder="1" applyAlignment="1" applyProtection="1">
      <alignment horizontal="center"/>
      <protection locked="0"/>
    </xf>
    <xf numFmtId="164" fontId="28" fillId="0" borderId="0" xfId="4" applyNumberFormat="1" applyFont="1"/>
    <xf numFmtId="165" fontId="28" fillId="0" borderId="0" xfId="1" applyFont="1"/>
    <xf numFmtId="0" fontId="55" fillId="0" borderId="55" xfId="0" applyFont="1" applyBorder="1" applyAlignment="1">
      <alignment horizontal="justify" vertical="center" wrapText="1"/>
    </xf>
    <xf numFmtId="0" fontId="55" fillId="0" borderId="163" xfId="0" applyFont="1" applyBorder="1" applyAlignment="1">
      <alignment horizontal="justify" vertical="center" wrapText="1"/>
    </xf>
    <xf numFmtId="0" fontId="0" fillId="0" borderId="155" xfId="0" applyBorder="1" applyAlignment="1">
      <alignment vertical="top" wrapText="1"/>
    </xf>
    <xf numFmtId="0" fontId="56" fillId="0" borderId="16" xfId="0" applyFont="1" applyBorder="1" applyAlignment="1">
      <alignment horizontal="justify" vertical="center" wrapText="1"/>
    </xf>
    <xf numFmtId="0" fontId="2" fillId="0" borderId="59" xfId="0" applyFont="1" applyBorder="1" applyAlignment="1">
      <alignment horizontal="justify" vertical="center" wrapText="1"/>
    </xf>
    <xf numFmtId="0" fontId="55" fillId="0" borderId="155" xfId="0" applyFont="1" applyBorder="1" applyAlignment="1">
      <alignment horizontal="justify" vertical="center" wrapText="1"/>
    </xf>
    <xf numFmtId="9" fontId="2" fillId="0" borderId="59" xfId="0" applyNumberFormat="1" applyFont="1" applyBorder="1" applyAlignment="1">
      <alignment horizontal="center" vertical="center" wrapText="1"/>
    </xf>
    <xf numFmtId="0" fontId="2" fillId="0" borderId="59" xfId="0" applyFont="1" applyBorder="1" applyAlignment="1">
      <alignment vertical="center" wrapText="1"/>
    </xf>
    <xf numFmtId="0" fontId="58" fillId="0" borderId="0" xfId="0" applyFont="1" applyAlignment="1">
      <alignment horizontal="justify" vertical="center"/>
    </xf>
    <xf numFmtId="0" fontId="55" fillId="0" borderId="52" xfId="0" applyFont="1" applyBorder="1" applyAlignment="1">
      <alignment horizontal="justify" vertical="center" wrapText="1"/>
    </xf>
    <xf numFmtId="0" fontId="55" fillId="0" borderId="2" xfId="0" applyFont="1" applyBorder="1" applyAlignment="1">
      <alignment horizontal="center" vertical="center" wrapText="1"/>
    </xf>
    <xf numFmtId="0" fontId="2" fillId="0" borderId="155" xfId="0" applyFont="1" applyBorder="1" applyAlignment="1">
      <alignment horizontal="justify" vertical="center" wrapText="1"/>
    </xf>
    <xf numFmtId="0" fontId="2" fillId="0" borderId="59" xfId="0" applyFont="1" applyBorder="1" applyAlignment="1">
      <alignment horizontal="center" vertical="center" wrapText="1"/>
    </xf>
    <xf numFmtId="0" fontId="59" fillId="0" borderId="16" xfId="0" applyFont="1" applyBorder="1" applyAlignment="1">
      <alignment horizontal="left" vertical="center" wrapText="1" indent="5"/>
    </xf>
    <xf numFmtId="0" fontId="2" fillId="0" borderId="59" xfId="0" applyFont="1" applyBorder="1" applyAlignment="1">
      <alignment horizontal="left" vertical="center" wrapText="1" indent="5"/>
    </xf>
    <xf numFmtId="0" fontId="2" fillId="0" borderId="2" xfId="0" applyFont="1" applyBorder="1" applyAlignment="1">
      <alignment vertical="center" wrapText="1"/>
    </xf>
    <xf numFmtId="0" fontId="0" fillId="0" borderId="0" xfId="0" applyAlignment="1">
      <alignment vertical="center"/>
    </xf>
    <xf numFmtId="0" fontId="60" fillId="0" borderId="0" xfId="0" applyFont="1" applyAlignment="1">
      <alignment horizontal="justify" vertical="center"/>
    </xf>
    <xf numFmtId="0" fontId="18" fillId="0" borderId="0" xfId="0" applyFont="1" applyAlignment="1">
      <alignment horizontal="justify" vertical="center"/>
    </xf>
    <xf numFmtId="0" fontId="59" fillId="0" borderId="0" xfId="0" applyFont="1" applyAlignment="1">
      <alignment horizontal="justify" vertical="center"/>
    </xf>
    <xf numFmtId="0" fontId="60" fillId="0" borderId="17" xfId="0" applyFont="1" applyBorder="1" applyAlignment="1">
      <alignment horizontal="left" vertical="center" wrapText="1" indent="5"/>
    </xf>
    <xf numFmtId="0" fontId="3" fillId="0" borderId="0" xfId="10" applyAlignment="1">
      <alignment horizontal="center"/>
    </xf>
    <xf numFmtId="0" fontId="3" fillId="0" borderId="0" xfId="10" applyAlignment="1">
      <alignment horizontal="center" vertical="justify"/>
    </xf>
    <xf numFmtId="0" fontId="64" fillId="18" borderId="155" xfId="10" applyFont="1" applyFill="1" applyBorder="1" applyAlignment="1">
      <alignment horizontal="center" vertical="top" wrapText="1"/>
    </xf>
    <xf numFmtId="165" fontId="64" fillId="18" borderId="155" xfId="11" applyFont="1" applyFill="1" applyBorder="1" applyAlignment="1">
      <alignment horizontal="center" vertical="top" wrapText="1"/>
    </xf>
    <xf numFmtId="0" fontId="65" fillId="0" borderId="165" xfId="0" applyFont="1" applyBorder="1" applyAlignment="1">
      <alignment horizontal="center" vertical="justify" wrapText="1"/>
    </xf>
    <xf numFmtId="0" fontId="66" fillId="19" borderId="165" xfId="0" applyFont="1" applyFill="1" applyBorder="1" applyAlignment="1">
      <alignment horizontal="center" vertical="justify" wrapText="1"/>
    </xf>
    <xf numFmtId="4" fontId="3" fillId="0" borderId="0" xfId="10" applyNumberFormat="1" applyAlignment="1">
      <alignment horizontal="center" vertical="justify"/>
    </xf>
    <xf numFmtId="0" fontId="65" fillId="0" borderId="165" xfId="0" quotePrefix="1" applyFont="1" applyBorder="1" applyAlignment="1">
      <alignment horizontal="center" vertical="justify" wrapText="1"/>
    </xf>
    <xf numFmtId="0" fontId="67" fillId="0" borderId="165" xfId="0" quotePrefix="1" applyFont="1" applyBorder="1" applyAlignment="1">
      <alignment horizontal="center" vertical="justify" wrapText="1"/>
    </xf>
    <xf numFmtId="4" fontId="42" fillId="0" borderId="0" xfId="10" applyNumberFormat="1" applyFont="1" applyAlignment="1">
      <alignment horizontal="center"/>
    </xf>
    <xf numFmtId="4" fontId="3" fillId="2" borderId="0" xfId="10" applyNumberFormat="1" applyFill="1" applyAlignment="1">
      <alignment horizontal="center"/>
    </xf>
    <xf numFmtId="4" fontId="3" fillId="0" borderId="0" xfId="10" applyNumberFormat="1" applyAlignment="1">
      <alignment horizontal="center"/>
    </xf>
    <xf numFmtId="165" fontId="0" fillId="0" borderId="0" xfId="11" applyFont="1" applyAlignment="1">
      <alignment horizontal="center"/>
    </xf>
    <xf numFmtId="10" fontId="28" fillId="0" borderId="0" xfId="4" applyNumberFormat="1" applyFont="1"/>
    <xf numFmtId="165" fontId="5" fillId="20" borderId="6" xfId="0" applyNumberFormat="1" applyFont="1" applyFill="1" applyBorder="1" applyAlignment="1">
      <alignment horizontal="center" vertical="center"/>
    </xf>
    <xf numFmtId="165" fontId="3" fillId="2" borderId="6" xfId="0" applyNumberFormat="1" applyFont="1" applyFill="1" applyBorder="1" applyAlignment="1">
      <alignment horizontal="center" vertical="center"/>
    </xf>
    <xf numFmtId="0" fontId="69" fillId="21" borderId="166" xfId="0" applyFont="1" applyFill="1" applyBorder="1" applyAlignment="1">
      <alignment vertical="center"/>
    </xf>
    <xf numFmtId="0" fontId="69" fillId="21" borderId="167" xfId="0" applyFont="1" applyFill="1" applyBorder="1" applyAlignment="1">
      <alignment vertical="center"/>
    </xf>
    <xf numFmtId="0" fontId="68" fillId="0" borderId="0" xfId="0" applyFont="1" applyAlignment="1">
      <alignment vertical="center"/>
    </xf>
    <xf numFmtId="0" fontId="69" fillId="21" borderId="168" xfId="0" applyFont="1" applyFill="1" applyBorder="1" applyAlignment="1">
      <alignment horizontal="center" vertical="center"/>
    </xf>
    <xf numFmtId="0" fontId="69" fillId="21" borderId="169" xfId="0" applyFont="1" applyFill="1" applyBorder="1" applyAlignment="1">
      <alignment horizontal="center" vertical="center"/>
    </xf>
    <xf numFmtId="165" fontId="69" fillId="21" borderId="167" xfId="1" applyFont="1" applyFill="1" applyBorder="1" applyAlignment="1">
      <alignment vertical="center"/>
    </xf>
    <xf numFmtId="165" fontId="3" fillId="20" borderId="6" xfId="0" applyNumberFormat="1" applyFont="1" applyFill="1" applyBorder="1" applyAlignment="1">
      <alignment horizontal="center" vertical="center"/>
    </xf>
    <xf numFmtId="4" fontId="65" fillId="0" borderId="170" xfId="0" applyNumberFormat="1" applyFont="1" applyBorder="1" applyAlignment="1">
      <alignment horizontal="center" vertical="justify" wrapText="1"/>
    </xf>
    <xf numFmtId="164" fontId="0" fillId="0" borderId="0" xfId="3" applyFont="1" applyAlignment="1">
      <alignment horizontal="center" vertical="center"/>
    </xf>
    <xf numFmtId="165" fontId="2" fillId="0" borderId="0" xfId="1" applyFont="1"/>
    <xf numFmtId="165" fontId="0" fillId="2" borderId="0" xfId="1" applyFont="1" applyFill="1"/>
    <xf numFmtId="165" fontId="0" fillId="0" borderId="10" xfId="0" applyNumberFormat="1" applyBorder="1"/>
    <xf numFmtId="10" fontId="0" fillId="0" borderId="0" xfId="2" applyNumberFormat="1" applyFont="1"/>
    <xf numFmtId="165" fontId="0" fillId="2" borderId="10" xfId="0" applyNumberFormat="1" applyFill="1" applyBorder="1"/>
    <xf numFmtId="165" fontId="0" fillId="2" borderId="0" xfId="0" applyNumberFormat="1" applyFill="1"/>
    <xf numFmtId="0" fontId="71" fillId="0" borderId="10" xfId="0" applyFont="1" applyBorder="1"/>
    <xf numFmtId="0" fontId="72" fillId="0" borderId="165" xfId="0" applyFont="1" applyBorder="1" applyAlignment="1">
      <alignment horizontal="center" vertical="justify" wrapText="1"/>
    </xf>
    <xf numFmtId="0" fontId="65" fillId="2" borderId="165" xfId="0" applyFont="1" applyFill="1" applyBorder="1" applyAlignment="1">
      <alignment horizontal="center" vertical="justify" wrapText="1"/>
    </xf>
    <xf numFmtId="0" fontId="66" fillId="2" borderId="165" xfId="0" applyFont="1" applyFill="1" applyBorder="1" applyAlignment="1">
      <alignment horizontal="center" vertical="justify" wrapText="1"/>
    </xf>
    <xf numFmtId="4" fontId="65" fillId="2" borderId="170" xfId="0" applyNumberFormat="1" applyFont="1" applyFill="1" applyBorder="1" applyAlignment="1">
      <alignment horizontal="center" vertical="justify" wrapText="1"/>
    </xf>
    <xf numFmtId="4" fontId="3" fillId="2" borderId="0" xfId="10" applyNumberFormat="1" applyFill="1" applyAlignment="1">
      <alignment horizontal="center" vertical="justify"/>
    </xf>
    <xf numFmtId="0" fontId="3" fillId="2" borderId="0" xfId="10" applyFill="1" applyAlignment="1">
      <alignment horizontal="center"/>
    </xf>
    <xf numFmtId="0" fontId="65" fillId="20" borderId="165" xfId="0" applyFont="1" applyFill="1" applyBorder="1" applyAlignment="1">
      <alignment horizontal="center" vertical="justify" wrapText="1"/>
    </xf>
    <xf numFmtId="0" fontId="66" fillId="20" borderId="165" xfId="0" applyFont="1" applyFill="1" applyBorder="1" applyAlignment="1">
      <alignment horizontal="center" vertical="justify" wrapText="1"/>
    </xf>
    <xf numFmtId="4" fontId="65" fillId="20" borderId="170" xfId="0" applyNumberFormat="1" applyFont="1" applyFill="1" applyBorder="1" applyAlignment="1">
      <alignment horizontal="center" vertical="justify" wrapText="1"/>
    </xf>
    <xf numFmtId="4" fontId="3" fillId="20" borderId="0" xfId="10" applyNumberFormat="1" applyFill="1" applyAlignment="1">
      <alignment horizontal="center" vertical="justify"/>
    </xf>
    <xf numFmtId="0" fontId="3" fillId="20" borderId="0" xfId="10" applyFill="1" applyAlignment="1">
      <alignment horizontal="center"/>
    </xf>
    <xf numFmtId="0" fontId="72" fillId="0" borderId="165" xfId="0" quotePrefix="1" applyFont="1" applyBorder="1" applyAlignment="1">
      <alignment horizontal="center" vertical="justify" wrapText="1"/>
    </xf>
    <xf numFmtId="0" fontId="71" fillId="0" borderId="160" xfId="0" applyFont="1" applyBorder="1"/>
    <xf numFmtId="165" fontId="65" fillId="0" borderId="170" xfId="11" applyFont="1" applyBorder="1" applyAlignment="1">
      <alignment horizontal="center" vertical="justify" wrapText="1"/>
    </xf>
    <xf numFmtId="0" fontId="65" fillId="0" borderId="170" xfId="0" applyFont="1" applyBorder="1" applyAlignment="1">
      <alignment horizontal="center" vertical="justify" wrapText="1"/>
    </xf>
    <xf numFmtId="0" fontId="65" fillId="0" borderId="170" xfId="0" applyFont="1" applyBorder="1" applyAlignment="1">
      <alignment horizontal="center" wrapText="1"/>
    </xf>
    <xf numFmtId="0" fontId="65" fillId="20" borderId="170" xfId="0" applyFont="1" applyFill="1" applyBorder="1" applyAlignment="1">
      <alignment horizontal="center" vertical="justify" wrapText="1"/>
    </xf>
    <xf numFmtId="0" fontId="65" fillId="20" borderId="170" xfId="0" applyFont="1" applyFill="1" applyBorder="1" applyAlignment="1">
      <alignment horizontal="center" wrapText="1"/>
    </xf>
    <xf numFmtId="165" fontId="65" fillId="20" borderId="170" xfId="11" applyFont="1" applyFill="1" applyBorder="1" applyAlignment="1">
      <alignment horizontal="center" vertical="justify" wrapText="1"/>
    </xf>
    <xf numFmtId="0" fontId="65" fillId="2" borderId="170" xfId="0" applyFont="1" applyFill="1" applyBorder="1" applyAlignment="1">
      <alignment horizontal="center" vertical="justify" wrapText="1"/>
    </xf>
    <xf numFmtId="0" fontId="65" fillId="2" borderId="170" xfId="0" applyFont="1" applyFill="1" applyBorder="1" applyAlignment="1">
      <alignment horizontal="center" wrapText="1"/>
    </xf>
    <xf numFmtId="165" fontId="65" fillId="2" borderId="170" xfId="11" applyFont="1" applyFill="1" applyBorder="1" applyAlignment="1">
      <alignment horizontal="center" vertical="justify" wrapText="1"/>
    </xf>
    <xf numFmtId="0" fontId="72" fillId="0" borderId="170" xfId="0" applyFont="1" applyBorder="1" applyAlignment="1">
      <alignment horizontal="center" wrapText="1"/>
    </xf>
    <xf numFmtId="0" fontId="65" fillId="0" borderId="170" xfId="0" quotePrefix="1" applyFont="1" applyBorder="1" applyAlignment="1">
      <alignment horizontal="center" wrapText="1"/>
    </xf>
    <xf numFmtId="49" fontId="52" fillId="0" borderId="0" xfId="0" applyNumberFormat="1" applyFont="1" applyAlignment="1">
      <alignment horizontal="left"/>
    </xf>
    <xf numFmtId="0" fontId="55" fillId="0" borderId="55" xfId="0" applyFont="1" applyBorder="1" applyAlignment="1">
      <alignment horizontal="justify" vertical="center" wrapText="1"/>
    </xf>
    <xf numFmtId="0" fontId="55" fillId="0" borderId="163" xfId="0" applyFont="1" applyBorder="1" applyAlignment="1">
      <alignment horizontal="justify" vertical="center" wrapText="1"/>
    </xf>
    <xf numFmtId="0" fontId="55" fillId="0" borderId="155" xfId="0" applyFont="1" applyBorder="1" applyAlignment="1">
      <alignment horizontal="justify" vertical="center" wrapText="1"/>
    </xf>
    <xf numFmtId="0" fontId="20" fillId="0" borderId="10" xfId="0" applyFont="1" applyBorder="1" applyAlignment="1">
      <alignment horizontal="center" wrapText="1"/>
    </xf>
    <xf numFmtId="0" fontId="10" fillId="0" borderId="10" xfId="0" applyFont="1" applyBorder="1" applyAlignment="1">
      <alignment horizontal="center"/>
    </xf>
    <xf numFmtId="0" fontId="10" fillId="0" borderId="10" xfId="0" applyFont="1" applyBorder="1" applyAlignment="1">
      <alignment horizontal="center" wrapText="1"/>
    </xf>
    <xf numFmtId="10" fontId="20" fillId="0" borderId="10" xfId="2" applyNumberFormat="1" applyFont="1" applyBorder="1" applyAlignment="1">
      <alignment horizontal="center"/>
    </xf>
    <xf numFmtId="165" fontId="21" fillId="0" borderId="10" xfId="0" applyNumberFormat="1" applyFont="1" applyBorder="1" applyAlignment="1">
      <alignment horizontal="center"/>
    </xf>
    <xf numFmtId="0" fontId="21" fillId="0" borderId="10" xfId="0" applyFont="1" applyBorder="1" applyAlignment="1">
      <alignment horizontal="center"/>
    </xf>
    <xf numFmtId="0" fontId="29" fillId="0" borderId="0" xfId="4" applyFont="1" applyAlignment="1">
      <alignment horizontal="center"/>
    </xf>
    <xf numFmtId="0" fontId="30" fillId="0" borderId="0" xfId="4" applyFont="1" applyAlignment="1">
      <alignment horizontal="center"/>
    </xf>
    <xf numFmtId="0" fontId="31" fillId="6" borderId="72" xfId="4" applyFont="1" applyFill="1" applyBorder="1" applyAlignment="1" applyProtection="1">
      <alignment horizontal="center"/>
      <protection locked="0"/>
    </xf>
    <xf numFmtId="0" fontId="31" fillId="6" borderId="73" xfId="4" applyFont="1" applyFill="1" applyBorder="1" applyAlignment="1" applyProtection="1">
      <alignment horizontal="center"/>
      <protection locked="0"/>
    </xf>
    <xf numFmtId="0" fontId="31" fillId="6" borderId="74" xfId="4" applyFont="1" applyFill="1" applyBorder="1" applyAlignment="1" applyProtection="1">
      <alignment horizontal="center"/>
      <protection locked="0"/>
    </xf>
    <xf numFmtId="0" fontId="32" fillId="5" borderId="76" xfId="4" applyFont="1" applyFill="1" applyBorder="1" applyAlignment="1" applyProtection="1">
      <alignment horizontal="left" vertical="center" wrapText="1"/>
      <protection locked="0"/>
    </xf>
    <xf numFmtId="0" fontId="32" fillId="5" borderId="24" xfId="4" applyFont="1" applyFill="1" applyBorder="1" applyAlignment="1" applyProtection="1">
      <alignment horizontal="left" vertical="center" wrapText="1"/>
      <protection locked="0"/>
    </xf>
    <xf numFmtId="0" fontId="32" fillId="5" borderId="77" xfId="4" applyFont="1" applyFill="1" applyBorder="1" applyAlignment="1" applyProtection="1">
      <alignment horizontal="left" vertical="center" wrapText="1"/>
      <protection locked="0"/>
    </xf>
    <xf numFmtId="0" fontId="6" fillId="5" borderId="79" xfId="4" applyFont="1" applyFill="1" applyBorder="1" applyAlignment="1" applyProtection="1">
      <alignment horizontal="center" vertical="center"/>
      <protection locked="0"/>
    </xf>
    <xf numFmtId="0" fontId="6" fillId="5" borderId="13" xfId="4" applyFont="1" applyFill="1" applyBorder="1" applyAlignment="1" applyProtection="1">
      <alignment horizontal="center" vertical="center"/>
      <protection locked="0"/>
    </xf>
    <xf numFmtId="0" fontId="6" fillId="5" borderId="13" xfId="4" applyFont="1" applyFill="1" applyBorder="1" applyAlignment="1" applyProtection="1">
      <alignment horizontal="left" vertical="center" wrapText="1"/>
      <protection locked="0"/>
    </xf>
    <xf numFmtId="0" fontId="6" fillId="5" borderId="80" xfId="4" applyFont="1" applyFill="1" applyBorder="1" applyAlignment="1" applyProtection="1">
      <alignment horizontal="left" vertical="center" wrapText="1"/>
      <protection locked="0"/>
    </xf>
    <xf numFmtId="0" fontId="6" fillId="5" borderId="90" xfId="4" applyFont="1" applyFill="1" applyBorder="1" applyAlignment="1" applyProtection="1">
      <alignment horizontal="center"/>
      <protection locked="0"/>
    </xf>
    <xf numFmtId="0" fontId="6" fillId="5" borderId="91" xfId="4" applyFont="1" applyFill="1" applyBorder="1" applyAlignment="1" applyProtection="1">
      <alignment horizontal="center"/>
      <protection locked="0"/>
    </xf>
    <xf numFmtId="0" fontId="6" fillId="5" borderId="92" xfId="4" applyFont="1" applyFill="1" applyBorder="1" applyAlignment="1" applyProtection="1">
      <alignment horizontal="center"/>
      <protection locked="0"/>
    </xf>
    <xf numFmtId="0" fontId="34" fillId="6" borderId="94" xfId="4" applyFont="1" applyFill="1" applyBorder="1" applyAlignment="1" applyProtection="1">
      <alignment horizontal="center"/>
      <protection locked="0"/>
    </xf>
    <xf numFmtId="0" fontId="34" fillId="6" borderId="95" xfId="4" applyFont="1" applyFill="1" applyBorder="1" applyAlignment="1" applyProtection="1">
      <alignment horizontal="center"/>
      <protection locked="0"/>
    </xf>
    <xf numFmtId="0" fontId="34" fillId="6" borderId="96" xfId="4" applyFont="1" applyFill="1" applyBorder="1" applyAlignment="1" applyProtection="1">
      <alignment horizontal="center"/>
      <protection locked="0"/>
    </xf>
    <xf numFmtId="0" fontId="5" fillId="0" borderId="101" xfId="4" applyFont="1" applyBorder="1" applyAlignment="1" applyProtection="1">
      <alignment horizontal="left"/>
      <protection locked="0"/>
    </xf>
    <xf numFmtId="0" fontId="5" fillId="0" borderId="0" xfId="4" applyFont="1" applyAlignment="1" applyProtection="1">
      <alignment horizontal="left"/>
      <protection locked="0"/>
    </xf>
    <xf numFmtId="0" fontId="5" fillId="0" borderId="101" xfId="4" applyFont="1" applyBorder="1" applyAlignment="1" applyProtection="1">
      <alignment horizontal="right"/>
      <protection locked="0"/>
    </xf>
    <xf numFmtId="0" fontId="5" fillId="0" borderId="0" xfId="4" applyFont="1" applyAlignment="1" applyProtection="1">
      <alignment horizontal="right"/>
      <protection locked="0"/>
    </xf>
    <xf numFmtId="0" fontId="6" fillId="5" borderId="79" xfId="4" applyFont="1" applyFill="1" applyBorder="1" applyAlignment="1" applyProtection="1">
      <alignment horizontal="left" vertical="center" wrapText="1"/>
      <protection locked="0"/>
    </xf>
    <xf numFmtId="0" fontId="5" fillId="14" borderId="83" xfId="4" applyFont="1" applyFill="1" applyBorder="1" applyAlignment="1" applyProtection="1">
      <alignment horizontal="left" vertical="center" wrapText="1"/>
      <protection locked="0"/>
    </xf>
    <xf numFmtId="0" fontId="5" fillId="14" borderId="75" xfId="4" applyFont="1" applyFill="1" applyBorder="1" applyAlignment="1" applyProtection="1">
      <alignment horizontal="left" vertical="center" wrapText="1"/>
      <protection locked="0"/>
    </xf>
    <xf numFmtId="0" fontId="6" fillId="5" borderId="84" xfId="4" applyFont="1" applyFill="1" applyBorder="1" applyAlignment="1" applyProtection="1">
      <alignment horizontal="justify" vertical="center" wrapText="1"/>
      <protection locked="0"/>
    </xf>
    <xf numFmtId="0" fontId="6" fillId="5" borderId="81" xfId="4" applyFont="1" applyFill="1" applyBorder="1" applyAlignment="1" applyProtection="1">
      <alignment horizontal="justify" vertical="center" wrapText="1"/>
      <protection locked="0"/>
    </xf>
    <xf numFmtId="0" fontId="6" fillId="5" borderId="82" xfId="4" applyFont="1" applyFill="1" applyBorder="1" applyAlignment="1" applyProtection="1">
      <alignment horizontal="justify" vertical="center" wrapText="1"/>
      <protection locked="0"/>
    </xf>
    <xf numFmtId="0" fontId="6" fillId="5" borderId="86" xfId="4" applyFont="1" applyFill="1" applyBorder="1" applyAlignment="1" applyProtection="1">
      <alignment horizontal="justify" vertical="center" wrapText="1"/>
      <protection locked="0"/>
    </xf>
    <xf numFmtId="0" fontId="6" fillId="5" borderId="87" xfId="4" applyFont="1" applyFill="1" applyBorder="1" applyAlignment="1" applyProtection="1">
      <alignment horizontal="justify" vertical="center" wrapText="1"/>
      <protection locked="0"/>
    </xf>
    <xf numFmtId="0" fontId="6" fillId="5" borderId="88" xfId="4" applyFont="1" applyFill="1" applyBorder="1" applyAlignment="1" applyProtection="1">
      <alignment horizontal="justify" vertical="center" wrapText="1"/>
      <protection locked="0"/>
    </xf>
    <xf numFmtId="180" fontId="6" fillId="5" borderId="79" xfId="4" applyNumberFormat="1" applyFont="1" applyFill="1" applyBorder="1" applyAlignment="1" applyProtection="1">
      <alignment horizontal="center" vertical="center" wrapText="1"/>
      <protection locked="0"/>
    </xf>
    <xf numFmtId="180" fontId="6" fillId="5" borderId="80" xfId="4" applyNumberFormat="1" applyFont="1" applyFill="1" applyBorder="1" applyAlignment="1" applyProtection="1">
      <alignment horizontal="center" vertical="center" wrapText="1"/>
      <protection locked="0"/>
    </xf>
    <xf numFmtId="0" fontId="5" fillId="0" borderId="101" xfId="0" applyFont="1" applyBorder="1" applyAlignment="1" applyProtection="1">
      <alignment horizontal="left"/>
      <protection locked="0"/>
    </xf>
    <xf numFmtId="0" fontId="5" fillId="0" borderId="0" xfId="0" applyFont="1" applyAlignment="1" applyProtection="1">
      <alignment horizontal="left"/>
      <protection locked="0"/>
    </xf>
    <xf numFmtId="0" fontId="3" fillId="0" borderId="101" xfId="4" applyFont="1" applyBorder="1" applyAlignment="1" applyProtection="1">
      <alignment horizontal="left"/>
      <protection locked="0"/>
    </xf>
    <xf numFmtId="0" fontId="3" fillId="0" borderId="0" xfId="4" applyFont="1" applyAlignment="1" applyProtection="1">
      <alignment horizontal="left"/>
      <protection locked="0"/>
    </xf>
    <xf numFmtId="40" fontId="5" fillId="4" borderId="112" xfId="4" applyNumberFormat="1" applyFont="1" applyFill="1" applyBorder="1" applyAlignment="1" applyProtection="1">
      <alignment horizontal="right"/>
      <protection locked="0"/>
    </xf>
    <xf numFmtId="40" fontId="5" fillId="4" borderId="93" xfId="4" applyNumberFormat="1" applyFont="1" applyFill="1" applyBorder="1" applyAlignment="1" applyProtection="1">
      <alignment horizontal="right"/>
      <protection locked="0"/>
    </xf>
    <xf numFmtId="0" fontId="5" fillId="0" borderId="84" xfId="4" applyFont="1" applyBorder="1" applyAlignment="1" applyProtection="1">
      <alignment horizontal="left"/>
      <protection locked="0"/>
    </xf>
    <xf numFmtId="0" fontId="5" fillId="0" borderId="81" xfId="4" applyFont="1" applyBorder="1" applyAlignment="1" applyProtection="1">
      <alignment horizontal="left"/>
      <protection locked="0"/>
    </xf>
    <xf numFmtId="164" fontId="5" fillId="4" borderId="104" xfId="6" applyFont="1" applyFill="1" applyBorder="1" applyAlignment="1" applyProtection="1">
      <alignment horizontal="center"/>
      <protection locked="0"/>
    </xf>
    <xf numFmtId="164" fontId="5" fillId="4" borderId="105" xfId="6" applyFont="1" applyFill="1" applyBorder="1" applyAlignment="1" applyProtection="1">
      <alignment horizontal="center"/>
      <protection locked="0"/>
    </xf>
    <xf numFmtId="164" fontId="5" fillId="4" borderId="106" xfId="6" applyFont="1" applyFill="1" applyBorder="1" applyAlignment="1" applyProtection="1">
      <alignment horizontal="center"/>
      <protection locked="0"/>
    </xf>
    <xf numFmtId="0" fontId="3" fillId="0" borderId="107" xfId="4" applyFont="1" applyBorder="1" applyAlignment="1" applyProtection="1">
      <alignment horizontal="right"/>
      <protection locked="0"/>
    </xf>
    <xf numFmtId="0" fontId="3" fillId="0" borderId="13" xfId="4" applyFont="1" applyBorder="1" applyAlignment="1" applyProtection="1">
      <alignment horizontal="right"/>
      <protection locked="0"/>
    </xf>
    <xf numFmtId="40" fontId="5" fillId="0" borderId="109" xfId="4" applyNumberFormat="1" applyFont="1" applyBorder="1" applyAlignment="1" applyProtection="1">
      <alignment horizontal="right"/>
      <protection locked="0"/>
    </xf>
    <xf numFmtId="40" fontId="5" fillId="0" borderId="110" xfId="4" applyNumberFormat="1" applyFont="1" applyBorder="1" applyAlignment="1" applyProtection="1">
      <alignment horizontal="right"/>
      <protection locked="0"/>
    </xf>
    <xf numFmtId="0" fontId="5" fillId="4" borderId="112" xfId="4" applyFont="1" applyFill="1" applyBorder="1" applyAlignment="1" applyProtection="1">
      <alignment horizontal="right"/>
      <protection locked="0"/>
    </xf>
    <xf numFmtId="0" fontId="5" fillId="4" borderId="93" xfId="4" applyFont="1" applyFill="1" applyBorder="1" applyAlignment="1" applyProtection="1">
      <alignment horizontal="right"/>
      <protection locked="0"/>
    </xf>
    <xf numFmtId="40" fontId="5" fillId="6" borderId="124" xfId="4" applyNumberFormat="1" applyFont="1" applyFill="1" applyBorder="1" applyAlignment="1" applyProtection="1">
      <alignment horizontal="left"/>
      <protection locked="0"/>
    </xf>
    <xf numFmtId="40" fontId="5" fillId="6" borderId="125" xfId="4" applyNumberFormat="1" applyFont="1" applyFill="1" applyBorder="1" applyAlignment="1" applyProtection="1">
      <alignment horizontal="left"/>
      <protection locked="0"/>
    </xf>
    <xf numFmtId="0" fontId="35" fillId="0" borderId="116" xfId="4" applyFont="1" applyBorder="1" applyAlignment="1" applyProtection="1">
      <alignment horizontal="center" vertical="center" wrapText="1"/>
      <protection locked="0"/>
    </xf>
    <xf numFmtId="0" fontId="35" fillId="0" borderId="127" xfId="4" applyFont="1" applyBorder="1" applyAlignment="1" applyProtection="1">
      <alignment horizontal="center" vertical="center" wrapText="1"/>
      <protection locked="0"/>
    </xf>
    <xf numFmtId="0" fontId="35" fillId="0" borderId="117" xfId="4" applyFont="1" applyBorder="1" applyAlignment="1" applyProtection="1">
      <alignment horizontal="center" vertical="center" wrapText="1"/>
      <protection locked="0"/>
    </xf>
    <xf numFmtId="0" fontId="38" fillId="0" borderId="101" xfId="4" applyFont="1" applyBorder="1" applyAlignment="1" applyProtection="1">
      <alignment horizontal="center"/>
      <protection locked="0"/>
    </xf>
    <xf numFmtId="0" fontId="38" fillId="0" borderId="0" xfId="4" applyFont="1" applyAlignment="1" applyProtection="1">
      <alignment horizontal="center"/>
      <protection locked="0"/>
    </xf>
    <xf numFmtId="0" fontId="38" fillId="0" borderId="103" xfId="4" applyFont="1" applyBorder="1" applyAlignment="1" applyProtection="1">
      <alignment horizontal="center"/>
      <protection locked="0"/>
    </xf>
    <xf numFmtId="0" fontId="5" fillId="0" borderId="0" xfId="4" applyFont="1" applyAlignment="1" applyProtection="1">
      <alignment horizontal="left" vertical="center" wrapText="1"/>
      <protection locked="0"/>
    </xf>
    <xf numFmtId="0" fontId="5" fillId="0" borderId="103" xfId="4" applyFont="1" applyBorder="1" applyAlignment="1" applyProtection="1">
      <alignment horizontal="left" vertical="center" wrapText="1"/>
      <protection locked="0"/>
    </xf>
    <xf numFmtId="0" fontId="28" fillId="5" borderId="0" xfId="4" applyFont="1" applyFill="1" applyAlignment="1" applyProtection="1">
      <alignment horizontal="left" vertical="center" wrapText="1"/>
      <protection locked="0"/>
    </xf>
    <xf numFmtId="0" fontId="28" fillId="5" borderId="103" xfId="4" applyFont="1" applyFill="1" applyBorder="1" applyAlignment="1" applyProtection="1">
      <alignment horizontal="left" vertical="center" wrapText="1"/>
      <protection locked="0"/>
    </xf>
    <xf numFmtId="0" fontId="3" fillId="0" borderId="103" xfId="4" applyFont="1" applyBorder="1" applyAlignment="1" applyProtection="1">
      <alignment horizontal="left"/>
      <protection locked="0"/>
    </xf>
    <xf numFmtId="40" fontId="5" fillId="6" borderId="118" xfId="4" applyNumberFormat="1" applyFont="1" applyFill="1" applyBorder="1" applyAlignment="1" applyProtection="1">
      <alignment horizontal="left"/>
      <protection locked="0"/>
    </xf>
    <xf numFmtId="40" fontId="5" fillId="6" borderId="119" xfId="4" applyNumberFormat="1" applyFont="1" applyFill="1" applyBorder="1" applyAlignment="1" applyProtection="1">
      <alignment horizontal="left"/>
      <protection locked="0"/>
    </xf>
    <xf numFmtId="40" fontId="5" fillId="6" borderId="122" xfId="4" applyNumberFormat="1" applyFont="1" applyFill="1" applyBorder="1" applyAlignment="1" applyProtection="1">
      <alignment horizontal="left"/>
      <protection locked="0"/>
    </xf>
    <xf numFmtId="40" fontId="5" fillId="6" borderId="10" xfId="4" applyNumberFormat="1" applyFont="1" applyFill="1" applyBorder="1" applyAlignment="1" applyProtection="1">
      <alignment horizontal="left"/>
      <protection locked="0"/>
    </xf>
    <xf numFmtId="9" fontId="5" fillId="6" borderId="122" xfId="5" applyFont="1" applyFill="1" applyBorder="1" applyAlignment="1" applyProtection="1">
      <alignment horizontal="left"/>
      <protection locked="0"/>
    </xf>
    <xf numFmtId="9" fontId="5" fillId="6" borderId="10" xfId="5" applyFont="1" applyFill="1" applyBorder="1" applyAlignment="1" applyProtection="1">
      <alignment horizontal="left"/>
      <protection locked="0"/>
    </xf>
    <xf numFmtId="10" fontId="5" fillId="6" borderId="122" xfId="5" applyNumberFormat="1" applyFont="1" applyFill="1" applyBorder="1" applyAlignment="1" applyProtection="1">
      <alignment horizontal="left"/>
      <protection locked="0"/>
    </xf>
    <xf numFmtId="10" fontId="5" fillId="6" borderId="10" xfId="5" applyNumberFormat="1" applyFont="1" applyFill="1" applyBorder="1" applyAlignment="1" applyProtection="1">
      <alignment horizontal="left"/>
      <protection locked="0"/>
    </xf>
    <xf numFmtId="0" fontId="28" fillId="5" borderId="0" xfId="4" applyFont="1" applyFill="1" applyAlignment="1" applyProtection="1">
      <alignment horizontal="justify" vertical="center" wrapText="1"/>
      <protection locked="0"/>
    </xf>
    <xf numFmtId="0" fontId="28" fillId="5" borderId="103" xfId="4" applyFont="1" applyFill="1" applyBorder="1" applyAlignment="1" applyProtection="1">
      <alignment horizontal="justify" vertical="center" wrapText="1"/>
      <protection locked="0"/>
    </xf>
    <xf numFmtId="0" fontId="5" fillId="0" borderId="101" xfId="4" applyFont="1" applyBorder="1" applyAlignment="1" applyProtection="1">
      <alignment horizontal="left" vertical="center" wrapText="1"/>
      <protection locked="0"/>
    </xf>
    <xf numFmtId="0" fontId="39" fillId="0" borderId="128" xfId="4" applyFont="1" applyBorder="1" applyAlignment="1" applyProtection="1">
      <alignment horizontal="center" vertical="center" wrapText="1"/>
      <protection locked="0"/>
    </xf>
    <xf numFmtId="0" fontId="39" fillId="0" borderId="38" xfId="4" applyFont="1" applyBorder="1" applyAlignment="1" applyProtection="1">
      <alignment horizontal="center" vertical="center" wrapText="1"/>
      <protection locked="0"/>
    </xf>
    <xf numFmtId="0" fontId="39" fillId="0" borderId="129" xfId="4" applyFont="1" applyBorder="1" applyAlignment="1" applyProtection="1">
      <alignment horizontal="center" vertical="center" wrapText="1"/>
      <protection locked="0"/>
    </xf>
    <xf numFmtId="0" fontId="3" fillId="0" borderId="0" xfId="4" applyFont="1" applyAlignment="1" applyProtection="1">
      <alignment horizontal="left" vertical="center" wrapText="1"/>
      <protection locked="0"/>
    </xf>
    <xf numFmtId="0" fontId="3" fillId="0" borderId="103" xfId="4" applyFont="1" applyBorder="1" applyAlignment="1" applyProtection="1">
      <alignment horizontal="left" vertical="center" wrapText="1"/>
      <protection locked="0"/>
    </xf>
    <xf numFmtId="0" fontId="28" fillId="5" borderId="1" xfId="4" applyFont="1" applyFill="1" applyBorder="1" applyAlignment="1" applyProtection="1">
      <alignment horizontal="justify" vertical="center" wrapText="1"/>
      <protection locked="0"/>
    </xf>
    <xf numFmtId="0" fontId="28" fillId="5" borderId="51" xfId="4" applyFont="1" applyFill="1" applyBorder="1" applyAlignment="1" applyProtection="1">
      <alignment horizontal="justify" vertical="center" wrapText="1"/>
      <protection locked="0"/>
    </xf>
    <xf numFmtId="0" fontId="28" fillId="5" borderId="140" xfId="4" applyFont="1" applyFill="1" applyBorder="1" applyAlignment="1" applyProtection="1">
      <alignment horizontal="justify" vertical="center" wrapText="1"/>
      <protection locked="0"/>
    </xf>
    <xf numFmtId="0" fontId="28" fillId="5" borderId="141" xfId="4" applyFont="1" applyFill="1" applyBorder="1" applyAlignment="1" applyProtection="1">
      <alignment horizontal="center" vertical="center" wrapText="1"/>
      <protection locked="0"/>
    </xf>
    <xf numFmtId="0" fontId="28" fillId="5" borderId="51" xfId="4" applyFont="1" applyFill="1" applyBorder="1" applyAlignment="1" applyProtection="1">
      <alignment horizontal="center" vertical="center" wrapText="1"/>
      <protection locked="0"/>
    </xf>
    <xf numFmtId="0" fontId="28" fillId="5" borderId="140" xfId="4" applyFont="1" applyFill="1" applyBorder="1" applyAlignment="1" applyProtection="1">
      <alignment horizontal="center" vertical="center" wrapText="1"/>
      <protection locked="0"/>
    </xf>
    <xf numFmtId="0" fontId="28" fillId="5" borderId="1" xfId="4" applyFont="1" applyFill="1" applyBorder="1" applyAlignment="1" applyProtection="1">
      <alignment horizontal="left" vertical="center" wrapText="1"/>
      <protection locked="0"/>
    </xf>
    <xf numFmtId="0" fontId="28" fillId="5" borderId="51" xfId="4" applyFont="1" applyFill="1" applyBorder="1" applyAlignment="1" applyProtection="1">
      <alignment horizontal="left" vertical="center" wrapText="1"/>
      <protection locked="0"/>
    </xf>
    <xf numFmtId="0" fontId="28" fillId="5" borderId="140" xfId="4" applyFont="1" applyFill="1" applyBorder="1" applyAlignment="1" applyProtection="1">
      <alignment horizontal="left" vertical="center" wrapText="1"/>
      <protection locked="0"/>
    </xf>
    <xf numFmtId="0" fontId="6" fillId="5" borderId="101" xfId="4" applyFont="1" applyFill="1" applyBorder="1" applyAlignment="1" applyProtection="1">
      <alignment horizontal="justify" vertical="center" wrapText="1"/>
      <protection locked="0"/>
    </xf>
    <xf numFmtId="0" fontId="6" fillId="5" borderId="0" xfId="4" applyFont="1" applyFill="1" applyAlignment="1" applyProtection="1">
      <alignment horizontal="justify" vertical="center" wrapText="1"/>
      <protection locked="0"/>
    </xf>
    <xf numFmtId="0" fontId="6" fillId="5" borderId="103" xfId="4" applyFont="1" applyFill="1" applyBorder="1" applyAlignment="1" applyProtection="1">
      <alignment horizontal="justify" vertical="center" wrapText="1"/>
      <protection locked="0"/>
    </xf>
    <xf numFmtId="0" fontId="6" fillId="5" borderId="131" xfId="4" applyFont="1" applyFill="1" applyBorder="1" applyAlignment="1" applyProtection="1">
      <alignment horizontal="center"/>
      <protection locked="0"/>
    </xf>
    <xf numFmtId="0" fontId="6" fillId="5" borderId="132" xfId="4" applyFont="1" applyFill="1" applyBorder="1" applyAlignment="1" applyProtection="1">
      <alignment horizontal="center"/>
      <protection locked="0"/>
    </xf>
    <xf numFmtId="0" fontId="28" fillId="5" borderId="134" xfId="4" applyFont="1" applyFill="1" applyBorder="1" applyAlignment="1" applyProtection="1">
      <alignment horizontal="left"/>
      <protection locked="0"/>
    </xf>
    <xf numFmtId="0" fontId="28" fillId="5" borderId="135" xfId="4" applyFont="1" applyFill="1" applyBorder="1" applyAlignment="1" applyProtection="1">
      <alignment horizontal="left"/>
      <protection locked="0"/>
    </xf>
    <xf numFmtId="0" fontId="28" fillId="5" borderId="136" xfId="4" applyFont="1" applyFill="1" applyBorder="1" applyAlignment="1" applyProtection="1">
      <alignment horizontal="left"/>
      <protection locked="0"/>
    </xf>
    <xf numFmtId="0" fontId="28" fillId="5" borderId="138" xfId="4" applyFont="1" applyFill="1" applyBorder="1" applyAlignment="1" applyProtection="1">
      <alignment horizontal="left"/>
      <protection locked="0"/>
    </xf>
    <xf numFmtId="0" fontId="28" fillId="5" borderId="61" xfId="4" applyFont="1" applyFill="1" applyBorder="1" applyAlignment="1" applyProtection="1">
      <alignment horizontal="left"/>
      <protection locked="0"/>
    </xf>
    <xf numFmtId="0" fontId="28" fillId="5" borderId="139" xfId="4" applyFont="1" applyFill="1" applyBorder="1" applyAlignment="1" applyProtection="1">
      <alignment horizontal="left"/>
      <protection locked="0"/>
    </xf>
    <xf numFmtId="0" fontId="28" fillId="5" borderId="143" xfId="4" applyFont="1" applyFill="1" applyBorder="1" applyAlignment="1" applyProtection="1">
      <alignment horizontal="left"/>
      <protection locked="0"/>
    </xf>
    <xf numFmtId="0" fontId="28" fillId="5" borderId="144" xfId="4" applyFont="1" applyFill="1" applyBorder="1" applyAlignment="1" applyProtection="1">
      <alignment horizontal="left"/>
      <protection locked="0"/>
    </xf>
    <xf numFmtId="0" fontId="28" fillId="5" borderId="145" xfId="4" applyFont="1" applyFill="1" applyBorder="1" applyAlignment="1" applyProtection="1">
      <alignment horizontal="left"/>
      <protection locked="0"/>
    </xf>
    <xf numFmtId="0" fontId="40" fillId="5" borderId="1" xfId="4" applyFont="1" applyFill="1" applyBorder="1" applyAlignment="1" applyProtection="1">
      <alignment horizontal="left" vertical="center" wrapText="1"/>
      <protection locked="0"/>
    </xf>
    <xf numFmtId="0" fontId="40" fillId="5" borderId="51" xfId="4" applyFont="1" applyFill="1" applyBorder="1" applyAlignment="1" applyProtection="1">
      <alignment horizontal="left" vertical="center" wrapText="1"/>
      <protection locked="0"/>
    </xf>
    <xf numFmtId="0" fontId="40" fillId="5" borderId="140" xfId="4" applyFont="1" applyFill="1" applyBorder="1" applyAlignment="1" applyProtection="1">
      <alignment horizontal="left" vertical="center" wrapText="1"/>
      <protection locked="0"/>
    </xf>
    <xf numFmtId="0" fontId="28" fillId="5" borderId="1" xfId="4" applyFont="1" applyFill="1" applyBorder="1" applyAlignment="1" applyProtection="1">
      <alignment horizontal="center" vertical="center" wrapText="1"/>
      <protection locked="0"/>
    </xf>
    <xf numFmtId="0" fontId="28" fillId="5" borderId="2" xfId="4" applyFont="1" applyFill="1" applyBorder="1" applyAlignment="1" applyProtection="1">
      <alignment horizontal="center" vertical="center" wrapText="1"/>
      <protection locked="0"/>
    </xf>
    <xf numFmtId="0" fontId="28" fillId="5" borderId="149" xfId="4" applyFont="1" applyFill="1" applyBorder="1" applyAlignment="1" applyProtection="1">
      <alignment horizontal="center" vertical="center" wrapText="1"/>
      <protection locked="0"/>
    </xf>
    <xf numFmtId="0" fontId="28" fillId="5" borderId="53" xfId="4" applyFont="1" applyFill="1" applyBorder="1" applyAlignment="1" applyProtection="1">
      <alignment horizontal="center" vertical="center" wrapText="1"/>
      <protection locked="0"/>
    </xf>
    <xf numFmtId="0" fontId="28" fillId="5" borderId="150" xfId="4" applyFont="1" applyFill="1" applyBorder="1" applyAlignment="1" applyProtection="1">
      <alignment horizontal="center" vertical="center" wrapText="1"/>
      <protection locked="0"/>
    </xf>
    <xf numFmtId="0" fontId="28" fillId="5" borderId="151" xfId="4" applyFont="1" applyFill="1" applyBorder="1" applyAlignment="1" applyProtection="1">
      <alignment horizontal="center" vertical="center" wrapText="1"/>
      <protection locked="0"/>
    </xf>
    <xf numFmtId="0" fontId="28" fillId="5" borderId="152" xfId="4" applyFont="1" applyFill="1" applyBorder="1" applyAlignment="1" applyProtection="1">
      <alignment horizontal="center" vertical="center" wrapText="1"/>
      <protection locked="0"/>
    </xf>
    <xf numFmtId="0" fontId="28" fillId="5" borderId="153" xfId="4" applyFont="1" applyFill="1" applyBorder="1" applyAlignment="1" applyProtection="1">
      <alignment horizontal="center" vertical="center" wrapText="1"/>
      <protection locked="0"/>
    </xf>
    <xf numFmtId="0" fontId="5" fillId="0" borderId="147" xfId="4" applyFont="1" applyBorder="1" applyAlignment="1" applyProtection="1">
      <alignment horizontal="center" vertical="center" wrapText="1"/>
      <protection locked="0"/>
    </xf>
    <xf numFmtId="0" fontId="5" fillId="0" borderId="148" xfId="4" applyFont="1" applyBorder="1" applyAlignment="1" applyProtection="1">
      <alignment horizontal="center" vertical="center" wrapText="1"/>
      <protection locked="0"/>
    </xf>
    <xf numFmtId="49" fontId="3" fillId="0" borderId="101" xfId="4" applyNumberFormat="1" applyFont="1" applyBorder="1" applyAlignment="1" applyProtection="1">
      <alignment horizontal="left" vertical="center" wrapText="1"/>
      <protection locked="0"/>
    </xf>
    <xf numFmtId="49" fontId="3" fillId="0" borderId="0" xfId="4" applyNumberFormat="1" applyFont="1" applyAlignment="1" applyProtection="1">
      <alignment horizontal="left" vertical="center" wrapText="1"/>
      <protection locked="0"/>
    </xf>
    <xf numFmtId="49" fontId="3" fillId="0" borderId="103" xfId="4" applyNumberFormat="1" applyFont="1" applyBorder="1" applyAlignment="1" applyProtection="1">
      <alignment horizontal="left" vertical="center" wrapText="1"/>
      <protection locked="0"/>
    </xf>
    <xf numFmtId="0" fontId="3" fillId="0" borderId="0" xfId="4" applyFont="1" applyAlignment="1" applyProtection="1">
      <alignment horizontal="justify" vertical="center" wrapText="1"/>
      <protection locked="0"/>
    </xf>
    <xf numFmtId="0" fontId="3" fillId="0" borderId="103" xfId="4" applyFont="1" applyBorder="1" applyAlignment="1" applyProtection="1">
      <alignment horizontal="justify" vertical="center" wrapText="1"/>
      <protection locked="0"/>
    </xf>
    <xf numFmtId="0" fontId="3" fillId="0" borderId="101" xfId="4" applyFont="1" applyBorder="1" applyAlignment="1" applyProtection="1">
      <alignment horizontal="justify" vertical="justify" wrapText="1"/>
      <protection locked="0"/>
    </xf>
    <xf numFmtId="0" fontId="3" fillId="0" borderId="0" xfId="4" applyFont="1" applyAlignment="1" applyProtection="1">
      <alignment horizontal="justify" vertical="justify" wrapText="1"/>
      <protection locked="0"/>
    </xf>
    <xf numFmtId="0" fontId="3" fillId="0" borderId="103" xfId="4" applyFont="1" applyBorder="1" applyAlignment="1" applyProtection="1">
      <alignment horizontal="justify" vertical="justify" wrapText="1"/>
      <protection locked="0"/>
    </xf>
    <xf numFmtId="0" fontId="27" fillId="0" borderId="0" xfId="4"/>
    <xf numFmtId="0" fontId="27" fillId="0" borderId="103" xfId="4" applyBorder="1"/>
    <xf numFmtId="0" fontId="5" fillId="0" borderId="0" xfId="4" applyFont="1" applyAlignment="1" applyProtection="1">
      <alignment horizontal="center" vertical="center" wrapText="1"/>
      <protection locked="0"/>
    </xf>
    <xf numFmtId="0" fontId="5" fillId="0" borderId="103" xfId="4" applyFont="1" applyBorder="1" applyAlignment="1" applyProtection="1">
      <alignment horizontal="center" vertical="center" wrapText="1"/>
      <protection locked="0"/>
    </xf>
    <xf numFmtId="0" fontId="28" fillId="5" borderId="0" xfId="4" applyFont="1" applyFill="1" applyAlignment="1" applyProtection="1">
      <alignment horizontal="left"/>
      <protection locked="0"/>
    </xf>
    <xf numFmtId="0" fontId="3" fillId="0" borderId="101" xfId="4" applyFont="1" applyBorder="1" applyAlignment="1" applyProtection="1">
      <alignment horizontal="left" vertical="center" wrapText="1"/>
      <protection locked="0"/>
    </xf>
    <xf numFmtId="0" fontId="28" fillId="5" borderId="103" xfId="4" applyFont="1" applyFill="1" applyBorder="1" applyAlignment="1" applyProtection="1">
      <alignment horizontal="left"/>
      <protection locked="0"/>
    </xf>
    <xf numFmtId="0" fontId="5" fillId="0" borderId="0" xfId="4" applyFont="1" applyAlignment="1" applyProtection="1">
      <alignment horizontal="center"/>
      <protection locked="0"/>
    </xf>
    <xf numFmtId="0" fontId="5" fillId="0" borderId="103" xfId="4" applyFont="1" applyBorder="1" applyAlignment="1" applyProtection="1">
      <alignment horizontal="center"/>
      <protection locked="0"/>
    </xf>
    <xf numFmtId="0" fontId="5" fillId="0" borderId="0" xfId="4" applyFont="1" applyAlignment="1" applyProtection="1">
      <alignment horizontal="left" wrapText="1"/>
      <protection locked="0"/>
    </xf>
    <xf numFmtId="0" fontId="5" fillId="0" borderId="103" xfId="4" applyFont="1" applyBorder="1" applyAlignment="1" applyProtection="1">
      <alignment horizontal="left" wrapText="1"/>
      <protection locked="0"/>
    </xf>
    <xf numFmtId="0" fontId="3" fillId="0" borderId="0" xfId="4" applyFont="1" applyAlignment="1" applyProtection="1">
      <alignment horizontal="left" wrapText="1"/>
      <protection locked="0"/>
    </xf>
    <xf numFmtId="0" fontId="3" fillId="0" borderId="103" xfId="4" applyFont="1" applyBorder="1" applyAlignment="1" applyProtection="1">
      <alignment horizontal="left" wrapText="1"/>
      <protection locked="0"/>
    </xf>
    <xf numFmtId="0" fontId="3" fillId="0" borderId="84" xfId="4" applyFont="1" applyBorder="1" applyAlignment="1" applyProtection="1">
      <alignment horizontal="justify" vertical="center" wrapText="1"/>
      <protection locked="0"/>
    </xf>
    <xf numFmtId="0" fontId="5" fillId="0" borderId="81" xfId="4" applyFont="1" applyBorder="1" applyAlignment="1" applyProtection="1">
      <alignment horizontal="justify" vertical="center" wrapText="1"/>
      <protection locked="0"/>
    </xf>
    <xf numFmtId="0" fontId="5" fillId="0" borderId="82" xfId="4" applyFont="1" applyBorder="1" applyAlignment="1" applyProtection="1">
      <alignment horizontal="justify" vertical="center" wrapText="1"/>
      <protection locked="0"/>
    </xf>
    <xf numFmtId="0" fontId="5" fillId="0" borderId="101" xfId="4" applyFont="1" applyBorder="1" applyAlignment="1" applyProtection="1">
      <alignment horizontal="justify" vertical="center" wrapText="1"/>
      <protection locked="0"/>
    </xf>
    <xf numFmtId="0" fontId="5" fillId="0" borderId="0" xfId="4" applyFont="1" applyAlignment="1" applyProtection="1">
      <alignment horizontal="justify" vertical="center" wrapText="1"/>
      <protection locked="0"/>
    </xf>
    <xf numFmtId="0" fontId="5" fillId="0" borderId="103" xfId="4" applyFont="1" applyBorder="1" applyAlignment="1" applyProtection="1">
      <alignment horizontal="justify" vertical="center" wrapText="1"/>
      <protection locked="0"/>
    </xf>
    <xf numFmtId="0" fontId="5" fillId="16" borderId="86" xfId="4" applyFont="1" applyFill="1" applyBorder="1" applyAlignment="1" applyProtection="1">
      <alignment horizontal="left" vertical="center" wrapText="1"/>
      <protection locked="0"/>
    </xf>
    <xf numFmtId="0" fontId="5" fillId="16" borderId="87" xfId="4" applyFont="1" applyFill="1" applyBorder="1" applyAlignment="1" applyProtection="1">
      <alignment horizontal="left" vertical="center" wrapText="1"/>
      <protection locked="0"/>
    </xf>
    <xf numFmtId="0" fontId="5" fillId="16" borderId="88" xfId="4" applyFont="1" applyFill="1" applyBorder="1" applyAlignment="1" applyProtection="1">
      <alignment horizontal="left" vertical="center" wrapText="1"/>
      <protection locked="0"/>
    </xf>
    <xf numFmtId="0" fontId="3" fillId="0" borderId="101" xfId="4" applyFont="1" applyBorder="1" applyAlignment="1">
      <alignment horizontal="left" vertical="center" wrapText="1"/>
    </xf>
    <xf numFmtId="0" fontId="3" fillId="0" borderId="0" xfId="4" applyFont="1" applyAlignment="1">
      <alignment horizontal="left" vertical="center" wrapText="1"/>
    </xf>
    <xf numFmtId="0" fontId="3" fillId="0" borderId="103" xfId="4" applyFont="1" applyBorder="1" applyAlignment="1">
      <alignment horizontal="left" vertical="center" wrapText="1"/>
    </xf>
    <xf numFmtId="0" fontId="3" fillId="0" borderId="101" xfId="4" applyFont="1" applyBorder="1" applyAlignment="1" applyProtection="1">
      <alignment horizontal="justify" vertical="center" wrapText="1"/>
      <protection locked="0"/>
    </xf>
    <xf numFmtId="0" fontId="27" fillId="0" borderId="101" xfId="4" applyBorder="1" applyAlignment="1" applyProtection="1">
      <alignment horizontal="left" vertical="center" wrapText="1"/>
      <protection locked="0"/>
    </xf>
    <xf numFmtId="0" fontId="27" fillId="0" borderId="0" xfId="4" applyAlignment="1" applyProtection="1">
      <alignment horizontal="left" vertical="center" wrapText="1"/>
      <protection locked="0"/>
    </xf>
    <xf numFmtId="0" fontId="27" fillId="0" borderId="103" xfId="4" applyBorder="1" applyAlignment="1" applyProtection="1">
      <alignment horizontal="left" vertical="center" wrapText="1"/>
      <protection locked="0"/>
    </xf>
    <xf numFmtId="0" fontId="28" fillId="5" borderId="0" xfId="4" applyFont="1" applyFill="1" applyAlignment="1">
      <alignment horizontal="left" vertical="center" wrapText="1"/>
    </xf>
    <xf numFmtId="0" fontId="28" fillId="5" borderId="103" xfId="4" applyFont="1" applyFill="1" applyBorder="1" applyAlignment="1">
      <alignment horizontal="left" vertical="center" wrapText="1"/>
    </xf>
    <xf numFmtId="0" fontId="35" fillId="0" borderId="116" xfId="4" applyFont="1" applyBorder="1" applyAlignment="1" applyProtection="1">
      <alignment horizontal="justify" vertical="center" wrapText="1"/>
      <protection locked="0"/>
    </xf>
    <xf numFmtId="0" fontId="35" fillId="0" borderId="127" xfId="4" applyFont="1" applyBorder="1" applyAlignment="1" applyProtection="1">
      <alignment horizontal="justify" vertical="center" wrapText="1"/>
      <protection locked="0"/>
    </xf>
    <xf numFmtId="0" fontId="35" fillId="0" borderId="117" xfId="4" applyFont="1" applyBorder="1" applyAlignment="1" applyProtection="1">
      <alignment horizontal="justify" vertical="center" wrapText="1"/>
      <protection locked="0"/>
    </xf>
    <xf numFmtId="0" fontId="3" fillId="0" borderId="101" xfId="4" applyFont="1" applyBorder="1" applyAlignment="1" applyProtection="1">
      <alignment horizontal="left" vertical="center"/>
      <protection locked="0"/>
    </xf>
    <xf numFmtId="0" fontId="3" fillId="0" borderId="0" xfId="4" applyFont="1" applyAlignment="1" applyProtection="1">
      <alignment horizontal="left" vertical="center"/>
      <protection locked="0"/>
    </xf>
    <xf numFmtId="0" fontId="41" fillId="5" borderId="116" xfId="4" applyFont="1" applyFill="1" applyBorder="1" applyAlignment="1" applyProtection="1">
      <alignment horizontal="justify" vertical="center" wrapText="1"/>
      <protection locked="0"/>
    </xf>
    <xf numFmtId="0" fontId="41" fillId="5" borderId="127" xfId="4" applyFont="1" applyFill="1" applyBorder="1" applyAlignment="1" applyProtection="1">
      <alignment horizontal="justify" vertical="center" wrapText="1"/>
      <protection locked="0"/>
    </xf>
    <xf numFmtId="0" fontId="41" fillId="5" borderId="117" xfId="4" applyFont="1" applyFill="1" applyBorder="1" applyAlignment="1" applyProtection="1">
      <alignment horizontal="justify" vertical="center" wrapText="1"/>
      <protection locked="0"/>
    </xf>
    <xf numFmtId="0" fontId="3" fillId="0" borderId="101" xfId="4" applyFont="1" applyBorder="1" applyAlignment="1" applyProtection="1">
      <alignment horizontal="justify" wrapText="1"/>
      <protection locked="0"/>
    </xf>
    <xf numFmtId="0" fontId="3" fillId="0" borderId="0" xfId="4" applyFont="1" applyAlignment="1" applyProtection="1">
      <alignment horizontal="justify" wrapText="1"/>
      <protection locked="0"/>
    </xf>
    <xf numFmtId="0" fontId="3" fillId="0" borderId="103" xfId="4" applyFont="1" applyBorder="1" applyAlignment="1" applyProtection="1">
      <alignment horizontal="justify" wrapText="1"/>
      <protection locked="0"/>
    </xf>
    <xf numFmtId="0" fontId="42" fillId="0" borderId="101" xfId="4" applyFont="1" applyBorder="1" applyAlignment="1" applyProtection="1">
      <alignment horizontal="justify" vertical="center" wrapText="1"/>
      <protection locked="0"/>
    </xf>
    <xf numFmtId="0" fontId="42" fillId="0" borderId="0" xfId="4" applyFont="1" applyAlignment="1" applyProtection="1">
      <alignment horizontal="justify" vertical="center" wrapText="1"/>
      <protection locked="0"/>
    </xf>
    <xf numFmtId="0" fontId="42" fillId="0" borderId="103" xfId="4" applyFont="1" applyBorder="1" applyAlignment="1" applyProtection="1">
      <alignment horizontal="justify" vertical="center" wrapText="1"/>
      <protection locked="0"/>
    </xf>
    <xf numFmtId="0" fontId="3" fillId="0" borderId="103" xfId="4" applyFont="1" applyBorder="1" applyAlignment="1" applyProtection="1">
      <alignment horizontal="left" vertical="center"/>
      <protection locked="0"/>
    </xf>
    <xf numFmtId="0" fontId="3" fillId="0" borderId="114" xfId="4" applyFont="1" applyBorder="1" applyAlignment="1" applyProtection="1">
      <alignment horizontal="left" vertical="center" wrapText="1"/>
      <protection locked="0"/>
    </xf>
    <xf numFmtId="0" fontId="3" fillId="0" borderId="154" xfId="4" applyFont="1" applyBorder="1" applyAlignment="1" applyProtection="1">
      <alignment horizontal="left" vertical="center" wrapText="1"/>
      <protection locked="0"/>
    </xf>
    <xf numFmtId="0" fontId="3" fillId="0" borderId="115" xfId="4" applyFont="1" applyBorder="1" applyAlignment="1" applyProtection="1">
      <alignment horizontal="left" vertical="center" wrapText="1"/>
      <protection locked="0"/>
    </xf>
    <xf numFmtId="0" fontId="36" fillId="0" borderId="101" xfId="4" applyFont="1" applyBorder="1" applyAlignment="1" applyProtection="1">
      <alignment horizontal="center" vertical="center"/>
      <protection locked="0"/>
    </xf>
    <xf numFmtId="0" fontId="36" fillId="0" borderId="0" xfId="4" applyFont="1" applyAlignment="1" applyProtection="1">
      <alignment horizontal="center" vertical="center"/>
      <protection locked="0"/>
    </xf>
    <xf numFmtId="0" fontId="36" fillId="0" borderId="103" xfId="4" applyFont="1" applyBorder="1" applyAlignment="1" applyProtection="1">
      <alignment horizontal="center" vertical="center"/>
      <protection locked="0"/>
    </xf>
    <xf numFmtId="167" fontId="12" fillId="0" borderId="0" xfId="0" applyNumberFormat="1" applyFont="1" applyAlignment="1">
      <alignment horizontal="center" vertical="center"/>
    </xf>
    <xf numFmtId="0" fontId="54" fillId="0" borderId="0" xfId="0" applyFont="1" applyAlignment="1">
      <alignment horizontal="center" vertical="center"/>
    </xf>
    <xf numFmtId="165" fontId="4" fillId="0" borderId="0" xfId="0" applyNumberFormat="1" applyFont="1" applyAlignment="1">
      <alignment horizontal="center" vertical="center"/>
    </xf>
    <xf numFmtId="165" fontId="5" fillId="0" borderId="35" xfId="0" applyNumberFormat="1" applyFont="1" applyBorder="1" applyAlignment="1">
      <alignment horizontal="center" vertical="center"/>
    </xf>
    <xf numFmtId="165" fontId="5" fillId="0" borderId="21" xfId="0" applyNumberFormat="1" applyFont="1" applyBorder="1" applyAlignment="1">
      <alignment horizontal="center" vertical="center"/>
    </xf>
    <xf numFmtId="0" fontId="6" fillId="4" borderId="37" xfId="0" applyFont="1" applyFill="1" applyBorder="1" applyAlignment="1">
      <alignment horizontal="left" vertical="center" wrapText="1"/>
    </xf>
    <xf numFmtId="0" fontId="6" fillId="4" borderId="38" xfId="0" applyFont="1" applyFill="1" applyBorder="1" applyAlignment="1">
      <alignment horizontal="left" vertical="center" wrapText="1"/>
    </xf>
    <xf numFmtId="0" fontId="6" fillId="4" borderId="21" xfId="0" applyFont="1" applyFill="1" applyBorder="1" applyAlignment="1">
      <alignment horizontal="left" vertical="center" wrapText="1"/>
    </xf>
    <xf numFmtId="165" fontId="23" fillId="2" borderId="39" xfId="0" applyNumberFormat="1" applyFont="1" applyFill="1" applyBorder="1" applyAlignment="1">
      <alignment horizontal="center" vertical="center"/>
    </xf>
    <xf numFmtId="165" fontId="23" fillId="2" borderId="40" xfId="0" applyNumberFormat="1" applyFont="1" applyFill="1" applyBorder="1" applyAlignment="1">
      <alignment horizontal="center" vertical="center"/>
    </xf>
    <xf numFmtId="165" fontId="23" fillId="2" borderId="41" xfId="0" applyNumberFormat="1" applyFont="1" applyFill="1" applyBorder="1" applyAlignment="1">
      <alignment horizontal="center" vertical="center"/>
    </xf>
    <xf numFmtId="165" fontId="0" fillId="2" borderId="39" xfId="0" applyNumberFormat="1" applyFill="1" applyBorder="1" applyAlignment="1">
      <alignment horizontal="left" vertical="center"/>
    </xf>
    <xf numFmtId="165" fontId="0" fillId="2" borderId="40" xfId="0" applyNumberFormat="1" applyFill="1" applyBorder="1" applyAlignment="1">
      <alignment horizontal="left" vertical="center"/>
    </xf>
    <xf numFmtId="165" fontId="0" fillId="2" borderId="41" xfId="0" applyNumberFormat="1" applyFill="1" applyBorder="1" applyAlignment="1">
      <alignment horizontal="left" vertical="center"/>
    </xf>
    <xf numFmtId="0" fontId="5" fillId="0" borderId="26" xfId="0" applyFont="1" applyBorder="1" applyAlignment="1">
      <alignment horizontal="left"/>
    </xf>
    <xf numFmtId="0" fontId="5" fillId="0" borderId="25" xfId="0" applyFont="1" applyBorder="1" applyAlignment="1">
      <alignment horizontal="left"/>
    </xf>
    <xf numFmtId="165" fontId="6" fillId="0" borderId="28" xfId="0" applyNumberFormat="1" applyFont="1" applyBorder="1" applyAlignment="1">
      <alignment horizontal="left" vertical="center"/>
    </xf>
    <xf numFmtId="165" fontId="6" fillId="0" borderId="24" xfId="0" applyNumberFormat="1" applyFont="1" applyBorder="1" applyAlignment="1">
      <alignment horizontal="left" vertical="center"/>
    </xf>
    <xf numFmtId="165" fontId="6" fillId="0" borderId="25" xfId="0" applyNumberFormat="1" applyFont="1" applyBorder="1" applyAlignment="1">
      <alignment horizontal="left" vertical="center"/>
    </xf>
    <xf numFmtId="167" fontId="5" fillId="0" borderId="24" xfId="0" applyNumberFormat="1" applyFont="1" applyBorder="1" applyAlignment="1">
      <alignment horizontal="right" vertical="center"/>
    </xf>
    <xf numFmtId="165" fontId="6" fillId="5" borderId="18" xfId="0" applyNumberFormat="1" applyFont="1" applyFill="1" applyBorder="1" applyAlignment="1">
      <alignment horizontal="center" vertical="center"/>
    </xf>
    <xf numFmtId="165" fontId="6" fillId="5" borderId="29" xfId="0" applyNumberFormat="1" applyFont="1" applyFill="1" applyBorder="1" applyAlignment="1">
      <alignment horizontal="center" vertical="center"/>
    </xf>
    <xf numFmtId="0" fontId="5" fillId="0" borderId="27" xfId="0" applyFont="1" applyBorder="1" applyAlignment="1">
      <alignment horizontal="left"/>
    </xf>
    <xf numFmtId="0" fontId="5" fillId="0" borderId="14" xfId="0" applyFont="1" applyBorder="1" applyAlignment="1">
      <alignment horizontal="left"/>
    </xf>
    <xf numFmtId="165" fontId="6" fillId="0" borderId="13" xfId="0" applyNumberFormat="1" applyFont="1" applyBorder="1" applyAlignment="1">
      <alignment horizontal="left" vertical="center"/>
    </xf>
    <xf numFmtId="165" fontId="6" fillId="0" borderId="14" xfId="0" applyNumberFormat="1" applyFont="1" applyBorder="1" applyAlignment="1">
      <alignment horizontal="left" vertical="center"/>
    </xf>
    <xf numFmtId="0" fontId="8" fillId="4" borderId="37" xfId="0" applyFont="1" applyFill="1" applyBorder="1" applyAlignment="1">
      <alignment horizontal="left" vertical="center"/>
    </xf>
    <xf numFmtId="0" fontId="8" fillId="4" borderId="38" xfId="0" applyFont="1" applyFill="1" applyBorder="1" applyAlignment="1">
      <alignment horizontal="left" vertical="center"/>
    </xf>
    <xf numFmtId="0" fontId="8" fillId="4" borderId="21" xfId="0" applyFont="1" applyFill="1" applyBorder="1" applyAlignment="1">
      <alignment horizontal="left" vertical="center"/>
    </xf>
    <xf numFmtId="0" fontId="6" fillId="4" borderId="37" xfId="0" applyFont="1" applyFill="1" applyBorder="1" applyAlignment="1">
      <alignment horizontal="left" vertical="center"/>
    </xf>
    <xf numFmtId="0" fontId="6" fillId="4" borderId="38" xfId="0" applyFont="1" applyFill="1" applyBorder="1" applyAlignment="1">
      <alignment horizontal="left" vertical="center"/>
    </xf>
    <xf numFmtId="0" fontId="6" fillId="4" borderId="36" xfId="0" applyFont="1" applyFill="1" applyBorder="1" applyAlignment="1">
      <alignment horizontal="left" vertical="center"/>
    </xf>
    <xf numFmtId="165" fontId="6" fillId="0" borderId="15" xfId="0" applyNumberFormat="1" applyFont="1" applyBorder="1" applyAlignment="1">
      <alignment horizontal="left" vertical="center"/>
    </xf>
    <xf numFmtId="167" fontId="5" fillId="0" borderId="12" xfId="0" applyNumberFormat="1" applyFont="1" applyBorder="1" applyAlignment="1">
      <alignment horizontal="right" vertical="center"/>
    </xf>
    <xf numFmtId="167" fontId="5" fillId="0" borderId="13" xfId="0" applyNumberFormat="1" applyFont="1" applyBorder="1" applyAlignment="1">
      <alignment horizontal="right" vertical="center"/>
    </xf>
    <xf numFmtId="165" fontId="6" fillId="5" borderId="10" xfId="0" applyNumberFormat="1" applyFont="1" applyFill="1" applyBorder="1" applyAlignment="1">
      <alignment horizontal="center" vertical="center"/>
    </xf>
    <xf numFmtId="165" fontId="6" fillId="5" borderId="11" xfId="0" applyNumberFormat="1" applyFont="1" applyFill="1" applyBorder="1" applyAlignment="1">
      <alignment horizontal="center" vertical="center"/>
    </xf>
    <xf numFmtId="0" fontId="12" fillId="6" borderId="0" xfId="0" applyFont="1" applyFill="1" applyAlignment="1">
      <alignment horizontal="center" vertical="center" wrapText="1"/>
    </xf>
    <xf numFmtId="165" fontId="19" fillId="8" borderId="32" xfId="0" applyNumberFormat="1" applyFont="1" applyFill="1" applyBorder="1" applyAlignment="1">
      <alignment horizontal="center"/>
    </xf>
    <xf numFmtId="0" fontId="6" fillId="0" borderId="6" xfId="0" applyFont="1" applyBorder="1" applyAlignment="1">
      <alignment horizontal="left" vertical="center"/>
    </xf>
    <xf numFmtId="165" fontId="5" fillId="0" borderId="12" xfId="0" applyNumberFormat="1" applyFont="1" applyBorder="1" applyAlignment="1">
      <alignment horizontal="center" vertical="center"/>
    </xf>
    <xf numFmtId="165" fontId="5" fillId="0" borderId="14" xfId="0" applyNumberFormat="1" applyFont="1" applyBorder="1" applyAlignment="1">
      <alignment horizontal="center" vertical="center"/>
    </xf>
    <xf numFmtId="0" fontId="6" fillId="0" borderId="10" xfId="0" applyFont="1" applyBorder="1" applyAlignment="1">
      <alignment horizontal="left" vertical="center"/>
    </xf>
    <xf numFmtId="165" fontId="5" fillId="0" borderId="0" xfId="0" applyNumberFormat="1" applyFont="1" applyAlignment="1">
      <alignment horizontal="center" vertical="center" wrapText="1"/>
    </xf>
    <xf numFmtId="49" fontId="5" fillId="0" borderId="44" xfId="0" applyNumberFormat="1" applyFont="1" applyBorder="1" applyAlignment="1">
      <alignment horizontal="left"/>
    </xf>
    <xf numFmtId="49" fontId="5" fillId="0" borderId="31" xfId="0" applyNumberFormat="1" applyFont="1" applyBorder="1" applyAlignment="1">
      <alignment horizontal="left"/>
    </xf>
    <xf numFmtId="165" fontId="5" fillId="0" borderId="46" xfId="0" applyNumberFormat="1" applyFont="1" applyBorder="1" applyAlignment="1">
      <alignment horizontal="center" vertical="center"/>
    </xf>
    <xf numFmtId="165" fontId="5" fillId="0" borderId="47" xfId="0" applyNumberFormat="1" applyFont="1" applyBorder="1" applyAlignment="1">
      <alignment horizontal="center" vertical="center"/>
    </xf>
    <xf numFmtId="169" fontId="5" fillId="0" borderId="42" xfId="0" applyNumberFormat="1" applyFont="1" applyBorder="1" applyAlignment="1">
      <alignment horizontal="left" vertical="center"/>
    </xf>
    <xf numFmtId="169" fontId="5" fillId="0" borderId="43" xfId="0" applyNumberFormat="1" applyFont="1" applyBorder="1" applyAlignment="1">
      <alignment horizontal="left" vertical="center"/>
    </xf>
    <xf numFmtId="169" fontId="5" fillId="0" borderId="0" xfId="0" applyNumberFormat="1" applyFont="1" applyAlignment="1">
      <alignment horizontal="center" vertical="center"/>
    </xf>
    <xf numFmtId="169" fontId="5" fillId="0" borderId="17" xfId="0" applyNumberFormat="1" applyFont="1" applyBorder="1" applyAlignment="1">
      <alignment horizontal="center" vertical="center"/>
    </xf>
    <xf numFmtId="165" fontId="45" fillId="2" borderId="10" xfId="0" applyNumberFormat="1" applyFont="1" applyFill="1" applyBorder="1" applyAlignment="1">
      <alignment horizontal="center" vertical="center"/>
    </xf>
    <xf numFmtId="165" fontId="45" fillId="0" borderId="0" xfId="0" applyNumberFormat="1" applyFont="1" applyAlignment="1">
      <alignment horizontal="center" vertical="center"/>
    </xf>
    <xf numFmtId="165" fontId="46" fillId="0" borderId="0" xfId="7" applyNumberFormat="1" applyAlignment="1">
      <alignment horizontal="center" vertical="center" wrapText="1"/>
    </xf>
    <xf numFmtId="165" fontId="2" fillId="0" borderId="0" xfId="0" applyNumberFormat="1" applyFont="1" applyAlignment="1">
      <alignment horizontal="center" vertical="center"/>
    </xf>
    <xf numFmtId="165" fontId="47" fillId="0" borderId="0" xfId="0" applyNumberFormat="1" applyFont="1" applyAlignment="1">
      <alignment horizontal="center" vertical="center"/>
    </xf>
    <xf numFmtId="0" fontId="62" fillId="2" borderId="0" xfId="0" applyFont="1" applyFill="1" applyAlignment="1">
      <alignment horizontal="center" vertical="center"/>
    </xf>
    <xf numFmtId="165" fontId="46" fillId="0" borderId="0" xfId="7" applyNumberFormat="1" applyAlignment="1">
      <alignment horizontal="center" vertical="center"/>
    </xf>
    <xf numFmtId="0" fontId="52" fillId="0" borderId="158" xfId="0" applyFont="1" applyBorder="1" applyAlignment="1">
      <alignment horizontal="center" vertical="center"/>
    </xf>
    <xf numFmtId="0" fontId="52" fillId="0" borderId="156" xfId="0" applyFont="1" applyBorder="1" applyAlignment="1">
      <alignment horizontal="center" vertical="center"/>
    </xf>
    <xf numFmtId="0" fontId="52" fillId="0" borderId="160" xfId="0" applyFont="1" applyBorder="1" applyAlignment="1">
      <alignment horizontal="right" vertical="center"/>
    </xf>
    <xf numFmtId="0" fontId="52" fillId="0" borderId="59" xfId="0" applyFont="1" applyBorder="1" applyAlignment="1">
      <alignment horizontal="right" vertical="center"/>
    </xf>
    <xf numFmtId="165" fontId="48" fillId="0" borderId="0" xfId="7" applyNumberFormat="1" applyFont="1" applyAlignment="1">
      <alignment horizontal="center" vertical="center" wrapText="1"/>
    </xf>
    <xf numFmtId="0" fontId="49" fillId="0" borderId="58" xfId="0" applyFont="1" applyBorder="1" applyAlignment="1">
      <alignment horizontal="center"/>
    </xf>
    <xf numFmtId="0" fontId="50" fillId="0" borderId="56" xfId="0" applyFont="1" applyBorder="1" applyAlignment="1">
      <alignment horizontal="center"/>
    </xf>
    <xf numFmtId="0" fontId="50" fillId="0" borderId="53" xfId="0" applyFont="1" applyBorder="1" applyAlignment="1">
      <alignment horizontal="center"/>
    </xf>
    <xf numFmtId="0" fontId="50" fillId="0" borderId="16" xfId="0" applyFont="1" applyBorder="1" applyAlignment="1">
      <alignment horizontal="center"/>
    </xf>
    <xf numFmtId="0" fontId="50" fillId="0" borderId="54" xfId="0" applyFont="1" applyBorder="1" applyAlignment="1">
      <alignment horizontal="center"/>
    </xf>
    <xf numFmtId="0" fontId="50" fillId="0" borderId="0" xfId="0" applyFont="1" applyAlignment="1">
      <alignment horizontal="center"/>
    </xf>
    <xf numFmtId="0" fontId="50" fillId="0" borderId="17" xfId="0" applyFont="1" applyBorder="1" applyAlignment="1">
      <alignment horizontal="center"/>
    </xf>
    <xf numFmtId="0" fontId="52" fillId="0" borderId="61" xfId="0" applyFont="1" applyBorder="1" applyAlignment="1">
      <alignment horizontal="center" vertical="center"/>
    </xf>
    <xf numFmtId="0" fontId="52" fillId="0" borderId="157" xfId="0" applyFont="1" applyBorder="1" applyAlignment="1">
      <alignment horizontal="center" vertical="center"/>
    </xf>
    <xf numFmtId="0" fontId="52" fillId="0" borderId="63" xfId="0" applyFont="1" applyBorder="1" applyAlignment="1">
      <alignment horizontal="center" vertical="center"/>
    </xf>
    <xf numFmtId="0" fontId="52" fillId="0" borderId="69" xfId="0" applyFont="1" applyBorder="1" applyAlignment="1">
      <alignment horizontal="center" vertical="center"/>
    </xf>
    <xf numFmtId="0" fontId="52" fillId="0" borderId="162" xfId="0" applyFont="1" applyBorder="1" applyAlignment="1">
      <alignment horizontal="center" vertical="center"/>
    </xf>
    <xf numFmtId="0" fontId="52" fillId="0" borderId="160" xfId="0" applyFont="1" applyBorder="1" applyAlignment="1">
      <alignment horizontal="center" vertical="center"/>
    </xf>
    <xf numFmtId="10" fontId="52" fillId="0" borderId="55" xfId="0" applyNumberFormat="1" applyFont="1" applyBorder="1" applyAlignment="1">
      <alignment horizontal="center" vertical="center"/>
    </xf>
    <xf numFmtId="10" fontId="52" fillId="0" borderId="155" xfId="0" applyNumberFormat="1" applyFont="1" applyBorder="1" applyAlignment="1">
      <alignment horizontal="center" vertical="center"/>
    </xf>
    <xf numFmtId="165" fontId="46" fillId="2" borderId="0" xfId="7" applyNumberFormat="1" applyFill="1" applyAlignment="1">
      <alignment horizontal="center" vertical="center"/>
    </xf>
    <xf numFmtId="165" fontId="45" fillId="2" borderId="0" xfId="0" applyNumberFormat="1" applyFont="1" applyFill="1" applyAlignment="1">
      <alignment horizontal="center" vertical="center"/>
    </xf>
  </cellXfs>
  <cellStyles count="16">
    <cellStyle name="Cálculo 2" xfId="12" xr:uid="{245A7E61-F26A-4B3C-BC7D-8BF749EB1533}"/>
    <cellStyle name="Hipervínculo" xfId="7" builtinId="8"/>
    <cellStyle name="Hipervínculo 2" xfId="14" xr:uid="{48BCBBEF-81DD-4F68-82D9-67474CDDBB58}"/>
    <cellStyle name="Millares" xfId="1" builtinId="3"/>
    <cellStyle name="Millares 2" xfId="9" xr:uid="{2ACED214-0B09-4534-A94A-9A6407ABAE5E}"/>
    <cellStyle name="Millares 3" xfId="11" xr:uid="{8671BE09-FB0C-47F2-8947-C00A1A92FD76}"/>
    <cellStyle name="Millares 3 2" xfId="13" xr:uid="{DF903A38-E53C-44CA-9046-CCDD34EBD1FD}"/>
    <cellStyle name="Moneda" xfId="3" builtinId="4"/>
    <cellStyle name="Moneda 2" xfId="6" xr:uid="{00000000-0005-0000-0000-000003000000}"/>
    <cellStyle name="Moneda 3" xfId="15" xr:uid="{C3BF833D-0AD7-40CD-B887-03482B220E89}"/>
    <cellStyle name="Normal" xfId="0" builtinId="0"/>
    <cellStyle name="Normal 2" xfId="4" xr:uid="{00000000-0005-0000-0000-000005000000}"/>
    <cellStyle name="Normal 3" xfId="8" xr:uid="{7550F0E9-3D22-4E02-9A30-991D5DCFAF00}"/>
    <cellStyle name="Normal 3 2" xfId="10" xr:uid="{D52D0175-DD75-436D-9FDE-FCA3F93273FB}"/>
    <cellStyle name="Porcentaje" xfId="2" builtinId="5"/>
    <cellStyle name="Porcentaje 2" xfId="5" xr:uid="{00000000-0005-0000-0000-000007000000}"/>
  </cellStyles>
  <dxfs count="2120">
    <dxf>
      <font>
        <color rgb="FF9C0006"/>
      </font>
      <fill>
        <patternFill>
          <bgColor rgb="FFFFC7CE"/>
        </patternFill>
      </fill>
    </dxf>
    <dxf>
      <font>
        <b/>
        <i val="0"/>
        <color theme="0"/>
      </font>
      <fill>
        <patternFill>
          <bgColor rgb="FFFF0000"/>
        </patternFill>
      </fill>
    </dxf>
    <dxf>
      <font>
        <color rgb="FF0000FF"/>
      </font>
      <fill>
        <patternFill>
          <bgColor rgb="FFFFFF00"/>
        </patternFill>
      </fill>
    </dxf>
    <dxf>
      <font>
        <color rgb="FF0000FF"/>
      </font>
      <fill>
        <patternFill>
          <bgColor rgb="FFFFFF00"/>
        </patternFill>
      </fill>
    </dxf>
    <dxf>
      <font>
        <color rgb="FF9C0006"/>
      </font>
    </dxf>
    <dxf>
      <font>
        <color rgb="FF006100"/>
      </font>
      <fill>
        <patternFill>
          <bgColor rgb="FFC6EFCE"/>
        </patternFill>
      </fill>
    </dxf>
    <dxf>
      <font>
        <color theme="5" tint="-0.24994659260841701"/>
      </font>
      <fill>
        <patternFill>
          <bgColor theme="9" tint="0.79998168889431442"/>
        </patternFill>
      </fill>
    </dxf>
    <dxf>
      <font>
        <b/>
        <i val="0"/>
        <color theme="0"/>
      </font>
      <fill>
        <patternFill>
          <bgColor rgb="FFFF0000"/>
        </patternFill>
      </fill>
    </dxf>
    <dxf>
      <font>
        <color rgb="FF9C0006"/>
      </font>
      <fill>
        <patternFill>
          <bgColor rgb="FFFFC7CE"/>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b/>
        <i val="0"/>
        <color theme="0"/>
      </font>
      <fill>
        <patternFill>
          <bgColor rgb="FFFF0000"/>
        </patternFill>
      </fill>
    </dxf>
    <dxf>
      <font>
        <color rgb="FF006100"/>
      </font>
      <fill>
        <patternFill>
          <bgColor rgb="FFC6EFCE"/>
        </patternFill>
      </fill>
    </dxf>
    <dxf>
      <font>
        <color theme="5" tint="-0.24994659260841701"/>
      </font>
      <fill>
        <patternFill>
          <bgColor theme="9" tint="0.79998168889431442"/>
        </patternFill>
      </fill>
    </dxf>
    <dxf>
      <font>
        <color rgb="FF0000FF"/>
      </font>
      <fill>
        <patternFill>
          <bgColor theme="4"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6" tint="0.59996337778862885"/>
        </patternFill>
      </fill>
    </dxf>
    <dxf>
      <font>
        <color rgb="FF0000FF"/>
      </font>
      <fill>
        <patternFill>
          <bgColor theme="4" tint="0.59996337778862885"/>
        </patternFill>
      </fill>
    </dxf>
    <dxf>
      <font>
        <b/>
        <i val="0"/>
        <color theme="0"/>
      </font>
      <fill>
        <patternFill>
          <bgColor rgb="FFFF0000"/>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color rgb="FF0000FF"/>
      </font>
      <fill>
        <patternFill>
          <bgColor theme="4" tint="0.59996337778862885"/>
        </patternFill>
      </fill>
    </dxf>
    <dxf>
      <font>
        <color theme="5" tint="-0.24994659260841701"/>
      </font>
      <fill>
        <patternFill>
          <bgColor theme="9" tint="0.79998168889431442"/>
        </patternFill>
      </fill>
    </dxf>
    <dxf>
      <font>
        <color rgb="FF0000FF"/>
      </font>
      <fill>
        <patternFill>
          <bgColor theme="4" tint="0.59996337778862885"/>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9C0006"/>
      </font>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b/>
        <i val="0"/>
        <color theme="0"/>
      </font>
      <fill>
        <patternFill>
          <bgColor rgb="FFFF0000"/>
        </patternFill>
      </fill>
    </dxf>
    <dxf>
      <font>
        <color theme="5" tint="-0.24994659260841701"/>
      </font>
      <fill>
        <patternFill>
          <bgColor theme="9" tint="0.79998168889431442"/>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theme="5" tint="-0.24994659260841701"/>
      </font>
      <fill>
        <patternFill>
          <bgColor theme="6" tint="0.59996337778862885"/>
        </patternFill>
      </fill>
    </dxf>
    <dxf>
      <font>
        <color rgb="FF0000FF"/>
      </font>
      <fill>
        <patternFill>
          <bgColor theme="4"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9C0006"/>
      </font>
      <fill>
        <patternFill>
          <bgColor rgb="FFFFC7CE"/>
        </patternFill>
      </fill>
    </dxf>
    <dxf>
      <font>
        <color rgb="FF006100"/>
      </font>
      <fill>
        <patternFill>
          <bgColor rgb="FFC6EFCE"/>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9C0006"/>
      </font>
      <fill>
        <patternFill>
          <bgColor rgb="FFFFC7CE"/>
        </patternFill>
      </fill>
    </dxf>
    <dxf>
      <font>
        <color rgb="FF9C0006"/>
      </font>
    </dxf>
    <dxf>
      <font>
        <b/>
        <i val="0"/>
        <color theme="0"/>
      </font>
      <fill>
        <patternFill>
          <bgColor rgb="FFFF0000"/>
        </patternFill>
      </fill>
    </dxf>
    <dxf>
      <font>
        <color theme="5" tint="-0.24994659260841701"/>
      </font>
      <fill>
        <patternFill>
          <bgColor theme="9" tint="0.79998168889431442"/>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9C0006"/>
      </font>
    </dxf>
    <dxf>
      <font>
        <b/>
        <i val="0"/>
        <color theme="0"/>
      </font>
      <fill>
        <patternFill>
          <bgColor rgb="FFFF0000"/>
        </patternFill>
      </fill>
    </dxf>
    <dxf>
      <font>
        <color rgb="FF006100"/>
      </font>
      <fill>
        <patternFill>
          <bgColor rgb="FFC6EFCE"/>
        </patternFill>
      </fill>
    </dxf>
    <dxf>
      <font>
        <color theme="5" tint="-0.24994659260841701"/>
      </font>
      <fill>
        <patternFill>
          <bgColor theme="9" tint="0.79998168889431442"/>
        </patternFill>
      </fill>
    </dxf>
    <dxf>
      <font>
        <color rgb="FF9C0006"/>
      </font>
      <fill>
        <patternFill>
          <bgColor rgb="FFFFC7CE"/>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0000FF"/>
      </font>
      <fill>
        <patternFill>
          <bgColor theme="4" tint="0.59996337778862885"/>
        </patternFill>
      </fill>
    </dxf>
    <dxf>
      <font>
        <color rgb="FF0000FF"/>
      </font>
      <fill>
        <patternFill>
          <bgColor theme="4"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6" tint="0.59996337778862885"/>
        </patternFill>
      </fill>
    </dxf>
    <dxf>
      <font>
        <color rgb="FF9C0006"/>
      </font>
      <fill>
        <patternFill>
          <bgColor rgb="FFFFC7CE"/>
        </patternFill>
      </fill>
    </dxf>
    <dxf>
      <font>
        <b/>
        <i val="0"/>
        <color theme="0"/>
      </font>
      <fill>
        <patternFill>
          <bgColor rgb="FFFF0000"/>
        </patternFill>
      </fill>
    </dxf>
    <dxf>
      <font>
        <color rgb="FF9C0006"/>
      </font>
    </dxf>
    <dxf>
      <font>
        <color theme="5" tint="-0.24994659260841701"/>
      </font>
      <fill>
        <patternFill>
          <bgColor theme="9" tint="0.7999816888943144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9C0006"/>
      </font>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9C0006"/>
      </font>
    </dxf>
    <dxf>
      <font>
        <color theme="5" tint="-0.24994659260841701"/>
      </font>
      <fill>
        <patternFill>
          <bgColor theme="9" tint="0.79998168889431442"/>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color rgb="FF0000FF"/>
      </font>
      <fill>
        <patternFill>
          <bgColor theme="4"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9C0006"/>
      </font>
      <fill>
        <patternFill>
          <bgColor rgb="FFFFC7CE"/>
        </patternFill>
      </fill>
    </dxf>
    <dxf>
      <font>
        <color rgb="FF0000FF"/>
      </font>
      <fill>
        <patternFill>
          <bgColor theme="4" tint="0.59996337778862885"/>
        </patternFill>
      </fill>
    </dxf>
    <dxf>
      <font>
        <color rgb="FF006100"/>
      </font>
      <fill>
        <patternFill>
          <bgColor rgb="FFC6EFCE"/>
        </patternFill>
      </fill>
    </dxf>
    <dxf>
      <font>
        <color rgb="FF0000FF"/>
      </font>
      <fill>
        <patternFill>
          <bgColor theme="4"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0000FF"/>
      </font>
      <fill>
        <patternFill>
          <bgColor theme="4" tint="0.59996337778862885"/>
        </patternFill>
      </fill>
    </dxf>
    <dxf>
      <font>
        <color rgb="FF9C0006"/>
      </font>
      <fill>
        <patternFill>
          <bgColor rgb="FFFFC7CE"/>
        </patternFill>
      </fill>
    </dxf>
    <dxf>
      <font>
        <color rgb="FF0000FF"/>
      </font>
      <fill>
        <patternFill>
          <bgColor theme="4" tint="0.59996337778862885"/>
        </patternFill>
      </fill>
    </dxf>
    <dxf>
      <font>
        <color rgb="FF9C0006"/>
      </font>
      <fill>
        <patternFill>
          <bgColor rgb="FFFFC7CE"/>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color theme="5" tint="-0.24994659260841701"/>
      </font>
      <fill>
        <patternFill>
          <bgColor theme="9" tint="0.79998168889431442"/>
        </patternFill>
      </fill>
    </dxf>
    <dxf>
      <font>
        <b/>
        <i val="0"/>
        <color theme="0"/>
      </font>
      <fill>
        <patternFill>
          <bgColor rgb="FFFF0000"/>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rgb="FF9C0006"/>
      </font>
    </dxf>
    <dxf>
      <font>
        <color theme="5" tint="-0.24994659260841701"/>
      </font>
      <fill>
        <patternFill>
          <bgColor theme="9" tint="0.79998168889431442"/>
        </patternFill>
      </fill>
    </dxf>
    <dxf>
      <font>
        <color rgb="FF9C0006"/>
      </font>
    </dxf>
    <dxf>
      <font>
        <color rgb="FF006100"/>
      </font>
      <fill>
        <patternFill>
          <bgColor rgb="FFC6EFCE"/>
        </patternFill>
      </fill>
    </dxf>
    <dxf>
      <font>
        <color rgb="FF9C0006"/>
      </font>
      <fill>
        <patternFill>
          <bgColor rgb="FFFFC7CE"/>
        </patternFill>
      </fill>
    </dxf>
    <dxf>
      <font>
        <b/>
        <i val="0"/>
        <color theme="0"/>
      </font>
      <fill>
        <patternFill>
          <bgColor rgb="FFFF0000"/>
        </patternFill>
      </fill>
    </dxf>
    <dxf>
      <font>
        <color theme="5" tint="-0.24994659260841701"/>
      </font>
      <fill>
        <patternFill>
          <bgColor theme="9" tint="0.79998168889431442"/>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theme="5" tint="-0.24994659260841701"/>
      </font>
      <fill>
        <patternFill>
          <bgColor theme="9" tint="0.79998168889431442"/>
        </patternFill>
      </fill>
    </dxf>
    <dxf>
      <font>
        <color rgb="FF9C0006"/>
      </font>
    </dxf>
    <dxf>
      <font>
        <color rgb="FF006100"/>
      </font>
      <fill>
        <patternFill>
          <bgColor rgb="FFC6EFCE"/>
        </patternFill>
      </fill>
    </dxf>
    <dxf>
      <font>
        <color rgb="FF9C0006"/>
      </font>
      <fill>
        <patternFill>
          <bgColor rgb="FFFFC7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5" tint="-0.24994659260841701"/>
      </font>
      <fill>
        <patternFill>
          <bgColor theme="9" tint="0.79998168889431442"/>
        </patternFill>
      </fill>
    </dxf>
    <dxf>
      <font>
        <color rgb="FF006100"/>
      </font>
      <fill>
        <patternFill>
          <bgColor rgb="FFC6EFCE"/>
        </patternFill>
      </fill>
    </dxf>
    <dxf>
      <font>
        <color rgb="FF9C0006"/>
      </font>
    </dxf>
    <dxf>
      <font>
        <b/>
        <i val="0"/>
        <color theme="0"/>
      </font>
      <fill>
        <patternFill>
          <bgColor rgb="FFFF0000"/>
        </patternFill>
      </fill>
    </dxf>
    <dxf>
      <font>
        <color rgb="FF9C0006"/>
      </font>
      <fill>
        <patternFill>
          <bgColor rgb="FFFFC7CE"/>
        </patternFill>
      </fill>
    </dxf>
    <dxf>
      <font>
        <color theme="5" tint="-0.24994659260841701"/>
      </font>
      <fill>
        <patternFill>
          <bgColor theme="9" tint="0.79998168889431442"/>
        </patternFill>
      </fill>
    </dxf>
    <dxf>
      <font>
        <color rgb="FF0000FF"/>
      </font>
      <fill>
        <patternFill>
          <bgColor theme="4" tint="0.59996337778862885"/>
        </patternFill>
      </fill>
    </dxf>
    <dxf>
      <font>
        <color theme="5" tint="-0.24994659260841701"/>
      </font>
      <fill>
        <patternFill>
          <bgColor theme="6" tint="0.59996337778862885"/>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9C0006"/>
      </font>
      <fill>
        <patternFill>
          <bgColor rgb="FFFFC7CE"/>
        </patternFill>
      </fill>
    </dxf>
    <dxf>
      <font>
        <b/>
        <i val="0"/>
        <color theme="0"/>
      </font>
      <fill>
        <patternFill>
          <bgColor rgb="FFFF0000"/>
        </patternFill>
      </fill>
    </dxf>
    <dxf>
      <font>
        <color rgb="FF9C0006"/>
      </font>
    </dxf>
    <dxf>
      <font>
        <color theme="5" tint="-0.24994659260841701"/>
      </font>
      <fill>
        <patternFill>
          <bgColor theme="9" tint="0.79998168889431442"/>
        </patternFill>
      </fill>
    </dxf>
    <dxf>
      <font>
        <color rgb="FF006100"/>
      </font>
      <fill>
        <patternFill>
          <bgColor rgb="FFC6EF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9C0006"/>
      </font>
      <fill>
        <patternFill>
          <bgColor rgb="FFFFC7CE"/>
        </patternFill>
      </fill>
    </dxf>
    <dxf>
      <font>
        <color rgb="FF006100"/>
      </font>
      <fill>
        <patternFill>
          <bgColor rgb="FFC6EFCE"/>
        </patternFill>
      </fill>
    </dxf>
    <dxf>
      <font>
        <color theme="5" tint="-0.24994659260841701"/>
      </font>
      <fill>
        <patternFill>
          <bgColor theme="9" tint="0.79998168889431442"/>
        </patternFill>
      </fill>
    </dxf>
    <dxf>
      <font>
        <b/>
        <i val="0"/>
        <color theme="0"/>
      </font>
      <fill>
        <patternFill>
          <bgColor rgb="FFFF0000"/>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0000FF"/>
      </font>
      <fill>
        <patternFill>
          <bgColor theme="4" tint="0.59996337778862885"/>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rgb="FF9C0006"/>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b/>
        <i val="0"/>
        <color theme="0"/>
      </font>
      <fill>
        <patternFill>
          <bgColor rgb="FFFF0000"/>
        </patternFill>
      </fill>
    </dxf>
    <dxf>
      <font>
        <color rgb="FF0000FF"/>
      </font>
      <fill>
        <patternFill>
          <bgColor rgb="FFFFFF00"/>
        </patternFill>
      </fill>
    </dxf>
    <dxf>
      <font>
        <color rgb="FF0000FF"/>
      </font>
      <fill>
        <patternFill>
          <bgColor rgb="FFFFFF00"/>
        </patternFill>
      </fill>
    </dxf>
    <dxf>
      <font>
        <color rgb="FF9C0006"/>
      </font>
    </dxf>
    <dxf>
      <font>
        <color rgb="FF006100"/>
      </font>
      <fill>
        <patternFill>
          <bgColor rgb="FFC6EFCE"/>
        </patternFill>
      </fill>
    </dxf>
    <dxf>
      <font>
        <color theme="5" tint="-0.24994659260841701"/>
      </font>
      <fill>
        <patternFill>
          <bgColor theme="9" tint="0.79998168889431442"/>
        </patternFill>
      </fill>
    </dxf>
    <dxf>
      <font>
        <b/>
        <i val="0"/>
        <color theme="0"/>
      </font>
      <fill>
        <patternFill>
          <bgColor rgb="FFFF0000"/>
        </patternFill>
      </fill>
    </dxf>
    <dxf>
      <font>
        <color rgb="FF9C0006"/>
      </font>
      <fill>
        <patternFill>
          <bgColor rgb="FFFFC7CE"/>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b/>
        <i val="0"/>
        <color theme="0"/>
      </font>
      <fill>
        <patternFill>
          <bgColor rgb="FFFF0000"/>
        </patternFill>
      </fill>
    </dxf>
    <dxf>
      <font>
        <color rgb="FF006100"/>
      </font>
      <fill>
        <patternFill>
          <bgColor rgb="FFC6EFCE"/>
        </patternFill>
      </fill>
    </dxf>
    <dxf>
      <font>
        <color theme="5" tint="-0.24994659260841701"/>
      </font>
      <fill>
        <patternFill>
          <bgColor theme="9" tint="0.79998168889431442"/>
        </patternFill>
      </fill>
    </dxf>
    <dxf>
      <font>
        <color rgb="FF0000FF"/>
      </font>
      <fill>
        <patternFill>
          <bgColor theme="4"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6" tint="0.59996337778862885"/>
        </patternFill>
      </fill>
    </dxf>
    <dxf>
      <font>
        <color rgb="FF0000FF"/>
      </font>
      <fill>
        <patternFill>
          <bgColor theme="4" tint="0.59996337778862885"/>
        </patternFill>
      </fill>
    </dxf>
    <dxf>
      <font>
        <b/>
        <i val="0"/>
        <color theme="0"/>
      </font>
      <fill>
        <patternFill>
          <bgColor rgb="FFFF0000"/>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color rgb="FF0000FF"/>
      </font>
      <fill>
        <patternFill>
          <bgColor theme="4" tint="0.59996337778862885"/>
        </patternFill>
      </fill>
    </dxf>
    <dxf>
      <font>
        <color theme="5" tint="-0.24994659260841701"/>
      </font>
      <fill>
        <patternFill>
          <bgColor theme="9" tint="0.79998168889431442"/>
        </patternFill>
      </fill>
    </dxf>
    <dxf>
      <font>
        <color rgb="FF0000FF"/>
      </font>
      <fill>
        <patternFill>
          <bgColor theme="4" tint="0.59996337778862885"/>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9C0006"/>
      </font>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b/>
        <i val="0"/>
        <color theme="0"/>
      </font>
      <fill>
        <patternFill>
          <bgColor rgb="FFFF0000"/>
        </patternFill>
      </fill>
    </dxf>
    <dxf>
      <font>
        <color theme="5" tint="-0.24994659260841701"/>
      </font>
      <fill>
        <patternFill>
          <bgColor theme="9" tint="0.79998168889431442"/>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theme="5" tint="-0.24994659260841701"/>
      </font>
      <fill>
        <patternFill>
          <bgColor theme="6" tint="0.59996337778862885"/>
        </patternFill>
      </fill>
    </dxf>
    <dxf>
      <font>
        <color rgb="FF0000FF"/>
      </font>
      <fill>
        <patternFill>
          <bgColor theme="4"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9C0006"/>
      </font>
      <fill>
        <patternFill>
          <bgColor rgb="FFFFC7CE"/>
        </patternFill>
      </fill>
    </dxf>
    <dxf>
      <font>
        <color rgb="FF006100"/>
      </font>
      <fill>
        <patternFill>
          <bgColor rgb="FFC6EFCE"/>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9C0006"/>
      </font>
      <fill>
        <patternFill>
          <bgColor rgb="FFFFC7CE"/>
        </patternFill>
      </fill>
    </dxf>
    <dxf>
      <font>
        <color rgb="FF9C0006"/>
      </font>
    </dxf>
    <dxf>
      <font>
        <b/>
        <i val="0"/>
        <color theme="0"/>
      </font>
      <fill>
        <patternFill>
          <bgColor rgb="FFFF0000"/>
        </patternFill>
      </fill>
    </dxf>
    <dxf>
      <font>
        <color theme="5" tint="-0.24994659260841701"/>
      </font>
      <fill>
        <patternFill>
          <bgColor theme="9" tint="0.79998168889431442"/>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9C0006"/>
      </font>
    </dxf>
    <dxf>
      <font>
        <b/>
        <i val="0"/>
        <color theme="0"/>
      </font>
      <fill>
        <patternFill>
          <bgColor rgb="FFFF0000"/>
        </patternFill>
      </fill>
    </dxf>
    <dxf>
      <font>
        <color rgb="FF006100"/>
      </font>
      <fill>
        <patternFill>
          <bgColor rgb="FFC6EFCE"/>
        </patternFill>
      </fill>
    </dxf>
    <dxf>
      <font>
        <color theme="5" tint="-0.24994659260841701"/>
      </font>
      <fill>
        <patternFill>
          <bgColor theme="9" tint="0.79998168889431442"/>
        </patternFill>
      </fill>
    </dxf>
    <dxf>
      <font>
        <color rgb="FF9C0006"/>
      </font>
      <fill>
        <patternFill>
          <bgColor rgb="FFFFC7CE"/>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0000FF"/>
      </font>
      <fill>
        <patternFill>
          <bgColor theme="4" tint="0.59996337778862885"/>
        </patternFill>
      </fill>
    </dxf>
    <dxf>
      <font>
        <color rgb="FF0000FF"/>
      </font>
      <fill>
        <patternFill>
          <bgColor theme="4"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6" tint="0.59996337778862885"/>
        </patternFill>
      </fill>
    </dxf>
    <dxf>
      <font>
        <color rgb="FF9C0006"/>
      </font>
      <fill>
        <patternFill>
          <bgColor rgb="FFFFC7CE"/>
        </patternFill>
      </fill>
    </dxf>
    <dxf>
      <font>
        <b/>
        <i val="0"/>
        <color theme="0"/>
      </font>
      <fill>
        <patternFill>
          <bgColor rgb="FFFF0000"/>
        </patternFill>
      </fill>
    </dxf>
    <dxf>
      <font>
        <color rgb="FF9C0006"/>
      </font>
    </dxf>
    <dxf>
      <font>
        <color theme="5" tint="-0.24994659260841701"/>
      </font>
      <fill>
        <patternFill>
          <bgColor theme="9" tint="0.7999816888943144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9C0006"/>
      </font>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9C0006"/>
      </font>
    </dxf>
    <dxf>
      <font>
        <color theme="5" tint="-0.24994659260841701"/>
      </font>
      <fill>
        <patternFill>
          <bgColor theme="9" tint="0.79998168889431442"/>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color rgb="FF0000FF"/>
      </font>
      <fill>
        <patternFill>
          <bgColor theme="4"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9C0006"/>
      </font>
      <fill>
        <patternFill>
          <bgColor rgb="FFFFC7CE"/>
        </patternFill>
      </fill>
    </dxf>
    <dxf>
      <font>
        <color rgb="FF0000FF"/>
      </font>
      <fill>
        <patternFill>
          <bgColor theme="4" tint="0.59996337778862885"/>
        </patternFill>
      </fill>
    </dxf>
    <dxf>
      <font>
        <color rgb="FF006100"/>
      </font>
      <fill>
        <patternFill>
          <bgColor rgb="FFC6EFCE"/>
        </patternFill>
      </fill>
    </dxf>
    <dxf>
      <font>
        <color rgb="FF0000FF"/>
      </font>
      <fill>
        <patternFill>
          <bgColor theme="4"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0000FF"/>
      </font>
      <fill>
        <patternFill>
          <bgColor theme="4" tint="0.59996337778862885"/>
        </patternFill>
      </fill>
    </dxf>
    <dxf>
      <font>
        <color rgb="FF9C0006"/>
      </font>
      <fill>
        <patternFill>
          <bgColor rgb="FFFFC7CE"/>
        </patternFill>
      </fill>
    </dxf>
    <dxf>
      <font>
        <color rgb="FF0000FF"/>
      </font>
      <fill>
        <patternFill>
          <bgColor theme="4" tint="0.59996337778862885"/>
        </patternFill>
      </fill>
    </dxf>
    <dxf>
      <font>
        <color rgb="FF9C0006"/>
      </font>
      <fill>
        <patternFill>
          <bgColor rgb="FFFFC7CE"/>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color theme="5" tint="-0.24994659260841701"/>
      </font>
      <fill>
        <patternFill>
          <bgColor theme="9" tint="0.79998168889431442"/>
        </patternFill>
      </fill>
    </dxf>
    <dxf>
      <font>
        <b/>
        <i val="0"/>
        <color theme="0"/>
      </font>
      <fill>
        <patternFill>
          <bgColor rgb="FFFF0000"/>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rgb="FF9C0006"/>
      </font>
    </dxf>
    <dxf>
      <font>
        <color theme="5" tint="-0.24994659260841701"/>
      </font>
      <fill>
        <patternFill>
          <bgColor theme="9" tint="0.79998168889431442"/>
        </patternFill>
      </fill>
    </dxf>
    <dxf>
      <font>
        <color rgb="FF9C0006"/>
      </font>
    </dxf>
    <dxf>
      <font>
        <color rgb="FF006100"/>
      </font>
      <fill>
        <patternFill>
          <bgColor rgb="FFC6EFCE"/>
        </patternFill>
      </fill>
    </dxf>
    <dxf>
      <font>
        <color rgb="FF9C0006"/>
      </font>
      <fill>
        <patternFill>
          <bgColor rgb="FFFFC7CE"/>
        </patternFill>
      </fill>
    </dxf>
    <dxf>
      <font>
        <b/>
        <i val="0"/>
        <color theme="0"/>
      </font>
      <fill>
        <patternFill>
          <bgColor rgb="FFFF0000"/>
        </patternFill>
      </fill>
    </dxf>
    <dxf>
      <font>
        <color theme="5" tint="-0.24994659260841701"/>
      </font>
      <fill>
        <patternFill>
          <bgColor theme="9" tint="0.79998168889431442"/>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theme="5" tint="-0.24994659260841701"/>
      </font>
      <fill>
        <patternFill>
          <bgColor theme="9" tint="0.79998168889431442"/>
        </patternFill>
      </fill>
    </dxf>
    <dxf>
      <font>
        <color rgb="FF9C0006"/>
      </font>
    </dxf>
    <dxf>
      <font>
        <color rgb="FF006100"/>
      </font>
      <fill>
        <patternFill>
          <bgColor rgb="FFC6EFCE"/>
        </patternFill>
      </fill>
    </dxf>
    <dxf>
      <font>
        <color rgb="FF9C0006"/>
      </font>
      <fill>
        <patternFill>
          <bgColor rgb="FFFFC7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5" tint="-0.24994659260841701"/>
      </font>
      <fill>
        <patternFill>
          <bgColor theme="9" tint="0.79998168889431442"/>
        </patternFill>
      </fill>
    </dxf>
    <dxf>
      <font>
        <color rgb="FF006100"/>
      </font>
      <fill>
        <patternFill>
          <bgColor rgb="FFC6EFCE"/>
        </patternFill>
      </fill>
    </dxf>
    <dxf>
      <font>
        <color rgb="FF9C0006"/>
      </font>
    </dxf>
    <dxf>
      <font>
        <b/>
        <i val="0"/>
        <color theme="0"/>
      </font>
      <fill>
        <patternFill>
          <bgColor rgb="FFFF0000"/>
        </patternFill>
      </fill>
    </dxf>
    <dxf>
      <font>
        <color rgb="FF9C0006"/>
      </font>
      <fill>
        <patternFill>
          <bgColor rgb="FFFFC7CE"/>
        </patternFill>
      </fill>
    </dxf>
    <dxf>
      <font>
        <color theme="5" tint="-0.24994659260841701"/>
      </font>
      <fill>
        <patternFill>
          <bgColor theme="9" tint="0.79998168889431442"/>
        </patternFill>
      </fill>
    </dxf>
    <dxf>
      <font>
        <color rgb="FF0000FF"/>
      </font>
      <fill>
        <patternFill>
          <bgColor theme="4" tint="0.59996337778862885"/>
        </patternFill>
      </fill>
    </dxf>
    <dxf>
      <font>
        <color theme="5" tint="-0.24994659260841701"/>
      </font>
      <fill>
        <patternFill>
          <bgColor theme="6" tint="0.59996337778862885"/>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9C0006"/>
      </font>
      <fill>
        <patternFill>
          <bgColor rgb="FFFFC7CE"/>
        </patternFill>
      </fill>
    </dxf>
    <dxf>
      <font>
        <b/>
        <i val="0"/>
        <color theme="0"/>
      </font>
      <fill>
        <patternFill>
          <bgColor rgb="FFFF0000"/>
        </patternFill>
      </fill>
    </dxf>
    <dxf>
      <font>
        <color rgb="FF9C0006"/>
      </font>
    </dxf>
    <dxf>
      <font>
        <color theme="5" tint="-0.24994659260841701"/>
      </font>
      <fill>
        <patternFill>
          <bgColor theme="9" tint="0.79998168889431442"/>
        </patternFill>
      </fill>
    </dxf>
    <dxf>
      <font>
        <color rgb="FF006100"/>
      </font>
      <fill>
        <patternFill>
          <bgColor rgb="FFC6EF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9C0006"/>
      </font>
      <fill>
        <patternFill>
          <bgColor rgb="FFFFC7CE"/>
        </patternFill>
      </fill>
    </dxf>
    <dxf>
      <font>
        <color rgb="FF006100"/>
      </font>
      <fill>
        <patternFill>
          <bgColor rgb="FFC6EFCE"/>
        </patternFill>
      </fill>
    </dxf>
    <dxf>
      <font>
        <color theme="5" tint="-0.24994659260841701"/>
      </font>
      <fill>
        <patternFill>
          <bgColor theme="9" tint="0.79998168889431442"/>
        </patternFill>
      </fill>
    </dxf>
    <dxf>
      <font>
        <b/>
        <i val="0"/>
        <color theme="0"/>
      </font>
      <fill>
        <patternFill>
          <bgColor rgb="FFFF0000"/>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0000FF"/>
      </font>
      <fill>
        <patternFill>
          <bgColor theme="4" tint="0.59996337778862885"/>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rgb="FF9C0006"/>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b/>
        <i val="0"/>
        <color theme="0"/>
      </font>
      <fill>
        <patternFill>
          <bgColor rgb="FFFF0000"/>
        </patternFill>
      </fill>
    </dxf>
    <dxf>
      <font>
        <color rgb="FF0000FF"/>
      </font>
      <fill>
        <patternFill>
          <bgColor rgb="FFFFFF00"/>
        </patternFill>
      </fill>
    </dxf>
    <dxf>
      <font>
        <color rgb="FF0000FF"/>
      </font>
      <fill>
        <patternFill>
          <bgColor rgb="FFFFFF00"/>
        </patternFill>
      </fill>
    </dxf>
    <dxf>
      <font>
        <color rgb="FF9C0006"/>
      </font>
    </dxf>
    <dxf>
      <font>
        <color rgb="FF006100"/>
      </font>
      <fill>
        <patternFill>
          <bgColor rgb="FFC6EFCE"/>
        </patternFill>
      </fill>
    </dxf>
    <dxf>
      <font>
        <color theme="5" tint="-0.24994659260841701"/>
      </font>
      <fill>
        <patternFill>
          <bgColor theme="9" tint="0.79998168889431442"/>
        </patternFill>
      </fill>
    </dxf>
    <dxf>
      <font>
        <b/>
        <i val="0"/>
        <color theme="0"/>
      </font>
      <fill>
        <patternFill>
          <bgColor rgb="FFFF0000"/>
        </patternFill>
      </fill>
    </dxf>
    <dxf>
      <font>
        <color rgb="FF9C0006"/>
      </font>
      <fill>
        <patternFill>
          <bgColor rgb="FFFFC7CE"/>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b/>
        <i val="0"/>
        <color theme="0"/>
      </font>
      <fill>
        <patternFill>
          <bgColor rgb="FFFF0000"/>
        </patternFill>
      </fill>
    </dxf>
    <dxf>
      <font>
        <color rgb="FF006100"/>
      </font>
      <fill>
        <patternFill>
          <bgColor rgb="FFC6EFCE"/>
        </patternFill>
      </fill>
    </dxf>
    <dxf>
      <font>
        <color theme="5" tint="-0.24994659260841701"/>
      </font>
      <fill>
        <patternFill>
          <bgColor theme="9" tint="0.79998168889431442"/>
        </patternFill>
      </fill>
    </dxf>
    <dxf>
      <font>
        <color rgb="FF0000FF"/>
      </font>
      <fill>
        <patternFill>
          <bgColor theme="4"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6" tint="0.59996337778862885"/>
        </patternFill>
      </fill>
    </dxf>
    <dxf>
      <font>
        <color rgb="FF0000FF"/>
      </font>
      <fill>
        <patternFill>
          <bgColor theme="4" tint="0.59996337778862885"/>
        </patternFill>
      </fill>
    </dxf>
    <dxf>
      <font>
        <b/>
        <i val="0"/>
        <color theme="0"/>
      </font>
      <fill>
        <patternFill>
          <bgColor rgb="FFFF0000"/>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color rgb="FF0000FF"/>
      </font>
      <fill>
        <patternFill>
          <bgColor theme="4" tint="0.59996337778862885"/>
        </patternFill>
      </fill>
    </dxf>
    <dxf>
      <font>
        <color theme="5" tint="-0.24994659260841701"/>
      </font>
      <fill>
        <patternFill>
          <bgColor theme="9" tint="0.79998168889431442"/>
        </patternFill>
      </fill>
    </dxf>
    <dxf>
      <font>
        <color rgb="FF0000FF"/>
      </font>
      <fill>
        <patternFill>
          <bgColor theme="4" tint="0.59996337778862885"/>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9C0006"/>
      </font>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b/>
        <i val="0"/>
        <color theme="0"/>
      </font>
      <fill>
        <patternFill>
          <bgColor rgb="FFFF0000"/>
        </patternFill>
      </fill>
    </dxf>
    <dxf>
      <font>
        <color theme="5" tint="-0.24994659260841701"/>
      </font>
      <fill>
        <patternFill>
          <bgColor theme="9" tint="0.79998168889431442"/>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theme="5" tint="-0.24994659260841701"/>
      </font>
      <fill>
        <patternFill>
          <bgColor theme="6" tint="0.59996337778862885"/>
        </patternFill>
      </fill>
    </dxf>
    <dxf>
      <font>
        <color rgb="FF0000FF"/>
      </font>
      <fill>
        <patternFill>
          <bgColor theme="4"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9C0006"/>
      </font>
      <fill>
        <patternFill>
          <bgColor rgb="FFFFC7CE"/>
        </patternFill>
      </fill>
    </dxf>
    <dxf>
      <font>
        <color rgb="FF006100"/>
      </font>
      <fill>
        <patternFill>
          <bgColor rgb="FFC6EFCE"/>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9C0006"/>
      </font>
      <fill>
        <patternFill>
          <bgColor rgb="FFFFC7CE"/>
        </patternFill>
      </fill>
    </dxf>
    <dxf>
      <font>
        <color rgb="FF9C0006"/>
      </font>
    </dxf>
    <dxf>
      <font>
        <b/>
        <i val="0"/>
        <color theme="0"/>
      </font>
      <fill>
        <patternFill>
          <bgColor rgb="FFFF0000"/>
        </patternFill>
      </fill>
    </dxf>
    <dxf>
      <font>
        <color theme="5" tint="-0.24994659260841701"/>
      </font>
      <fill>
        <patternFill>
          <bgColor theme="9" tint="0.79998168889431442"/>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9C0006"/>
      </font>
    </dxf>
    <dxf>
      <font>
        <b/>
        <i val="0"/>
        <color theme="0"/>
      </font>
      <fill>
        <patternFill>
          <bgColor rgb="FFFF0000"/>
        </patternFill>
      </fill>
    </dxf>
    <dxf>
      <font>
        <color rgb="FF006100"/>
      </font>
      <fill>
        <patternFill>
          <bgColor rgb="FFC6EFCE"/>
        </patternFill>
      </fill>
    </dxf>
    <dxf>
      <font>
        <color theme="5" tint="-0.24994659260841701"/>
      </font>
      <fill>
        <patternFill>
          <bgColor theme="9" tint="0.79998168889431442"/>
        </patternFill>
      </fill>
    </dxf>
    <dxf>
      <font>
        <color rgb="FF9C0006"/>
      </font>
      <fill>
        <patternFill>
          <bgColor rgb="FFFFC7CE"/>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0000FF"/>
      </font>
      <fill>
        <patternFill>
          <bgColor theme="4" tint="0.59996337778862885"/>
        </patternFill>
      </fill>
    </dxf>
    <dxf>
      <font>
        <color rgb="FF0000FF"/>
      </font>
      <fill>
        <patternFill>
          <bgColor theme="4"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6" tint="0.59996337778862885"/>
        </patternFill>
      </fill>
    </dxf>
    <dxf>
      <font>
        <color rgb="FF9C0006"/>
      </font>
      <fill>
        <patternFill>
          <bgColor rgb="FFFFC7CE"/>
        </patternFill>
      </fill>
    </dxf>
    <dxf>
      <font>
        <b/>
        <i val="0"/>
        <color theme="0"/>
      </font>
      <fill>
        <patternFill>
          <bgColor rgb="FFFF0000"/>
        </patternFill>
      </fill>
    </dxf>
    <dxf>
      <font>
        <color rgb="FF9C0006"/>
      </font>
    </dxf>
    <dxf>
      <font>
        <color theme="5" tint="-0.24994659260841701"/>
      </font>
      <fill>
        <patternFill>
          <bgColor theme="9" tint="0.7999816888943144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9C0006"/>
      </font>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9C0006"/>
      </font>
    </dxf>
    <dxf>
      <font>
        <color theme="5" tint="-0.24994659260841701"/>
      </font>
      <fill>
        <patternFill>
          <bgColor theme="9" tint="0.79998168889431442"/>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color rgb="FF0000FF"/>
      </font>
      <fill>
        <patternFill>
          <bgColor theme="4"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9C0006"/>
      </font>
      <fill>
        <patternFill>
          <bgColor rgb="FFFFC7CE"/>
        </patternFill>
      </fill>
    </dxf>
    <dxf>
      <font>
        <color rgb="FF0000FF"/>
      </font>
      <fill>
        <patternFill>
          <bgColor theme="4" tint="0.59996337778862885"/>
        </patternFill>
      </fill>
    </dxf>
    <dxf>
      <font>
        <color rgb="FF006100"/>
      </font>
      <fill>
        <patternFill>
          <bgColor rgb="FFC6EFCE"/>
        </patternFill>
      </fill>
    </dxf>
    <dxf>
      <font>
        <color rgb="FF0000FF"/>
      </font>
      <fill>
        <patternFill>
          <bgColor theme="4"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0000FF"/>
      </font>
      <fill>
        <patternFill>
          <bgColor theme="4" tint="0.59996337778862885"/>
        </patternFill>
      </fill>
    </dxf>
    <dxf>
      <font>
        <color rgb="FF9C0006"/>
      </font>
      <fill>
        <patternFill>
          <bgColor rgb="FFFFC7CE"/>
        </patternFill>
      </fill>
    </dxf>
    <dxf>
      <font>
        <color rgb="FF0000FF"/>
      </font>
      <fill>
        <patternFill>
          <bgColor theme="4" tint="0.59996337778862885"/>
        </patternFill>
      </fill>
    </dxf>
    <dxf>
      <font>
        <color rgb="FF9C0006"/>
      </font>
      <fill>
        <patternFill>
          <bgColor rgb="FFFFC7CE"/>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color theme="5" tint="-0.24994659260841701"/>
      </font>
      <fill>
        <patternFill>
          <bgColor theme="9" tint="0.79998168889431442"/>
        </patternFill>
      </fill>
    </dxf>
    <dxf>
      <font>
        <b/>
        <i val="0"/>
        <color theme="0"/>
      </font>
      <fill>
        <patternFill>
          <bgColor rgb="FFFF0000"/>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rgb="FF9C0006"/>
      </font>
    </dxf>
    <dxf>
      <font>
        <color theme="5" tint="-0.24994659260841701"/>
      </font>
      <fill>
        <patternFill>
          <bgColor theme="9" tint="0.79998168889431442"/>
        </patternFill>
      </fill>
    </dxf>
    <dxf>
      <font>
        <color rgb="FF9C0006"/>
      </font>
    </dxf>
    <dxf>
      <font>
        <color rgb="FF006100"/>
      </font>
      <fill>
        <patternFill>
          <bgColor rgb="FFC6EFCE"/>
        </patternFill>
      </fill>
    </dxf>
    <dxf>
      <font>
        <color rgb="FF9C0006"/>
      </font>
      <fill>
        <patternFill>
          <bgColor rgb="FFFFC7CE"/>
        </patternFill>
      </fill>
    </dxf>
    <dxf>
      <font>
        <b/>
        <i val="0"/>
        <color theme="0"/>
      </font>
      <fill>
        <patternFill>
          <bgColor rgb="FFFF0000"/>
        </patternFill>
      </fill>
    </dxf>
    <dxf>
      <font>
        <color theme="5" tint="-0.24994659260841701"/>
      </font>
      <fill>
        <patternFill>
          <bgColor theme="9" tint="0.79998168889431442"/>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theme="5" tint="-0.24994659260841701"/>
      </font>
      <fill>
        <patternFill>
          <bgColor theme="9" tint="0.79998168889431442"/>
        </patternFill>
      </fill>
    </dxf>
    <dxf>
      <font>
        <color rgb="FF9C0006"/>
      </font>
    </dxf>
    <dxf>
      <font>
        <color rgb="FF006100"/>
      </font>
      <fill>
        <patternFill>
          <bgColor rgb="FFC6EFCE"/>
        </patternFill>
      </fill>
    </dxf>
    <dxf>
      <font>
        <color rgb="FF9C0006"/>
      </font>
      <fill>
        <patternFill>
          <bgColor rgb="FFFFC7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5" tint="-0.24994659260841701"/>
      </font>
      <fill>
        <patternFill>
          <bgColor theme="9" tint="0.79998168889431442"/>
        </patternFill>
      </fill>
    </dxf>
    <dxf>
      <font>
        <color rgb="FF006100"/>
      </font>
      <fill>
        <patternFill>
          <bgColor rgb="FFC6EFCE"/>
        </patternFill>
      </fill>
    </dxf>
    <dxf>
      <font>
        <color rgb="FF9C0006"/>
      </font>
    </dxf>
    <dxf>
      <font>
        <b/>
        <i val="0"/>
        <color theme="0"/>
      </font>
      <fill>
        <patternFill>
          <bgColor rgb="FFFF0000"/>
        </patternFill>
      </fill>
    </dxf>
    <dxf>
      <font>
        <color rgb="FF9C0006"/>
      </font>
      <fill>
        <patternFill>
          <bgColor rgb="FFFFC7CE"/>
        </patternFill>
      </fill>
    </dxf>
    <dxf>
      <font>
        <color theme="5" tint="-0.24994659260841701"/>
      </font>
      <fill>
        <patternFill>
          <bgColor theme="9" tint="0.79998168889431442"/>
        </patternFill>
      </fill>
    </dxf>
    <dxf>
      <font>
        <color rgb="FF0000FF"/>
      </font>
      <fill>
        <patternFill>
          <bgColor theme="4" tint="0.59996337778862885"/>
        </patternFill>
      </fill>
    </dxf>
    <dxf>
      <font>
        <color theme="5" tint="-0.24994659260841701"/>
      </font>
      <fill>
        <patternFill>
          <bgColor theme="6" tint="0.59996337778862885"/>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9C0006"/>
      </font>
      <fill>
        <patternFill>
          <bgColor rgb="FFFFC7CE"/>
        </patternFill>
      </fill>
    </dxf>
    <dxf>
      <font>
        <b/>
        <i val="0"/>
        <color theme="0"/>
      </font>
      <fill>
        <patternFill>
          <bgColor rgb="FFFF0000"/>
        </patternFill>
      </fill>
    </dxf>
    <dxf>
      <font>
        <color rgb="FF9C0006"/>
      </font>
    </dxf>
    <dxf>
      <font>
        <color theme="5" tint="-0.24994659260841701"/>
      </font>
      <fill>
        <patternFill>
          <bgColor theme="9" tint="0.79998168889431442"/>
        </patternFill>
      </fill>
    </dxf>
    <dxf>
      <font>
        <color rgb="FF006100"/>
      </font>
      <fill>
        <patternFill>
          <bgColor rgb="FFC6EF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9C0006"/>
      </font>
      <fill>
        <patternFill>
          <bgColor rgb="FFFFC7CE"/>
        </patternFill>
      </fill>
    </dxf>
    <dxf>
      <font>
        <color rgb="FF006100"/>
      </font>
      <fill>
        <patternFill>
          <bgColor rgb="FFC6EFCE"/>
        </patternFill>
      </fill>
    </dxf>
    <dxf>
      <font>
        <color theme="5" tint="-0.24994659260841701"/>
      </font>
      <fill>
        <patternFill>
          <bgColor theme="9" tint="0.79998168889431442"/>
        </patternFill>
      </fill>
    </dxf>
    <dxf>
      <font>
        <b/>
        <i val="0"/>
        <color theme="0"/>
      </font>
      <fill>
        <patternFill>
          <bgColor rgb="FFFF0000"/>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0000FF"/>
      </font>
      <fill>
        <patternFill>
          <bgColor theme="4" tint="0.59996337778862885"/>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rgb="FF9C0006"/>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b/>
        <i val="0"/>
        <color theme="0"/>
      </font>
      <fill>
        <patternFill>
          <bgColor rgb="FFFF0000"/>
        </patternFill>
      </fill>
    </dxf>
    <dxf>
      <font>
        <color rgb="FF0000FF"/>
      </font>
      <fill>
        <patternFill>
          <bgColor rgb="FFFFFF00"/>
        </patternFill>
      </fill>
    </dxf>
    <dxf>
      <font>
        <color rgb="FF0000FF"/>
      </font>
      <fill>
        <patternFill>
          <bgColor rgb="FFFFFF00"/>
        </patternFill>
      </fill>
    </dxf>
    <dxf>
      <font>
        <color rgb="FF9C0006"/>
      </font>
    </dxf>
    <dxf>
      <font>
        <color rgb="FF006100"/>
      </font>
      <fill>
        <patternFill>
          <bgColor rgb="FFC6EFCE"/>
        </patternFill>
      </fill>
    </dxf>
    <dxf>
      <font>
        <color theme="5" tint="-0.24994659260841701"/>
      </font>
      <fill>
        <patternFill>
          <bgColor theme="9" tint="0.79998168889431442"/>
        </patternFill>
      </fill>
    </dxf>
    <dxf>
      <font>
        <b/>
        <i val="0"/>
        <color theme="0"/>
      </font>
      <fill>
        <patternFill>
          <bgColor rgb="FFFF0000"/>
        </patternFill>
      </fill>
    </dxf>
    <dxf>
      <font>
        <color rgb="FF9C0006"/>
      </font>
      <fill>
        <patternFill>
          <bgColor rgb="FFFFC7CE"/>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b/>
        <i val="0"/>
        <color theme="0"/>
      </font>
      <fill>
        <patternFill>
          <bgColor rgb="FFFF0000"/>
        </patternFill>
      </fill>
    </dxf>
    <dxf>
      <font>
        <color rgb="FF006100"/>
      </font>
      <fill>
        <patternFill>
          <bgColor rgb="FFC6EFCE"/>
        </patternFill>
      </fill>
    </dxf>
    <dxf>
      <font>
        <color theme="5" tint="-0.24994659260841701"/>
      </font>
      <fill>
        <patternFill>
          <bgColor theme="9" tint="0.79998168889431442"/>
        </patternFill>
      </fill>
    </dxf>
    <dxf>
      <font>
        <color rgb="FF0000FF"/>
      </font>
      <fill>
        <patternFill>
          <bgColor theme="4"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6" tint="0.59996337778862885"/>
        </patternFill>
      </fill>
    </dxf>
    <dxf>
      <font>
        <color rgb="FF0000FF"/>
      </font>
      <fill>
        <patternFill>
          <bgColor theme="4" tint="0.59996337778862885"/>
        </patternFill>
      </fill>
    </dxf>
    <dxf>
      <font>
        <b/>
        <i val="0"/>
        <color theme="0"/>
      </font>
      <fill>
        <patternFill>
          <bgColor rgb="FFFF0000"/>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color rgb="FF0000FF"/>
      </font>
      <fill>
        <patternFill>
          <bgColor theme="4" tint="0.59996337778862885"/>
        </patternFill>
      </fill>
    </dxf>
    <dxf>
      <font>
        <color theme="5" tint="-0.24994659260841701"/>
      </font>
      <fill>
        <patternFill>
          <bgColor theme="9" tint="0.79998168889431442"/>
        </patternFill>
      </fill>
    </dxf>
    <dxf>
      <font>
        <color rgb="FF0000FF"/>
      </font>
      <fill>
        <patternFill>
          <bgColor theme="4" tint="0.59996337778862885"/>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9C0006"/>
      </font>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b/>
        <i val="0"/>
        <color theme="0"/>
      </font>
      <fill>
        <patternFill>
          <bgColor rgb="FFFF0000"/>
        </patternFill>
      </fill>
    </dxf>
    <dxf>
      <font>
        <color theme="5" tint="-0.24994659260841701"/>
      </font>
      <fill>
        <patternFill>
          <bgColor theme="9" tint="0.79998168889431442"/>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theme="5" tint="-0.24994659260841701"/>
      </font>
      <fill>
        <patternFill>
          <bgColor theme="6" tint="0.59996337778862885"/>
        </patternFill>
      </fill>
    </dxf>
    <dxf>
      <font>
        <color rgb="FF0000FF"/>
      </font>
      <fill>
        <patternFill>
          <bgColor theme="4"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9C0006"/>
      </font>
      <fill>
        <patternFill>
          <bgColor rgb="FFFFC7CE"/>
        </patternFill>
      </fill>
    </dxf>
    <dxf>
      <font>
        <color rgb="FF006100"/>
      </font>
      <fill>
        <patternFill>
          <bgColor rgb="FFC6EFCE"/>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9C0006"/>
      </font>
      <fill>
        <patternFill>
          <bgColor rgb="FFFFC7CE"/>
        </patternFill>
      </fill>
    </dxf>
    <dxf>
      <font>
        <color rgb="FF9C0006"/>
      </font>
    </dxf>
    <dxf>
      <font>
        <b/>
        <i val="0"/>
        <color theme="0"/>
      </font>
      <fill>
        <patternFill>
          <bgColor rgb="FFFF0000"/>
        </patternFill>
      </fill>
    </dxf>
    <dxf>
      <font>
        <color theme="5" tint="-0.24994659260841701"/>
      </font>
      <fill>
        <patternFill>
          <bgColor theme="9" tint="0.79998168889431442"/>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9C0006"/>
      </font>
    </dxf>
    <dxf>
      <font>
        <b/>
        <i val="0"/>
        <color theme="0"/>
      </font>
      <fill>
        <patternFill>
          <bgColor rgb="FFFF0000"/>
        </patternFill>
      </fill>
    </dxf>
    <dxf>
      <font>
        <color rgb="FF006100"/>
      </font>
      <fill>
        <patternFill>
          <bgColor rgb="FFC6EFCE"/>
        </patternFill>
      </fill>
    </dxf>
    <dxf>
      <font>
        <color theme="5" tint="-0.24994659260841701"/>
      </font>
      <fill>
        <patternFill>
          <bgColor theme="9" tint="0.79998168889431442"/>
        </patternFill>
      </fill>
    </dxf>
    <dxf>
      <font>
        <color rgb="FF9C0006"/>
      </font>
      <fill>
        <patternFill>
          <bgColor rgb="FFFFC7CE"/>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0000FF"/>
      </font>
      <fill>
        <patternFill>
          <bgColor theme="4" tint="0.59996337778862885"/>
        </patternFill>
      </fill>
    </dxf>
    <dxf>
      <font>
        <color rgb="FF0000FF"/>
      </font>
      <fill>
        <patternFill>
          <bgColor theme="4"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6" tint="0.59996337778862885"/>
        </patternFill>
      </fill>
    </dxf>
    <dxf>
      <font>
        <color rgb="FF9C0006"/>
      </font>
      <fill>
        <patternFill>
          <bgColor rgb="FFFFC7CE"/>
        </patternFill>
      </fill>
    </dxf>
    <dxf>
      <font>
        <b/>
        <i val="0"/>
        <color theme="0"/>
      </font>
      <fill>
        <patternFill>
          <bgColor rgb="FFFF0000"/>
        </patternFill>
      </fill>
    </dxf>
    <dxf>
      <font>
        <color rgb="FF9C0006"/>
      </font>
    </dxf>
    <dxf>
      <font>
        <color theme="5" tint="-0.24994659260841701"/>
      </font>
      <fill>
        <patternFill>
          <bgColor theme="9" tint="0.7999816888943144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9C0006"/>
      </font>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9C0006"/>
      </font>
    </dxf>
    <dxf>
      <font>
        <color theme="5" tint="-0.24994659260841701"/>
      </font>
      <fill>
        <patternFill>
          <bgColor theme="9" tint="0.79998168889431442"/>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color rgb="FF0000FF"/>
      </font>
      <fill>
        <patternFill>
          <bgColor theme="4"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9C0006"/>
      </font>
      <fill>
        <patternFill>
          <bgColor rgb="FFFFC7CE"/>
        </patternFill>
      </fill>
    </dxf>
    <dxf>
      <font>
        <color rgb="FF0000FF"/>
      </font>
      <fill>
        <patternFill>
          <bgColor theme="4" tint="0.59996337778862885"/>
        </patternFill>
      </fill>
    </dxf>
    <dxf>
      <font>
        <color rgb="FF006100"/>
      </font>
      <fill>
        <patternFill>
          <bgColor rgb="FFC6EFCE"/>
        </patternFill>
      </fill>
    </dxf>
    <dxf>
      <font>
        <color rgb="FF0000FF"/>
      </font>
      <fill>
        <patternFill>
          <bgColor theme="4"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0000FF"/>
      </font>
      <fill>
        <patternFill>
          <bgColor theme="4" tint="0.59996337778862885"/>
        </patternFill>
      </fill>
    </dxf>
    <dxf>
      <font>
        <color rgb="FF9C0006"/>
      </font>
      <fill>
        <patternFill>
          <bgColor rgb="FFFFC7CE"/>
        </patternFill>
      </fill>
    </dxf>
    <dxf>
      <font>
        <color rgb="FF0000FF"/>
      </font>
      <fill>
        <patternFill>
          <bgColor theme="4" tint="0.59996337778862885"/>
        </patternFill>
      </fill>
    </dxf>
    <dxf>
      <font>
        <color rgb="FF9C0006"/>
      </font>
      <fill>
        <patternFill>
          <bgColor rgb="FFFFC7CE"/>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color theme="5" tint="-0.24994659260841701"/>
      </font>
      <fill>
        <patternFill>
          <bgColor theme="9" tint="0.79998168889431442"/>
        </patternFill>
      </fill>
    </dxf>
    <dxf>
      <font>
        <b/>
        <i val="0"/>
        <color theme="0"/>
      </font>
      <fill>
        <patternFill>
          <bgColor rgb="FFFF0000"/>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rgb="FF9C0006"/>
      </font>
    </dxf>
    <dxf>
      <font>
        <color theme="5" tint="-0.24994659260841701"/>
      </font>
      <fill>
        <patternFill>
          <bgColor theme="9" tint="0.79998168889431442"/>
        </patternFill>
      </fill>
    </dxf>
    <dxf>
      <font>
        <color rgb="FF9C0006"/>
      </font>
    </dxf>
    <dxf>
      <font>
        <color rgb="FF006100"/>
      </font>
      <fill>
        <patternFill>
          <bgColor rgb="FFC6EFCE"/>
        </patternFill>
      </fill>
    </dxf>
    <dxf>
      <font>
        <color rgb="FF9C0006"/>
      </font>
      <fill>
        <patternFill>
          <bgColor rgb="FFFFC7CE"/>
        </patternFill>
      </fill>
    </dxf>
    <dxf>
      <font>
        <b/>
        <i val="0"/>
        <color theme="0"/>
      </font>
      <fill>
        <patternFill>
          <bgColor rgb="FFFF0000"/>
        </patternFill>
      </fill>
    </dxf>
    <dxf>
      <font>
        <color theme="5" tint="-0.24994659260841701"/>
      </font>
      <fill>
        <patternFill>
          <bgColor theme="9" tint="0.79998168889431442"/>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theme="5" tint="-0.24994659260841701"/>
      </font>
      <fill>
        <patternFill>
          <bgColor theme="9" tint="0.79998168889431442"/>
        </patternFill>
      </fill>
    </dxf>
    <dxf>
      <font>
        <color rgb="FF9C0006"/>
      </font>
    </dxf>
    <dxf>
      <font>
        <color rgb="FF006100"/>
      </font>
      <fill>
        <patternFill>
          <bgColor rgb="FFC6EFCE"/>
        </patternFill>
      </fill>
    </dxf>
    <dxf>
      <font>
        <color rgb="FF9C0006"/>
      </font>
      <fill>
        <patternFill>
          <bgColor rgb="FFFFC7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5" tint="-0.24994659260841701"/>
      </font>
      <fill>
        <patternFill>
          <bgColor theme="9" tint="0.79998168889431442"/>
        </patternFill>
      </fill>
    </dxf>
    <dxf>
      <font>
        <color rgb="FF006100"/>
      </font>
      <fill>
        <patternFill>
          <bgColor rgb="FFC6EFCE"/>
        </patternFill>
      </fill>
    </dxf>
    <dxf>
      <font>
        <color rgb="FF9C0006"/>
      </font>
    </dxf>
    <dxf>
      <font>
        <b/>
        <i val="0"/>
        <color theme="0"/>
      </font>
      <fill>
        <patternFill>
          <bgColor rgb="FFFF0000"/>
        </patternFill>
      </fill>
    </dxf>
    <dxf>
      <font>
        <color rgb="FF9C0006"/>
      </font>
      <fill>
        <patternFill>
          <bgColor rgb="FFFFC7CE"/>
        </patternFill>
      </fill>
    </dxf>
    <dxf>
      <font>
        <color theme="5" tint="-0.24994659260841701"/>
      </font>
      <fill>
        <patternFill>
          <bgColor theme="9" tint="0.79998168889431442"/>
        </patternFill>
      </fill>
    </dxf>
    <dxf>
      <font>
        <color rgb="FF0000FF"/>
      </font>
      <fill>
        <patternFill>
          <bgColor theme="4" tint="0.59996337778862885"/>
        </patternFill>
      </fill>
    </dxf>
    <dxf>
      <font>
        <color theme="5" tint="-0.24994659260841701"/>
      </font>
      <fill>
        <patternFill>
          <bgColor theme="6" tint="0.59996337778862885"/>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9C0006"/>
      </font>
      <fill>
        <patternFill>
          <bgColor rgb="FFFFC7CE"/>
        </patternFill>
      </fill>
    </dxf>
    <dxf>
      <font>
        <b/>
        <i val="0"/>
        <color theme="0"/>
      </font>
      <fill>
        <patternFill>
          <bgColor rgb="FFFF0000"/>
        </patternFill>
      </fill>
    </dxf>
    <dxf>
      <font>
        <color rgb="FF9C0006"/>
      </font>
    </dxf>
    <dxf>
      <font>
        <color theme="5" tint="-0.24994659260841701"/>
      </font>
      <fill>
        <patternFill>
          <bgColor theme="9" tint="0.79998168889431442"/>
        </patternFill>
      </fill>
    </dxf>
    <dxf>
      <font>
        <color rgb="FF006100"/>
      </font>
      <fill>
        <patternFill>
          <bgColor rgb="FFC6EF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9C0006"/>
      </font>
      <fill>
        <patternFill>
          <bgColor rgb="FFFFC7CE"/>
        </patternFill>
      </fill>
    </dxf>
    <dxf>
      <font>
        <color rgb="FF006100"/>
      </font>
      <fill>
        <patternFill>
          <bgColor rgb="FFC6EFCE"/>
        </patternFill>
      </fill>
    </dxf>
    <dxf>
      <font>
        <color theme="5" tint="-0.24994659260841701"/>
      </font>
      <fill>
        <patternFill>
          <bgColor theme="9" tint="0.79998168889431442"/>
        </patternFill>
      </fill>
    </dxf>
    <dxf>
      <font>
        <b/>
        <i val="0"/>
        <color theme="0"/>
      </font>
      <fill>
        <patternFill>
          <bgColor rgb="FFFF0000"/>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0000FF"/>
      </font>
      <fill>
        <patternFill>
          <bgColor theme="4" tint="0.59996337778862885"/>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rgb="FF9C0006"/>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b/>
        <i val="0"/>
        <color theme="0"/>
      </font>
      <fill>
        <patternFill>
          <bgColor rgb="FFFF0000"/>
        </patternFill>
      </fill>
    </dxf>
    <dxf>
      <font>
        <color rgb="FF0000FF"/>
      </font>
      <fill>
        <patternFill>
          <bgColor rgb="FFFFFF00"/>
        </patternFill>
      </fill>
    </dxf>
    <dxf>
      <font>
        <color rgb="FF0000FF"/>
      </font>
      <fill>
        <patternFill>
          <bgColor rgb="FFFFFF00"/>
        </patternFill>
      </fill>
    </dxf>
    <dxf>
      <font>
        <color rgb="FF9C0006"/>
      </font>
    </dxf>
    <dxf>
      <font>
        <color rgb="FF006100"/>
      </font>
      <fill>
        <patternFill>
          <bgColor rgb="FFC6EFCE"/>
        </patternFill>
      </fill>
    </dxf>
    <dxf>
      <font>
        <color theme="5" tint="-0.24994659260841701"/>
      </font>
      <fill>
        <patternFill>
          <bgColor theme="9" tint="0.79998168889431442"/>
        </patternFill>
      </fill>
    </dxf>
    <dxf>
      <font>
        <b/>
        <i val="0"/>
        <color theme="0"/>
      </font>
      <fill>
        <patternFill>
          <bgColor rgb="FFFF0000"/>
        </patternFill>
      </fill>
    </dxf>
    <dxf>
      <font>
        <color rgb="FF9C0006"/>
      </font>
      <fill>
        <patternFill>
          <bgColor rgb="FFFFC7CE"/>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b/>
        <i val="0"/>
        <color theme="0"/>
      </font>
      <fill>
        <patternFill>
          <bgColor rgb="FFFF0000"/>
        </patternFill>
      </fill>
    </dxf>
    <dxf>
      <font>
        <color rgb="FF006100"/>
      </font>
      <fill>
        <patternFill>
          <bgColor rgb="FFC6EFCE"/>
        </patternFill>
      </fill>
    </dxf>
    <dxf>
      <font>
        <color theme="5" tint="-0.24994659260841701"/>
      </font>
      <fill>
        <patternFill>
          <bgColor theme="9" tint="0.79998168889431442"/>
        </patternFill>
      </fill>
    </dxf>
    <dxf>
      <font>
        <color rgb="FF0000FF"/>
      </font>
      <fill>
        <patternFill>
          <bgColor theme="4"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6" tint="0.59996337778862885"/>
        </patternFill>
      </fill>
    </dxf>
    <dxf>
      <font>
        <color rgb="FF0000FF"/>
      </font>
      <fill>
        <patternFill>
          <bgColor theme="4" tint="0.59996337778862885"/>
        </patternFill>
      </fill>
    </dxf>
    <dxf>
      <font>
        <b/>
        <i val="0"/>
        <color theme="0"/>
      </font>
      <fill>
        <patternFill>
          <bgColor rgb="FFFF0000"/>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color rgb="FF0000FF"/>
      </font>
      <fill>
        <patternFill>
          <bgColor theme="4" tint="0.59996337778862885"/>
        </patternFill>
      </fill>
    </dxf>
    <dxf>
      <font>
        <color theme="5" tint="-0.24994659260841701"/>
      </font>
      <fill>
        <patternFill>
          <bgColor theme="9" tint="0.79998168889431442"/>
        </patternFill>
      </fill>
    </dxf>
    <dxf>
      <font>
        <color rgb="FF0000FF"/>
      </font>
      <fill>
        <patternFill>
          <bgColor theme="4" tint="0.59996337778862885"/>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9C0006"/>
      </font>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b/>
        <i val="0"/>
        <color theme="0"/>
      </font>
      <fill>
        <patternFill>
          <bgColor rgb="FFFF0000"/>
        </patternFill>
      </fill>
    </dxf>
    <dxf>
      <font>
        <color theme="5" tint="-0.24994659260841701"/>
      </font>
      <fill>
        <patternFill>
          <bgColor theme="9" tint="0.79998168889431442"/>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theme="5" tint="-0.24994659260841701"/>
      </font>
      <fill>
        <patternFill>
          <bgColor theme="6" tint="0.59996337778862885"/>
        </patternFill>
      </fill>
    </dxf>
    <dxf>
      <font>
        <color rgb="FF0000FF"/>
      </font>
      <fill>
        <patternFill>
          <bgColor theme="4"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9C0006"/>
      </font>
      <fill>
        <patternFill>
          <bgColor rgb="FFFFC7CE"/>
        </patternFill>
      </fill>
    </dxf>
    <dxf>
      <font>
        <color rgb="FF006100"/>
      </font>
      <fill>
        <patternFill>
          <bgColor rgb="FFC6EFCE"/>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9C0006"/>
      </font>
      <fill>
        <patternFill>
          <bgColor rgb="FFFFC7CE"/>
        </patternFill>
      </fill>
    </dxf>
    <dxf>
      <font>
        <color rgb="FF9C0006"/>
      </font>
    </dxf>
    <dxf>
      <font>
        <b/>
        <i val="0"/>
        <color theme="0"/>
      </font>
      <fill>
        <patternFill>
          <bgColor rgb="FFFF0000"/>
        </patternFill>
      </fill>
    </dxf>
    <dxf>
      <font>
        <color theme="5" tint="-0.24994659260841701"/>
      </font>
      <fill>
        <patternFill>
          <bgColor theme="9" tint="0.79998168889431442"/>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9C0006"/>
      </font>
    </dxf>
    <dxf>
      <font>
        <b/>
        <i val="0"/>
        <color theme="0"/>
      </font>
      <fill>
        <patternFill>
          <bgColor rgb="FFFF0000"/>
        </patternFill>
      </fill>
    </dxf>
    <dxf>
      <font>
        <color rgb="FF006100"/>
      </font>
      <fill>
        <patternFill>
          <bgColor rgb="FFC6EFCE"/>
        </patternFill>
      </fill>
    </dxf>
    <dxf>
      <font>
        <color theme="5" tint="-0.24994659260841701"/>
      </font>
      <fill>
        <patternFill>
          <bgColor theme="9" tint="0.79998168889431442"/>
        </patternFill>
      </fill>
    </dxf>
    <dxf>
      <font>
        <color rgb="FF9C0006"/>
      </font>
      <fill>
        <patternFill>
          <bgColor rgb="FFFFC7CE"/>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0000FF"/>
      </font>
      <fill>
        <patternFill>
          <bgColor theme="4" tint="0.59996337778862885"/>
        </patternFill>
      </fill>
    </dxf>
    <dxf>
      <font>
        <color rgb="FF0000FF"/>
      </font>
      <fill>
        <patternFill>
          <bgColor theme="4"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6" tint="0.59996337778862885"/>
        </patternFill>
      </fill>
    </dxf>
    <dxf>
      <font>
        <color rgb="FF9C0006"/>
      </font>
      <fill>
        <patternFill>
          <bgColor rgb="FFFFC7CE"/>
        </patternFill>
      </fill>
    </dxf>
    <dxf>
      <font>
        <b/>
        <i val="0"/>
        <color theme="0"/>
      </font>
      <fill>
        <patternFill>
          <bgColor rgb="FFFF0000"/>
        </patternFill>
      </fill>
    </dxf>
    <dxf>
      <font>
        <color rgb="FF9C0006"/>
      </font>
    </dxf>
    <dxf>
      <font>
        <color theme="5" tint="-0.24994659260841701"/>
      </font>
      <fill>
        <patternFill>
          <bgColor theme="9" tint="0.79998168889431442"/>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9C0006"/>
      </font>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9C0006"/>
      </font>
    </dxf>
    <dxf>
      <font>
        <color theme="5" tint="-0.24994659260841701"/>
      </font>
      <fill>
        <patternFill>
          <bgColor theme="9" tint="0.79998168889431442"/>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color rgb="FF0000FF"/>
      </font>
      <fill>
        <patternFill>
          <bgColor theme="4"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9C0006"/>
      </font>
      <fill>
        <patternFill>
          <bgColor rgb="FFFFC7CE"/>
        </patternFill>
      </fill>
    </dxf>
    <dxf>
      <font>
        <color rgb="FF0000FF"/>
      </font>
      <fill>
        <patternFill>
          <bgColor theme="4" tint="0.59996337778862885"/>
        </patternFill>
      </fill>
    </dxf>
    <dxf>
      <font>
        <color rgb="FF006100"/>
      </font>
      <fill>
        <patternFill>
          <bgColor rgb="FFC6EFCE"/>
        </patternFill>
      </fill>
    </dxf>
    <dxf>
      <font>
        <color rgb="FF0000FF"/>
      </font>
      <fill>
        <patternFill>
          <bgColor theme="4"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0000FF"/>
      </font>
      <fill>
        <patternFill>
          <bgColor theme="4" tint="0.59996337778862885"/>
        </patternFill>
      </fill>
    </dxf>
    <dxf>
      <font>
        <color rgb="FF9C0006"/>
      </font>
      <fill>
        <patternFill>
          <bgColor rgb="FFFFC7CE"/>
        </patternFill>
      </fill>
    </dxf>
    <dxf>
      <font>
        <color rgb="FF0000FF"/>
      </font>
      <fill>
        <patternFill>
          <bgColor theme="4" tint="0.59996337778862885"/>
        </patternFill>
      </fill>
    </dxf>
    <dxf>
      <font>
        <color rgb="FF9C0006"/>
      </font>
      <fill>
        <patternFill>
          <bgColor rgb="FFFFC7CE"/>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color theme="5" tint="-0.24994659260841701"/>
      </font>
      <fill>
        <patternFill>
          <bgColor theme="9" tint="0.79998168889431442"/>
        </patternFill>
      </fill>
    </dxf>
    <dxf>
      <font>
        <b/>
        <i val="0"/>
        <color theme="0"/>
      </font>
      <fill>
        <patternFill>
          <bgColor rgb="FFFF0000"/>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rgb="FF9C0006"/>
      </font>
    </dxf>
    <dxf>
      <font>
        <color theme="5" tint="-0.24994659260841701"/>
      </font>
      <fill>
        <patternFill>
          <bgColor theme="9" tint="0.79998168889431442"/>
        </patternFill>
      </fill>
    </dxf>
    <dxf>
      <font>
        <color rgb="FF9C0006"/>
      </font>
    </dxf>
    <dxf>
      <font>
        <color rgb="FF006100"/>
      </font>
      <fill>
        <patternFill>
          <bgColor rgb="FFC6EFCE"/>
        </patternFill>
      </fill>
    </dxf>
    <dxf>
      <font>
        <color rgb="FF9C0006"/>
      </font>
      <fill>
        <patternFill>
          <bgColor rgb="FFFFC7CE"/>
        </patternFill>
      </fill>
    </dxf>
    <dxf>
      <font>
        <b/>
        <i val="0"/>
        <color theme="0"/>
      </font>
      <fill>
        <patternFill>
          <bgColor rgb="FFFF0000"/>
        </patternFill>
      </fill>
    </dxf>
    <dxf>
      <font>
        <color theme="5" tint="-0.24994659260841701"/>
      </font>
      <fill>
        <patternFill>
          <bgColor theme="9" tint="0.79998168889431442"/>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theme="5" tint="-0.24994659260841701"/>
      </font>
      <fill>
        <patternFill>
          <bgColor theme="9" tint="0.79998168889431442"/>
        </patternFill>
      </fill>
    </dxf>
    <dxf>
      <font>
        <color rgb="FF9C0006"/>
      </font>
    </dxf>
    <dxf>
      <font>
        <color rgb="FF006100"/>
      </font>
      <fill>
        <patternFill>
          <bgColor rgb="FFC6EFCE"/>
        </patternFill>
      </fill>
    </dxf>
    <dxf>
      <font>
        <color rgb="FF9C0006"/>
      </font>
      <fill>
        <patternFill>
          <bgColor rgb="FFFFC7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theme="5" tint="-0.24994659260841701"/>
      </font>
      <fill>
        <patternFill>
          <bgColor theme="9" tint="0.79998168889431442"/>
        </patternFill>
      </fill>
    </dxf>
    <dxf>
      <font>
        <color rgb="FF006100"/>
      </font>
      <fill>
        <patternFill>
          <bgColor rgb="FFC6EFCE"/>
        </patternFill>
      </fill>
    </dxf>
    <dxf>
      <font>
        <color rgb="FF9C0006"/>
      </font>
    </dxf>
    <dxf>
      <font>
        <b/>
        <i val="0"/>
        <color theme="0"/>
      </font>
      <fill>
        <patternFill>
          <bgColor rgb="FFFF0000"/>
        </patternFill>
      </fill>
    </dxf>
    <dxf>
      <font>
        <color rgb="FF9C0006"/>
      </font>
      <fill>
        <patternFill>
          <bgColor rgb="FFFFC7CE"/>
        </patternFill>
      </fill>
    </dxf>
    <dxf>
      <font>
        <color theme="5" tint="-0.24994659260841701"/>
      </font>
      <fill>
        <patternFill>
          <bgColor theme="9" tint="0.79998168889431442"/>
        </patternFill>
      </fill>
    </dxf>
    <dxf>
      <font>
        <color rgb="FF0000FF"/>
      </font>
      <fill>
        <patternFill>
          <bgColor theme="4" tint="0.59996337778862885"/>
        </patternFill>
      </fill>
    </dxf>
    <dxf>
      <font>
        <color theme="5" tint="-0.24994659260841701"/>
      </font>
      <fill>
        <patternFill>
          <bgColor theme="6" tint="0.59996337778862885"/>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9C0006"/>
      </font>
      <fill>
        <patternFill>
          <bgColor rgb="FFFFC7CE"/>
        </patternFill>
      </fill>
    </dxf>
    <dxf>
      <font>
        <b/>
        <i val="0"/>
        <color theme="0"/>
      </font>
      <fill>
        <patternFill>
          <bgColor rgb="FFFF0000"/>
        </patternFill>
      </fill>
    </dxf>
    <dxf>
      <font>
        <color rgb="FF9C0006"/>
      </font>
    </dxf>
    <dxf>
      <font>
        <color theme="5" tint="-0.24994659260841701"/>
      </font>
      <fill>
        <patternFill>
          <bgColor theme="9" tint="0.79998168889431442"/>
        </patternFill>
      </fill>
    </dxf>
    <dxf>
      <font>
        <color rgb="FF006100"/>
      </font>
      <fill>
        <patternFill>
          <bgColor rgb="FFC6EF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9C0006"/>
      </font>
      <fill>
        <patternFill>
          <bgColor rgb="FFFFC7CE"/>
        </patternFill>
      </fill>
    </dxf>
    <dxf>
      <font>
        <color rgb="FF006100"/>
      </font>
      <fill>
        <patternFill>
          <bgColor rgb="FFC6EFCE"/>
        </patternFill>
      </fill>
    </dxf>
    <dxf>
      <font>
        <color theme="5" tint="-0.24994659260841701"/>
      </font>
      <fill>
        <patternFill>
          <bgColor theme="9" tint="0.79998168889431442"/>
        </patternFill>
      </fill>
    </dxf>
    <dxf>
      <font>
        <b/>
        <i val="0"/>
        <color theme="0"/>
      </font>
      <fill>
        <patternFill>
          <bgColor rgb="FFFF0000"/>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0000FF"/>
      </font>
      <fill>
        <patternFill>
          <bgColor theme="4" tint="0.59996337778862885"/>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rgb="FF9C0006"/>
      </font>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b/>
        <i val="0"/>
        <color theme="0"/>
      </font>
      <fill>
        <patternFill>
          <bgColor rgb="FFFF0000"/>
        </patternFill>
      </fill>
    </dxf>
    <dxf>
      <font>
        <color rgb="FF0000FF"/>
      </font>
      <fill>
        <patternFill>
          <bgColor rgb="FFFFFF00"/>
        </patternFill>
      </fill>
    </dxf>
    <dxf>
      <font>
        <color rgb="FF0000FF"/>
      </font>
      <fill>
        <patternFill>
          <bgColor rgb="FFFFFF00"/>
        </patternFill>
      </fill>
    </dxf>
    <dxf>
      <font>
        <color rgb="FF9C0006"/>
      </font>
    </dxf>
    <dxf>
      <font>
        <color theme="5" tint="-0.24994659260841701"/>
      </font>
      <fill>
        <patternFill>
          <bgColor theme="6" tint="0.59996337778862885"/>
        </patternFill>
      </fill>
    </dxf>
    <dxf>
      <font>
        <color rgb="FF0000FF"/>
      </font>
      <fill>
        <patternFill>
          <bgColor theme="4"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6" tint="0.59996337778862885"/>
        </patternFill>
      </fill>
    </dxf>
    <dxf>
      <font>
        <color rgb="FF0000FF"/>
      </font>
      <fill>
        <patternFill>
          <bgColor theme="4"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6" tint="0.59996337778862885"/>
        </patternFill>
      </fill>
    </dxf>
    <dxf>
      <font>
        <color rgb="FF0000FF"/>
      </font>
      <fill>
        <patternFill>
          <bgColor theme="4"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b/>
        <i val="0"/>
        <color theme="0"/>
      </font>
      <fill>
        <patternFill>
          <bgColor rgb="FFFF0000"/>
        </patternFill>
      </fill>
    </dxf>
    <dxf>
      <font>
        <color rgb="FF006100"/>
      </font>
      <fill>
        <patternFill>
          <bgColor rgb="FFC6EFCE"/>
        </patternFill>
      </fill>
    </dxf>
    <dxf>
      <font>
        <color rgb="FF9C0006"/>
      </font>
    </dxf>
    <dxf>
      <font>
        <color theme="5" tint="-0.24994659260841701"/>
      </font>
      <fill>
        <patternFill>
          <bgColor theme="9" tint="0.79998168889431442"/>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rgb="FF0000FF"/>
      </font>
      <fill>
        <patternFill>
          <bgColor theme="4" tint="0.59996337778862885"/>
        </patternFill>
      </fill>
    </dxf>
    <dxf>
      <font>
        <color theme="5" tint="-0.24994659260841701"/>
      </font>
      <fill>
        <patternFill>
          <bgColor theme="6" tint="0.59996337778862885"/>
        </patternFill>
      </fill>
    </dxf>
    <dxf>
      <font>
        <b/>
        <i val="0"/>
        <color theme="0"/>
      </font>
      <fill>
        <patternFill>
          <bgColor rgb="FFFF0000"/>
        </patternFill>
      </fill>
    </dxf>
    <dxf>
      <font>
        <color theme="5" tint="-0.24994659260841701"/>
      </font>
      <fill>
        <patternFill>
          <bgColor theme="9" tint="0.79998168889431442"/>
        </patternFill>
      </fill>
    </dxf>
    <dxf>
      <font>
        <color rgb="FF9C0006"/>
      </font>
      <fill>
        <patternFill>
          <bgColor rgb="FFFFC7CE"/>
        </patternFill>
      </fill>
    </dxf>
    <dxf>
      <font>
        <color rgb="FF006100"/>
      </font>
      <fill>
        <patternFill>
          <bgColor rgb="FFC6EFCE"/>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rgb="FF0000FF"/>
      </font>
      <fill>
        <patternFill>
          <bgColor theme="4" tint="0.59996337778862885"/>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9C0006"/>
      </font>
      <fill>
        <patternFill>
          <bgColor rgb="FFFFC7CE"/>
        </patternFill>
      </fill>
    </dxf>
    <dxf>
      <font>
        <color rgb="FF9C0006"/>
      </font>
    </dxf>
    <dxf>
      <font>
        <color rgb="FF9C0006"/>
      </font>
    </dxf>
    <dxf>
      <font>
        <color rgb="FF0000FF"/>
      </font>
      <fill>
        <patternFill>
          <bgColor theme="4" tint="0.59996337778862885"/>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rgb="FF0000FF"/>
      </font>
      <fill>
        <patternFill>
          <bgColor theme="4" tint="0.59996337778862885"/>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b/>
        <i val="0"/>
        <color theme="0"/>
      </font>
      <fill>
        <patternFill>
          <bgColor rgb="FFFF0000"/>
        </patternFill>
      </fill>
    </dxf>
    <dxf>
      <font>
        <color theme="5" tint="-0.24994659260841701"/>
      </font>
      <fill>
        <patternFill>
          <bgColor theme="6" tint="0.59996337778862885"/>
        </patternFill>
      </fill>
    </dxf>
    <dxf>
      <font>
        <color rgb="FF0000FF"/>
      </font>
      <fill>
        <patternFill>
          <bgColor theme="4" tint="0.59996337778862885"/>
        </patternFill>
      </fill>
    </dxf>
    <dxf>
      <font>
        <color theme="5" tint="-0.24994659260841701"/>
      </font>
      <fill>
        <patternFill>
          <bgColor theme="9" tint="0.79998168889431442"/>
        </patternFill>
      </fill>
    </dxf>
    <dxf>
      <font>
        <color rgb="FF9C0006"/>
      </font>
      <fill>
        <patternFill>
          <bgColor rgb="FFFFC7CE"/>
        </patternFill>
      </fill>
    </dxf>
    <dxf>
      <font>
        <color rgb="FF006100"/>
      </font>
      <fill>
        <patternFill>
          <bgColor rgb="FFC6EFCE"/>
        </patternFill>
      </fill>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fill>
        <patternFill>
          <bgColor rgb="FFFFC7CE"/>
        </patternFill>
      </fill>
    </dxf>
    <dxf>
      <font>
        <color rgb="FF006100"/>
      </font>
      <fill>
        <patternFill>
          <bgColor rgb="FFC6EFCE"/>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theme="5" tint="-0.24994659260841701"/>
      </font>
      <fill>
        <patternFill>
          <bgColor theme="6" tint="0.59996337778862885"/>
        </patternFill>
      </fill>
    </dxf>
    <dxf>
      <font>
        <color rgb="FF0000FF"/>
      </font>
      <fill>
        <patternFill>
          <bgColor theme="4" tint="0.59996337778862885"/>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rgb="FF006100"/>
      </font>
      <fill>
        <patternFill>
          <bgColor rgb="FFC6EFCE"/>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dxf>
    <dxf>
      <font>
        <color rgb="FF9C0006"/>
      </font>
    </dxf>
    <dxf>
      <font>
        <b/>
        <i val="0"/>
        <color theme="0"/>
      </font>
      <fill>
        <patternFill>
          <bgColor rgb="FFFF0000"/>
        </patternFill>
      </fill>
    </dxf>
    <dxf>
      <font>
        <color theme="5" tint="-0.24994659260841701"/>
      </font>
      <fill>
        <patternFill>
          <bgColor theme="9" tint="0.79998168889431442"/>
        </patternFill>
      </fill>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b/>
        <i val="0"/>
        <color theme="0"/>
      </font>
      <fill>
        <patternFill>
          <bgColor rgb="FFFF0000"/>
        </patternFill>
      </fill>
    </dxf>
    <dxf>
      <font>
        <color rgb="FF9C0006"/>
      </font>
    </dxf>
    <dxf>
      <font>
        <color rgb="FF0000FF"/>
      </font>
      <fill>
        <patternFill>
          <bgColor theme="4" tint="0.59996337778862885"/>
        </patternFill>
      </fill>
    </dxf>
    <dxf>
      <font>
        <color theme="5" tint="-0.24994659260841701"/>
      </font>
      <fill>
        <patternFill>
          <bgColor theme="6" tint="0.59996337778862885"/>
        </patternFill>
      </fill>
    </dxf>
    <dxf>
      <font>
        <color rgb="FF9C0006"/>
      </font>
      <fill>
        <patternFill>
          <bgColor rgb="FFFFC7CE"/>
        </patternFill>
      </fill>
    </dxf>
    <dxf>
      <font>
        <color theme="5" tint="-0.24994659260841701"/>
      </font>
      <fill>
        <patternFill>
          <bgColor theme="9" tint="0.79998168889431442"/>
        </patternFill>
      </fill>
    </dxf>
    <dxf>
      <font>
        <color rgb="FF006100"/>
      </font>
      <fill>
        <patternFill>
          <bgColor rgb="FFC6EFCE"/>
        </patternFill>
      </fill>
    </dxf>
    <dxf>
      <font>
        <color theme="5" tint="-0.24994659260841701"/>
      </font>
      <fill>
        <patternFill>
          <bgColor theme="6" tint="0.59996337778862885"/>
        </patternFill>
      </fill>
    </dxf>
    <dxf>
      <font>
        <color theme="5" tint="-0.24994659260841701"/>
      </font>
      <fill>
        <patternFill>
          <bgColor theme="9" tint="0.79998168889431442"/>
        </patternFill>
      </fill>
    </dxf>
    <dxf>
      <font>
        <b/>
        <i val="0"/>
        <color theme="0"/>
      </font>
      <fill>
        <patternFill>
          <bgColor rgb="FFFF0000"/>
        </patternFill>
      </fill>
    </dxf>
    <dxf>
      <font>
        <color rgb="FF0000FF"/>
      </font>
      <fill>
        <patternFill>
          <bgColor theme="4" tint="0.59996337778862885"/>
        </patternFill>
      </fill>
    </dxf>
    <dxf>
      <font>
        <b/>
        <i val="0"/>
        <color theme="0"/>
      </font>
      <fill>
        <patternFill>
          <bgColor rgb="FFFF0000"/>
        </patternFill>
      </fill>
    </dxf>
    <dxf>
      <font>
        <color theme="5" tint="-0.24994659260841701"/>
      </font>
      <fill>
        <patternFill>
          <bgColor theme="9" tint="0.79998168889431442"/>
        </patternFill>
      </fill>
    </dxf>
    <dxf>
      <font>
        <color rgb="FF9C0006"/>
      </font>
    </dxf>
    <dxf>
      <font>
        <color rgb="FF006100"/>
      </font>
      <fill>
        <patternFill>
          <bgColor rgb="FFC6EFCE"/>
        </patternFill>
      </fill>
    </dxf>
    <dxf>
      <font>
        <color rgb="FF9C0006"/>
      </font>
    </dxf>
    <dxf>
      <font>
        <color rgb="FF006100"/>
      </font>
      <fill>
        <patternFill>
          <bgColor rgb="FFC6EFCE"/>
        </patternFill>
      </fill>
    </dxf>
    <dxf>
      <font>
        <color rgb="FF9C0006"/>
      </font>
      <fill>
        <patternFill>
          <bgColor rgb="FFFFC7CE"/>
        </patternFill>
      </fill>
    </dxf>
    <dxf>
      <font>
        <color theme="5" tint="-0.24994659260841701"/>
      </font>
      <fill>
        <patternFill>
          <bgColor theme="9" tint="0.79998168889431442"/>
        </patternFill>
      </fill>
    </dxf>
    <dxf>
      <font>
        <b/>
        <i val="0"/>
        <color theme="0"/>
      </font>
      <fill>
        <patternFill>
          <bgColor rgb="FFFF0000"/>
        </patternFill>
      </fill>
    </dxf>
    <dxf>
      <font>
        <color theme="5" tint="-0.24994659260841701"/>
      </font>
      <fill>
        <patternFill>
          <bgColor theme="6" tint="0.59996337778862885"/>
        </patternFill>
      </fill>
    </dxf>
    <dxf>
      <font>
        <color rgb="FF0000FF"/>
      </font>
      <fill>
        <patternFill>
          <bgColor theme="4" tint="0.5999633777886288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99"/>
      <color rgb="FF3366FF"/>
      <color rgb="FF0000FF"/>
      <color rgb="FF0140BF"/>
      <color rgb="FF1306BA"/>
      <color rgb="FF1547AB"/>
      <color rgb="FF009900"/>
      <color rgb="FF66CCFF"/>
      <color rgb="FF339933"/>
      <color rgb="FF33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4C599241-6926-101B-9992-00000B65C6F9}" ax:persistence="persistStreamInit" r:id="rId1"/>
</file>

<file path=xl/ctrlProps/ctrlProp1.xml><?xml version="1.0" encoding="utf-8"?>
<formControlPr xmlns="http://schemas.microsoft.com/office/spreadsheetml/2009/9/main" objectType="Drop" dropStyle="combo" dx="16" fmlaLink="$S$1" fmlaRange="$T$2:$T$5" sel="3" val="0"/>
</file>

<file path=xl/ctrlProps/ctrlProp2.xml><?xml version="1.0" encoding="utf-8"?>
<formControlPr xmlns="http://schemas.microsoft.com/office/spreadsheetml/2009/9/main" objectType="Drop" dropStyle="combo" dx="16" fmlaLink="$S$1" fmlaRange="$T$2:$T$5" sel="3" val="0"/>
</file>

<file path=xl/ctrlProps/ctrlProp3.xml><?xml version="1.0" encoding="utf-8"?>
<formControlPr xmlns="http://schemas.microsoft.com/office/spreadsheetml/2009/9/main" objectType="Drop" dropStyle="combo" dx="16" fmlaLink="$S$1" fmlaRange="$T$2:$T$5" sel="1" val="0"/>
</file>

<file path=xl/ctrlProps/ctrlProp4.xml><?xml version="1.0" encoding="utf-8"?>
<formControlPr xmlns="http://schemas.microsoft.com/office/spreadsheetml/2009/9/main" objectType="Drop" dropStyle="combo" dx="16" fmlaLink="$S$1" fmlaRange="$T$2:$T$5" sel="3" val="0"/>
</file>

<file path=xl/ctrlProps/ctrlProp5.xml><?xml version="1.0" encoding="utf-8"?>
<formControlPr xmlns="http://schemas.microsoft.com/office/spreadsheetml/2009/9/main" objectType="Drop" dropStyle="combo" dx="16" fmlaLink="$S$1" fmlaRange="$T$2:$T$5" sel="3" val="0"/>
</file>

<file path=xl/ctrlProps/ctrlProp6.xml><?xml version="1.0" encoding="utf-8"?>
<formControlPr xmlns="http://schemas.microsoft.com/office/spreadsheetml/2009/9/main" objectType="Drop" dropStyle="combo" dx="16" fmlaLink="$S$1" fmlaRange="$T$2:$T$5" sel="3" val="0"/>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2790825</xdr:colOff>
      <xdr:row>1</xdr:row>
      <xdr:rowOff>47625</xdr:rowOff>
    </xdr:from>
    <xdr:to>
      <xdr:col>1</xdr:col>
      <xdr:colOff>209550</xdr:colOff>
      <xdr:row>1</xdr:row>
      <xdr:rowOff>161925</xdr:rowOff>
    </xdr:to>
    <xdr:sp macro="" textlink="">
      <xdr:nvSpPr>
        <xdr:cNvPr id="2" name="Signo de multiplicación 1">
          <a:extLst>
            <a:ext uri="{FF2B5EF4-FFF2-40B4-BE49-F238E27FC236}">
              <a16:creationId xmlns:a16="http://schemas.microsoft.com/office/drawing/2014/main" id="{00000000-0008-0000-0000-000002000000}"/>
            </a:ext>
          </a:extLst>
        </xdr:cNvPr>
        <xdr:cNvSpPr/>
      </xdr:nvSpPr>
      <xdr:spPr>
        <a:xfrm>
          <a:off x="2790825" y="247650"/>
          <a:ext cx="219075" cy="114300"/>
        </a:xfrm>
        <a:prstGeom prst="mathMultiply">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s-MX"/>
        </a:p>
      </xdr:txBody>
    </xdr:sp>
    <xdr:clientData/>
  </xdr:twoCellAnchor>
  <xdr:twoCellAnchor>
    <xdr:from>
      <xdr:col>1</xdr:col>
      <xdr:colOff>400050</xdr:colOff>
      <xdr:row>17</xdr:row>
      <xdr:rowOff>38100</xdr:rowOff>
    </xdr:from>
    <xdr:to>
      <xdr:col>1</xdr:col>
      <xdr:colOff>619125</xdr:colOff>
      <xdr:row>17</xdr:row>
      <xdr:rowOff>152400</xdr:rowOff>
    </xdr:to>
    <xdr:sp macro="" textlink="">
      <xdr:nvSpPr>
        <xdr:cNvPr id="3" name="Signo de multiplicación 2">
          <a:extLst>
            <a:ext uri="{FF2B5EF4-FFF2-40B4-BE49-F238E27FC236}">
              <a16:creationId xmlns:a16="http://schemas.microsoft.com/office/drawing/2014/main" id="{00000000-0008-0000-0000-000003000000}"/>
            </a:ext>
          </a:extLst>
        </xdr:cNvPr>
        <xdr:cNvSpPr/>
      </xdr:nvSpPr>
      <xdr:spPr>
        <a:xfrm>
          <a:off x="3200400" y="4905375"/>
          <a:ext cx="219075" cy="114300"/>
        </a:xfrm>
        <a:prstGeom prst="mathMultiply">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s-MX"/>
        </a:p>
      </xdr:txBody>
    </xdr:sp>
    <xdr:clientData/>
  </xdr:twoCellAnchor>
  <xdr:twoCellAnchor>
    <xdr:from>
      <xdr:col>0</xdr:col>
      <xdr:colOff>0</xdr:colOff>
      <xdr:row>46</xdr:row>
      <xdr:rowOff>266700</xdr:rowOff>
    </xdr:from>
    <xdr:to>
      <xdr:col>0</xdr:col>
      <xdr:colOff>219075</xdr:colOff>
      <xdr:row>46</xdr:row>
      <xdr:rowOff>381000</xdr:rowOff>
    </xdr:to>
    <xdr:sp macro="" textlink="">
      <xdr:nvSpPr>
        <xdr:cNvPr id="4" name="Signo de multiplicación 3">
          <a:extLst>
            <a:ext uri="{FF2B5EF4-FFF2-40B4-BE49-F238E27FC236}">
              <a16:creationId xmlns:a16="http://schemas.microsoft.com/office/drawing/2014/main" id="{00000000-0008-0000-0000-000004000000}"/>
            </a:ext>
          </a:extLst>
        </xdr:cNvPr>
        <xdr:cNvSpPr/>
      </xdr:nvSpPr>
      <xdr:spPr>
        <a:xfrm>
          <a:off x="0" y="15182850"/>
          <a:ext cx="219075" cy="114300"/>
        </a:xfrm>
        <a:prstGeom prst="mathMultiply">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s-MX"/>
        </a:p>
      </xdr:txBody>
    </xdr:sp>
    <xdr:clientData/>
  </xdr:twoCellAnchor>
  <xdr:twoCellAnchor>
    <xdr:from>
      <xdr:col>0</xdr:col>
      <xdr:colOff>0</xdr:colOff>
      <xdr:row>32</xdr:row>
      <xdr:rowOff>57150</xdr:rowOff>
    </xdr:from>
    <xdr:to>
      <xdr:col>0</xdr:col>
      <xdr:colOff>219075</xdr:colOff>
      <xdr:row>32</xdr:row>
      <xdr:rowOff>171450</xdr:rowOff>
    </xdr:to>
    <xdr:sp macro="" textlink="">
      <xdr:nvSpPr>
        <xdr:cNvPr id="5" name="Signo de multiplicación 4">
          <a:extLst>
            <a:ext uri="{FF2B5EF4-FFF2-40B4-BE49-F238E27FC236}">
              <a16:creationId xmlns:a16="http://schemas.microsoft.com/office/drawing/2014/main" id="{00000000-0008-0000-0000-000005000000}"/>
            </a:ext>
          </a:extLst>
        </xdr:cNvPr>
        <xdr:cNvSpPr/>
      </xdr:nvSpPr>
      <xdr:spPr>
        <a:xfrm>
          <a:off x="0" y="10401300"/>
          <a:ext cx="219075" cy="114300"/>
        </a:xfrm>
        <a:prstGeom prst="mathMultiply">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s-MX"/>
        </a:p>
      </xdr:txBody>
    </xdr:sp>
    <xdr:clientData/>
  </xdr:twoCellAnchor>
  <xdr:twoCellAnchor>
    <xdr:from>
      <xdr:col>0</xdr:col>
      <xdr:colOff>0</xdr:colOff>
      <xdr:row>58</xdr:row>
      <xdr:rowOff>333375</xdr:rowOff>
    </xdr:from>
    <xdr:to>
      <xdr:col>0</xdr:col>
      <xdr:colOff>219075</xdr:colOff>
      <xdr:row>58</xdr:row>
      <xdr:rowOff>447675</xdr:rowOff>
    </xdr:to>
    <xdr:sp macro="" textlink="">
      <xdr:nvSpPr>
        <xdr:cNvPr id="6" name="Signo de multiplicación 5">
          <a:extLst>
            <a:ext uri="{FF2B5EF4-FFF2-40B4-BE49-F238E27FC236}">
              <a16:creationId xmlns:a16="http://schemas.microsoft.com/office/drawing/2014/main" id="{00000000-0008-0000-0000-000006000000}"/>
            </a:ext>
          </a:extLst>
        </xdr:cNvPr>
        <xdr:cNvSpPr/>
      </xdr:nvSpPr>
      <xdr:spPr>
        <a:xfrm>
          <a:off x="0" y="20812125"/>
          <a:ext cx="219075" cy="114300"/>
        </a:xfrm>
        <a:prstGeom prst="mathMultiply">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s-MX"/>
        </a:p>
      </xdr:txBody>
    </xdr:sp>
    <xdr:clientData/>
  </xdr:twoCellAnchor>
  <xdr:twoCellAnchor>
    <xdr:from>
      <xdr:col>0</xdr:col>
      <xdr:colOff>0</xdr:colOff>
      <xdr:row>51</xdr:row>
      <xdr:rowOff>57150</xdr:rowOff>
    </xdr:from>
    <xdr:to>
      <xdr:col>0</xdr:col>
      <xdr:colOff>219075</xdr:colOff>
      <xdr:row>51</xdr:row>
      <xdr:rowOff>171450</xdr:rowOff>
    </xdr:to>
    <xdr:sp macro="" textlink="">
      <xdr:nvSpPr>
        <xdr:cNvPr id="7" name="Signo de multiplicación 6">
          <a:extLst>
            <a:ext uri="{FF2B5EF4-FFF2-40B4-BE49-F238E27FC236}">
              <a16:creationId xmlns:a16="http://schemas.microsoft.com/office/drawing/2014/main" id="{00000000-0008-0000-0000-000007000000}"/>
            </a:ext>
          </a:extLst>
        </xdr:cNvPr>
        <xdr:cNvSpPr/>
      </xdr:nvSpPr>
      <xdr:spPr>
        <a:xfrm>
          <a:off x="0" y="17945100"/>
          <a:ext cx="219075" cy="114300"/>
        </a:xfrm>
        <a:prstGeom prst="mathMultiply">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s-MX"/>
        </a:p>
      </xdr:txBody>
    </xdr:sp>
    <xdr:clientData/>
  </xdr:twoCellAnchor>
  <xdr:twoCellAnchor>
    <xdr:from>
      <xdr:col>0</xdr:col>
      <xdr:colOff>0</xdr:colOff>
      <xdr:row>63</xdr:row>
      <xdr:rowOff>47625</xdr:rowOff>
    </xdr:from>
    <xdr:to>
      <xdr:col>0</xdr:col>
      <xdr:colOff>219075</xdr:colOff>
      <xdr:row>63</xdr:row>
      <xdr:rowOff>161925</xdr:rowOff>
    </xdr:to>
    <xdr:sp macro="" textlink="">
      <xdr:nvSpPr>
        <xdr:cNvPr id="8" name="Signo de multiplicación 7">
          <a:extLst>
            <a:ext uri="{FF2B5EF4-FFF2-40B4-BE49-F238E27FC236}">
              <a16:creationId xmlns:a16="http://schemas.microsoft.com/office/drawing/2014/main" id="{00000000-0008-0000-0000-000008000000}"/>
            </a:ext>
          </a:extLst>
        </xdr:cNvPr>
        <xdr:cNvSpPr/>
      </xdr:nvSpPr>
      <xdr:spPr>
        <a:xfrm>
          <a:off x="0" y="23193375"/>
          <a:ext cx="219075" cy="114300"/>
        </a:xfrm>
        <a:prstGeom prst="mathMultiply">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s-MX"/>
        </a:p>
      </xdr:txBody>
    </xdr:sp>
    <xdr:clientData/>
  </xdr:twoCellAnchor>
  <xdr:twoCellAnchor>
    <xdr:from>
      <xdr:col>0</xdr:col>
      <xdr:colOff>0</xdr:colOff>
      <xdr:row>38</xdr:row>
      <xdr:rowOff>104775</xdr:rowOff>
    </xdr:from>
    <xdr:to>
      <xdr:col>0</xdr:col>
      <xdr:colOff>219075</xdr:colOff>
      <xdr:row>38</xdr:row>
      <xdr:rowOff>219075</xdr:rowOff>
    </xdr:to>
    <xdr:sp macro="" textlink="">
      <xdr:nvSpPr>
        <xdr:cNvPr id="9" name="Signo de multiplicación 8">
          <a:extLst>
            <a:ext uri="{FF2B5EF4-FFF2-40B4-BE49-F238E27FC236}">
              <a16:creationId xmlns:a16="http://schemas.microsoft.com/office/drawing/2014/main" id="{00000000-0008-0000-0000-000009000000}"/>
            </a:ext>
          </a:extLst>
        </xdr:cNvPr>
        <xdr:cNvSpPr/>
      </xdr:nvSpPr>
      <xdr:spPr>
        <a:xfrm>
          <a:off x="0" y="12011025"/>
          <a:ext cx="219075" cy="114300"/>
        </a:xfrm>
        <a:prstGeom prst="mathMultiply">
          <a:avLst/>
        </a:prstGeom>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endParaRPr lang="es-MX"/>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xdr:colOff>
          <xdr:row>0</xdr:row>
          <xdr:rowOff>76200</xdr:rowOff>
        </xdr:from>
        <xdr:to>
          <xdr:col>1</xdr:col>
          <xdr:colOff>381000</xdr:colOff>
          <xdr:row>2</xdr:row>
          <xdr:rowOff>106680</xdr:rowOff>
        </xdr:to>
        <xdr:sp macro="" textlink="">
          <xdr:nvSpPr>
            <xdr:cNvPr id="2049" name="Image1" hidden="1">
              <a:extLst>
                <a:ext uri="{63B3BB69-23CF-44E3-9099-C40C66FF867C}">
                  <a14:compatExt spid="_x0000_s2049"/>
                </a:ext>
                <a:ext uri="{FF2B5EF4-FFF2-40B4-BE49-F238E27FC236}">
                  <a16:creationId xmlns:a16="http://schemas.microsoft.com/office/drawing/2014/main" id="{00000000-0008-0000-04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7620</xdr:colOff>
          <xdr:row>13</xdr:row>
          <xdr:rowOff>0</xdr:rowOff>
        </xdr:from>
        <xdr:to>
          <xdr:col>5</xdr:col>
          <xdr:colOff>1531620</xdr:colOff>
          <xdr:row>13</xdr:row>
          <xdr:rowOff>198120</xdr:rowOff>
        </xdr:to>
        <xdr:sp macro="" textlink="">
          <xdr:nvSpPr>
            <xdr:cNvPr id="21505" name="Drop Down 25" hidden="1">
              <a:extLst>
                <a:ext uri="{63B3BB69-23CF-44E3-9099-C40C66FF867C}">
                  <a14:compatExt spid="_x0000_s21505"/>
                </a:ext>
                <a:ext uri="{FF2B5EF4-FFF2-40B4-BE49-F238E27FC236}">
                  <a16:creationId xmlns:a16="http://schemas.microsoft.com/office/drawing/2014/main" id="{00000000-0008-0000-0500-0000015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127000</xdr:colOff>
      <xdr:row>0</xdr:row>
      <xdr:rowOff>76200</xdr:rowOff>
    </xdr:from>
    <xdr:to>
      <xdr:col>2</xdr:col>
      <xdr:colOff>82550</xdr:colOff>
      <xdr:row>5</xdr:row>
      <xdr:rowOff>101600</xdr:rowOff>
    </xdr:to>
    <xdr:pic>
      <xdr:nvPicPr>
        <xdr:cNvPr id="3" name="Picture 3" descr="GMX">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76200"/>
          <a:ext cx="1774825" cy="116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7620</xdr:colOff>
          <xdr:row>13</xdr:row>
          <xdr:rowOff>0</xdr:rowOff>
        </xdr:from>
        <xdr:to>
          <xdr:col>5</xdr:col>
          <xdr:colOff>1531620</xdr:colOff>
          <xdr:row>13</xdr:row>
          <xdr:rowOff>198120</xdr:rowOff>
        </xdr:to>
        <xdr:sp macro="" textlink="">
          <xdr:nvSpPr>
            <xdr:cNvPr id="1049" name="Drop Down 25" hidden="1">
              <a:extLst>
                <a:ext uri="{63B3BB69-23CF-44E3-9099-C40C66FF867C}">
                  <a14:compatExt spid="_x0000_s1049"/>
                </a:ext>
                <a:ext uri="{FF2B5EF4-FFF2-40B4-BE49-F238E27FC236}">
                  <a16:creationId xmlns:a16="http://schemas.microsoft.com/office/drawing/2014/main" id="{00000000-0008-0000-0600-000019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127000</xdr:colOff>
      <xdr:row>0</xdr:row>
      <xdr:rowOff>76200</xdr:rowOff>
    </xdr:from>
    <xdr:to>
      <xdr:col>2</xdr:col>
      <xdr:colOff>82550</xdr:colOff>
      <xdr:row>5</xdr:row>
      <xdr:rowOff>101600</xdr:rowOff>
    </xdr:to>
    <xdr:pic>
      <xdr:nvPicPr>
        <xdr:cNvPr id="8" name="Picture 3" descr="GMX">
          <a:extLst>
            <a:ext uri="{FF2B5EF4-FFF2-40B4-BE49-F238E27FC236}">
              <a16:creationId xmlns:a16="http://schemas.microsoft.com/office/drawing/2014/main" id="{00000000-0008-0000-0600-000008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76200"/>
          <a:ext cx="1644650" cy="1117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7620</xdr:colOff>
          <xdr:row>13</xdr:row>
          <xdr:rowOff>0</xdr:rowOff>
        </xdr:from>
        <xdr:to>
          <xdr:col>5</xdr:col>
          <xdr:colOff>1531620</xdr:colOff>
          <xdr:row>13</xdr:row>
          <xdr:rowOff>198120</xdr:rowOff>
        </xdr:to>
        <xdr:sp macro="" textlink="">
          <xdr:nvSpPr>
            <xdr:cNvPr id="22529" name="Drop Down 25" hidden="1">
              <a:extLst>
                <a:ext uri="{63B3BB69-23CF-44E3-9099-C40C66FF867C}">
                  <a14:compatExt spid="_x0000_s22529"/>
                </a:ext>
                <a:ext uri="{FF2B5EF4-FFF2-40B4-BE49-F238E27FC236}">
                  <a16:creationId xmlns:a16="http://schemas.microsoft.com/office/drawing/2014/main" id="{00000000-0008-0000-0700-0000015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127000</xdr:colOff>
      <xdr:row>0</xdr:row>
      <xdr:rowOff>76200</xdr:rowOff>
    </xdr:from>
    <xdr:to>
      <xdr:col>2</xdr:col>
      <xdr:colOff>82550</xdr:colOff>
      <xdr:row>5</xdr:row>
      <xdr:rowOff>101600</xdr:rowOff>
    </xdr:to>
    <xdr:pic>
      <xdr:nvPicPr>
        <xdr:cNvPr id="3" name="Picture 3" descr="GMX">
          <a:extLst>
            <a:ext uri="{FF2B5EF4-FFF2-40B4-BE49-F238E27FC236}">
              <a16:creationId xmlns:a16="http://schemas.microsoft.com/office/drawing/2014/main" id="{00000000-0008-0000-0700-000003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76200"/>
          <a:ext cx="1774825" cy="1168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7620</xdr:colOff>
          <xdr:row>13</xdr:row>
          <xdr:rowOff>0</xdr:rowOff>
        </xdr:from>
        <xdr:to>
          <xdr:col>5</xdr:col>
          <xdr:colOff>1546860</xdr:colOff>
          <xdr:row>14</xdr:row>
          <xdr:rowOff>0</xdr:rowOff>
        </xdr:to>
        <xdr:sp macro="" textlink="">
          <xdr:nvSpPr>
            <xdr:cNvPr id="47105" name="Drop Down 25" hidden="1">
              <a:extLst>
                <a:ext uri="{63B3BB69-23CF-44E3-9099-C40C66FF867C}">
                  <a14:compatExt spid="_x0000_s47105"/>
                </a:ext>
                <a:ext uri="{FF2B5EF4-FFF2-40B4-BE49-F238E27FC236}">
                  <a16:creationId xmlns:a16="http://schemas.microsoft.com/office/drawing/2014/main" id="{00000000-0008-0000-0800-000001B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127000</xdr:colOff>
      <xdr:row>0</xdr:row>
      <xdr:rowOff>76200</xdr:rowOff>
    </xdr:from>
    <xdr:to>
      <xdr:col>2</xdr:col>
      <xdr:colOff>82550</xdr:colOff>
      <xdr:row>5</xdr:row>
      <xdr:rowOff>101600</xdr:rowOff>
    </xdr:to>
    <xdr:pic>
      <xdr:nvPicPr>
        <xdr:cNvPr id="2" name="Picture 3" descr="GMX">
          <a:extLst>
            <a:ext uri="{FF2B5EF4-FFF2-40B4-BE49-F238E27FC236}">
              <a16:creationId xmlns:a16="http://schemas.microsoft.com/office/drawing/2014/main" id="{00000000-0008-0000-08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76200"/>
          <a:ext cx="1822450" cy="1122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7620</xdr:colOff>
          <xdr:row>13</xdr:row>
          <xdr:rowOff>0</xdr:rowOff>
        </xdr:from>
        <xdr:to>
          <xdr:col>5</xdr:col>
          <xdr:colOff>1546860</xdr:colOff>
          <xdr:row>14</xdr:row>
          <xdr:rowOff>0</xdr:rowOff>
        </xdr:to>
        <xdr:sp macro="" textlink="">
          <xdr:nvSpPr>
            <xdr:cNvPr id="48129" name="Drop Down 25" hidden="1">
              <a:extLst>
                <a:ext uri="{63B3BB69-23CF-44E3-9099-C40C66FF867C}">
                  <a14:compatExt spid="_x0000_s48129"/>
                </a:ext>
                <a:ext uri="{FF2B5EF4-FFF2-40B4-BE49-F238E27FC236}">
                  <a16:creationId xmlns:a16="http://schemas.microsoft.com/office/drawing/2014/main" id="{00000000-0008-0000-0A00-000001B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127000</xdr:colOff>
      <xdr:row>0</xdr:row>
      <xdr:rowOff>76200</xdr:rowOff>
    </xdr:from>
    <xdr:to>
      <xdr:col>2</xdr:col>
      <xdr:colOff>82550</xdr:colOff>
      <xdr:row>5</xdr:row>
      <xdr:rowOff>101600</xdr:rowOff>
    </xdr:to>
    <xdr:pic>
      <xdr:nvPicPr>
        <xdr:cNvPr id="2" name="Picture 3" descr="GMX">
          <a:extLst>
            <a:ext uri="{FF2B5EF4-FFF2-40B4-BE49-F238E27FC236}">
              <a16:creationId xmlns:a16="http://schemas.microsoft.com/office/drawing/2014/main" id="{00000000-0008-0000-0A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76200"/>
          <a:ext cx="1822450" cy="1122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7620</xdr:colOff>
          <xdr:row>13</xdr:row>
          <xdr:rowOff>0</xdr:rowOff>
        </xdr:from>
        <xdr:to>
          <xdr:col>5</xdr:col>
          <xdr:colOff>1546860</xdr:colOff>
          <xdr:row>14</xdr:row>
          <xdr:rowOff>0</xdr:rowOff>
        </xdr:to>
        <xdr:sp macro="" textlink="">
          <xdr:nvSpPr>
            <xdr:cNvPr id="49153" name="Drop Down 25" hidden="1">
              <a:extLst>
                <a:ext uri="{63B3BB69-23CF-44E3-9099-C40C66FF867C}">
                  <a14:compatExt spid="_x0000_s49153"/>
                </a:ext>
                <a:ext uri="{FF2B5EF4-FFF2-40B4-BE49-F238E27FC236}">
                  <a16:creationId xmlns:a16="http://schemas.microsoft.com/office/drawing/2014/main" id="{00000000-0008-0000-0C00-000001C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127000</xdr:colOff>
      <xdr:row>0</xdr:row>
      <xdr:rowOff>76200</xdr:rowOff>
    </xdr:from>
    <xdr:to>
      <xdr:col>2</xdr:col>
      <xdr:colOff>82550</xdr:colOff>
      <xdr:row>5</xdr:row>
      <xdr:rowOff>101600</xdr:rowOff>
    </xdr:to>
    <xdr:pic>
      <xdr:nvPicPr>
        <xdr:cNvPr id="2" name="Picture 3" descr="GMX">
          <a:extLst>
            <a:ext uri="{FF2B5EF4-FFF2-40B4-BE49-F238E27FC236}">
              <a16:creationId xmlns:a16="http://schemas.microsoft.com/office/drawing/2014/main" id="{00000000-0008-0000-0C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000" y="76200"/>
          <a:ext cx="1822450" cy="1122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mailto:juliop@arvida.com.mx" TargetMode="External"/><Relationship Id="rId6" Type="http://schemas.openxmlformats.org/officeDocument/2006/relationships/ctrlProp" Target="../ctrlProps/ctrlProp1.xml"/><Relationship Id="rId5" Type="http://schemas.openxmlformats.org/officeDocument/2006/relationships/vmlDrawing" Target="../drawings/vmlDrawing3.vml"/><Relationship Id="rId4"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hyperlink" Target="mailto:juliop@arvida.com.mx" TargetMode="External"/><Relationship Id="rId5" Type="http://schemas.openxmlformats.org/officeDocument/2006/relationships/ctrlProp" Target="../ctrlProps/ctrlProp2.xml"/><Relationship Id="rId4"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7.bin"/><Relationship Id="rId4" Type="http://schemas.openxmlformats.org/officeDocument/2006/relationships/ctrlProp" Target="../ctrlProps/ctrlProp3.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8.bin"/><Relationship Id="rId1" Type="http://schemas.openxmlformats.org/officeDocument/2006/relationships/hyperlink" Target="mailto:juliop@arvida.com.mx" TargetMode="External"/><Relationship Id="rId5" Type="http://schemas.openxmlformats.org/officeDocument/2006/relationships/ctrlProp" Target="../ctrlProps/ctrlProp4.xml"/><Relationship Id="rId4"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0.bin"/><Relationship Id="rId1" Type="http://schemas.openxmlformats.org/officeDocument/2006/relationships/hyperlink" Target="mailto:juliop@arvida.com.mx" TargetMode="External"/><Relationship Id="rId5" Type="http://schemas.openxmlformats.org/officeDocument/2006/relationships/ctrlProp" Target="../ctrlProps/ctrlProp5.xml"/><Relationship Id="rId4"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2.bin"/><Relationship Id="rId1" Type="http://schemas.openxmlformats.org/officeDocument/2006/relationships/hyperlink" Target="mailto:juliop@arvida.com.mx" TargetMode="External"/><Relationship Id="rId5" Type="http://schemas.openxmlformats.org/officeDocument/2006/relationships/ctrlProp" Target="../ctrlProps/ctrlProp6.xml"/><Relationship Id="rId4"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822B6-DB42-408F-8D71-3C38891470FC}">
  <dimension ref="A1:B82"/>
  <sheetViews>
    <sheetView workbookViewId="0">
      <selection activeCell="A73" sqref="A73"/>
    </sheetView>
  </sheetViews>
  <sheetFormatPr baseColWidth="10" defaultColWidth="11.44140625" defaultRowHeight="14.4" x14ac:dyDescent="0.3"/>
  <cols>
    <col min="1" max="1" width="42" customWidth="1"/>
    <col min="2" max="2" width="67.44140625" customWidth="1"/>
  </cols>
  <sheetData>
    <row r="1" spans="1:2" ht="15" thickBot="1" x14ac:dyDescent="0.35">
      <c r="A1" s="436" t="s">
        <v>0</v>
      </c>
      <c r="B1" s="439" t="s">
        <v>1</v>
      </c>
    </row>
    <row r="2" spans="1:2" x14ac:dyDescent="0.3">
      <c r="A2" s="437" t="s">
        <v>2</v>
      </c>
      <c r="B2" s="439" t="s">
        <v>3</v>
      </c>
    </row>
    <row r="3" spans="1:2" ht="15" thickBot="1" x14ac:dyDescent="0.35">
      <c r="A3" s="438"/>
      <c r="B3" s="440"/>
    </row>
    <row r="4" spans="1:2" ht="15" thickBot="1" x14ac:dyDescent="0.35">
      <c r="A4" s="441" t="s">
        <v>4</v>
      </c>
      <c r="B4" s="442">
        <v>0.7</v>
      </c>
    </row>
    <row r="5" spans="1:2" ht="15" thickBot="1" x14ac:dyDescent="0.35">
      <c r="A5" s="441" t="s">
        <v>5</v>
      </c>
      <c r="B5" s="443" t="s">
        <v>6</v>
      </c>
    </row>
    <row r="6" spans="1:2" ht="15" thickBot="1" x14ac:dyDescent="0.35">
      <c r="A6" s="444"/>
    </row>
    <row r="7" spans="1:2" ht="15" thickBot="1" x14ac:dyDescent="0.35">
      <c r="A7" s="445" t="s">
        <v>7</v>
      </c>
      <c r="B7" s="446" t="s">
        <v>8</v>
      </c>
    </row>
    <row r="8" spans="1:2" ht="24.6" thickBot="1" x14ac:dyDescent="0.35">
      <c r="A8" s="447" t="s">
        <v>9</v>
      </c>
      <c r="B8" s="442">
        <v>0.15</v>
      </c>
    </row>
    <row r="9" spans="1:2" ht="15" thickBot="1" x14ac:dyDescent="0.35">
      <c r="A9" s="447" t="s">
        <v>10</v>
      </c>
      <c r="B9" s="442">
        <v>0.15</v>
      </c>
    </row>
    <row r="10" spans="1:2" ht="15" thickBot="1" x14ac:dyDescent="0.35">
      <c r="A10" s="447"/>
      <c r="B10" s="448"/>
    </row>
    <row r="11" spans="1:2" ht="15" thickBot="1" x14ac:dyDescent="0.35">
      <c r="A11" s="447"/>
      <c r="B11" s="448"/>
    </row>
    <row r="12" spans="1:2" ht="15" thickBot="1" x14ac:dyDescent="0.35">
      <c r="A12" s="447"/>
      <c r="B12" s="448"/>
    </row>
    <row r="13" spans="1:2" ht="15" thickBot="1" x14ac:dyDescent="0.35">
      <c r="A13" s="447"/>
      <c r="B13" s="448"/>
    </row>
    <row r="14" spans="1:2" ht="15" thickBot="1" x14ac:dyDescent="0.35">
      <c r="A14" s="444"/>
    </row>
    <row r="15" spans="1:2" ht="15" thickBot="1" x14ac:dyDescent="0.35">
      <c r="A15" s="445" t="s">
        <v>11</v>
      </c>
      <c r="B15" s="446" t="s">
        <v>12</v>
      </c>
    </row>
    <row r="16" spans="1:2" ht="15" thickBot="1" x14ac:dyDescent="0.35">
      <c r="A16" s="444"/>
    </row>
    <row r="17" spans="1:2" x14ac:dyDescent="0.3">
      <c r="A17" s="514" t="s">
        <v>13</v>
      </c>
      <c r="B17" s="449" t="s">
        <v>14</v>
      </c>
    </row>
    <row r="18" spans="1:2" x14ac:dyDescent="0.3">
      <c r="A18" s="515"/>
      <c r="B18" s="456" t="s">
        <v>15</v>
      </c>
    </row>
    <row r="19" spans="1:2" ht="15" thickBot="1" x14ac:dyDescent="0.35">
      <c r="A19" s="516"/>
      <c r="B19" s="450"/>
    </row>
    <row r="20" spans="1:2" ht="15" thickBot="1" x14ac:dyDescent="0.35">
      <c r="A20" s="444"/>
    </row>
    <row r="21" spans="1:2" ht="15" thickBot="1" x14ac:dyDescent="0.35">
      <c r="A21" s="445" t="s">
        <v>16</v>
      </c>
      <c r="B21" s="451"/>
    </row>
    <row r="22" spans="1:2" x14ac:dyDescent="0.3">
      <c r="A22" s="444"/>
    </row>
    <row r="23" spans="1:2" x14ac:dyDescent="0.3">
      <c r="A23" s="452"/>
    </row>
    <row r="25" spans="1:2" x14ac:dyDescent="0.3">
      <c r="A25" s="452"/>
    </row>
    <row r="26" spans="1:2" x14ac:dyDescent="0.3">
      <c r="A26" s="452"/>
    </row>
    <row r="27" spans="1:2" ht="34.200000000000003" x14ac:dyDescent="0.3">
      <c r="A27" s="453" t="s">
        <v>17</v>
      </c>
    </row>
    <row r="28" spans="1:2" x14ac:dyDescent="0.3">
      <c r="A28" s="453"/>
    </row>
    <row r="29" spans="1:2" x14ac:dyDescent="0.3">
      <c r="A29" s="453"/>
    </row>
    <row r="30" spans="1:2" x14ac:dyDescent="0.3">
      <c r="A30" s="454" t="s">
        <v>18</v>
      </c>
    </row>
    <row r="31" spans="1:2" x14ac:dyDescent="0.3">
      <c r="A31" s="453"/>
    </row>
    <row r="32" spans="1:2" x14ac:dyDescent="0.3">
      <c r="A32" s="455" t="s">
        <v>19</v>
      </c>
    </row>
    <row r="33" spans="1:1" x14ac:dyDescent="0.3">
      <c r="A33" s="455" t="s">
        <v>20</v>
      </c>
    </row>
    <row r="34" spans="1:1" x14ac:dyDescent="0.3">
      <c r="A34" s="453"/>
    </row>
    <row r="35" spans="1:1" x14ac:dyDescent="0.3">
      <c r="A35" s="453"/>
    </row>
    <row r="36" spans="1:1" x14ac:dyDescent="0.3">
      <c r="A36" s="454" t="s">
        <v>21</v>
      </c>
    </row>
    <row r="37" spans="1:1" x14ac:dyDescent="0.3">
      <c r="A37" s="453"/>
    </row>
    <row r="38" spans="1:1" x14ac:dyDescent="0.3">
      <c r="A38" s="455" t="s">
        <v>22</v>
      </c>
    </row>
    <row r="39" spans="1:1" x14ac:dyDescent="0.3">
      <c r="A39" s="455" t="s">
        <v>23</v>
      </c>
    </row>
    <row r="40" spans="1:1" x14ac:dyDescent="0.3">
      <c r="A40" s="455" t="s">
        <v>24</v>
      </c>
    </row>
    <row r="41" spans="1:1" x14ac:dyDescent="0.3">
      <c r="A41" s="455" t="s">
        <v>25</v>
      </c>
    </row>
    <row r="42" spans="1:1" x14ac:dyDescent="0.3">
      <c r="A42" s="455" t="s">
        <v>26</v>
      </c>
    </row>
    <row r="43" spans="1:1" x14ac:dyDescent="0.3">
      <c r="A43" s="453"/>
    </row>
    <row r="44" spans="1:1" ht="24" x14ac:dyDescent="0.3">
      <c r="A44" s="454" t="s">
        <v>27</v>
      </c>
    </row>
    <row r="45" spans="1:1" x14ac:dyDescent="0.3">
      <c r="A45" s="453"/>
    </row>
    <row r="47" spans="1:1" x14ac:dyDescent="0.3">
      <c r="A47" s="455" t="s">
        <v>28</v>
      </c>
    </row>
    <row r="48" spans="1:1" ht="23.4" x14ac:dyDescent="0.3">
      <c r="A48" s="455" t="s">
        <v>29</v>
      </c>
    </row>
    <row r="49" spans="1:1" x14ac:dyDescent="0.3">
      <c r="A49" s="453"/>
    </row>
    <row r="50" spans="1:1" ht="24" x14ac:dyDescent="0.3">
      <c r="A50" s="454" t="s">
        <v>30</v>
      </c>
    </row>
    <row r="51" spans="1:1" x14ac:dyDescent="0.3">
      <c r="A51" s="453"/>
    </row>
    <row r="52" spans="1:1" x14ac:dyDescent="0.3">
      <c r="A52" s="455" t="s">
        <v>31</v>
      </c>
    </row>
    <row r="53" spans="1:1" x14ac:dyDescent="0.3">
      <c r="A53" s="453" t="s">
        <v>32</v>
      </c>
    </row>
    <row r="54" spans="1:1" ht="23.4" x14ac:dyDescent="0.3">
      <c r="A54" s="455" t="s">
        <v>33</v>
      </c>
    </row>
    <row r="55" spans="1:1" x14ac:dyDescent="0.3">
      <c r="A55" s="453"/>
    </row>
    <row r="56" spans="1:1" x14ac:dyDescent="0.3">
      <c r="A56" s="454" t="s">
        <v>34</v>
      </c>
    </row>
    <row r="57" spans="1:1" x14ac:dyDescent="0.3">
      <c r="A57" s="453"/>
    </row>
    <row r="59" spans="1:1" x14ac:dyDescent="0.3">
      <c r="A59" s="455" t="s">
        <v>35</v>
      </c>
    </row>
    <row r="60" spans="1:1" x14ac:dyDescent="0.3">
      <c r="A60" s="455" t="s">
        <v>36</v>
      </c>
    </row>
    <row r="61" spans="1:1" x14ac:dyDescent="0.3">
      <c r="A61" s="453"/>
    </row>
    <row r="62" spans="1:1" ht="22.8" x14ac:dyDescent="0.3">
      <c r="A62" s="453" t="s">
        <v>37</v>
      </c>
    </row>
    <row r="63" spans="1:1" x14ac:dyDescent="0.3">
      <c r="A63" s="453"/>
    </row>
    <row r="64" spans="1:1" x14ac:dyDescent="0.3">
      <c r="A64" s="455" t="s">
        <v>31</v>
      </c>
    </row>
    <row r="65" spans="1:2" x14ac:dyDescent="0.3">
      <c r="A65" s="453" t="s">
        <v>38</v>
      </c>
      <c r="B65" s="453" t="s">
        <v>39</v>
      </c>
    </row>
    <row r="66" spans="1:2" x14ac:dyDescent="0.3">
      <c r="A66" s="455" t="s">
        <v>40</v>
      </c>
    </row>
    <row r="67" spans="1:2" x14ac:dyDescent="0.3">
      <c r="A67" s="455" t="s">
        <v>41</v>
      </c>
    </row>
    <row r="68" spans="1:2" x14ac:dyDescent="0.3">
      <c r="A68" s="453"/>
    </row>
    <row r="69" spans="1:2" ht="22.8" x14ac:dyDescent="0.3">
      <c r="A69" s="453" t="s">
        <v>42</v>
      </c>
    </row>
    <row r="70" spans="1:2" x14ac:dyDescent="0.3">
      <c r="A70" s="453"/>
    </row>
    <row r="71" spans="1:2" ht="24" x14ac:dyDescent="0.3">
      <c r="A71" s="454" t="s">
        <v>43</v>
      </c>
    </row>
    <row r="72" spans="1:2" x14ac:dyDescent="0.3">
      <c r="A72" s="453"/>
    </row>
    <row r="73" spans="1:2" ht="45.6" x14ac:dyDescent="0.3">
      <c r="A73" s="453" t="s">
        <v>44</v>
      </c>
    </row>
    <row r="74" spans="1:2" x14ac:dyDescent="0.3">
      <c r="A74" s="453"/>
    </row>
    <row r="75" spans="1:2" x14ac:dyDescent="0.3">
      <c r="A75" s="454" t="s">
        <v>45</v>
      </c>
    </row>
    <row r="76" spans="1:2" x14ac:dyDescent="0.3">
      <c r="A76" s="453"/>
    </row>
    <row r="77" spans="1:2" ht="91.2" x14ac:dyDescent="0.3">
      <c r="A77" s="453" t="s">
        <v>46</v>
      </c>
    </row>
    <row r="78" spans="1:2" x14ac:dyDescent="0.3">
      <c r="A78" s="453"/>
    </row>
    <row r="79" spans="1:2" x14ac:dyDescent="0.3">
      <c r="A79" s="455" t="s">
        <v>47</v>
      </c>
    </row>
    <row r="80" spans="1:2" ht="23.4" x14ac:dyDescent="0.3">
      <c r="A80" s="455" t="s">
        <v>48</v>
      </c>
    </row>
    <row r="81" spans="1:1" x14ac:dyDescent="0.3">
      <c r="A81" s="453"/>
    </row>
    <row r="82" spans="1:1" x14ac:dyDescent="0.3">
      <c r="A82" s="452"/>
    </row>
  </sheetData>
  <mergeCells count="1">
    <mergeCell ref="A17:A19"/>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CB9A9-802C-430F-AEBE-31303E166E84}">
  <dimension ref="A2:I18"/>
  <sheetViews>
    <sheetView workbookViewId="0">
      <selection activeCell="N17" sqref="N17"/>
    </sheetView>
  </sheetViews>
  <sheetFormatPr baseColWidth="10" defaultColWidth="11.44140625" defaultRowHeight="14.4" x14ac:dyDescent="0.3"/>
  <cols>
    <col min="1" max="1" width="18.6640625" bestFit="1" customWidth="1"/>
    <col min="2" max="2" width="16.33203125" bestFit="1" customWidth="1"/>
    <col min="6" max="6" width="14.5546875" bestFit="1" customWidth="1"/>
  </cols>
  <sheetData>
    <row r="2" spans="1:9" ht="15" thickBot="1" x14ac:dyDescent="0.35">
      <c r="G2" t="s">
        <v>49</v>
      </c>
      <c r="H2" s="110">
        <v>0.08</v>
      </c>
    </row>
    <row r="3" spans="1:9" ht="15" thickBot="1" x14ac:dyDescent="0.35">
      <c r="A3" s="473" t="s">
        <v>50</v>
      </c>
      <c r="B3" s="478">
        <v>1632592.5</v>
      </c>
      <c r="C3" s="478" t="s">
        <v>51</v>
      </c>
      <c r="D3" s="478" t="s">
        <v>52</v>
      </c>
      <c r="E3" s="478" t="s">
        <v>53</v>
      </c>
      <c r="F3" s="478" t="s">
        <v>54</v>
      </c>
      <c r="H3" s="111">
        <f>B3*H2</f>
        <v>130607.40000000001</v>
      </c>
      <c r="I3" s="201">
        <f>H9+H16</f>
        <v>130607.40000000001</v>
      </c>
    </row>
    <row r="4" spans="1:9" ht="15" thickBot="1" x14ac:dyDescent="0.35">
      <c r="A4" s="475"/>
      <c r="B4" s="476" t="s">
        <v>55</v>
      </c>
      <c r="C4" s="477" t="s">
        <v>56</v>
      </c>
      <c r="D4" s="477" t="s">
        <v>57</v>
      </c>
      <c r="E4" s="477" t="s">
        <v>58</v>
      </c>
      <c r="F4" s="477" t="s">
        <v>59</v>
      </c>
    </row>
    <row r="5" spans="1:9" x14ac:dyDescent="0.3">
      <c r="A5" s="475"/>
      <c r="B5" s="475"/>
      <c r="C5" s="475"/>
      <c r="D5" s="475"/>
      <c r="E5" s="475"/>
      <c r="F5" s="475"/>
    </row>
    <row r="8" spans="1:9" ht="15" thickBot="1" x14ac:dyDescent="0.35"/>
    <row r="9" spans="1:9" ht="15" thickBot="1" x14ac:dyDescent="0.35">
      <c r="A9" s="473" t="s">
        <v>60</v>
      </c>
      <c r="B9" s="478">
        <v>1088395</v>
      </c>
      <c r="C9" s="474" t="s">
        <v>51</v>
      </c>
      <c r="D9" s="474" t="s">
        <v>61</v>
      </c>
      <c r="E9" s="474" t="s">
        <v>62</v>
      </c>
      <c r="F9" s="474" t="s">
        <v>63</v>
      </c>
      <c r="H9" s="201">
        <f>B9*H2</f>
        <v>87071.6</v>
      </c>
    </row>
    <row r="10" spans="1:9" ht="15" thickBot="1" x14ac:dyDescent="0.35">
      <c r="A10" s="475"/>
      <c r="B10" s="476" t="s">
        <v>55</v>
      </c>
      <c r="C10" s="477" t="s">
        <v>56</v>
      </c>
      <c r="D10" s="477" t="s">
        <v>57</v>
      </c>
      <c r="E10" s="477" t="s">
        <v>58</v>
      </c>
      <c r="F10" s="477" t="s">
        <v>59</v>
      </c>
    </row>
    <row r="11" spans="1:9" x14ac:dyDescent="0.3">
      <c r="A11" s="475"/>
      <c r="B11" s="475"/>
      <c r="C11" s="475"/>
      <c r="D11" s="475"/>
      <c r="E11" s="475"/>
      <c r="F11" s="475"/>
    </row>
    <row r="15" spans="1:9" ht="15" thickBot="1" x14ac:dyDescent="0.35"/>
    <row r="16" spans="1:9" ht="15" thickBot="1" x14ac:dyDescent="0.35">
      <c r="A16" s="473" t="s">
        <v>64</v>
      </c>
      <c r="B16" s="478">
        <v>544197.5</v>
      </c>
      <c r="C16" s="474" t="s">
        <v>65</v>
      </c>
      <c r="D16" s="474" t="s">
        <v>66</v>
      </c>
      <c r="E16" s="474" t="s">
        <v>67</v>
      </c>
      <c r="F16" s="474" t="s">
        <v>68</v>
      </c>
      <c r="H16" s="201">
        <f>B16*H2</f>
        <v>43535.8</v>
      </c>
    </row>
    <row r="17" spans="1:6" ht="15" thickBot="1" x14ac:dyDescent="0.35">
      <c r="A17" s="475"/>
      <c r="B17" s="476" t="s">
        <v>55</v>
      </c>
      <c r="C17" s="477" t="s">
        <v>56</v>
      </c>
      <c r="D17" s="477" t="s">
        <v>57</v>
      </c>
      <c r="E17" s="477" t="s">
        <v>58</v>
      </c>
      <c r="F17" s="477" t="s">
        <v>59</v>
      </c>
    </row>
    <row r="18" spans="1:6" x14ac:dyDescent="0.3">
      <c r="A18" s="45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AA4DC-7416-4B39-A145-BC5AC536AE60}">
  <dimension ref="A2:H58"/>
  <sheetViews>
    <sheetView zoomScale="85" zoomScaleNormal="85" workbookViewId="0">
      <selection activeCell="H3" sqref="H3"/>
    </sheetView>
  </sheetViews>
  <sheetFormatPr baseColWidth="10" defaultColWidth="11.44140625" defaultRowHeight="14.4" x14ac:dyDescent="0.3"/>
  <cols>
    <col min="1" max="1" width="24.6640625" bestFit="1" customWidth="1"/>
    <col min="2" max="2" width="13.5546875" bestFit="1" customWidth="1"/>
    <col min="3" max="3" width="83.6640625" bestFit="1" customWidth="1"/>
    <col min="4" max="4" width="15.44140625" bestFit="1" customWidth="1"/>
    <col min="5" max="5" width="16.33203125" bestFit="1" customWidth="1"/>
    <col min="7" max="7" width="13.33203125" bestFit="1" customWidth="1"/>
  </cols>
  <sheetData>
    <row r="2" spans="1:8" ht="18" x14ac:dyDescent="0.35">
      <c r="A2" s="488" t="s">
        <v>69</v>
      </c>
      <c r="B2" s="488" t="s">
        <v>70</v>
      </c>
      <c r="C2" s="488" t="s">
        <v>71</v>
      </c>
      <c r="D2" s="488" t="s">
        <v>72</v>
      </c>
      <c r="E2" s="488" t="s">
        <v>73</v>
      </c>
      <c r="F2" s="488" t="s">
        <v>74</v>
      </c>
      <c r="H2" s="501" t="s">
        <v>75</v>
      </c>
    </row>
    <row r="3" spans="1:8" x14ac:dyDescent="0.3">
      <c r="A3" s="517" t="s">
        <v>76</v>
      </c>
      <c r="B3" s="518" t="s">
        <v>77</v>
      </c>
      <c r="C3" s="519" t="s">
        <v>78</v>
      </c>
      <c r="D3" s="520">
        <v>1.0413701210266047E-2</v>
      </c>
      <c r="E3" s="521">
        <f>E58*D3</f>
        <v>13287.61467394345</v>
      </c>
      <c r="F3" s="420">
        <v>1</v>
      </c>
      <c r="G3" s="484">
        <f>(E3/366)*93</f>
        <v>3376.3611056741552</v>
      </c>
    </row>
    <row r="4" spans="1:8" x14ac:dyDescent="0.3">
      <c r="A4" s="517"/>
      <c r="B4" s="518"/>
      <c r="C4" s="519"/>
      <c r="D4" s="520"/>
      <c r="E4" s="522"/>
      <c r="F4" s="420">
        <v>2</v>
      </c>
      <c r="G4" s="484">
        <f>(E3/366)*91</f>
        <v>3303.7511894230979</v>
      </c>
    </row>
    <row r="5" spans="1:8" x14ac:dyDescent="0.3">
      <c r="A5" s="517"/>
      <c r="B5" s="518"/>
      <c r="C5" s="519"/>
      <c r="D5" s="520"/>
      <c r="E5" s="522"/>
      <c r="F5" s="420">
        <v>3</v>
      </c>
      <c r="G5" s="484">
        <f>G4</f>
        <v>3303.7511894230979</v>
      </c>
    </row>
    <row r="6" spans="1:8" x14ac:dyDescent="0.3">
      <c r="A6" s="517"/>
      <c r="B6" s="518"/>
      <c r="C6" s="519"/>
      <c r="D6" s="520"/>
      <c r="E6" s="522"/>
      <c r="F6" s="420">
        <v>4</v>
      </c>
      <c r="G6" s="484">
        <f>G5</f>
        <v>3303.7511894230979</v>
      </c>
      <c r="H6">
        <v>569936</v>
      </c>
    </row>
    <row r="7" spans="1:8" x14ac:dyDescent="0.3">
      <c r="A7" s="517"/>
      <c r="B7" s="518"/>
      <c r="C7" s="519"/>
      <c r="D7" s="520"/>
      <c r="E7" s="522"/>
      <c r="F7" s="420" t="s">
        <v>79</v>
      </c>
      <c r="G7" s="486">
        <f>SUM(G3:G6)</f>
        <v>13287.614673943448</v>
      </c>
      <c r="H7" s="485"/>
    </row>
    <row r="8" spans="1:8" x14ac:dyDescent="0.3">
      <c r="A8" s="517" t="s">
        <v>80</v>
      </c>
      <c r="B8" s="518" t="s">
        <v>81</v>
      </c>
      <c r="C8" s="519" t="s">
        <v>78</v>
      </c>
      <c r="D8" s="520">
        <v>4.2021581330646207E-2</v>
      </c>
      <c r="E8" s="521">
        <f>$E$58*D8</f>
        <v>53618.456054889793</v>
      </c>
      <c r="F8" s="420">
        <v>1</v>
      </c>
      <c r="G8" s="484">
        <f>E8/366*93</f>
        <v>13624.361784439208</v>
      </c>
    </row>
    <row r="9" spans="1:8" x14ac:dyDescent="0.3">
      <c r="A9" s="517"/>
      <c r="B9" s="518"/>
      <c r="C9" s="519"/>
      <c r="D9" s="520"/>
      <c r="E9" s="522"/>
      <c r="F9" s="420">
        <v>2</v>
      </c>
      <c r="G9" s="484">
        <f>E8/366*91</f>
        <v>13331.36475681686</v>
      </c>
      <c r="H9">
        <v>119192</v>
      </c>
    </row>
    <row r="10" spans="1:8" x14ac:dyDescent="0.3">
      <c r="A10" s="517"/>
      <c r="B10" s="518"/>
      <c r="C10" s="519"/>
      <c r="D10" s="520"/>
      <c r="E10" s="522"/>
      <c r="F10" s="420">
        <v>3</v>
      </c>
      <c r="G10" s="484">
        <f>G9</f>
        <v>13331.36475681686</v>
      </c>
    </row>
    <row r="11" spans="1:8" x14ac:dyDescent="0.3">
      <c r="A11" s="517"/>
      <c r="B11" s="518"/>
      <c r="C11" s="519"/>
      <c r="D11" s="520"/>
      <c r="E11" s="522"/>
      <c r="F11" s="420">
        <v>4</v>
      </c>
      <c r="G11" s="484">
        <f>G10</f>
        <v>13331.36475681686</v>
      </c>
    </row>
    <row r="12" spans="1:8" x14ac:dyDescent="0.3">
      <c r="A12" s="517"/>
      <c r="B12" s="518"/>
      <c r="C12" s="519"/>
      <c r="D12" s="520"/>
      <c r="E12" s="522"/>
      <c r="F12" s="420" t="s">
        <v>79</v>
      </c>
      <c r="G12" s="486">
        <f>SUM(G8:G11)</f>
        <v>53618.456054889786</v>
      </c>
    </row>
    <row r="13" spans="1:8" x14ac:dyDescent="0.3">
      <c r="A13" s="517" t="s">
        <v>82</v>
      </c>
      <c r="B13" s="518" t="s">
        <v>83</v>
      </c>
      <c r="C13" s="519" t="s">
        <v>84</v>
      </c>
      <c r="D13" s="520">
        <v>0.19155136247161356</v>
      </c>
      <c r="E13" s="521">
        <f>$E$58*D13</f>
        <v>244414.60758279689</v>
      </c>
      <c r="F13" s="420">
        <v>1</v>
      </c>
      <c r="G13" s="484">
        <f>E13/366*93</f>
        <v>62105.351107104121</v>
      </c>
      <c r="H13">
        <v>302649</v>
      </c>
    </row>
    <row r="14" spans="1:8" x14ac:dyDescent="0.3">
      <c r="A14" s="517"/>
      <c r="B14" s="518"/>
      <c r="C14" s="519"/>
      <c r="D14" s="520"/>
      <c r="E14" s="522"/>
      <c r="F14" s="420">
        <v>2</v>
      </c>
      <c r="G14" s="484">
        <f>E13/366*91</f>
        <v>60769.752158564246</v>
      </c>
    </row>
    <row r="15" spans="1:8" x14ac:dyDescent="0.3">
      <c r="A15" s="517"/>
      <c r="B15" s="518"/>
      <c r="C15" s="519"/>
      <c r="D15" s="520"/>
      <c r="E15" s="522"/>
      <c r="F15" s="420">
        <v>3</v>
      </c>
      <c r="G15" s="484">
        <f>G14</f>
        <v>60769.752158564246</v>
      </c>
    </row>
    <row r="16" spans="1:8" x14ac:dyDescent="0.3">
      <c r="A16" s="517"/>
      <c r="B16" s="518"/>
      <c r="C16" s="519"/>
      <c r="D16" s="520"/>
      <c r="E16" s="522"/>
      <c r="F16" s="420">
        <v>4</v>
      </c>
      <c r="G16" s="484">
        <f>G15</f>
        <v>60769.752158564246</v>
      </c>
    </row>
    <row r="17" spans="1:8" x14ac:dyDescent="0.3">
      <c r="A17" s="517"/>
      <c r="B17" s="518"/>
      <c r="C17" s="519"/>
      <c r="D17" s="520"/>
      <c r="E17" s="522"/>
      <c r="F17" s="420" t="s">
        <v>79</v>
      </c>
      <c r="G17" s="486">
        <f>SUM(G13:G16)</f>
        <v>244414.60758279686</v>
      </c>
    </row>
    <row r="18" spans="1:8" x14ac:dyDescent="0.3">
      <c r="A18" s="517" t="s">
        <v>85</v>
      </c>
      <c r="B18" s="518" t="s">
        <v>86</v>
      </c>
      <c r="C18" s="519" t="s">
        <v>84</v>
      </c>
      <c r="D18" s="520">
        <v>0.19713715473489773</v>
      </c>
      <c r="E18" s="521">
        <f t="shared" ref="E18" si="0">$E$58*D18</f>
        <v>251541.93472082206</v>
      </c>
      <c r="F18" s="420">
        <v>1</v>
      </c>
      <c r="G18" s="484">
        <f>E18/366*93</f>
        <v>63916.393248733475</v>
      </c>
    </row>
    <row r="19" spans="1:8" x14ac:dyDescent="0.3">
      <c r="A19" s="517"/>
      <c r="B19" s="518"/>
      <c r="C19" s="519"/>
      <c r="D19" s="520"/>
      <c r="E19" s="522"/>
      <c r="F19" s="420">
        <v>2</v>
      </c>
      <c r="G19" s="484">
        <f>E18/366*91</f>
        <v>62541.847157362863</v>
      </c>
      <c r="H19">
        <v>302621</v>
      </c>
    </row>
    <row r="20" spans="1:8" x14ac:dyDescent="0.3">
      <c r="A20" s="517"/>
      <c r="B20" s="518"/>
      <c r="C20" s="519"/>
      <c r="D20" s="520"/>
      <c r="E20" s="522"/>
      <c r="F20" s="420">
        <v>3</v>
      </c>
      <c r="G20" s="484">
        <f>G19</f>
        <v>62541.847157362863</v>
      </c>
    </row>
    <row r="21" spans="1:8" x14ac:dyDescent="0.3">
      <c r="A21" s="517"/>
      <c r="B21" s="518"/>
      <c r="C21" s="519"/>
      <c r="D21" s="520"/>
      <c r="E21" s="522"/>
      <c r="F21" s="420">
        <v>4</v>
      </c>
      <c r="G21" s="484">
        <f>G20</f>
        <v>62541.847157362863</v>
      </c>
    </row>
    <row r="22" spans="1:8" x14ac:dyDescent="0.3">
      <c r="A22" s="517"/>
      <c r="B22" s="518"/>
      <c r="C22" s="519"/>
      <c r="D22" s="520"/>
      <c r="E22" s="522"/>
      <c r="F22" s="420" t="s">
        <v>79</v>
      </c>
      <c r="G22" s="486">
        <f>SUM(G18:G21)</f>
        <v>251541.93472082203</v>
      </c>
    </row>
    <row r="23" spans="1:8" x14ac:dyDescent="0.3">
      <c r="A23" s="517" t="s">
        <v>87</v>
      </c>
      <c r="B23" s="518" t="s">
        <v>88</v>
      </c>
      <c r="C23" s="519" t="s">
        <v>84</v>
      </c>
      <c r="D23" s="520">
        <v>0.16845506342236582</v>
      </c>
      <c r="E23" s="521">
        <f t="shared" ref="E23" si="1">$E$58*D23</f>
        <v>214944.32454279313</v>
      </c>
      <c r="F23" s="420">
        <v>1</v>
      </c>
      <c r="G23" s="484">
        <f>E23/366*93</f>
        <v>54617.000498578585</v>
      </c>
    </row>
    <row r="24" spans="1:8" x14ac:dyDescent="0.3">
      <c r="A24" s="517"/>
      <c r="B24" s="518"/>
      <c r="C24" s="519"/>
      <c r="D24" s="520"/>
      <c r="E24" s="522"/>
      <c r="F24" s="420">
        <v>2</v>
      </c>
      <c r="G24" s="484">
        <f>E23/366*91</f>
        <v>53442.441348071516</v>
      </c>
      <c r="H24">
        <v>302638</v>
      </c>
    </row>
    <row r="25" spans="1:8" x14ac:dyDescent="0.3">
      <c r="A25" s="517"/>
      <c r="B25" s="518"/>
      <c r="C25" s="519"/>
      <c r="D25" s="520"/>
      <c r="E25" s="522"/>
      <c r="F25" s="420">
        <v>3</v>
      </c>
      <c r="G25" s="484">
        <f>G24</f>
        <v>53442.441348071516</v>
      </c>
    </row>
    <row r="26" spans="1:8" x14ac:dyDescent="0.3">
      <c r="A26" s="517"/>
      <c r="B26" s="518"/>
      <c r="C26" s="519"/>
      <c r="D26" s="520"/>
      <c r="E26" s="522"/>
      <c r="F26" s="420">
        <v>4</v>
      </c>
      <c r="G26" s="484">
        <f>G25</f>
        <v>53442.441348071516</v>
      </c>
    </row>
    <row r="27" spans="1:8" x14ac:dyDescent="0.3">
      <c r="A27" s="517"/>
      <c r="B27" s="518"/>
      <c r="C27" s="519"/>
      <c r="D27" s="520"/>
      <c r="E27" s="522"/>
      <c r="F27" s="420" t="s">
        <v>79</v>
      </c>
      <c r="G27" s="486">
        <f>SUM(G23:G26)</f>
        <v>214944.3245427931</v>
      </c>
    </row>
    <row r="28" spans="1:8" x14ac:dyDescent="0.3">
      <c r="A28" s="517" t="s">
        <v>89</v>
      </c>
      <c r="B28" s="518" t="s">
        <v>90</v>
      </c>
      <c r="C28" s="519" t="s">
        <v>84</v>
      </c>
      <c r="D28" s="520">
        <v>0.18339164492772178</v>
      </c>
      <c r="E28" s="521">
        <f t="shared" ref="E28" si="2">$E$58*D28</f>
        <v>234003.01804491345</v>
      </c>
      <c r="F28" s="420">
        <v>1</v>
      </c>
      <c r="G28" s="484">
        <f>E28/366*93</f>
        <v>59459.783273707515</v>
      </c>
    </row>
    <row r="29" spans="1:8" x14ac:dyDescent="0.3">
      <c r="A29" s="517"/>
      <c r="B29" s="518"/>
      <c r="C29" s="519"/>
      <c r="D29" s="520"/>
      <c r="E29" s="522"/>
      <c r="F29" s="420">
        <v>2</v>
      </c>
      <c r="G29" s="484">
        <f>E28/366*91</f>
        <v>58181.078257068642</v>
      </c>
    </row>
    <row r="30" spans="1:8" x14ac:dyDescent="0.3">
      <c r="A30" s="517"/>
      <c r="B30" s="518"/>
      <c r="C30" s="519"/>
      <c r="D30" s="520"/>
      <c r="E30" s="522"/>
      <c r="F30" s="420">
        <v>3</v>
      </c>
      <c r="G30" s="484">
        <f>G29</f>
        <v>58181.078257068642</v>
      </c>
      <c r="H30">
        <v>302639</v>
      </c>
    </row>
    <row r="31" spans="1:8" x14ac:dyDescent="0.3">
      <c r="A31" s="517"/>
      <c r="B31" s="518"/>
      <c r="C31" s="519"/>
      <c r="D31" s="520"/>
      <c r="E31" s="522"/>
      <c r="F31" s="420">
        <v>4</v>
      </c>
      <c r="G31" s="484">
        <f>G30</f>
        <v>58181.078257068642</v>
      </c>
    </row>
    <row r="32" spans="1:8" x14ac:dyDescent="0.3">
      <c r="A32" s="517"/>
      <c r="B32" s="518"/>
      <c r="C32" s="519"/>
      <c r="D32" s="520"/>
      <c r="E32" s="522"/>
      <c r="F32" s="420" t="s">
        <v>79</v>
      </c>
      <c r="G32" s="486">
        <f>SUM(G28:G31)</f>
        <v>234003.01804491345</v>
      </c>
    </row>
    <row r="33" spans="1:8" x14ac:dyDescent="0.3">
      <c r="A33" s="517" t="s">
        <v>91</v>
      </c>
      <c r="B33" s="518" t="s">
        <v>92</v>
      </c>
      <c r="C33" s="519" t="s">
        <v>84</v>
      </c>
      <c r="D33" s="520">
        <v>0.18452693163124426</v>
      </c>
      <c r="E33" s="521">
        <f t="shared" ref="E33" si="3">$E$58*D33</f>
        <v>235451.61465396412</v>
      </c>
      <c r="F33" s="420">
        <v>1</v>
      </c>
      <c r="G33" s="484">
        <f>E33/366*93</f>
        <v>59827.869297318757</v>
      </c>
    </row>
    <row r="34" spans="1:8" x14ac:dyDescent="0.3">
      <c r="A34" s="517"/>
      <c r="B34" s="518"/>
      <c r="C34" s="519"/>
      <c r="D34" s="520"/>
      <c r="E34" s="522"/>
      <c r="F34" s="420">
        <v>2</v>
      </c>
      <c r="G34" s="484">
        <f>E33/366*91</f>
        <v>58541.248452215121</v>
      </c>
      <c r="H34">
        <v>569941</v>
      </c>
    </row>
    <row r="35" spans="1:8" x14ac:dyDescent="0.3">
      <c r="A35" s="517"/>
      <c r="B35" s="518"/>
      <c r="C35" s="519"/>
      <c r="D35" s="520"/>
      <c r="E35" s="522"/>
      <c r="F35" s="420">
        <v>3</v>
      </c>
      <c r="G35" s="484">
        <f>G34</f>
        <v>58541.248452215121</v>
      </c>
    </row>
    <row r="36" spans="1:8" x14ac:dyDescent="0.3">
      <c r="A36" s="517"/>
      <c r="B36" s="518"/>
      <c r="C36" s="519"/>
      <c r="D36" s="520"/>
      <c r="E36" s="522"/>
      <c r="F36" s="420">
        <v>4</v>
      </c>
      <c r="G36" s="484">
        <f>G35</f>
        <v>58541.248452215121</v>
      </c>
    </row>
    <row r="37" spans="1:8" x14ac:dyDescent="0.3">
      <c r="A37" s="517"/>
      <c r="B37" s="518"/>
      <c r="C37" s="519"/>
      <c r="D37" s="520"/>
      <c r="E37" s="522"/>
      <c r="F37" s="420" t="s">
        <v>79</v>
      </c>
      <c r="G37" s="486">
        <f>SUM(G33:G36)</f>
        <v>235451.61465396412</v>
      </c>
    </row>
    <row r="38" spans="1:8" x14ac:dyDescent="0.3">
      <c r="A38" s="517" t="s">
        <v>93</v>
      </c>
      <c r="B38" s="518" t="s">
        <v>94</v>
      </c>
      <c r="C38" s="519" t="s">
        <v>84</v>
      </c>
      <c r="D38" s="520">
        <v>1.05861895034055E-4</v>
      </c>
      <c r="E38" s="521">
        <f t="shared" ref="E38" si="4">$E$58*D38</f>
        <v>135.07705295781514</v>
      </c>
      <c r="F38" s="420">
        <v>1</v>
      </c>
      <c r="G38" s="484">
        <f>E38/366*93</f>
        <v>34.322857718789088</v>
      </c>
    </row>
    <row r="39" spans="1:8" x14ac:dyDescent="0.3">
      <c r="A39" s="517"/>
      <c r="B39" s="518"/>
      <c r="C39" s="519"/>
      <c r="D39" s="520"/>
      <c r="E39" s="522"/>
      <c r="F39" s="420">
        <v>2</v>
      </c>
      <c r="G39" s="484">
        <f>E38/366*91</f>
        <v>33.584731746342015</v>
      </c>
      <c r="H39">
        <v>343424</v>
      </c>
    </row>
    <row r="40" spans="1:8" x14ac:dyDescent="0.3">
      <c r="A40" s="517"/>
      <c r="B40" s="518"/>
      <c r="C40" s="519"/>
      <c r="D40" s="520"/>
      <c r="E40" s="522"/>
      <c r="F40" s="420">
        <v>3</v>
      </c>
      <c r="G40" s="484">
        <f>G39</f>
        <v>33.584731746342015</v>
      </c>
    </row>
    <row r="41" spans="1:8" x14ac:dyDescent="0.3">
      <c r="A41" s="517"/>
      <c r="B41" s="518"/>
      <c r="C41" s="519"/>
      <c r="D41" s="520"/>
      <c r="E41" s="522"/>
      <c r="F41" s="420">
        <v>4</v>
      </c>
      <c r="G41" s="484">
        <f>G40</f>
        <v>33.584731746342015</v>
      </c>
    </row>
    <row r="42" spans="1:8" x14ac:dyDescent="0.3">
      <c r="A42" s="517"/>
      <c r="B42" s="518"/>
      <c r="C42" s="519"/>
      <c r="D42" s="520"/>
      <c r="E42" s="522"/>
      <c r="F42" s="420" t="s">
        <v>79</v>
      </c>
      <c r="G42" s="486">
        <f>SUM(G38:G41)</f>
        <v>135.07705295781514</v>
      </c>
    </row>
    <row r="43" spans="1:8" x14ac:dyDescent="0.3">
      <c r="A43" s="517" t="s">
        <v>95</v>
      </c>
      <c r="B43" s="518" t="s">
        <v>96</v>
      </c>
      <c r="C43" s="519" t="s">
        <v>78</v>
      </c>
      <c r="D43" s="520">
        <v>2.7435317354250234E-3</v>
      </c>
      <c r="E43" s="521">
        <f t="shared" ref="E43" si="5">$E$58*D43</f>
        <v>3500.6758701819654</v>
      </c>
      <c r="F43" s="420">
        <v>1</v>
      </c>
      <c r="G43" s="484">
        <f>E43/366*93</f>
        <v>889.51599980033541</v>
      </c>
    </row>
    <row r="44" spans="1:8" x14ac:dyDescent="0.3">
      <c r="A44" s="517"/>
      <c r="B44" s="518"/>
      <c r="C44" s="519"/>
      <c r="D44" s="520"/>
      <c r="E44" s="522"/>
      <c r="F44" s="420">
        <v>2</v>
      </c>
      <c r="G44" s="484">
        <f>E43/366*91</f>
        <v>870.38662346054321</v>
      </c>
    </row>
    <row r="45" spans="1:8" x14ac:dyDescent="0.3">
      <c r="A45" s="517"/>
      <c r="B45" s="518"/>
      <c r="C45" s="519"/>
      <c r="D45" s="520"/>
      <c r="E45" s="522"/>
      <c r="F45" s="420">
        <v>3</v>
      </c>
      <c r="G45" s="484">
        <f>G44</f>
        <v>870.38662346054321</v>
      </c>
      <c r="H45">
        <v>343425</v>
      </c>
    </row>
    <row r="46" spans="1:8" x14ac:dyDescent="0.3">
      <c r="A46" s="517"/>
      <c r="B46" s="518"/>
      <c r="C46" s="519"/>
      <c r="D46" s="520"/>
      <c r="E46" s="522"/>
      <c r="F46" s="420">
        <v>4</v>
      </c>
      <c r="G46" s="484">
        <f>G45</f>
        <v>870.38662346054321</v>
      </c>
    </row>
    <row r="47" spans="1:8" x14ac:dyDescent="0.3">
      <c r="A47" s="517"/>
      <c r="B47" s="518"/>
      <c r="C47" s="519"/>
      <c r="D47" s="520"/>
      <c r="E47" s="522"/>
      <c r="F47" s="420" t="s">
        <v>79</v>
      </c>
      <c r="G47" s="486">
        <f>SUM(G43:G46)</f>
        <v>3500.6758701819645</v>
      </c>
    </row>
    <row r="48" spans="1:8" x14ac:dyDescent="0.3">
      <c r="A48" s="517" t="s">
        <v>97</v>
      </c>
      <c r="B48" s="518" t="s">
        <v>98</v>
      </c>
      <c r="C48" s="519" t="s">
        <v>84</v>
      </c>
      <c r="D48" s="520">
        <v>7.2002241538953893E-3</v>
      </c>
      <c r="E48" s="521">
        <f t="shared" ref="E48" si="6">$E$58*D48</f>
        <v>9187.3006716060936</v>
      </c>
      <c r="F48" s="420">
        <v>1</v>
      </c>
      <c r="G48" s="484">
        <f>E48/366*93</f>
        <v>2334.4780395064668</v>
      </c>
    </row>
    <row r="49" spans="1:8" x14ac:dyDescent="0.3">
      <c r="A49" s="517"/>
      <c r="B49" s="518"/>
      <c r="C49" s="519"/>
      <c r="D49" s="520"/>
      <c r="E49" s="522"/>
      <c r="F49" s="420">
        <v>2</v>
      </c>
      <c r="G49" s="484">
        <f>E48/366*91</f>
        <v>2284.2742106998758</v>
      </c>
    </row>
    <row r="50" spans="1:8" x14ac:dyDescent="0.3">
      <c r="A50" s="517"/>
      <c r="B50" s="518"/>
      <c r="C50" s="519"/>
      <c r="D50" s="520"/>
      <c r="E50" s="522"/>
      <c r="F50" s="420">
        <v>3</v>
      </c>
      <c r="G50" s="484">
        <f>G49</f>
        <v>2284.2742106998758</v>
      </c>
      <c r="H50">
        <v>302653</v>
      </c>
    </row>
    <row r="51" spans="1:8" x14ac:dyDescent="0.3">
      <c r="A51" s="517"/>
      <c r="B51" s="518"/>
      <c r="C51" s="519"/>
      <c r="D51" s="520"/>
      <c r="E51" s="522"/>
      <c r="F51" s="420">
        <v>4</v>
      </c>
      <c r="G51" s="484">
        <f>G50</f>
        <v>2284.2742106998758</v>
      </c>
    </row>
    <row r="52" spans="1:8" x14ac:dyDescent="0.3">
      <c r="A52" s="517"/>
      <c r="B52" s="518"/>
      <c r="C52" s="519"/>
      <c r="D52" s="520"/>
      <c r="E52" s="522"/>
      <c r="F52" s="420" t="s">
        <v>79</v>
      </c>
      <c r="G52" s="486">
        <f>SUM(G48:G51)</f>
        <v>9187.3006716060936</v>
      </c>
    </row>
    <row r="53" spans="1:8" x14ac:dyDescent="0.3">
      <c r="A53" s="517" t="s">
        <v>99</v>
      </c>
      <c r="B53" s="518" t="s">
        <v>100</v>
      </c>
      <c r="C53" s="519" t="s">
        <v>84</v>
      </c>
      <c r="D53" s="520">
        <v>1.2452942486890061E-2</v>
      </c>
      <c r="E53" s="521">
        <f>$E$58*D53</f>
        <v>15889.634048598446</v>
      </c>
      <c r="F53" s="420">
        <v>1</v>
      </c>
      <c r="G53" s="484">
        <f>E53/366*93</f>
        <v>4037.5299631684575</v>
      </c>
    </row>
    <row r="54" spans="1:8" x14ac:dyDescent="0.3">
      <c r="A54" s="517"/>
      <c r="B54" s="518"/>
      <c r="C54" s="519"/>
      <c r="D54" s="520"/>
      <c r="E54" s="522"/>
      <c r="F54" s="420">
        <v>2</v>
      </c>
      <c r="G54" s="484">
        <f>E53/366*91</f>
        <v>3950.7013618099963</v>
      </c>
      <c r="H54">
        <v>302655</v>
      </c>
    </row>
    <row r="55" spans="1:8" x14ac:dyDescent="0.3">
      <c r="A55" s="517"/>
      <c r="B55" s="518"/>
      <c r="C55" s="519"/>
      <c r="D55" s="520"/>
      <c r="E55" s="522"/>
      <c r="F55" s="420">
        <v>3</v>
      </c>
      <c r="G55" s="484">
        <f>G54</f>
        <v>3950.7013618099963</v>
      </c>
    </row>
    <row r="56" spans="1:8" x14ac:dyDescent="0.3">
      <c r="A56" s="517"/>
      <c r="B56" s="518"/>
      <c r="C56" s="519"/>
      <c r="D56" s="520"/>
      <c r="E56" s="522"/>
      <c r="F56" s="420">
        <v>4</v>
      </c>
      <c r="G56" s="484">
        <f>G55</f>
        <v>3950.7013618099963</v>
      </c>
    </row>
    <row r="57" spans="1:8" x14ac:dyDescent="0.3">
      <c r="A57" s="517"/>
      <c r="B57" s="518"/>
      <c r="C57" s="519"/>
      <c r="D57" s="520"/>
      <c r="E57" s="522"/>
      <c r="F57" s="420" t="s">
        <v>79</v>
      </c>
      <c r="G57" s="486">
        <f>SUM(G53:G56)</f>
        <v>15889.634048598447</v>
      </c>
    </row>
    <row r="58" spans="1:8" x14ac:dyDescent="0.3">
      <c r="E58" s="487">
        <f>'Hoja Contable'!L411</f>
        <v>1275974.2579174673</v>
      </c>
      <c r="G58" s="487">
        <f>G7+G12+G17+G22+G27+G32+G37+G42+G47+G52+G57</f>
        <v>1275974.257917467</v>
      </c>
    </row>
  </sheetData>
  <mergeCells count="55">
    <mergeCell ref="A53:A57"/>
    <mergeCell ref="B53:B57"/>
    <mergeCell ref="C53:C57"/>
    <mergeCell ref="D53:D57"/>
    <mergeCell ref="E53:E57"/>
    <mergeCell ref="A43:A47"/>
    <mergeCell ref="B43:B47"/>
    <mergeCell ref="C43:C47"/>
    <mergeCell ref="D43:D47"/>
    <mergeCell ref="E43:E47"/>
    <mergeCell ref="A48:A52"/>
    <mergeCell ref="B48:B52"/>
    <mergeCell ref="C48:C52"/>
    <mergeCell ref="D48:D52"/>
    <mergeCell ref="E48:E52"/>
    <mergeCell ref="A33:A37"/>
    <mergeCell ref="B33:B37"/>
    <mergeCell ref="C33:C37"/>
    <mergeCell ref="D33:D37"/>
    <mergeCell ref="E33:E37"/>
    <mergeCell ref="A38:A42"/>
    <mergeCell ref="B38:B42"/>
    <mergeCell ref="C38:C42"/>
    <mergeCell ref="D38:D42"/>
    <mergeCell ref="E38:E42"/>
    <mergeCell ref="A23:A27"/>
    <mergeCell ref="B23:B27"/>
    <mergeCell ref="C23:C27"/>
    <mergeCell ref="D23:D27"/>
    <mergeCell ref="E23:E27"/>
    <mergeCell ref="A28:A32"/>
    <mergeCell ref="B28:B32"/>
    <mergeCell ref="C28:C32"/>
    <mergeCell ref="D28:D32"/>
    <mergeCell ref="E28:E32"/>
    <mergeCell ref="A13:A17"/>
    <mergeCell ref="B13:B17"/>
    <mergeCell ref="C13:C17"/>
    <mergeCell ref="D13:D17"/>
    <mergeCell ref="E13:E17"/>
    <mergeCell ref="A18:A22"/>
    <mergeCell ref="B18:B22"/>
    <mergeCell ref="C18:C22"/>
    <mergeCell ref="D18:D22"/>
    <mergeCell ref="E18:E22"/>
    <mergeCell ref="A3:A7"/>
    <mergeCell ref="B3:B7"/>
    <mergeCell ref="C3:C7"/>
    <mergeCell ref="D3:D7"/>
    <mergeCell ref="E3:E7"/>
    <mergeCell ref="A8:A12"/>
    <mergeCell ref="B8:B12"/>
    <mergeCell ref="C8:C12"/>
    <mergeCell ref="D8:D12"/>
    <mergeCell ref="E8:E12"/>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84765-FB83-4B12-8687-720F38320EEF}">
  <dimension ref="A1:L367"/>
  <sheetViews>
    <sheetView showGridLines="0" zoomScaleNormal="100" zoomScalePageLayoutView="142" workbookViewId="0">
      <pane xSplit="4" ySplit="1" topLeftCell="E353" activePane="bottomRight" state="frozen"/>
      <selection pane="topRight" activeCell="G1" sqref="G1"/>
      <selection pane="bottomLeft" activeCell="A7" sqref="A7"/>
      <selection pane="bottomRight" activeCell="A362" sqref="A362:XFD362"/>
    </sheetView>
  </sheetViews>
  <sheetFormatPr baseColWidth="10" defaultColWidth="9.33203125" defaultRowHeight="14.4" x14ac:dyDescent="0.3"/>
  <cols>
    <col min="1" max="1" width="8.6640625" style="457" customWidth="1"/>
    <col min="2" max="2" width="37.33203125" style="457" customWidth="1"/>
    <col min="3" max="3" width="13.44140625" style="457" customWidth="1"/>
    <col min="4" max="4" width="26.33203125" style="457" customWidth="1"/>
    <col min="5" max="5" width="44.33203125" style="457" customWidth="1"/>
    <col min="6" max="6" width="13.33203125" style="457" customWidth="1"/>
    <col min="7" max="7" width="53" style="457" customWidth="1"/>
    <col min="8" max="8" width="18.6640625" style="468" bestFit="1" customWidth="1"/>
    <col min="9" max="9" width="23.6640625" style="457" customWidth="1"/>
    <col min="10" max="10" width="25.33203125" style="469" customWidth="1"/>
    <col min="11" max="11" width="22.33203125" style="469" customWidth="1"/>
    <col min="12" max="16384" width="9.33203125" style="457"/>
  </cols>
  <sheetData>
    <row r="1" spans="1:12" s="458" customFormat="1" ht="28.2" thickBot="1" x14ac:dyDescent="0.35">
      <c r="A1" s="459" t="s">
        <v>101</v>
      </c>
      <c r="B1" s="459" t="s">
        <v>102</v>
      </c>
      <c r="C1" s="459" t="s">
        <v>103</v>
      </c>
      <c r="D1" s="459" t="s">
        <v>104</v>
      </c>
      <c r="E1" s="459" t="s">
        <v>105</v>
      </c>
      <c r="F1" s="459" t="s">
        <v>106</v>
      </c>
      <c r="G1" s="459" t="s">
        <v>107</v>
      </c>
      <c r="H1" s="459" t="s">
        <v>108</v>
      </c>
      <c r="I1" s="459" t="s">
        <v>109</v>
      </c>
      <c r="J1" s="460" t="s">
        <v>110</v>
      </c>
      <c r="K1" s="459" t="s">
        <v>111</v>
      </c>
    </row>
    <row r="2" spans="1:12" s="458" customFormat="1" ht="23.25" customHeight="1" thickBot="1" x14ac:dyDescent="0.35">
      <c r="A2" s="461">
        <v>1</v>
      </c>
      <c r="B2" s="461" t="s">
        <v>112</v>
      </c>
      <c r="C2" s="461" t="s">
        <v>113</v>
      </c>
      <c r="D2" s="462" t="s">
        <v>113</v>
      </c>
      <c r="E2" s="461" t="s">
        <v>114</v>
      </c>
      <c r="F2" s="461">
        <v>20130</v>
      </c>
      <c r="G2" s="461" t="str">
        <f>CONCATENATE(E2,C2,D2,F2)</f>
        <v>AV. INDEPENDENCIA #2351 TROJES DE ALONSO CENTRO COMERCIAL GALERIASAGUASCALIENTESAGUASCALIENTES20130</v>
      </c>
      <c r="H2" s="480">
        <v>0</v>
      </c>
      <c r="I2" s="480">
        <v>2914531.0700000003</v>
      </c>
      <c r="J2" s="502">
        <v>2437607.8040000005</v>
      </c>
      <c r="K2" s="480">
        <v>1577355.3505365564</v>
      </c>
      <c r="L2" s="463"/>
    </row>
    <row r="3" spans="1:12" s="458" customFormat="1" ht="23.25" customHeight="1" thickBot="1" x14ac:dyDescent="0.35">
      <c r="A3" s="503">
        <f>+A2+1</f>
        <v>2</v>
      </c>
      <c r="B3" s="461" t="s">
        <v>115</v>
      </c>
      <c r="C3" s="461" t="s">
        <v>116</v>
      </c>
      <c r="D3" s="462" t="s">
        <v>117</v>
      </c>
      <c r="E3" s="503" t="s">
        <v>118</v>
      </c>
      <c r="F3" s="461">
        <v>22180</v>
      </c>
      <c r="G3" s="461" t="str">
        <f t="shared" ref="G3:G66" si="0">CONCATENATE(E3,C3,D3,F3)</f>
        <v>BLVD.AGUA AZUL No.7200 COL. LOMA BONITA NORTE LOCAL A-6 C.C. PLAZA LOMA BONITA TIJUANA, BAJA CALIFORNIABAJA CALIFORNIA NORTETIJUANA22180</v>
      </c>
      <c r="H3" s="480">
        <v>0</v>
      </c>
      <c r="I3" s="480">
        <v>2210134.96</v>
      </c>
      <c r="J3" s="502">
        <v>1848476.5120000001</v>
      </c>
      <c r="K3" s="480">
        <v>970304.06638409069</v>
      </c>
      <c r="L3" s="463"/>
    </row>
    <row r="4" spans="1:12" s="458" customFormat="1" ht="23.25" customHeight="1" thickBot="1" x14ac:dyDescent="0.35">
      <c r="A4" s="503">
        <f t="shared" ref="A4:A67" si="1">+A3+1</f>
        <v>3</v>
      </c>
      <c r="B4" s="461" t="s">
        <v>119</v>
      </c>
      <c r="C4" s="461" t="s">
        <v>120</v>
      </c>
      <c r="D4" s="462" t="s">
        <v>121</v>
      </c>
      <c r="E4" s="503" t="s">
        <v>122</v>
      </c>
      <c r="F4" s="461">
        <v>23410</v>
      </c>
      <c r="G4" s="461" t="str">
        <f t="shared" si="0"/>
        <v>BOULEVARD LAZARO CARDENAS S/N LOCAL 301 Y 302 INTERIOR PLAZA PUERTO PARAISO COL. EL MEDANO CABO SAN LUCASBAJA CALIFORNIA  SUR LOS CABOS 23410</v>
      </c>
      <c r="H4" s="480">
        <v>0</v>
      </c>
      <c r="I4" s="480">
        <v>2914531.0700000003</v>
      </c>
      <c r="J4" s="502">
        <v>2437607.8040000005</v>
      </c>
      <c r="K4" s="480">
        <v>1251126.4095708469</v>
      </c>
      <c r="L4" s="463"/>
    </row>
    <row r="5" spans="1:12" s="458" customFormat="1" ht="23.25" customHeight="1" thickBot="1" x14ac:dyDescent="0.35">
      <c r="A5" s="503">
        <f t="shared" si="1"/>
        <v>4</v>
      </c>
      <c r="B5" s="461" t="s">
        <v>115</v>
      </c>
      <c r="C5" s="461" t="s">
        <v>116</v>
      </c>
      <c r="D5" s="462" t="s">
        <v>117</v>
      </c>
      <c r="E5" s="503" t="s">
        <v>123</v>
      </c>
      <c r="F5" s="461">
        <v>22110</v>
      </c>
      <c r="G5" s="461" t="str">
        <f t="shared" si="0"/>
        <v>BLVD. INSURGENTES #18015 ENTRE BLVD.MANUEL J. CLOUTHIER Y CALLE PASEO DEL PARQUE. TERCERA ETAPA RIO TIJUANA. CCMACROPLABAJA CALIFORNIA NORTETIJUANA22110</v>
      </c>
      <c r="H5" s="480">
        <v>0</v>
      </c>
      <c r="I5" s="480">
        <v>4144003.05</v>
      </c>
      <c r="J5" s="502">
        <v>3465893.46</v>
      </c>
      <c r="K5" s="480">
        <v>1911967.0480153032</v>
      </c>
      <c r="L5" s="463"/>
    </row>
    <row r="6" spans="1:12" s="458" customFormat="1" ht="23.25" customHeight="1" thickBot="1" x14ac:dyDescent="0.35">
      <c r="A6" s="503">
        <f t="shared" si="1"/>
        <v>5</v>
      </c>
      <c r="B6" s="461" t="s">
        <v>115</v>
      </c>
      <c r="C6" s="461" t="s">
        <v>124</v>
      </c>
      <c r="D6" s="462" t="s">
        <v>125</v>
      </c>
      <c r="E6" s="503" t="s">
        <v>126</v>
      </c>
      <c r="F6" s="461">
        <v>24170</v>
      </c>
      <c r="G6" s="461" t="str">
        <f t="shared" si="0"/>
        <v>PREDIO URBANO S/N LOCAL 35 AV.PERIFERICA NORTE X AV.CONCORDIA COL.ASA PONIENTE CD.DEL CARMEN, CAMPECHECAMPECHECIUDAD DEL CARMEN24170</v>
      </c>
      <c r="H6" s="480">
        <v>0</v>
      </c>
      <c r="I6" s="480">
        <v>1885394.7749999999</v>
      </c>
      <c r="J6" s="502">
        <v>1576875.6300000001</v>
      </c>
      <c r="K6" s="480">
        <v>974495.44464060944</v>
      </c>
      <c r="L6" s="463"/>
    </row>
    <row r="7" spans="1:12" s="458" customFormat="1" ht="23.25" customHeight="1" thickBot="1" x14ac:dyDescent="0.35">
      <c r="A7" s="503">
        <f t="shared" si="1"/>
        <v>6</v>
      </c>
      <c r="B7" s="461" t="s">
        <v>112</v>
      </c>
      <c r="C7" s="461" t="s">
        <v>124</v>
      </c>
      <c r="D7" s="462" t="s">
        <v>125</v>
      </c>
      <c r="E7" s="503" t="s">
        <v>127</v>
      </c>
      <c r="F7" s="461">
        <v>24154</v>
      </c>
      <c r="G7" s="461" t="str">
        <f t="shared" si="0"/>
        <v>CARRETERA PUERTO REAL KM 2.5, COL. PALMIRA CIUDAD DEL CARMEN CAMPECHECAMPECHECIUDAD DEL CARMEN24154</v>
      </c>
      <c r="H7" s="480">
        <v>0</v>
      </c>
      <c r="I7" s="480">
        <v>2762668.7</v>
      </c>
      <c r="J7" s="502">
        <v>2310595.64</v>
      </c>
      <c r="K7" s="480">
        <v>1638130.3352560783</v>
      </c>
      <c r="L7" s="463"/>
    </row>
    <row r="8" spans="1:12" s="458" customFormat="1" ht="23.25" customHeight="1" thickBot="1" x14ac:dyDescent="0.35">
      <c r="A8" s="503">
        <f t="shared" si="1"/>
        <v>7</v>
      </c>
      <c r="B8" s="461" t="s">
        <v>128</v>
      </c>
      <c r="C8" s="461" t="s">
        <v>129</v>
      </c>
      <c r="D8" s="462" t="s">
        <v>130</v>
      </c>
      <c r="E8" s="503" t="s">
        <v>131</v>
      </c>
      <c r="F8" s="461">
        <v>33000</v>
      </c>
      <c r="G8" s="461" t="str">
        <f t="shared" si="0"/>
        <v>AVE. DEL PARQUE ORIENTE #1000 LOCAL C SECTOR ORIENTE PLAZA OASISCHIHUAHUACIUDAD DELICIAS33000</v>
      </c>
      <c r="H8" s="480">
        <v>0</v>
      </c>
      <c r="I8" s="480">
        <v>2210134.96</v>
      </c>
      <c r="J8" s="502">
        <v>1848476.5120000001</v>
      </c>
      <c r="K8" s="480">
        <v>883682.24908270314</v>
      </c>
      <c r="L8" s="463"/>
    </row>
    <row r="9" spans="1:12" s="458" customFormat="1" ht="23.25" customHeight="1" thickBot="1" x14ac:dyDescent="0.35">
      <c r="A9" s="503">
        <f t="shared" si="1"/>
        <v>8</v>
      </c>
      <c r="B9" s="461" t="s">
        <v>128</v>
      </c>
      <c r="C9" s="461" t="s">
        <v>129</v>
      </c>
      <c r="D9" s="462" t="s">
        <v>130</v>
      </c>
      <c r="E9" s="503" t="s">
        <v>132</v>
      </c>
      <c r="F9" s="461">
        <v>31060</v>
      </c>
      <c r="G9" s="461" t="str">
        <f t="shared" si="0"/>
        <v>BLVD. JOSE FUENTES MARES # 300, COL. STA. ROSA, CD. DELICIAS, CHIH.CHIHUAHUACIUDAD DELICIAS31060</v>
      </c>
      <c r="H9" s="480">
        <v>0</v>
      </c>
      <c r="I9" s="480">
        <v>1657601.2200000002</v>
      </c>
      <c r="J9" s="502">
        <v>1386357.3840000001</v>
      </c>
      <c r="K9" s="480">
        <v>718821.37099296576</v>
      </c>
      <c r="L9" s="463"/>
    </row>
    <row r="10" spans="1:12" s="458" customFormat="1" ht="23.25" customHeight="1" thickBot="1" x14ac:dyDescent="0.35">
      <c r="A10" s="503">
        <f t="shared" si="1"/>
        <v>9</v>
      </c>
      <c r="B10" s="461" t="s">
        <v>112</v>
      </c>
      <c r="C10" s="461" t="s">
        <v>129</v>
      </c>
      <c r="D10" s="462" t="s">
        <v>130</v>
      </c>
      <c r="E10" s="503" t="s">
        <v>133</v>
      </c>
      <c r="F10" s="461">
        <v>31267</v>
      </c>
      <c r="G10" s="461" t="str">
        <f t="shared" si="0"/>
        <v>BLVD. ORTIZ MENA y C. INDIANA # 3300-D, COL. LAS AGUILAS, CD DELICIAS, CHIH.CHIHUAHUACIUDAD DELICIAS31267</v>
      </c>
      <c r="H10" s="480">
        <v>0</v>
      </c>
      <c r="I10" s="480">
        <v>2762668.7</v>
      </c>
      <c r="J10" s="502">
        <v>2310595.64</v>
      </c>
      <c r="K10" s="480">
        <v>1123289.372747025</v>
      </c>
      <c r="L10" s="463"/>
    </row>
    <row r="11" spans="1:12" s="458" customFormat="1" ht="23.25" customHeight="1" thickBot="1" x14ac:dyDescent="0.35">
      <c r="A11" s="503">
        <f t="shared" si="1"/>
        <v>10</v>
      </c>
      <c r="B11" s="461" t="s">
        <v>112</v>
      </c>
      <c r="C11" s="461" t="s">
        <v>129</v>
      </c>
      <c r="D11" s="462" t="s">
        <v>134</v>
      </c>
      <c r="E11" s="503" t="s">
        <v>135</v>
      </c>
      <c r="F11" s="461">
        <v>32500</v>
      </c>
      <c r="G11" s="461" t="str">
        <f t="shared" si="0"/>
        <v>AVE.TECNOLOGICO # 1770 COL. FUENTES DEL VALLE, CD. JUAREZ, CHIHCHIHUAHUACIUDAD JUAREZ32500</v>
      </c>
      <c r="H11" s="480">
        <v>0</v>
      </c>
      <c r="I11" s="480">
        <v>3867736.1800000006</v>
      </c>
      <c r="J11" s="502">
        <v>3234833.8960000002</v>
      </c>
      <c r="K11" s="480">
        <v>1596915.1157336438</v>
      </c>
      <c r="L11" s="463"/>
    </row>
    <row r="12" spans="1:12" s="458" customFormat="1" ht="23.25" customHeight="1" thickBot="1" x14ac:dyDescent="0.35">
      <c r="A12" s="503">
        <f t="shared" si="1"/>
        <v>11</v>
      </c>
      <c r="B12" s="461" t="s">
        <v>112</v>
      </c>
      <c r="C12" s="461" t="s">
        <v>129</v>
      </c>
      <c r="D12" s="462" t="s">
        <v>134</v>
      </c>
      <c r="E12" s="503" t="s">
        <v>136</v>
      </c>
      <c r="F12" s="461">
        <v>32320</v>
      </c>
      <c r="G12" s="461" t="str">
        <f t="shared" si="0"/>
        <v>PASEO TRIUNFO DE LA REPUBLICA # 5298, COL. SAN LORENZO, CD JUAREZ, CHIHCHIHUAHUACIUDAD JUAREZ32320</v>
      </c>
      <c r="H12" s="480">
        <v>0</v>
      </c>
      <c r="I12" s="480">
        <v>2762668.7</v>
      </c>
      <c r="J12" s="502">
        <v>2310595.64</v>
      </c>
      <c r="K12" s="480">
        <v>949347.17510149698</v>
      </c>
      <c r="L12" s="463"/>
    </row>
    <row r="13" spans="1:12" s="458" customFormat="1" ht="23.25" customHeight="1" thickBot="1" x14ac:dyDescent="0.35">
      <c r="A13" s="503">
        <f t="shared" si="1"/>
        <v>12</v>
      </c>
      <c r="B13" s="461" t="s">
        <v>112</v>
      </c>
      <c r="C13" s="461" t="s">
        <v>129</v>
      </c>
      <c r="D13" s="462" t="s">
        <v>134</v>
      </c>
      <c r="E13" s="503" t="s">
        <v>137</v>
      </c>
      <c r="F13" s="461">
        <v>32040</v>
      </c>
      <c r="G13" s="461" t="str">
        <f t="shared" si="0"/>
        <v>EDUARDO SANDER`S # 1551, COL. EL BARREAL, CD. JUAREZ, CHIHCHIHUAHUACIUDAD JUAREZ32040</v>
      </c>
      <c r="H13" s="480">
        <v>0</v>
      </c>
      <c r="I13" s="480">
        <v>1657601.2200000002</v>
      </c>
      <c r="J13" s="502">
        <v>1386357.3840000001</v>
      </c>
      <c r="K13" s="480">
        <v>685988.90798356873</v>
      </c>
      <c r="L13" s="463"/>
    </row>
    <row r="14" spans="1:12" s="458" customFormat="1" ht="23.25" customHeight="1" thickBot="1" x14ac:dyDescent="0.35">
      <c r="A14" s="503">
        <f t="shared" si="1"/>
        <v>13</v>
      </c>
      <c r="B14" s="461" t="s">
        <v>128</v>
      </c>
      <c r="C14" s="461" t="s">
        <v>138</v>
      </c>
      <c r="D14" s="462" t="s">
        <v>139</v>
      </c>
      <c r="E14" s="503" t="s">
        <v>140</v>
      </c>
      <c r="F14" s="461">
        <v>27750</v>
      </c>
      <c r="G14" s="461" t="str">
        <f t="shared" si="0"/>
        <v>AV. HUEMAC ESQ. BRASIL, COL. ANAHUAC, MONCLOVA, COAHCOAHUILAMONCLOVA27750</v>
      </c>
      <c r="H14" s="480">
        <v>0</v>
      </c>
      <c r="I14" s="480">
        <v>2210134.96</v>
      </c>
      <c r="J14" s="502">
        <v>1848476.5120000001</v>
      </c>
      <c r="K14" s="480">
        <v>1072992.8336688001</v>
      </c>
      <c r="L14" s="463"/>
    </row>
    <row r="15" spans="1:12" s="458" customFormat="1" ht="23.25" customHeight="1" thickBot="1" x14ac:dyDescent="0.35">
      <c r="A15" s="503">
        <f t="shared" si="1"/>
        <v>14</v>
      </c>
      <c r="B15" s="461" t="s">
        <v>115</v>
      </c>
      <c r="C15" s="461" t="s">
        <v>138</v>
      </c>
      <c r="D15" s="462" t="s">
        <v>141</v>
      </c>
      <c r="E15" s="503" t="s">
        <v>142</v>
      </c>
      <c r="F15" s="461">
        <v>25279</v>
      </c>
      <c r="G15" s="461" t="str">
        <f t="shared" si="0"/>
        <v>BLVD.NAZARIO ORTIZ GARZA S/ N ESQ. CON DR. LAZARO DE BENAVIDES COL. VILLA OLIMPICA NORTE SALTILLO, COAH.COAHUILASALTILLO25279</v>
      </c>
      <c r="H15" s="480">
        <v>0</v>
      </c>
      <c r="I15" s="480">
        <v>3743331.6800000006</v>
      </c>
      <c r="J15" s="502">
        <v>3130786.4960000003</v>
      </c>
      <c r="K15" s="480">
        <v>1636733.209170572</v>
      </c>
      <c r="L15" s="463"/>
    </row>
    <row r="16" spans="1:12" s="458" customFormat="1" ht="23.25" customHeight="1" thickBot="1" x14ac:dyDescent="0.35">
      <c r="A16" s="503">
        <f t="shared" si="1"/>
        <v>15</v>
      </c>
      <c r="B16" s="461" t="s">
        <v>112</v>
      </c>
      <c r="C16" s="461" t="s">
        <v>138</v>
      </c>
      <c r="D16" s="462" t="s">
        <v>143</v>
      </c>
      <c r="E16" s="503" t="s">
        <v>144</v>
      </c>
      <c r="F16" s="461">
        <v>27276</v>
      </c>
      <c r="G16" s="461" t="str">
        <f t="shared" si="0"/>
        <v>CARR. TORREON MATAMOROS # 5000 OTE, COL. PROVITEC, TORREON, COAHCOAHUILATORREON27276</v>
      </c>
      <c r="H16" s="480">
        <v>0</v>
      </c>
      <c r="I16" s="480">
        <v>2762668.7</v>
      </c>
      <c r="J16" s="502">
        <v>2310595.64</v>
      </c>
      <c r="K16" s="480">
        <v>1466982.3897815626</v>
      </c>
      <c r="L16" s="463"/>
    </row>
    <row r="17" spans="1:12" s="458" customFormat="1" ht="23.25" customHeight="1" thickBot="1" x14ac:dyDescent="0.35">
      <c r="A17" s="503">
        <f t="shared" si="1"/>
        <v>16</v>
      </c>
      <c r="B17" s="461" t="s">
        <v>128</v>
      </c>
      <c r="C17" s="461" t="s">
        <v>145</v>
      </c>
      <c r="D17" s="462" t="s">
        <v>145</v>
      </c>
      <c r="E17" s="503" t="s">
        <v>146</v>
      </c>
      <c r="F17" s="461">
        <v>28988</v>
      </c>
      <c r="G17" s="461" t="str">
        <f t="shared" si="0"/>
        <v>AV. MARIA AHUMADA DE GOMEZ # 371, COL. CAMPESTRE, COL, COL.COLIMACOLIMA28988</v>
      </c>
      <c r="H17" s="480">
        <v>0</v>
      </c>
      <c r="I17" s="480">
        <v>2486401.83</v>
      </c>
      <c r="J17" s="502">
        <v>2079536.0760000001</v>
      </c>
      <c r="K17" s="480">
        <v>1369882.1268388783</v>
      </c>
      <c r="L17" s="463"/>
    </row>
    <row r="18" spans="1:12" s="458" customFormat="1" ht="23.25" customHeight="1" thickBot="1" x14ac:dyDescent="0.35">
      <c r="A18" s="503">
        <f t="shared" si="1"/>
        <v>17</v>
      </c>
      <c r="B18" s="461" t="s">
        <v>115</v>
      </c>
      <c r="C18" s="461" t="s">
        <v>147</v>
      </c>
      <c r="D18" s="462" t="s">
        <v>148</v>
      </c>
      <c r="E18" s="503" t="s">
        <v>149</v>
      </c>
      <c r="F18" s="461">
        <v>1000</v>
      </c>
      <c r="G18" s="461" t="str">
        <f t="shared" si="0"/>
        <v>C.C. PABELLON ALTAVISTA, CALZ. DESIERTO DE LOS LEONES NO. 52, COL. SAN ANGEL, MEXICO, D.FCDMXALVARO OBREGON1000</v>
      </c>
      <c r="H18" s="480">
        <v>0</v>
      </c>
      <c r="I18" s="480">
        <v>1657601.2200000002</v>
      </c>
      <c r="J18" s="502">
        <v>1386357.3840000001</v>
      </c>
      <c r="K18" s="480">
        <v>567931.75375829067</v>
      </c>
      <c r="L18" s="463"/>
    </row>
    <row r="19" spans="1:12" s="458" customFormat="1" ht="23.25" customHeight="1" thickBot="1" x14ac:dyDescent="0.35">
      <c r="A19" s="503">
        <f t="shared" si="1"/>
        <v>18</v>
      </c>
      <c r="B19" s="461" t="s">
        <v>115</v>
      </c>
      <c r="C19" s="461" t="s">
        <v>147</v>
      </c>
      <c r="D19" s="462" t="s">
        <v>148</v>
      </c>
      <c r="E19" s="503" t="s">
        <v>150</v>
      </c>
      <c r="F19" s="461">
        <v>1090</v>
      </c>
      <c r="G19" s="461" t="str">
        <f t="shared" si="0"/>
        <v>PLAZA OPCION, ALTAMIRANO NO. 46, COL. TIZAPAN, MÉXICO, D.F.CDMXALVARO OBREGON1090</v>
      </c>
      <c r="H19" s="480">
        <v>0</v>
      </c>
      <c r="I19" s="480">
        <v>2532937.66</v>
      </c>
      <c r="J19" s="502">
        <v>2118456.952</v>
      </c>
      <c r="K19" s="480">
        <v>991260.95766668452</v>
      </c>
      <c r="L19" s="463"/>
    </row>
    <row r="20" spans="1:12" s="458" customFormat="1" ht="23.25" customHeight="1" thickBot="1" x14ac:dyDescent="0.35">
      <c r="A20" s="503">
        <f t="shared" si="1"/>
        <v>19</v>
      </c>
      <c r="B20" s="461" t="s">
        <v>115</v>
      </c>
      <c r="C20" s="461" t="s">
        <v>147</v>
      </c>
      <c r="D20" s="462" t="s">
        <v>148</v>
      </c>
      <c r="E20" s="503" t="s">
        <v>151</v>
      </c>
      <c r="F20" s="461">
        <v>1180</v>
      </c>
      <c r="G20" s="461" t="str">
        <f t="shared" si="0"/>
        <v>CALLE 10 NO. 132 COL. SAN PEDRO DE LOS PINOS ALVARO OBREGON, MÉXICO, D. F.CDMXALVARO OBREGON1180</v>
      </c>
      <c r="H20" s="480">
        <v>0</v>
      </c>
      <c r="I20" s="480">
        <v>4696536.790000001</v>
      </c>
      <c r="J20" s="502">
        <v>3928012.5880000005</v>
      </c>
      <c r="K20" s="480">
        <v>1420178.6659171032</v>
      </c>
      <c r="L20" s="463"/>
    </row>
    <row r="21" spans="1:12" s="458" customFormat="1" ht="23.25" customHeight="1" thickBot="1" x14ac:dyDescent="0.35">
      <c r="A21" s="503">
        <f t="shared" si="1"/>
        <v>20</v>
      </c>
      <c r="B21" s="461" t="s">
        <v>128</v>
      </c>
      <c r="C21" s="461" t="s">
        <v>147</v>
      </c>
      <c r="D21" s="462" t="s">
        <v>152</v>
      </c>
      <c r="E21" s="503" t="s">
        <v>153</v>
      </c>
      <c r="F21" s="461">
        <v>11520</v>
      </c>
      <c r="G21" s="461" t="str">
        <f t="shared" si="0"/>
        <v>C.C. ANTARA EJERCITO NACIONAL NO. 843 - B COL. GRANADA, MEXICO, D.F.CDMXMIGUEL HIDALGO11520</v>
      </c>
      <c r="H21" s="480">
        <v>0</v>
      </c>
      <c r="I21" s="480">
        <v>3467064.81</v>
      </c>
      <c r="J21" s="502">
        <v>2899726.932</v>
      </c>
      <c r="K21" s="480">
        <v>1425068.6072163752</v>
      </c>
      <c r="L21" s="463"/>
    </row>
    <row r="22" spans="1:12" s="458" customFormat="1" ht="23.25" customHeight="1" thickBot="1" x14ac:dyDescent="0.35">
      <c r="A22" s="503">
        <f t="shared" si="1"/>
        <v>21</v>
      </c>
      <c r="B22" s="461" t="s">
        <v>128</v>
      </c>
      <c r="C22" s="461" t="s">
        <v>147</v>
      </c>
      <c r="D22" s="462" t="s">
        <v>154</v>
      </c>
      <c r="E22" s="503" t="s">
        <v>155</v>
      </c>
      <c r="F22" s="461">
        <v>3020</v>
      </c>
      <c r="G22" s="461" t="str">
        <f t="shared" si="0"/>
        <v>C. C. PARQUE DELTA AV. CUAUHTÉMOC 462, ENTRE OBRERO MUNDIAL Y VIADUCTO, COL. NARVARTE, MÉXICO, D. F.CDMXBENITO JUAREZ3020</v>
      </c>
      <c r="H22" s="480">
        <v>0</v>
      </c>
      <c r="I22" s="480">
        <v>4333831.0125000002</v>
      </c>
      <c r="J22" s="502">
        <v>3624658.665</v>
      </c>
      <c r="K22" s="480">
        <v>1554302.7701257032</v>
      </c>
      <c r="L22" s="463"/>
    </row>
    <row r="23" spans="1:12" s="458" customFormat="1" ht="23.25" customHeight="1" thickBot="1" x14ac:dyDescent="0.35">
      <c r="A23" s="503">
        <f t="shared" si="1"/>
        <v>22</v>
      </c>
      <c r="B23" s="461" t="s">
        <v>128</v>
      </c>
      <c r="C23" s="461" t="s">
        <v>147</v>
      </c>
      <c r="D23" s="462" t="s">
        <v>154</v>
      </c>
      <c r="E23" s="503" t="s">
        <v>156</v>
      </c>
      <c r="F23" s="461">
        <v>3800</v>
      </c>
      <c r="G23" s="461" t="str">
        <f t="shared" si="0"/>
        <v>AV. PATRIOTISMO 229 ESQ. PUENTE DE LA MORENA COL. SAN PEDRO DE LOS PINOS DEL. BENITO JUÁREZ, MÉXICO, D. F., C. P. 03800CDMXBENITO JUAREZ3800</v>
      </c>
      <c r="H23" s="480">
        <v>0</v>
      </c>
      <c r="I23" s="480">
        <v>3361738.2700000005</v>
      </c>
      <c r="J23" s="502">
        <v>2811635.6440000003</v>
      </c>
      <c r="K23" s="480">
        <v>1448121.1876272282</v>
      </c>
      <c r="L23" s="463"/>
    </row>
    <row r="24" spans="1:12" s="458" customFormat="1" ht="23.25" customHeight="1" thickBot="1" x14ac:dyDescent="0.35">
      <c r="A24" s="503">
        <f t="shared" si="1"/>
        <v>23</v>
      </c>
      <c r="B24" s="461" t="s">
        <v>112</v>
      </c>
      <c r="C24" s="461" t="s">
        <v>147</v>
      </c>
      <c r="D24" s="462" t="s">
        <v>154</v>
      </c>
      <c r="E24" s="503" t="s">
        <v>157</v>
      </c>
      <c r="F24" s="461">
        <v>3100</v>
      </c>
      <c r="G24" s="461" t="str">
        <f t="shared" si="0"/>
        <v>AV. UNIVERSIDAD NO. 740 ESQ. SAN LORENZO, COL. DEL VALLE, DEL. BENITO JUAREZ, MÉXICO, D. F.CDMXBENITO JUAREZ3100</v>
      </c>
      <c r="H24" s="480">
        <v>0</v>
      </c>
      <c r="I24" s="480">
        <v>3361738.2700000005</v>
      </c>
      <c r="J24" s="502">
        <v>2811635.6440000003</v>
      </c>
      <c r="K24" s="480">
        <v>1545920.0136126657</v>
      </c>
      <c r="L24" s="463"/>
    </row>
    <row r="25" spans="1:12" s="458" customFormat="1" ht="23.25" customHeight="1" thickBot="1" x14ac:dyDescent="0.35">
      <c r="A25" s="503">
        <f t="shared" si="1"/>
        <v>24</v>
      </c>
      <c r="B25" s="461" t="s">
        <v>158</v>
      </c>
      <c r="C25" s="461" t="s">
        <v>147</v>
      </c>
      <c r="D25" s="462" t="s">
        <v>154</v>
      </c>
      <c r="E25" s="503" t="s">
        <v>159</v>
      </c>
      <c r="F25" s="461">
        <v>3810</v>
      </c>
      <c r="G25" s="461" t="str">
        <f t="shared" si="0"/>
        <v>C.C. WORLD TRADE CENTER MONTECITO NO. 38 COL. NÁPOLES MÉXICO, D. F.CDMXBENITO JUAREZ3810</v>
      </c>
      <c r="H25" s="480">
        <v>0</v>
      </c>
      <c r="I25" s="480">
        <v>4057564.1425000005</v>
      </c>
      <c r="J25" s="502">
        <v>3393599.1009999998</v>
      </c>
      <c r="K25" s="480">
        <v>2206062.0890143691</v>
      </c>
      <c r="L25" s="463"/>
    </row>
    <row r="26" spans="1:12" s="458" customFormat="1" ht="23.25" customHeight="1" thickBot="1" x14ac:dyDescent="0.35">
      <c r="A26" s="503">
        <f t="shared" si="1"/>
        <v>25</v>
      </c>
      <c r="B26" s="461" t="s">
        <v>158</v>
      </c>
      <c r="C26" s="461" t="s">
        <v>147</v>
      </c>
      <c r="D26" s="462" t="s">
        <v>160</v>
      </c>
      <c r="E26" s="503" t="s">
        <v>161</v>
      </c>
      <c r="F26" s="461">
        <v>4700</v>
      </c>
      <c r="G26" s="461" t="str">
        <f t="shared" si="0"/>
        <v>PERIFERICO SUR NO. 5550 COL. PEDREGAL DE CARRASCO, COYOACAN MÉXICO, D. F.CDMXCOYOACAN4700</v>
      </c>
      <c r="H26" s="480">
        <v>0</v>
      </c>
      <c r="I26" s="480">
        <v>3361738.2700000005</v>
      </c>
      <c r="J26" s="502">
        <v>2811635.6440000003</v>
      </c>
      <c r="K26" s="480">
        <v>1721957.9003864534</v>
      </c>
      <c r="L26" s="463"/>
    </row>
    <row r="27" spans="1:12" s="458" customFormat="1" ht="23.25" customHeight="1" thickBot="1" x14ac:dyDescent="0.35">
      <c r="A27" s="503">
        <f t="shared" si="1"/>
        <v>26</v>
      </c>
      <c r="B27" s="461" t="s">
        <v>128</v>
      </c>
      <c r="C27" s="461" t="s">
        <v>147</v>
      </c>
      <c r="D27" s="462" t="s">
        <v>162</v>
      </c>
      <c r="E27" s="503" t="s">
        <v>163</v>
      </c>
      <c r="F27" s="461">
        <v>6760</v>
      </c>
      <c r="G27" s="461" t="str">
        <f t="shared" si="0"/>
        <v>PABELLÓN CUAUHTÉMOC, ANTONIO M. ANZA NO. 20 ESQ. CUAUHTÉMOC, COL. ROMACDMXCUAUHTEMOC6760</v>
      </c>
      <c r="H27" s="480">
        <v>0</v>
      </c>
      <c r="I27" s="480">
        <v>3361738.2700000005</v>
      </c>
      <c r="J27" s="502">
        <v>2811635.6440000003</v>
      </c>
      <c r="K27" s="480">
        <v>1786225.7003197409</v>
      </c>
      <c r="L27" s="463"/>
    </row>
    <row r="28" spans="1:12" s="458" customFormat="1" ht="23.25" customHeight="1" thickBot="1" x14ac:dyDescent="0.35">
      <c r="A28" s="503">
        <f t="shared" si="1"/>
        <v>27</v>
      </c>
      <c r="B28" s="461" t="s">
        <v>115</v>
      </c>
      <c r="C28" s="461" t="s">
        <v>147</v>
      </c>
      <c r="D28" s="462" t="s">
        <v>162</v>
      </c>
      <c r="E28" s="503" t="s">
        <v>164</v>
      </c>
      <c r="F28" s="461">
        <v>6700</v>
      </c>
      <c r="G28" s="461" t="str">
        <f t="shared" si="0"/>
        <v>INSURGENTES ESQ. SAN LUIS POTOSÍ SIN NUM. ATRÁS DE SEARS INSURGENTES COL. ROMA, MÉXICO, D. F.CDMXCUAUHTEMOC6700</v>
      </c>
      <c r="H28" s="480">
        <v>0</v>
      </c>
      <c r="I28" s="480">
        <v>1980403.9200000004</v>
      </c>
      <c r="J28" s="502">
        <v>1656337.824</v>
      </c>
      <c r="K28" s="480">
        <v>1136562.0705593345</v>
      </c>
      <c r="L28" s="463"/>
    </row>
    <row r="29" spans="1:12" s="458" customFormat="1" ht="23.25" customHeight="1" thickBot="1" x14ac:dyDescent="0.35">
      <c r="A29" s="503">
        <f t="shared" si="1"/>
        <v>28</v>
      </c>
      <c r="B29" s="461" t="s">
        <v>119</v>
      </c>
      <c r="C29" s="461" t="s">
        <v>147</v>
      </c>
      <c r="D29" s="462" t="s">
        <v>162</v>
      </c>
      <c r="E29" s="503" t="s">
        <v>165</v>
      </c>
      <c r="F29" s="461">
        <v>6440</v>
      </c>
      <c r="G29" s="461" t="str">
        <f t="shared" si="0"/>
        <v>COLON 17 ESQ. BALDERAS Y REFORMA, COL. CENTRO, DEL. CUAUHTEMOC, MÉXICO, D. F.CDMXCUAUHTEMOC6440</v>
      </c>
      <c r="H29" s="480">
        <v>0</v>
      </c>
      <c r="I29" s="480">
        <v>2210134.96</v>
      </c>
      <c r="J29" s="502">
        <v>1848476.5120000001</v>
      </c>
      <c r="K29" s="480">
        <v>1170093.0966114844</v>
      </c>
      <c r="L29" s="463"/>
    </row>
    <row r="30" spans="1:12" s="458" customFormat="1" ht="23.25" customHeight="1" thickBot="1" x14ac:dyDescent="0.35">
      <c r="A30" s="503">
        <f t="shared" si="1"/>
        <v>29</v>
      </c>
      <c r="B30" s="461" t="s">
        <v>119</v>
      </c>
      <c r="C30" s="461" t="s">
        <v>147</v>
      </c>
      <c r="D30" s="462" t="s">
        <v>166</v>
      </c>
      <c r="E30" s="503" t="s">
        <v>167</v>
      </c>
      <c r="F30" s="461">
        <v>7450</v>
      </c>
      <c r="G30" s="461" t="str">
        <f t="shared" si="0"/>
        <v>SAN JUAN DE ARAGON 516 COL. DM NACIONAL GUSTAVO A. MADERO C.P. 07070CDMXGUSTAVO A. MADERO7450</v>
      </c>
      <c r="H30" s="480">
        <v>0</v>
      </c>
      <c r="I30" s="480">
        <v>3315202.4400000004</v>
      </c>
      <c r="J30" s="502">
        <v>2772714.7680000002</v>
      </c>
      <c r="K30" s="480">
        <v>1444628.3724134625</v>
      </c>
      <c r="L30" s="463"/>
    </row>
    <row r="31" spans="1:12" s="458" customFormat="1" ht="23.25" customHeight="1" thickBot="1" x14ac:dyDescent="0.35">
      <c r="A31" s="503">
        <f t="shared" si="1"/>
        <v>30</v>
      </c>
      <c r="B31" s="461" t="s">
        <v>119</v>
      </c>
      <c r="C31" s="461" t="s">
        <v>147</v>
      </c>
      <c r="D31" s="462" t="s">
        <v>166</v>
      </c>
      <c r="E31" s="503" t="s">
        <v>168</v>
      </c>
      <c r="F31" s="461">
        <v>7130</v>
      </c>
      <c r="G31" s="461" t="str">
        <f t="shared" si="0"/>
        <v>AV. LA VENTISCA NO. 100, COL. UNIDAD CROC, GUSTAVO A. MADERO, MEXICO, D. F.CDMXGUSTAVO A. MADERO7130</v>
      </c>
      <c r="H31" s="480">
        <v>0</v>
      </c>
      <c r="I31" s="480">
        <v>2486401.83</v>
      </c>
      <c r="J31" s="502">
        <v>2079536.0760000001</v>
      </c>
      <c r="K31" s="480">
        <v>1072294.2706260469</v>
      </c>
      <c r="L31" s="463"/>
    </row>
    <row r="32" spans="1:12" s="458" customFormat="1" ht="23.25" customHeight="1" thickBot="1" x14ac:dyDescent="0.35">
      <c r="A32" s="503">
        <f t="shared" si="1"/>
        <v>31</v>
      </c>
      <c r="B32" s="461" t="s">
        <v>158</v>
      </c>
      <c r="C32" s="461" t="s">
        <v>147</v>
      </c>
      <c r="D32" s="462" t="s">
        <v>169</v>
      </c>
      <c r="E32" s="503" t="s">
        <v>170</v>
      </c>
      <c r="F32" s="461">
        <v>9220</v>
      </c>
      <c r="G32" s="461" t="str">
        <f t="shared" si="0"/>
        <v>PERIFERICO ARCO ORIENTE NO. 2141 COL. EJERCITO CONSTITUCIONALISTA MÉXICO, D. F.CDMXIZTAPALAPA9220</v>
      </c>
      <c r="H32" s="480">
        <v>0</v>
      </c>
      <c r="I32" s="480">
        <v>3315202.4400000004</v>
      </c>
      <c r="J32" s="502">
        <v>2772714.7680000002</v>
      </c>
      <c r="K32" s="480">
        <v>1536838.6940568751</v>
      </c>
      <c r="L32" s="463"/>
    </row>
    <row r="33" spans="1:12" s="458" customFormat="1" ht="23.25" customHeight="1" thickBot="1" x14ac:dyDescent="0.35">
      <c r="A33" s="503">
        <f t="shared" si="1"/>
        <v>32</v>
      </c>
      <c r="B33" s="461" t="s">
        <v>158</v>
      </c>
      <c r="C33" s="461" t="s">
        <v>147</v>
      </c>
      <c r="D33" s="462" t="s">
        <v>152</v>
      </c>
      <c r="E33" s="503" t="s">
        <v>171</v>
      </c>
      <c r="F33" s="461">
        <v>11300</v>
      </c>
      <c r="G33" s="461" t="str">
        <f t="shared" si="0"/>
        <v>C.C. GALERIAS, CALZ. MELCHOR OCAMPO 193 , ESQ. BAHIA ASCENCION,COL. ANZURES, MEXICO, D.F.CDMXMIGUEL HIDALGO11300</v>
      </c>
      <c r="H33" s="480">
        <v>0</v>
      </c>
      <c r="I33" s="480">
        <v>3914272.0100000002</v>
      </c>
      <c r="J33" s="502">
        <v>3273754.7720000003</v>
      </c>
      <c r="K33" s="480">
        <v>1647910.2178546221</v>
      </c>
      <c r="L33" s="463"/>
    </row>
    <row r="34" spans="1:12" s="458" customFormat="1" ht="23.25" customHeight="1" thickBot="1" x14ac:dyDescent="0.35">
      <c r="A34" s="503">
        <f t="shared" si="1"/>
        <v>33</v>
      </c>
      <c r="B34" s="461" t="s">
        <v>119</v>
      </c>
      <c r="C34" s="461" t="s">
        <v>147</v>
      </c>
      <c r="D34" s="462" t="s">
        <v>152</v>
      </c>
      <c r="E34" s="503" t="s">
        <v>172</v>
      </c>
      <c r="F34" s="461">
        <v>11430</v>
      </c>
      <c r="G34" s="461" t="str">
        <f t="shared" si="0"/>
        <v>CALZADA LEGARIA 252 COL. PENSIL NORTE MÉXICO, D.F.CDMXMIGUEL HIDALGO11430</v>
      </c>
      <c r="H34" s="480">
        <v>0</v>
      </c>
      <c r="I34" s="480">
        <v>2762668.7</v>
      </c>
      <c r="J34" s="502">
        <v>2310595.64</v>
      </c>
      <c r="K34" s="480">
        <v>1301422.9486490719</v>
      </c>
      <c r="L34" s="463"/>
    </row>
    <row r="35" spans="1:12" s="458" customFormat="1" ht="23.25" customHeight="1" thickBot="1" x14ac:dyDescent="0.35">
      <c r="A35" s="503">
        <f t="shared" si="1"/>
        <v>34</v>
      </c>
      <c r="B35" s="461" t="s">
        <v>115</v>
      </c>
      <c r="C35" s="461" t="s">
        <v>147</v>
      </c>
      <c r="D35" s="462" t="s">
        <v>173</v>
      </c>
      <c r="E35" s="503" t="s">
        <v>174</v>
      </c>
      <c r="F35" s="461">
        <v>14300</v>
      </c>
      <c r="G35" s="461" t="str">
        <f t="shared" si="0"/>
        <v>C. C. GALERIAS COAPA, CALZ. DEL HUESO NO. 519, COL. RESIDENCIAL ACOXPA, MÉXICO, D. F., C. P. 14300CDMXTLALPAN14300</v>
      </c>
      <c r="H35" s="480">
        <v>0</v>
      </c>
      <c r="I35" s="480">
        <v>3467064.81</v>
      </c>
      <c r="J35" s="502">
        <v>2899726.932</v>
      </c>
      <c r="K35" s="480">
        <v>1523565.9962445658</v>
      </c>
      <c r="L35" s="463"/>
    </row>
    <row r="36" spans="1:12" s="458" customFormat="1" ht="23.25" customHeight="1" thickBot="1" x14ac:dyDescent="0.35">
      <c r="A36" s="503">
        <f t="shared" si="1"/>
        <v>35</v>
      </c>
      <c r="B36" s="461" t="s">
        <v>115</v>
      </c>
      <c r="C36" s="461" t="s">
        <v>147</v>
      </c>
      <c r="D36" s="462" t="s">
        <v>173</v>
      </c>
      <c r="E36" s="503" t="s">
        <v>175</v>
      </c>
      <c r="F36" s="461">
        <v>14060</v>
      </c>
      <c r="G36" s="461" t="str">
        <f t="shared" si="0"/>
        <v>PLAZA CUICUILCO, AV. SAN FERNANDO NO. 649, COL. PEÑA POBRE, MEXICO, D.F.CDMXTLALPAN14060</v>
      </c>
      <c r="H36" s="480">
        <v>0</v>
      </c>
      <c r="I36" s="480">
        <v>3781297.2725</v>
      </c>
      <c r="J36" s="502">
        <v>3162539.537</v>
      </c>
      <c r="K36" s="480">
        <v>1788321.3894480001</v>
      </c>
      <c r="L36" s="463"/>
    </row>
    <row r="37" spans="1:12" s="458" customFormat="1" ht="23.25" customHeight="1" thickBot="1" x14ac:dyDescent="0.35">
      <c r="A37" s="503">
        <f t="shared" si="1"/>
        <v>36</v>
      </c>
      <c r="B37" s="461" t="s">
        <v>112</v>
      </c>
      <c r="C37" s="461" t="s">
        <v>176</v>
      </c>
      <c r="D37" s="462" t="s">
        <v>176</v>
      </c>
      <c r="E37" s="503" t="s">
        <v>177</v>
      </c>
      <c r="F37" s="461">
        <v>34080</v>
      </c>
      <c r="G37" s="461" t="str">
        <f t="shared" si="0"/>
        <v>AVE.FELIPE PESCADOR #1107 ENTRE PROL. LAZARO CARDENAS Y BLVD. TECNOLOGICO , DGO, DGO.DURANGODURANGO34080</v>
      </c>
      <c r="H37" s="480">
        <v>0</v>
      </c>
      <c r="I37" s="480">
        <v>4019598.55</v>
      </c>
      <c r="J37" s="502">
        <v>3361846.06</v>
      </c>
      <c r="K37" s="480">
        <v>1859574.8198088189</v>
      </c>
      <c r="L37" s="463"/>
    </row>
    <row r="38" spans="1:12" s="458" customFormat="1" ht="23.25" customHeight="1" thickBot="1" x14ac:dyDescent="0.35">
      <c r="A38" s="503">
        <f t="shared" si="1"/>
        <v>37</v>
      </c>
      <c r="B38" s="461" t="s">
        <v>128</v>
      </c>
      <c r="C38" s="461" t="s">
        <v>176</v>
      </c>
      <c r="D38" s="462" t="s">
        <v>178</v>
      </c>
      <c r="E38" s="503" t="s">
        <v>179</v>
      </c>
      <c r="F38" s="461">
        <v>35030</v>
      </c>
      <c r="G38" s="461" t="str">
        <f t="shared" si="0"/>
        <v>BLVD. MIGUEL ALEMAN Y GONZALEZ DE LA VEGA S/N COL. EL CONSUELO GOMEZ PALACIO , DGODURANGOGOMEZ PALACIO35030</v>
      </c>
      <c r="H38" s="480">
        <v>0</v>
      </c>
      <c r="I38" s="480">
        <v>2210134.96</v>
      </c>
      <c r="J38" s="502">
        <v>1848476.5120000001</v>
      </c>
      <c r="K38" s="480">
        <v>900447.76210877823</v>
      </c>
      <c r="L38" s="463"/>
    </row>
    <row r="39" spans="1:12" s="458" customFormat="1" ht="23.25" customHeight="1" thickBot="1" x14ac:dyDescent="0.35">
      <c r="A39" s="503">
        <f t="shared" si="1"/>
        <v>38</v>
      </c>
      <c r="B39" s="461" t="s">
        <v>119</v>
      </c>
      <c r="C39" s="461" t="s">
        <v>180</v>
      </c>
      <c r="D39" s="462" t="s">
        <v>181</v>
      </c>
      <c r="E39" s="503" t="s">
        <v>182</v>
      </c>
      <c r="F39" s="461">
        <v>55010</v>
      </c>
      <c r="G39" s="461" t="str">
        <f t="shared" si="0"/>
        <v>AV. CONSTITUYENTE JOSE LOPEZ BONAGA COL. GUADALUPE VICTORIA ECATEPEC, EDO DE MEX.ESTADO DE MEXICOCOACALCO55010</v>
      </c>
      <c r="H39" s="480">
        <v>0</v>
      </c>
      <c r="I39" s="480">
        <v>3315202.4400000004</v>
      </c>
      <c r="J39" s="502">
        <v>2772714.7680000002</v>
      </c>
      <c r="K39" s="480">
        <v>1419480.1028743503</v>
      </c>
      <c r="L39" s="463"/>
    </row>
    <row r="40" spans="1:12" s="458" customFormat="1" ht="23.25" customHeight="1" thickBot="1" x14ac:dyDescent="0.35">
      <c r="A40" s="503">
        <f t="shared" si="1"/>
        <v>39</v>
      </c>
      <c r="B40" s="461" t="s">
        <v>158</v>
      </c>
      <c r="C40" s="461" t="s">
        <v>180</v>
      </c>
      <c r="D40" s="462" t="s">
        <v>183</v>
      </c>
      <c r="E40" s="503" t="s">
        <v>184</v>
      </c>
      <c r="F40" s="461">
        <v>54720</v>
      </c>
      <c r="G40" s="461" t="str">
        <f t="shared" si="0"/>
        <v>AV. CHALMA S/N CASI ESQUINA CON AUTOPISTA MÉX-QUERETARO COL. JARDINES DE LA HACIENDA CUAUTITLAN IZCALLI, EDO. DE MEXICO,ESTADO DE MEXICOCUAUTITLAN IZCALLI54720</v>
      </c>
      <c r="H40" s="480">
        <v>0</v>
      </c>
      <c r="I40" s="480">
        <v>3315202.4400000004</v>
      </c>
      <c r="J40" s="502">
        <v>2772714.7680000002</v>
      </c>
      <c r="K40" s="480">
        <v>1402016.0268055219</v>
      </c>
      <c r="L40" s="463"/>
    </row>
    <row r="41" spans="1:12" s="458" customFormat="1" ht="23.25" customHeight="1" thickBot="1" x14ac:dyDescent="0.35">
      <c r="A41" s="503">
        <f t="shared" si="1"/>
        <v>40</v>
      </c>
      <c r="B41" s="461" t="s">
        <v>128</v>
      </c>
      <c r="C41" s="461" t="s">
        <v>180</v>
      </c>
      <c r="D41" s="462" t="s">
        <v>185</v>
      </c>
      <c r="E41" s="503" t="s">
        <v>186</v>
      </c>
      <c r="F41" s="461">
        <v>56530</v>
      </c>
      <c r="G41" s="461" t="str">
        <f t="shared" si="0"/>
        <v>AV. CUAUHTÉMOC NO. 3 (CARR. LIBRE A PUEBLA) ESQUINA AV. VIGILANTES COL. VILLAS DE SAN JACINTO, IXTAPALUCA, EDO. DE MEXESTADO DE MEXICOIXTAPALUCA56530</v>
      </c>
      <c r="H41" s="480">
        <v>0</v>
      </c>
      <c r="I41" s="480">
        <v>3038935.5700000003</v>
      </c>
      <c r="J41" s="502">
        <v>2541655.2040000004</v>
      </c>
      <c r="K41" s="480">
        <v>1377566.3203091626</v>
      </c>
      <c r="L41" s="463"/>
    </row>
    <row r="42" spans="1:12" s="458" customFormat="1" ht="23.25" customHeight="1" thickBot="1" x14ac:dyDescent="0.35">
      <c r="A42" s="503">
        <f t="shared" si="1"/>
        <v>41</v>
      </c>
      <c r="B42" s="461" t="s">
        <v>115</v>
      </c>
      <c r="C42" s="461" t="s">
        <v>180</v>
      </c>
      <c r="D42" s="462" t="s">
        <v>187</v>
      </c>
      <c r="E42" s="503" t="s">
        <v>188</v>
      </c>
      <c r="F42" s="461">
        <v>52000</v>
      </c>
      <c r="G42" s="461" t="str">
        <f t="shared" si="0"/>
        <v>KM 50 AUTOPISTA MEXICO TOLUCA ESQ. CHOLULA CP. 52000 COL. LA ISLA CENTRO COMERCIAL LAS PLAZAS OUTLET LERMAESTADO DE MEXICOLERMA52000</v>
      </c>
      <c r="H42" s="480">
        <v>0</v>
      </c>
      <c r="I42" s="480">
        <v>2809204.5300000003</v>
      </c>
      <c r="J42" s="502">
        <v>2349516.5159999998</v>
      </c>
      <c r="K42" s="480">
        <v>1352418.0507700501</v>
      </c>
      <c r="L42" s="463"/>
    </row>
    <row r="43" spans="1:12" s="458" customFormat="1" ht="23.25" customHeight="1" thickBot="1" x14ac:dyDescent="0.35">
      <c r="A43" s="503">
        <f t="shared" si="1"/>
        <v>42</v>
      </c>
      <c r="B43" s="461" t="s">
        <v>119</v>
      </c>
      <c r="C43" s="461" t="s">
        <v>180</v>
      </c>
      <c r="D43" s="462" t="s">
        <v>189</v>
      </c>
      <c r="E43" s="503" t="s">
        <v>190</v>
      </c>
      <c r="F43" s="461">
        <v>56400</v>
      </c>
      <c r="G43" s="461" t="str">
        <f t="shared" si="0"/>
        <v>KM. 17.5 CARRETERA LIBRE MEXICO-PUEBLA, MUNICIPIO DE LOS REYES, LA PAZ, ESTADO DE MEXICOESTADO DE MEXICOLOS REYES LA PAZ56400</v>
      </c>
      <c r="H43" s="480">
        <v>0</v>
      </c>
      <c r="I43" s="480">
        <v>2762668.7</v>
      </c>
      <c r="J43" s="502">
        <v>2310595.64</v>
      </c>
      <c r="K43" s="480">
        <v>1390839.0181214721</v>
      </c>
      <c r="L43" s="463"/>
    </row>
    <row r="44" spans="1:12" s="458" customFormat="1" ht="23.25" customHeight="1" thickBot="1" x14ac:dyDescent="0.35">
      <c r="A44" s="503">
        <f t="shared" si="1"/>
        <v>43</v>
      </c>
      <c r="B44" s="461" t="s">
        <v>119</v>
      </c>
      <c r="C44" s="461" t="s">
        <v>180</v>
      </c>
      <c r="D44" s="462" t="s">
        <v>191</v>
      </c>
      <c r="E44" s="503" t="s">
        <v>192</v>
      </c>
      <c r="F44" s="461">
        <v>1090</v>
      </c>
      <c r="G44" s="461" t="str">
        <f t="shared" si="0"/>
        <v>VIA ADOLFO LOPEZ M ATEOS NO. 201, COL. SANTA CRUZ ACATLAN, NAUCALPAN, ESTADO DE MEXICO.ESTADO DE MEXICONAUCALPAN1090</v>
      </c>
      <c r="H44" s="480">
        <v>0</v>
      </c>
      <c r="I44" s="480">
        <v>3361738.2700000005</v>
      </c>
      <c r="J44" s="502">
        <v>2811635.6440000003</v>
      </c>
      <c r="K44" s="480">
        <v>1693316.8156335752</v>
      </c>
      <c r="L44" s="463"/>
    </row>
    <row r="45" spans="1:12" s="458" customFormat="1" ht="23.25" customHeight="1" thickBot="1" x14ac:dyDescent="0.35">
      <c r="A45" s="503">
        <f t="shared" si="1"/>
        <v>44</v>
      </c>
      <c r="B45" s="461" t="s">
        <v>112</v>
      </c>
      <c r="C45" s="461" t="s">
        <v>180</v>
      </c>
      <c r="D45" s="462" t="s">
        <v>193</v>
      </c>
      <c r="E45" s="503" t="s">
        <v>194</v>
      </c>
      <c r="F45" s="461">
        <v>55760</v>
      </c>
      <c r="G45" s="461" t="str">
        <f t="shared" si="0"/>
        <v>AV SANA CRUZ OJO DE AGUA # 88, EX EJIDOS DE SN FRANCISCO CUAUTITLIXCA TECAMAC ESTADO DE MEXICOESTADO DE MEXICOTECAMAC55760</v>
      </c>
      <c r="H45" s="480">
        <v>0</v>
      </c>
      <c r="I45" s="480">
        <v>2210134.96</v>
      </c>
      <c r="J45" s="502">
        <v>1848476.5120000001</v>
      </c>
      <c r="K45" s="480">
        <v>1096743.9771224062</v>
      </c>
      <c r="L45" s="463"/>
    </row>
    <row r="46" spans="1:12" s="458" customFormat="1" ht="23.25" customHeight="1" thickBot="1" x14ac:dyDescent="0.35">
      <c r="A46" s="503">
        <f t="shared" si="1"/>
        <v>45</v>
      </c>
      <c r="B46" s="461" t="s">
        <v>115</v>
      </c>
      <c r="C46" s="461" t="s">
        <v>180</v>
      </c>
      <c r="D46" s="462" t="s">
        <v>195</v>
      </c>
      <c r="E46" s="503" t="s">
        <v>196</v>
      </c>
      <c r="F46" s="461">
        <v>54055</v>
      </c>
      <c r="G46" s="461" t="str">
        <f t="shared" si="0"/>
        <v>BLVD. MANUEL AVILA CAMACHO NO. 1007, COL. SAN LUCAS TEPETLACALCO, TLANEPANTLA, EDO. DE MEXICOESTADO DE MEXICOTLALNEPANTLA54055</v>
      </c>
      <c r="H46" s="480">
        <v>0</v>
      </c>
      <c r="I46" s="480">
        <v>5620149.1225000005</v>
      </c>
      <c r="J46" s="502">
        <v>4700488.3569999998</v>
      </c>
      <c r="K46" s="480">
        <v>3006615.3360094503</v>
      </c>
      <c r="L46" s="463"/>
    </row>
    <row r="47" spans="1:12" s="458" customFormat="1" ht="23.25" customHeight="1" thickBot="1" x14ac:dyDescent="0.35">
      <c r="A47" s="503">
        <f t="shared" si="1"/>
        <v>46</v>
      </c>
      <c r="B47" s="461" t="s">
        <v>119</v>
      </c>
      <c r="C47" s="461" t="s">
        <v>180</v>
      </c>
      <c r="D47" s="462" t="s">
        <v>197</v>
      </c>
      <c r="E47" s="503" t="s">
        <v>198</v>
      </c>
      <c r="F47" s="461">
        <v>50010</v>
      </c>
      <c r="G47" s="461" t="str">
        <f t="shared" si="0"/>
        <v>BLVD. ALFREDO DEL MAZO NO. 705, ESQ. AV. FILIBERTO GOMEZ, BARRIO DE TLACOPA, TOLUCA, EDO. DE MÉXICO, (JUNTO A CHEDRAUI )ESTADO DE MEXICOTOLUCA50010</v>
      </c>
      <c r="H47" s="480">
        <v>0</v>
      </c>
      <c r="I47" s="480">
        <v>2486401.83</v>
      </c>
      <c r="J47" s="502">
        <v>2079536.0760000001</v>
      </c>
      <c r="K47" s="480">
        <v>1187557.1726803125</v>
      </c>
      <c r="L47" s="463"/>
    </row>
    <row r="48" spans="1:12" s="458" customFormat="1" ht="23.25" customHeight="1" thickBot="1" x14ac:dyDescent="0.35">
      <c r="A48" s="503">
        <f t="shared" si="1"/>
        <v>47</v>
      </c>
      <c r="B48" s="461" t="s">
        <v>119</v>
      </c>
      <c r="C48" s="461" t="s">
        <v>180</v>
      </c>
      <c r="D48" s="462" t="s">
        <v>199</v>
      </c>
      <c r="E48" s="503" t="s">
        <v>200</v>
      </c>
      <c r="F48" s="461">
        <v>55400</v>
      </c>
      <c r="G48" s="461" t="str">
        <f t="shared" si="0"/>
        <v>VIA MORELOS NO. 300, COL. TULTEPEC, ESTADO DE MEXICO. ESTADO DE MEXICOTULTEPEC55400</v>
      </c>
      <c r="H48" s="480">
        <v>0</v>
      </c>
      <c r="I48" s="480">
        <v>4144003.05</v>
      </c>
      <c r="J48" s="502">
        <v>3465893.46</v>
      </c>
      <c r="K48" s="480">
        <v>1010820.722863772</v>
      </c>
      <c r="L48" s="463"/>
    </row>
    <row r="49" spans="1:12" s="458" customFormat="1" ht="23.25" customHeight="1" thickBot="1" x14ac:dyDescent="0.35">
      <c r="A49" s="503">
        <f t="shared" si="1"/>
        <v>48</v>
      </c>
      <c r="B49" s="461" t="s">
        <v>115</v>
      </c>
      <c r="C49" s="461" t="s">
        <v>201</v>
      </c>
      <c r="D49" s="462" t="s">
        <v>201</v>
      </c>
      <c r="E49" s="503" t="s">
        <v>202</v>
      </c>
      <c r="F49" s="461">
        <v>36000</v>
      </c>
      <c r="G49" s="461" t="str">
        <f t="shared" si="0"/>
        <v>BLVD. POZUELOS S/N CIRCUITO INTERIOR No. 1 COL. LOMAS DE POZUELOS PLAZA POZUELOS ,GTO, GTOGUANAJUATOGUANAJUATO36000</v>
      </c>
      <c r="H49" s="480">
        <v>0</v>
      </c>
      <c r="I49" s="480">
        <v>2210134.96</v>
      </c>
      <c r="J49" s="502">
        <v>1848476.5120000001</v>
      </c>
      <c r="K49" s="480">
        <v>927691.72077615</v>
      </c>
      <c r="L49" s="463"/>
    </row>
    <row r="50" spans="1:12" s="458" customFormat="1" ht="23.25" customHeight="1" thickBot="1" x14ac:dyDescent="0.35">
      <c r="A50" s="503">
        <f t="shared" si="1"/>
        <v>49</v>
      </c>
      <c r="B50" s="461" t="s">
        <v>115</v>
      </c>
      <c r="C50" s="461" t="s">
        <v>201</v>
      </c>
      <c r="D50" s="462" t="s">
        <v>203</v>
      </c>
      <c r="E50" s="503" t="s">
        <v>204</v>
      </c>
      <c r="F50" s="461">
        <v>37500</v>
      </c>
      <c r="G50" s="461" t="str">
        <f t="shared" si="0"/>
        <v>BLVD. MARIANO ESCOBEDO # 2902, COL. LA MARTINICA, LEON, GTO.GUANAJUATOLEON37500</v>
      </c>
      <c r="H50" s="480">
        <v>0</v>
      </c>
      <c r="I50" s="480">
        <v>1657601.2200000002</v>
      </c>
      <c r="J50" s="502">
        <v>1386357.3840000001</v>
      </c>
      <c r="K50" s="480">
        <v>696467.35362486565</v>
      </c>
      <c r="L50" s="463"/>
    </row>
    <row r="51" spans="1:12" s="458" customFormat="1" ht="23.25" customHeight="1" thickBot="1" x14ac:dyDescent="0.35">
      <c r="A51" s="503">
        <f t="shared" si="1"/>
        <v>50</v>
      </c>
      <c r="B51" s="461" t="s">
        <v>115</v>
      </c>
      <c r="C51" s="461" t="s">
        <v>201</v>
      </c>
      <c r="D51" s="462" t="s">
        <v>205</v>
      </c>
      <c r="E51" s="503" t="s">
        <v>206</v>
      </c>
      <c r="F51" s="461">
        <v>37770</v>
      </c>
      <c r="G51" s="461" t="str">
        <f t="shared" si="0"/>
        <v>LIBRAMIENTO JOSE MANUEL ZAVALA S/N ENTRE CAMINO VIEJO ALCOSER Y BLVD. DE LA CONSPIRACION PLAZA LA LUCIERNAGA.SAN MIGGUANAJUATOSAN MIGUEL ALLENDE37770</v>
      </c>
      <c r="H51" s="480">
        <v>0</v>
      </c>
      <c r="I51" s="480">
        <v>2210134.96</v>
      </c>
      <c r="J51" s="502">
        <v>1848476.5120000001</v>
      </c>
      <c r="K51" s="480">
        <v>1035968.9924028844</v>
      </c>
      <c r="L51" s="463"/>
    </row>
    <row r="52" spans="1:12" s="458" customFormat="1" ht="23.25" customHeight="1" thickBot="1" x14ac:dyDescent="0.35">
      <c r="A52" s="503">
        <f t="shared" si="1"/>
        <v>51</v>
      </c>
      <c r="B52" s="461" t="s">
        <v>115</v>
      </c>
      <c r="C52" s="461" t="s">
        <v>207</v>
      </c>
      <c r="D52" s="462" t="s">
        <v>208</v>
      </c>
      <c r="E52" s="503" t="s">
        <v>209</v>
      </c>
      <c r="F52" s="461">
        <v>42080</v>
      </c>
      <c r="G52" s="461" t="str">
        <f t="shared" si="0"/>
        <v>AV. LUIS DONALDO COLOSIO # 1501, COL. EX. HACIENDA DE COXCOCITLAN, PACHUCA, HGO.HIDALGOPACHUCA42080</v>
      </c>
      <c r="H52" s="480">
        <v>0</v>
      </c>
      <c r="I52" s="480">
        <v>1933868.0900000003</v>
      </c>
      <c r="J52" s="502">
        <v>1617416.9480000001</v>
      </c>
      <c r="K52" s="480">
        <v>1035968.9924028844</v>
      </c>
      <c r="L52" s="463"/>
    </row>
    <row r="53" spans="1:12" s="458" customFormat="1" ht="23.25" customHeight="1" thickBot="1" x14ac:dyDescent="0.35">
      <c r="A53" s="503">
        <f t="shared" si="1"/>
        <v>52</v>
      </c>
      <c r="B53" s="461" t="s">
        <v>115</v>
      </c>
      <c r="C53" s="461" t="s">
        <v>207</v>
      </c>
      <c r="D53" s="462" t="s">
        <v>208</v>
      </c>
      <c r="E53" s="503" t="s">
        <v>210</v>
      </c>
      <c r="F53" s="461">
        <v>42093</v>
      </c>
      <c r="G53" s="461" t="str">
        <f t="shared" si="0"/>
        <v>BLVD. LUIS DONALDO COLOSIO KM 7.7 FRACC. COLINAS DE PLATA, C.C.PLAZA Q. MINERAL DE LA REFORMA, HIGALGOHIDALGOPACHUCA42093</v>
      </c>
      <c r="H53" s="480">
        <v>0</v>
      </c>
      <c r="I53" s="480">
        <v>3315202.4400000004</v>
      </c>
      <c r="J53" s="502">
        <v>2772714.7680000002</v>
      </c>
      <c r="K53" s="480">
        <v>1478159.3984656124</v>
      </c>
      <c r="L53" s="463"/>
    </row>
    <row r="54" spans="1:12" s="458" customFormat="1" ht="23.25" customHeight="1" thickBot="1" x14ac:dyDescent="0.35">
      <c r="A54" s="503">
        <f t="shared" si="1"/>
        <v>53</v>
      </c>
      <c r="B54" s="461" t="s">
        <v>115</v>
      </c>
      <c r="C54" s="461" t="s">
        <v>207</v>
      </c>
      <c r="D54" s="462" t="s">
        <v>211</v>
      </c>
      <c r="E54" s="503" t="s">
        <v>212</v>
      </c>
      <c r="F54" s="461">
        <v>43642</v>
      </c>
      <c r="G54" s="461" t="str">
        <f t="shared" si="0"/>
        <v>BLVD.MIGUEL HIDALGO No.1101 FRACC.SANTA ANA C.C.PATIO TULANCINGO, LOCAL A-01 TULANCINGO DEL BRAVO, HGOHIDALGOTULANCINGO43642</v>
      </c>
      <c r="H54" s="480">
        <v>0</v>
      </c>
      <c r="I54" s="480">
        <v>2210134.96</v>
      </c>
      <c r="J54" s="502">
        <v>1848476.5120000001</v>
      </c>
      <c r="K54" s="480">
        <v>927691.72077615</v>
      </c>
      <c r="L54" s="463"/>
    </row>
    <row r="55" spans="1:12" s="458" customFormat="1" ht="23.25" customHeight="1" thickBot="1" x14ac:dyDescent="0.35">
      <c r="A55" s="503">
        <f t="shared" si="1"/>
        <v>54</v>
      </c>
      <c r="B55" s="461" t="s">
        <v>115</v>
      </c>
      <c r="C55" s="461" t="s">
        <v>213</v>
      </c>
      <c r="D55" s="462" t="s">
        <v>214</v>
      </c>
      <c r="E55" s="503" t="s">
        <v>215</v>
      </c>
      <c r="F55" s="461">
        <v>49000</v>
      </c>
      <c r="G55" s="461" t="str">
        <f t="shared" si="0"/>
        <v>CALZADA MADERO Y CARRANZA #570 COL CENTRO JUNTO A SORIANA, CD. GUZMAN JALISCOJALISCOCD. GUZMAN49000</v>
      </c>
      <c r="H55" s="480">
        <v>0</v>
      </c>
      <c r="I55" s="480">
        <v>1657601.2200000002</v>
      </c>
      <c r="J55" s="502">
        <v>1386357.3840000001</v>
      </c>
      <c r="K55" s="480">
        <v>882983.68603995012</v>
      </c>
      <c r="L55" s="463"/>
    </row>
    <row r="56" spans="1:12" s="458" customFormat="1" ht="23.25" customHeight="1" thickBot="1" x14ac:dyDescent="0.35">
      <c r="A56" s="503">
        <f t="shared" si="1"/>
        <v>55</v>
      </c>
      <c r="B56" s="461" t="s">
        <v>112</v>
      </c>
      <c r="C56" s="461" t="s">
        <v>213</v>
      </c>
      <c r="D56" s="462" t="s">
        <v>216</v>
      </c>
      <c r="E56" s="503" t="s">
        <v>217</v>
      </c>
      <c r="F56" s="461">
        <v>45540</v>
      </c>
      <c r="G56" s="461" t="str">
        <f t="shared" si="0"/>
        <v>AVE. NIÑOS HEROES (ANTIGUO CAMINO A TONALA) #720 ESQ.AVE.REVOLUCION COL.HIDALGOJALISCOGUADALAJARA45540</v>
      </c>
      <c r="H56" s="480">
        <v>0</v>
      </c>
      <c r="I56" s="480">
        <v>2762668.7</v>
      </c>
      <c r="J56" s="502">
        <v>2310595.64</v>
      </c>
      <c r="K56" s="480">
        <v>1127480.7510035438</v>
      </c>
      <c r="L56" s="463"/>
    </row>
    <row r="57" spans="1:12" s="458" customFormat="1" ht="23.25" customHeight="1" thickBot="1" x14ac:dyDescent="0.35">
      <c r="A57" s="503">
        <f t="shared" si="1"/>
        <v>56</v>
      </c>
      <c r="B57" s="461" t="s">
        <v>115</v>
      </c>
      <c r="C57" s="461" t="s">
        <v>213</v>
      </c>
      <c r="D57" s="462" t="s">
        <v>218</v>
      </c>
      <c r="E57" s="503" t="s">
        <v>219</v>
      </c>
      <c r="F57" s="461">
        <v>47840</v>
      </c>
      <c r="G57" s="461" t="str">
        <f t="shared" si="0"/>
        <v>AV.UNIVERSIDAD (ANTES FCO.ZARCO) No.950 ENTRE CALLE ECUADOR Y ANDADOR ECUADOR COL.SAN FELIPE C.C. PLAZA OCOTLANJALISCOOCOTLAN47840</v>
      </c>
      <c r="H57" s="480">
        <v>0</v>
      </c>
      <c r="I57" s="480">
        <v>1657601.2200000002</v>
      </c>
      <c r="J57" s="502">
        <v>1386357.3840000001</v>
      </c>
      <c r="K57" s="480">
        <v>789376.23831103125</v>
      </c>
      <c r="L57" s="463"/>
    </row>
    <row r="58" spans="1:12" s="458" customFormat="1" ht="23.25" customHeight="1" thickBot="1" x14ac:dyDescent="0.35">
      <c r="A58" s="503">
        <f t="shared" si="1"/>
        <v>57</v>
      </c>
      <c r="B58" s="461" t="s">
        <v>115</v>
      </c>
      <c r="C58" s="461" t="s">
        <v>213</v>
      </c>
      <c r="D58" s="462" t="s">
        <v>220</v>
      </c>
      <c r="E58" s="503" t="s">
        <v>221</v>
      </c>
      <c r="F58" s="461">
        <v>48333</v>
      </c>
      <c r="G58" s="461" t="str">
        <f t="shared" si="0"/>
        <v>FRANCISCO MEDINA ASCENCIO No.2920 LOCAL 234 C.C. GALERIAS VALLARTA COL. EDUCACION PUERTO VALLARTA, JAL.JALISCOPUERTO VALLARTA48333</v>
      </c>
      <c r="H58" s="480">
        <v>0</v>
      </c>
      <c r="I58" s="480">
        <v>2762668.7</v>
      </c>
      <c r="J58" s="502">
        <v>2310595.64</v>
      </c>
      <c r="K58" s="480">
        <v>1397824.6485490031</v>
      </c>
      <c r="L58" s="463"/>
    </row>
    <row r="59" spans="1:12" s="458" customFormat="1" ht="23.25" customHeight="1" thickBot="1" x14ac:dyDescent="0.35">
      <c r="A59" s="503">
        <f t="shared" si="1"/>
        <v>58</v>
      </c>
      <c r="B59" s="461" t="s">
        <v>128</v>
      </c>
      <c r="C59" s="461" t="s">
        <v>213</v>
      </c>
      <c r="D59" s="462" t="s">
        <v>222</v>
      </c>
      <c r="E59" s="503" t="s">
        <v>223</v>
      </c>
      <c r="F59" s="461">
        <v>45640</v>
      </c>
      <c r="G59" s="461" t="str">
        <f t="shared" si="0"/>
        <v>C. C. OUTLET LAS PLAZAS, CARRETERA GUADALAJARA - MORELIA KM. 12.5 COL. TLAJOMULCO DE ZÚÑIGA, TLAJOMULCO, JALISCOJALISCOTLAJOMULCO DE ZUÑIGA45640</v>
      </c>
      <c r="H59" s="480">
        <v>0</v>
      </c>
      <c r="I59" s="480">
        <v>2762668.7</v>
      </c>
      <c r="J59" s="502">
        <v>2310595.64</v>
      </c>
      <c r="K59" s="480">
        <v>1080677.0271390844</v>
      </c>
      <c r="L59" s="463"/>
    </row>
    <row r="60" spans="1:12" s="458" customFormat="1" ht="23.25" customHeight="1" thickBot="1" x14ac:dyDescent="0.35">
      <c r="A60" s="503">
        <f t="shared" si="1"/>
        <v>59</v>
      </c>
      <c r="B60" s="461" t="s">
        <v>119</v>
      </c>
      <c r="C60" s="461" t="s">
        <v>213</v>
      </c>
      <c r="D60" s="462" t="s">
        <v>224</v>
      </c>
      <c r="E60" s="503" t="s">
        <v>225</v>
      </c>
      <c r="F60" s="461">
        <v>45417</v>
      </c>
      <c r="G60" s="461" t="str">
        <f t="shared" si="0"/>
        <v>PLAZA LOMAS, RIO NILO NO. 7540, FRACC. VILLAS DE ORIENTE, TONALÁ, JALISCOJALISCOTONALA45417</v>
      </c>
      <c r="H60" s="480">
        <v>0</v>
      </c>
      <c r="I60" s="480">
        <v>4144003.05</v>
      </c>
      <c r="J60" s="502">
        <v>3465893.46</v>
      </c>
      <c r="K60" s="480">
        <v>2129918.7173542781</v>
      </c>
      <c r="L60" s="463"/>
    </row>
    <row r="61" spans="1:12" s="458" customFormat="1" ht="23.25" customHeight="1" thickBot="1" x14ac:dyDescent="0.35">
      <c r="A61" s="503">
        <f t="shared" si="1"/>
        <v>60</v>
      </c>
      <c r="B61" s="461" t="s">
        <v>112</v>
      </c>
      <c r="C61" s="461" t="s">
        <v>213</v>
      </c>
      <c r="D61" s="462" t="s">
        <v>226</v>
      </c>
      <c r="E61" s="503" t="s">
        <v>227</v>
      </c>
      <c r="F61" s="461">
        <v>45050</v>
      </c>
      <c r="G61" s="461" t="str">
        <f t="shared" si="0"/>
        <v>AV. PATRIA ESQ. AV. MANUEL J. CLOUTHIER, COL. PRADOS DEL TEPEYAC, GUAD, JALJALISCOZAPOPAN45050</v>
      </c>
      <c r="H61" s="480">
        <v>0</v>
      </c>
      <c r="I61" s="480">
        <v>2591107.4475000002</v>
      </c>
      <c r="J61" s="502">
        <v>2167108.0470000003</v>
      </c>
      <c r="K61" s="480">
        <v>964715.56204206566</v>
      </c>
      <c r="L61" s="463"/>
    </row>
    <row r="62" spans="1:12" s="458" customFormat="1" ht="23.25" customHeight="1" thickBot="1" x14ac:dyDescent="0.35">
      <c r="A62" s="503">
        <f t="shared" si="1"/>
        <v>61</v>
      </c>
      <c r="B62" s="461" t="s">
        <v>112</v>
      </c>
      <c r="C62" s="461" t="s">
        <v>228</v>
      </c>
      <c r="D62" s="462" t="s">
        <v>229</v>
      </c>
      <c r="E62" s="503" t="s">
        <v>230</v>
      </c>
      <c r="F62" s="461">
        <v>62757</v>
      </c>
      <c r="G62" s="461" t="str">
        <f t="shared" si="0"/>
        <v>LIBRAMIENTO CUAUTLA-OAXTEPEC KM 31+900, COL. EJIDOMORELOSCUAUTLA62757</v>
      </c>
      <c r="H62" s="480">
        <v>0</v>
      </c>
      <c r="I62" s="480">
        <v>3315202.4400000004</v>
      </c>
      <c r="J62" s="502">
        <v>2772714.7680000002</v>
      </c>
      <c r="K62" s="480">
        <v>1703795.2612748719</v>
      </c>
      <c r="L62" s="463"/>
    </row>
    <row r="63" spans="1:12" s="458" customFormat="1" ht="23.25" customHeight="1" thickBot="1" x14ac:dyDescent="0.35">
      <c r="A63" s="503">
        <f t="shared" si="1"/>
        <v>62</v>
      </c>
      <c r="B63" s="461" t="s">
        <v>115</v>
      </c>
      <c r="C63" s="461" t="s">
        <v>231</v>
      </c>
      <c r="D63" s="462" t="s">
        <v>232</v>
      </c>
      <c r="E63" s="503" t="s">
        <v>233</v>
      </c>
      <c r="F63" s="461">
        <v>63175</v>
      </c>
      <c r="G63" s="461" t="str">
        <f t="shared" si="0"/>
        <v>BLVD.LUIS DONALDO COLOSIO #680 ENTRE AV.PASEO DEL LAGO Y CANAL PLUVIAL SUBCENTRO URBANO ORIENTE CENTRO COMERCIAL FORUM NAYARITTEPIC63175</v>
      </c>
      <c r="H63" s="480">
        <v>0</v>
      </c>
      <c r="I63" s="480">
        <v>3467064.81</v>
      </c>
      <c r="J63" s="502">
        <v>2899726.932</v>
      </c>
      <c r="K63" s="480">
        <v>1636034.6461278189</v>
      </c>
      <c r="L63" s="463"/>
    </row>
    <row r="64" spans="1:12" s="458" customFormat="1" ht="23.25" customHeight="1" thickBot="1" x14ac:dyDescent="0.35">
      <c r="A64" s="503">
        <f t="shared" si="1"/>
        <v>63</v>
      </c>
      <c r="B64" s="461" t="s">
        <v>115</v>
      </c>
      <c r="C64" s="461" t="s">
        <v>231</v>
      </c>
      <c r="D64" s="462" t="s">
        <v>232</v>
      </c>
      <c r="E64" s="503" t="s">
        <v>234</v>
      </c>
      <c r="F64" s="461">
        <v>63170</v>
      </c>
      <c r="G64" s="461" t="str">
        <f t="shared" si="0"/>
        <v>AVE.INSURGENTES #368 COL.LOS LLANITOS ENTRE LAS GAVIOTAS Y 12 DE OCTUBRE CENTRO COMERCIAL SORIANA, TEPIC,NAYARITTEPIC63170</v>
      </c>
      <c r="H64" s="480">
        <v>0</v>
      </c>
      <c r="I64" s="480">
        <v>2486401.83</v>
      </c>
      <c r="J64" s="502">
        <v>2079536.0760000001</v>
      </c>
      <c r="K64" s="480">
        <v>1257413.476955625</v>
      </c>
      <c r="L64" s="463"/>
    </row>
    <row r="65" spans="1:12" s="458" customFormat="1" ht="23.25" customHeight="1" thickBot="1" x14ac:dyDescent="0.35">
      <c r="A65" s="503">
        <f t="shared" si="1"/>
        <v>64</v>
      </c>
      <c r="B65" s="461" t="s">
        <v>115</v>
      </c>
      <c r="C65" s="461" t="s">
        <v>235</v>
      </c>
      <c r="D65" s="462" t="s">
        <v>236</v>
      </c>
      <c r="E65" s="503" t="s">
        <v>237</v>
      </c>
      <c r="F65" s="461">
        <v>66358</v>
      </c>
      <c r="G65" s="461" t="str">
        <f t="shared" si="0"/>
        <v>CARR.MEZQUITAL - SANTA ROSA No.5000 ESQ.AV.LA CONCORDIA APODACA,N.L.NUEVO LEONAPODACA66358</v>
      </c>
      <c r="H65" s="480">
        <v>0</v>
      </c>
      <c r="I65" s="480">
        <v>2210134.96</v>
      </c>
      <c r="J65" s="502">
        <v>1848476.5120000001</v>
      </c>
      <c r="K65" s="480">
        <v>1061117.2619419969</v>
      </c>
      <c r="L65" s="463"/>
    </row>
    <row r="66" spans="1:12" s="458" customFormat="1" ht="23.25" customHeight="1" thickBot="1" x14ac:dyDescent="0.35">
      <c r="A66" s="503">
        <f t="shared" si="1"/>
        <v>65</v>
      </c>
      <c r="B66" s="461" t="s">
        <v>119</v>
      </c>
      <c r="C66" s="461" t="s">
        <v>235</v>
      </c>
      <c r="D66" s="462" t="s">
        <v>238</v>
      </c>
      <c r="E66" s="503" t="s">
        <v>239</v>
      </c>
      <c r="F66" s="461">
        <v>64550</v>
      </c>
      <c r="G66" s="461" t="str">
        <f t="shared" si="0"/>
        <v>AVE.GUERRERO Y RUIZ CORTINEZ No 2500 NTE FRACC. CENTRIKA 2o. SECTOR MTY,N.L. NUEVO LEONMONTERREY64550</v>
      </c>
      <c r="H66" s="480">
        <v>0</v>
      </c>
      <c r="I66" s="480">
        <v>3315202.4400000004</v>
      </c>
      <c r="J66" s="502">
        <v>2772714.7680000002</v>
      </c>
      <c r="K66" s="480">
        <v>1610187.8135459532</v>
      </c>
      <c r="L66" s="463"/>
    </row>
    <row r="67" spans="1:12" s="458" customFormat="1" ht="23.25" customHeight="1" thickBot="1" x14ac:dyDescent="0.35">
      <c r="A67" s="503">
        <f t="shared" si="1"/>
        <v>66</v>
      </c>
      <c r="B67" s="461" t="s">
        <v>115</v>
      </c>
      <c r="C67" s="461" t="s">
        <v>235</v>
      </c>
      <c r="D67" s="462" t="s">
        <v>238</v>
      </c>
      <c r="E67" s="503" t="s">
        <v>240</v>
      </c>
      <c r="F67" s="461">
        <v>67176</v>
      </c>
      <c r="G67" s="461" t="str">
        <f t="shared" ref="G67:G130" si="2">CONCATENATE(E67,C67,D67,F67)</f>
        <v>AVE. ELOY CAVAZOS # 2003, COL. BOSQUES DE LA PASTORA, GUADALUPE, N.L.NUEVO LEONMONTERREY67176</v>
      </c>
      <c r="H67" s="480">
        <v>0</v>
      </c>
      <c r="I67" s="480">
        <v>2762668.7</v>
      </c>
      <c r="J67" s="502">
        <v>2310595.64</v>
      </c>
      <c r="K67" s="480">
        <v>1414590.1615750783</v>
      </c>
      <c r="L67" s="463"/>
    </row>
    <row r="68" spans="1:12" s="458" customFormat="1" ht="23.25" customHeight="1" thickBot="1" x14ac:dyDescent="0.35">
      <c r="A68" s="503">
        <f t="shared" ref="A68:A131" si="3">+A67+1</f>
        <v>67</v>
      </c>
      <c r="B68" s="461" t="s">
        <v>115</v>
      </c>
      <c r="C68" s="461" t="s">
        <v>235</v>
      </c>
      <c r="D68" s="462" t="s">
        <v>238</v>
      </c>
      <c r="E68" s="503" t="s">
        <v>241</v>
      </c>
      <c r="F68" s="461">
        <v>66050</v>
      </c>
      <c r="G68" s="461" t="str">
        <f t="shared" si="2"/>
        <v>AV. PARQUE INDUSTRIAL # 201, COL. GIRASOLES, ESCOBEDO,N.L.NUEVO LEONMONTERREY66050</v>
      </c>
      <c r="H68" s="480">
        <v>0</v>
      </c>
      <c r="I68" s="480">
        <v>1657601.2200000002</v>
      </c>
      <c r="J68" s="502">
        <v>1386357.3840000001</v>
      </c>
      <c r="K68" s="480">
        <v>823605.82740593445</v>
      </c>
      <c r="L68" s="463"/>
    </row>
    <row r="69" spans="1:12" s="458" customFormat="1" ht="23.25" customHeight="1" thickBot="1" x14ac:dyDescent="0.35">
      <c r="A69" s="503">
        <f t="shared" si="3"/>
        <v>68</v>
      </c>
      <c r="B69" s="461" t="s">
        <v>112</v>
      </c>
      <c r="C69" s="461" t="s">
        <v>235</v>
      </c>
      <c r="D69" s="462" t="s">
        <v>238</v>
      </c>
      <c r="E69" s="503" t="s">
        <v>242</v>
      </c>
      <c r="F69" s="461">
        <v>66220</v>
      </c>
      <c r="G69" s="461" t="str">
        <f t="shared" si="2"/>
        <v>AVE.HUMBERTO LOBO 540-A COL.DEL VALLE SAN PEDRO GARZA GARCIA,N.L.NUEVO LEONMONTERREY66220</v>
      </c>
      <c r="H69" s="480">
        <v>0</v>
      </c>
      <c r="I69" s="480">
        <v>3361738.2700000005</v>
      </c>
      <c r="J69" s="502">
        <v>2811635.6440000003</v>
      </c>
      <c r="K69" s="480">
        <v>1481652.2136793784</v>
      </c>
      <c r="L69" s="463"/>
    </row>
    <row r="70" spans="1:12" s="458" customFormat="1" ht="23.25" customHeight="1" thickBot="1" x14ac:dyDescent="0.35">
      <c r="A70" s="503">
        <f t="shared" si="3"/>
        <v>69</v>
      </c>
      <c r="B70" s="461" t="s">
        <v>112</v>
      </c>
      <c r="C70" s="461" t="s">
        <v>235</v>
      </c>
      <c r="D70" s="462" t="s">
        <v>238</v>
      </c>
      <c r="E70" s="503" t="s">
        <v>243</v>
      </c>
      <c r="F70" s="461">
        <v>66495</v>
      </c>
      <c r="G70" s="461" t="str">
        <f t="shared" si="2"/>
        <v>AV. FELIX GALVAN # 120, COL. HDA. LOS MORALES, SAN NICOLAS DE LOS GARZA,N.L.NUEVO LEONMONTERREY66495</v>
      </c>
      <c r="H70" s="480">
        <v>0</v>
      </c>
      <c r="I70" s="480">
        <v>3315202.4400000004</v>
      </c>
      <c r="J70" s="502">
        <v>2772714.7680000002</v>
      </c>
      <c r="K70" s="480">
        <v>1514484.676688775</v>
      </c>
      <c r="L70" s="463"/>
    </row>
    <row r="71" spans="1:12" s="458" customFormat="1" ht="23.25" customHeight="1" thickBot="1" x14ac:dyDescent="0.35">
      <c r="A71" s="503">
        <f t="shared" si="3"/>
        <v>70</v>
      </c>
      <c r="B71" s="461" t="s">
        <v>128</v>
      </c>
      <c r="C71" s="461" t="s">
        <v>235</v>
      </c>
      <c r="D71" s="462" t="s">
        <v>238</v>
      </c>
      <c r="E71" s="503" t="s">
        <v>244</v>
      </c>
      <c r="F71" s="461">
        <v>66054</v>
      </c>
      <c r="G71" s="461" t="str">
        <f t="shared" si="2"/>
        <v>MANUEL L.BARRAGAN # 220 COL. EXHACIENDA EL CANADA MTY, N.L.NUEVO LEONMONTERREY66054</v>
      </c>
      <c r="H71" s="480">
        <v>0</v>
      </c>
      <c r="I71" s="480">
        <v>3038935.5700000003</v>
      </c>
      <c r="J71" s="502">
        <v>2541655.2040000004</v>
      </c>
      <c r="K71" s="480">
        <v>1344035.2942570127</v>
      </c>
      <c r="L71" s="463"/>
    </row>
    <row r="72" spans="1:12" s="458" customFormat="1" ht="23.25" customHeight="1" thickBot="1" x14ac:dyDescent="0.35">
      <c r="A72" s="503">
        <f t="shared" si="3"/>
        <v>71</v>
      </c>
      <c r="B72" s="461" t="s">
        <v>112</v>
      </c>
      <c r="C72" s="461" t="s">
        <v>235</v>
      </c>
      <c r="D72" s="462" t="s">
        <v>238</v>
      </c>
      <c r="E72" s="503" t="s">
        <v>245</v>
      </c>
      <c r="F72" s="461">
        <v>64610</v>
      </c>
      <c r="G72" s="461" t="str">
        <f t="shared" si="2"/>
        <v>AV.PASEO DE LEONES # 1501 COL. CUMBRES MTY,N.L. NUEVO LEONMONTERREY64610</v>
      </c>
      <c r="H72" s="480">
        <v>0</v>
      </c>
      <c r="I72" s="480">
        <v>2762668.7</v>
      </c>
      <c r="J72" s="502">
        <v>2310595.64</v>
      </c>
      <c r="K72" s="480">
        <v>1066007.2032412686</v>
      </c>
      <c r="L72" s="463"/>
    </row>
    <row r="73" spans="1:12" s="458" customFormat="1" ht="23.25" customHeight="1" thickBot="1" x14ac:dyDescent="0.35">
      <c r="A73" s="503">
        <f t="shared" si="3"/>
        <v>72</v>
      </c>
      <c r="B73" s="461" t="s">
        <v>119</v>
      </c>
      <c r="C73" s="461" t="s">
        <v>235</v>
      </c>
      <c r="D73" s="462" t="s">
        <v>238</v>
      </c>
      <c r="E73" s="503" t="s">
        <v>246</v>
      </c>
      <c r="F73" s="461">
        <v>64100</v>
      </c>
      <c r="G73" s="461" t="str">
        <f t="shared" si="2"/>
        <v>AV. ABRAHAM LINCOLN # 8000 ENTRE AV-LUIS DONALDO COLOSIO Y BOSQUE CHAPULTEPEC CD. SOLIDARIDAD, BARRIO CHAPULTEPEC SUR C.NUEVO LEONMONTERREY64100</v>
      </c>
      <c r="H73" s="480">
        <v>0</v>
      </c>
      <c r="I73" s="480">
        <v>1318759.3375000001</v>
      </c>
      <c r="J73" s="502">
        <v>1102962.355</v>
      </c>
      <c r="K73" s="480">
        <v>349281.52137656254</v>
      </c>
      <c r="L73" s="463"/>
    </row>
    <row r="74" spans="1:12" s="458" customFormat="1" ht="23.25" customHeight="1" thickBot="1" x14ac:dyDescent="0.35">
      <c r="A74" s="503">
        <f t="shared" si="3"/>
        <v>73</v>
      </c>
      <c r="B74" s="461" t="s">
        <v>119</v>
      </c>
      <c r="C74" s="461" t="s">
        <v>235</v>
      </c>
      <c r="D74" s="462" t="s">
        <v>238</v>
      </c>
      <c r="E74" s="503" t="s">
        <v>247</v>
      </c>
      <c r="F74" s="461">
        <v>64700</v>
      </c>
      <c r="G74" s="461" t="str">
        <f t="shared" si="2"/>
        <v>AV.MIGUEL ALEMAN S / N ESQ.AV.CONSTITUCION COL. LINDA VISTA LOCAL 201 C.C. MULTIPLAZA LINDA VISTA GUADALUPE, N.L.NUEVO LEONMONTERREY64700</v>
      </c>
      <c r="H74" s="480">
        <v>0</v>
      </c>
      <c r="I74" s="480">
        <v>3361738.2700000005</v>
      </c>
      <c r="J74" s="502">
        <v>2811635.6440000003</v>
      </c>
      <c r="K74" s="480">
        <v>1524963.1223300719</v>
      </c>
      <c r="L74" s="463"/>
    </row>
    <row r="75" spans="1:12" s="458" customFormat="1" ht="23.25" customHeight="1" thickBot="1" x14ac:dyDescent="0.35">
      <c r="A75" s="503">
        <f t="shared" si="3"/>
        <v>74</v>
      </c>
      <c r="B75" s="461" t="s">
        <v>115</v>
      </c>
      <c r="C75" s="461" t="s">
        <v>235</v>
      </c>
      <c r="D75" s="462" t="s">
        <v>238</v>
      </c>
      <c r="E75" s="503" t="s">
        <v>248</v>
      </c>
      <c r="F75" s="461">
        <v>66230</v>
      </c>
      <c r="G75" s="461" t="str">
        <f t="shared" si="2"/>
        <v>CENTRO COMERCIAL PASEO SAN PEDRO JOSE VASCONSELOS No. 402 ESQ. GOMEZ MORIN COL. VALLE DEL CAMPESTRE SAN PEDRONUEVO LEONMONTERREY66230</v>
      </c>
      <c r="H75" s="480">
        <v>0</v>
      </c>
      <c r="I75" s="480">
        <v>2486401.83</v>
      </c>
      <c r="J75" s="502">
        <v>2079536.0760000001</v>
      </c>
      <c r="K75" s="480">
        <v>704850.11013790313</v>
      </c>
      <c r="L75" s="463"/>
    </row>
    <row r="76" spans="1:12" s="458" customFormat="1" ht="23.25" customHeight="1" thickBot="1" x14ac:dyDescent="0.35">
      <c r="A76" s="503">
        <f t="shared" si="3"/>
        <v>75</v>
      </c>
      <c r="B76" s="461" t="s">
        <v>128</v>
      </c>
      <c r="C76" s="461" t="s">
        <v>235</v>
      </c>
      <c r="D76" s="462" t="s">
        <v>238</v>
      </c>
      <c r="E76" s="503" t="s">
        <v>249</v>
      </c>
      <c r="F76" s="461">
        <v>66260</v>
      </c>
      <c r="G76" s="461" t="str">
        <f t="shared" si="2"/>
        <v>BATALLON DE SAN PATRICIO # 1000 PLAZA FIESTA SAN AGUSTIN SAN PEDRO GARZA GARCIA,N.L. NUEVO LEONMONTERREY66260</v>
      </c>
      <c r="H76" s="480">
        <v>0</v>
      </c>
      <c r="I76" s="480">
        <v>2809204.5300000003</v>
      </c>
      <c r="J76" s="502">
        <v>2349516.5159999998</v>
      </c>
      <c r="K76" s="480">
        <v>1131672.1292600627</v>
      </c>
      <c r="L76" s="463"/>
    </row>
    <row r="77" spans="1:12" s="458" customFormat="1" ht="23.25" customHeight="1" thickBot="1" x14ac:dyDescent="0.35">
      <c r="A77" s="503">
        <f t="shared" si="3"/>
        <v>76</v>
      </c>
      <c r="B77" s="461" t="s">
        <v>112</v>
      </c>
      <c r="C77" s="461" t="s">
        <v>235</v>
      </c>
      <c r="D77" s="462" t="s">
        <v>238</v>
      </c>
      <c r="E77" s="503" t="s">
        <v>250</v>
      </c>
      <c r="F77" s="461">
        <v>65040</v>
      </c>
      <c r="G77" s="461" t="str">
        <f t="shared" si="2"/>
        <v>AVE. SENDERO NTE. 1001 ESQ. REPUBLICA MEXICANA COL. CERRADAS DE ANAHUAC ESCOBEDO, N.L. NUEVO LEONMONTERREY65040</v>
      </c>
      <c r="H77" s="480">
        <v>0</v>
      </c>
      <c r="I77" s="480">
        <v>2809204.5300000003</v>
      </c>
      <c r="J77" s="502">
        <v>2349516.5159999998</v>
      </c>
      <c r="K77" s="480">
        <v>1105825.2966781971</v>
      </c>
      <c r="L77" s="463"/>
    </row>
    <row r="78" spans="1:12" s="458" customFormat="1" ht="23.25" customHeight="1" thickBot="1" x14ac:dyDescent="0.35">
      <c r="A78" s="503">
        <f t="shared" si="3"/>
        <v>77</v>
      </c>
      <c r="B78" s="461" t="s">
        <v>119</v>
      </c>
      <c r="C78" s="461" t="s">
        <v>235</v>
      </c>
      <c r="D78" s="462" t="s">
        <v>238</v>
      </c>
      <c r="E78" s="503" t="s">
        <v>251</v>
      </c>
      <c r="F78" s="461">
        <v>66350</v>
      </c>
      <c r="G78" s="461" t="str">
        <f t="shared" si="2"/>
        <v>CARRETERA MONTERREY-SALTILLO N°1050 INTERIOR B SANTA CATARINA NUEVO LEONMONTERREY66350</v>
      </c>
      <c r="H78" s="480">
        <v>0</v>
      </c>
      <c r="I78" s="480">
        <v>3038935.5700000003</v>
      </c>
      <c r="J78" s="502">
        <v>2541655.2040000004</v>
      </c>
      <c r="K78" s="480">
        <v>1517278.9288597875</v>
      </c>
      <c r="L78" s="463"/>
    </row>
    <row r="79" spans="1:12" s="458" customFormat="1" ht="23.25" customHeight="1" thickBot="1" x14ac:dyDescent="0.35">
      <c r="A79" s="503">
        <f t="shared" si="3"/>
        <v>78</v>
      </c>
      <c r="B79" s="461" t="s">
        <v>158</v>
      </c>
      <c r="C79" s="461" t="s">
        <v>235</v>
      </c>
      <c r="D79" s="462" t="s">
        <v>238</v>
      </c>
      <c r="E79" s="503" t="s">
        <v>252</v>
      </c>
      <c r="F79" s="461">
        <v>67190</v>
      </c>
      <c r="G79" s="461" t="str">
        <f t="shared" si="2"/>
        <v>AV.PABLO LIVAS 7601 ORIENTE ESQ.CON AV.PROFESOR ISRAEL CAVAZOS GARZA COL.TRES CAMINOS GUADALUPE,N.L.NUEVO LEONMONTERREY67190</v>
      </c>
      <c r="H79" s="480">
        <v>0</v>
      </c>
      <c r="I79" s="480">
        <v>3591469.31</v>
      </c>
      <c r="J79" s="502">
        <v>3003774.3319999999</v>
      </c>
      <c r="K79" s="480">
        <v>1687029.7482487969</v>
      </c>
      <c r="L79" s="463"/>
    </row>
    <row r="80" spans="1:12" s="458" customFormat="1" ht="23.25" customHeight="1" thickBot="1" x14ac:dyDescent="0.35">
      <c r="A80" s="503">
        <f t="shared" si="3"/>
        <v>79</v>
      </c>
      <c r="B80" s="461" t="s">
        <v>158</v>
      </c>
      <c r="C80" s="461" t="s">
        <v>235</v>
      </c>
      <c r="D80" s="462" t="s">
        <v>238</v>
      </c>
      <c r="E80" s="503" t="s">
        <v>253</v>
      </c>
      <c r="F80" s="461">
        <v>66470</v>
      </c>
      <c r="G80" s="461" t="str">
        <f t="shared" si="2"/>
        <v>CARRETERA LIBRE A REYNOSA ESQ.AV.LAS TORRES COL. PASEO DEL PRADONUEVO LEONMONTERREY66470</v>
      </c>
      <c r="H80" s="480">
        <v>0</v>
      </c>
      <c r="I80" s="480">
        <v>2762668.7</v>
      </c>
      <c r="J80" s="502">
        <v>2310595.64</v>
      </c>
      <c r="K80" s="480">
        <v>1448121.1876272282</v>
      </c>
      <c r="L80" s="463"/>
    </row>
    <row r="81" spans="1:12" s="458" customFormat="1" ht="23.25" customHeight="1" thickBot="1" x14ac:dyDescent="0.35">
      <c r="A81" s="503">
        <f t="shared" si="3"/>
        <v>80</v>
      </c>
      <c r="B81" s="461" t="s">
        <v>112</v>
      </c>
      <c r="C81" s="461" t="s">
        <v>235</v>
      </c>
      <c r="D81" s="462" t="s">
        <v>254</v>
      </c>
      <c r="E81" s="503" t="s">
        <v>255</v>
      </c>
      <c r="F81" s="461">
        <v>66457</v>
      </c>
      <c r="G81" s="461" t="str">
        <f t="shared" si="2"/>
        <v>AV. MANUEL I BARRAGAN 325 COLONIA RESIDENCIAL ANAHUAC , SAN NICOLAS DE LOS GARZA N.L. , INTERIOR PLAZA FIESTA ANAHUACNUEVO LEONSAN NICOLAS DE LA GARZA66457</v>
      </c>
      <c r="H81" s="480">
        <v>0</v>
      </c>
      <c r="I81" s="480">
        <v>2762668.7</v>
      </c>
      <c r="J81" s="502">
        <v>2310595.64</v>
      </c>
      <c r="K81" s="480">
        <v>1405508.8420192876</v>
      </c>
      <c r="L81" s="463"/>
    </row>
    <row r="82" spans="1:12" s="458" customFormat="1" ht="23.25" customHeight="1" thickBot="1" x14ac:dyDescent="0.35">
      <c r="A82" s="503">
        <f t="shared" si="3"/>
        <v>81</v>
      </c>
      <c r="B82" s="461" t="s">
        <v>128</v>
      </c>
      <c r="C82" s="461" t="s">
        <v>256</v>
      </c>
      <c r="D82" s="462" t="s">
        <v>256</v>
      </c>
      <c r="E82" s="503" t="s">
        <v>257</v>
      </c>
      <c r="F82" s="461">
        <v>68130</v>
      </c>
      <c r="G82" s="461" t="str">
        <f t="shared" si="2"/>
        <v>AV.UNIVERSIDAD #139 LOCAL F-4 COL.EX. HACIENDA DE CANDIANI OAX,OAX.OAXACAOAXACA68130</v>
      </c>
      <c r="H82" s="480">
        <v>0</v>
      </c>
      <c r="I82" s="480">
        <v>2762668.7</v>
      </c>
      <c r="J82" s="502">
        <v>2310595.64</v>
      </c>
      <c r="K82" s="480">
        <v>1214801.1313476844</v>
      </c>
      <c r="L82" s="463"/>
    </row>
    <row r="83" spans="1:12" s="458" customFormat="1" ht="23.25" customHeight="1" thickBot="1" x14ac:dyDescent="0.35">
      <c r="A83" s="503">
        <f t="shared" si="3"/>
        <v>82</v>
      </c>
      <c r="B83" s="461" t="s">
        <v>115</v>
      </c>
      <c r="C83" s="461" t="s">
        <v>256</v>
      </c>
      <c r="D83" s="462" t="s">
        <v>256</v>
      </c>
      <c r="E83" s="503" t="s">
        <v>258</v>
      </c>
      <c r="F83" s="461">
        <v>68350</v>
      </c>
      <c r="G83" s="461" t="str">
        <f t="shared" si="2"/>
        <v>BLVD.BENITO JUAREZ No. 975 ESQ.PROL. JESUS CARRANZA FRACC. LOS ANGELES TUXTEPEC, OAXACAOAXACAOAXACA68350</v>
      </c>
      <c r="H83" s="480">
        <v>0</v>
      </c>
      <c r="I83" s="480">
        <v>2210134.96</v>
      </c>
      <c r="J83" s="502">
        <v>1848476.5120000001</v>
      </c>
      <c r="K83" s="480">
        <v>1005232.218521747</v>
      </c>
      <c r="L83" s="463"/>
    </row>
    <row r="84" spans="1:12" s="458" customFormat="1" ht="23.25" customHeight="1" thickBot="1" x14ac:dyDescent="0.35">
      <c r="A84" s="503">
        <f t="shared" si="3"/>
        <v>83</v>
      </c>
      <c r="B84" s="461" t="s">
        <v>128</v>
      </c>
      <c r="C84" s="461" t="s">
        <v>259</v>
      </c>
      <c r="D84" s="462" t="s">
        <v>259</v>
      </c>
      <c r="E84" s="503" t="s">
        <v>260</v>
      </c>
      <c r="F84" s="461">
        <v>72000</v>
      </c>
      <c r="G84" s="461" t="str">
        <f t="shared" si="2"/>
        <v>C. C. SAN FRANCISCO ARROYO XONACA NO. 1006 COL. BARRIO EL ALTO, PUEBLA, PUEBLAPUEBLAPUEBLA72000</v>
      </c>
      <c r="H84" s="480">
        <v>0</v>
      </c>
      <c r="I84" s="480">
        <v>3038935.5700000003</v>
      </c>
      <c r="J84" s="502">
        <v>2541655.2040000004</v>
      </c>
      <c r="K84" s="480">
        <v>1485145.0288931439</v>
      </c>
      <c r="L84" s="463"/>
    </row>
    <row r="85" spans="1:12" s="458" customFormat="1" ht="23.25" customHeight="1" thickBot="1" x14ac:dyDescent="0.35">
      <c r="A85" s="503">
        <f t="shared" si="3"/>
        <v>84</v>
      </c>
      <c r="B85" s="461" t="s">
        <v>115</v>
      </c>
      <c r="C85" s="461" t="s">
        <v>259</v>
      </c>
      <c r="D85" s="462" t="s">
        <v>259</v>
      </c>
      <c r="E85" s="503" t="s">
        <v>261</v>
      </c>
      <c r="F85" s="461">
        <v>72000</v>
      </c>
      <c r="G85" s="461" t="str">
        <f t="shared" si="2"/>
        <v>7º PONIENTE # 102 , COL. CENTRO, PUEBLA, PUE. PUEBLAPUEBLA72000</v>
      </c>
      <c r="H85" s="480">
        <v>0</v>
      </c>
      <c r="I85" s="480">
        <v>2210134.96</v>
      </c>
      <c r="J85" s="502">
        <v>1848476.5120000001</v>
      </c>
      <c r="K85" s="480">
        <v>999643.71417972201</v>
      </c>
      <c r="L85" s="463"/>
    </row>
    <row r="86" spans="1:12" s="458" customFormat="1" ht="23.25" customHeight="1" thickBot="1" x14ac:dyDescent="0.35">
      <c r="A86" s="503">
        <f t="shared" si="3"/>
        <v>85</v>
      </c>
      <c r="B86" s="461" t="s">
        <v>115</v>
      </c>
      <c r="C86" s="461" t="s">
        <v>259</v>
      </c>
      <c r="D86" s="462" t="s">
        <v>259</v>
      </c>
      <c r="E86" s="503" t="s">
        <v>261</v>
      </c>
      <c r="F86" s="461">
        <v>72080</v>
      </c>
      <c r="G86" s="461" t="str">
        <f t="shared" si="2"/>
        <v>7º PONIENTE # 102 , COL. CENTRO, PUEBLA, PUE. PUEBLAPUEBLA72080</v>
      </c>
      <c r="H86" s="480">
        <v>0</v>
      </c>
      <c r="I86" s="480">
        <v>2486401.83</v>
      </c>
      <c r="J86" s="502">
        <v>2079536.0760000001</v>
      </c>
      <c r="K86" s="480">
        <v>1286753.1247512563</v>
      </c>
      <c r="L86" s="463"/>
    </row>
    <row r="87" spans="1:12" s="458" customFormat="1" ht="23.25" customHeight="1" thickBot="1" x14ac:dyDescent="0.35">
      <c r="A87" s="503">
        <f t="shared" si="3"/>
        <v>86</v>
      </c>
      <c r="B87" s="461" t="s">
        <v>128</v>
      </c>
      <c r="C87" s="461" t="s">
        <v>259</v>
      </c>
      <c r="D87" s="462" t="s">
        <v>259</v>
      </c>
      <c r="E87" s="503" t="s">
        <v>262</v>
      </c>
      <c r="F87" s="461">
        <v>72450</v>
      </c>
      <c r="G87" s="461" t="str">
        <f t="shared" si="2"/>
        <v>VIA. ATLIXCAYOTL NO. 4931 UNIDAD TERRITORIAL ATLIXCAYOTL, PUEBLA, PUEB.PUEBLAPUEBLA72450</v>
      </c>
      <c r="H87" s="480">
        <v>0</v>
      </c>
      <c r="I87" s="480">
        <v>3591469.31</v>
      </c>
      <c r="J87" s="502">
        <v>3003774.3319999999</v>
      </c>
      <c r="K87" s="480">
        <v>1842809.3067827437</v>
      </c>
      <c r="L87" s="463"/>
    </row>
    <row r="88" spans="1:12" s="458" customFormat="1" ht="23.25" customHeight="1" thickBot="1" x14ac:dyDescent="0.35">
      <c r="A88" s="503">
        <f t="shared" si="3"/>
        <v>87</v>
      </c>
      <c r="B88" s="461" t="s">
        <v>112</v>
      </c>
      <c r="C88" s="461" t="s">
        <v>263</v>
      </c>
      <c r="D88" s="462" t="s">
        <v>263</v>
      </c>
      <c r="E88" s="503" t="s">
        <v>264</v>
      </c>
      <c r="F88" s="461">
        <v>76790</v>
      </c>
      <c r="G88" s="461" t="str">
        <f t="shared" si="2"/>
        <v>AV. PROLONGACION CANDILES No. 204 FRACC. CAMINO REAL MUNICIPIO DE CORREGIDORA, QUERETARO, QTO.QUERETAROQUERETARO76790</v>
      </c>
      <c r="H88" s="480">
        <v>0</v>
      </c>
      <c r="I88" s="480">
        <v>2486401.83</v>
      </c>
      <c r="J88" s="502">
        <v>2079536.0760000001</v>
      </c>
      <c r="K88" s="480">
        <v>1042256.0597876625</v>
      </c>
      <c r="L88" s="463"/>
    </row>
    <row r="89" spans="1:12" s="458" customFormat="1" ht="23.25" customHeight="1" thickBot="1" x14ac:dyDescent="0.35">
      <c r="A89" s="503">
        <f t="shared" si="3"/>
        <v>88</v>
      </c>
      <c r="B89" s="461" t="s">
        <v>128</v>
      </c>
      <c r="C89" s="461" t="s">
        <v>265</v>
      </c>
      <c r="D89" s="462" t="s">
        <v>266</v>
      </c>
      <c r="E89" s="503" t="s">
        <v>267</v>
      </c>
      <c r="F89" s="461">
        <v>77500</v>
      </c>
      <c r="G89" s="461" t="str">
        <f t="shared" si="2"/>
        <v>AV. ANDRES QUINTANA ROO SUPER MANZANA 39-B MANZANA 10 LOTE 01 ATRÁS DE SORIANA DE LA AV. KABAH CANCUN,QUINTQUINTANA ROOCANCUN77500</v>
      </c>
      <c r="H89" s="480">
        <v>0</v>
      </c>
      <c r="I89" s="480">
        <v>3867736.1800000006</v>
      </c>
      <c r="J89" s="502">
        <v>3234833.8960000002</v>
      </c>
      <c r="K89" s="480">
        <v>1807881.1546450877</v>
      </c>
      <c r="L89" s="463"/>
    </row>
    <row r="90" spans="1:12" s="458" customFormat="1" ht="23.25" customHeight="1" thickBot="1" x14ac:dyDescent="0.35">
      <c r="A90" s="503">
        <f t="shared" si="3"/>
        <v>89</v>
      </c>
      <c r="B90" s="461" t="s">
        <v>128</v>
      </c>
      <c r="C90" s="461" t="s">
        <v>265</v>
      </c>
      <c r="D90" s="462" t="s">
        <v>265</v>
      </c>
      <c r="E90" s="503" t="s">
        <v>268</v>
      </c>
      <c r="F90" s="461">
        <v>77712</v>
      </c>
      <c r="G90" s="461" t="str">
        <f t="shared" si="2"/>
        <v>CARRETERA FEDERAL #2100 PLAZA CENTRO MAYA ANCLA "C" REGION 100 SM. 16 Mza. 1 Lt.1 SOLIDARIDAD QUINTANA ROO.QUINTANA ROOQUINTANA ROO77712</v>
      </c>
      <c r="H90" s="480">
        <v>0</v>
      </c>
      <c r="I90" s="480">
        <v>2486401.83</v>
      </c>
      <c r="J90" s="502">
        <v>2079536.0760000001</v>
      </c>
      <c r="K90" s="480">
        <v>1214801.1313476844</v>
      </c>
      <c r="L90" s="463"/>
    </row>
    <row r="91" spans="1:12" s="458" customFormat="1" ht="23.25" customHeight="1" thickBot="1" x14ac:dyDescent="0.35">
      <c r="A91" s="503">
        <f t="shared" si="3"/>
        <v>90</v>
      </c>
      <c r="B91" s="461" t="s">
        <v>115</v>
      </c>
      <c r="C91" s="461" t="s">
        <v>269</v>
      </c>
      <c r="D91" s="462" t="s">
        <v>270</v>
      </c>
      <c r="E91" s="503" t="s">
        <v>271</v>
      </c>
      <c r="F91" s="461">
        <v>79000</v>
      </c>
      <c r="G91" s="461" t="str">
        <f t="shared" si="2"/>
        <v>CARRETERA MEXICO LAREDO COL. ZONA CENTRO ENTRE VICENTE C. SALAZAR Y FRONTERA CD. VALLES, S.L.P.SAN LUIS POTOSICD. VALLES79000</v>
      </c>
      <c r="H91" s="480">
        <v>0</v>
      </c>
      <c r="I91" s="480">
        <v>2486401.83</v>
      </c>
      <c r="J91" s="502">
        <v>2079536.0760000001</v>
      </c>
      <c r="K91" s="480">
        <v>1129576.4401318033</v>
      </c>
      <c r="L91" s="463"/>
    </row>
    <row r="92" spans="1:12" s="458" customFormat="1" ht="23.25" customHeight="1" thickBot="1" x14ac:dyDescent="0.35">
      <c r="A92" s="503">
        <f t="shared" si="3"/>
        <v>91</v>
      </c>
      <c r="B92" s="461" t="s">
        <v>128</v>
      </c>
      <c r="C92" s="461" t="s">
        <v>269</v>
      </c>
      <c r="D92" s="462" t="s">
        <v>269</v>
      </c>
      <c r="E92" s="503" t="s">
        <v>272</v>
      </c>
      <c r="F92" s="461">
        <v>78320</v>
      </c>
      <c r="G92" s="461" t="str">
        <f t="shared" si="2"/>
        <v>RUTILO TORRES S/N ESQ. DR. SALVADOR NAVA MTZ., COL. EL PASEO, SAN LUIS POTOSISAN LUIS POTOSISAN LUIS POTOSI78320</v>
      </c>
      <c r="H92" s="480">
        <v>0</v>
      </c>
      <c r="I92" s="480">
        <v>2762668.7</v>
      </c>
      <c r="J92" s="502">
        <v>2310595.64</v>
      </c>
      <c r="K92" s="480">
        <v>1393633.2702924844</v>
      </c>
      <c r="L92" s="463"/>
    </row>
    <row r="93" spans="1:12" s="458" customFormat="1" ht="23.25" customHeight="1" thickBot="1" x14ac:dyDescent="0.35">
      <c r="A93" s="503">
        <f t="shared" si="3"/>
        <v>92</v>
      </c>
      <c r="B93" s="461" t="s">
        <v>112</v>
      </c>
      <c r="C93" s="461" t="s">
        <v>273</v>
      </c>
      <c r="D93" s="462" t="s">
        <v>274</v>
      </c>
      <c r="E93" s="503" t="s">
        <v>275</v>
      </c>
      <c r="F93" s="461">
        <v>80000</v>
      </c>
      <c r="G93" s="461" t="str">
        <f t="shared" si="2"/>
        <v>BLV.JOSE DIEGO VALADEZ #1676 PTE. DESARROLLO URBANO 3 RIOS ENTRE ENRIQUE SANCHEZ ALONSO Y BLVD.OBREGONSINALOACULIACAN80000</v>
      </c>
      <c r="H93" s="480">
        <v>0</v>
      </c>
      <c r="I93" s="480">
        <v>4019598.55</v>
      </c>
      <c r="J93" s="502">
        <v>3361846.06</v>
      </c>
      <c r="K93" s="480">
        <v>1672359.9243509814</v>
      </c>
      <c r="L93" s="463"/>
    </row>
    <row r="94" spans="1:12" s="458" customFormat="1" ht="23.25" customHeight="1" thickBot="1" x14ac:dyDescent="0.35">
      <c r="A94" s="503">
        <f t="shared" si="3"/>
        <v>93</v>
      </c>
      <c r="B94" s="461" t="s">
        <v>128</v>
      </c>
      <c r="C94" s="461" t="s">
        <v>273</v>
      </c>
      <c r="D94" s="462" t="s">
        <v>274</v>
      </c>
      <c r="E94" s="503" t="s">
        <v>276</v>
      </c>
      <c r="F94" s="461">
        <v>80180</v>
      </c>
      <c r="G94" s="461" t="str">
        <f t="shared" si="2"/>
        <v>AV. EMILIANO ZAPATA # 2151, COL. EL VALLADO, CULIACAN, SIN.SINALOACULIACAN80180</v>
      </c>
      <c r="H94" s="480">
        <v>0</v>
      </c>
      <c r="I94" s="480">
        <v>2762668.7</v>
      </c>
      <c r="J94" s="502">
        <v>2310595.64</v>
      </c>
      <c r="K94" s="480">
        <v>1380360.5724801752</v>
      </c>
      <c r="L94" s="463"/>
    </row>
    <row r="95" spans="1:12" s="458" customFormat="1" ht="23.25" customHeight="1" thickBot="1" x14ac:dyDescent="0.35">
      <c r="A95" s="503">
        <f t="shared" si="3"/>
        <v>94</v>
      </c>
      <c r="B95" s="461" t="s">
        <v>128</v>
      </c>
      <c r="C95" s="461" t="s">
        <v>273</v>
      </c>
      <c r="D95" s="462" t="s">
        <v>277</v>
      </c>
      <c r="E95" s="503" t="s">
        <v>278</v>
      </c>
      <c r="F95" s="461">
        <v>81200</v>
      </c>
      <c r="G95" s="461" t="str">
        <f t="shared" si="2"/>
        <v>BLVD.CENTENARIO #805 PTE ESQ.BLVD.ANTONIO ROSALES ZONA CENTRO CENTRO COMERCIAL PASEO LOS MOCHIS , MUNICIPIO DE AHOME, SISINALOALOS MOCHIS81200</v>
      </c>
      <c r="H95" s="480">
        <v>0</v>
      </c>
      <c r="I95" s="480">
        <v>3315202.4400000004</v>
      </c>
      <c r="J95" s="502">
        <v>2772714.7680000002</v>
      </c>
      <c r="K95" s="480">
        <v>1502609.104961972</v>
      </c>
      <c r="L95" s="463"/>
    </row>
    <row r="96" spans="1:12" s="458" customFormat="1" ht="23.25" customHeight="1" thickBot="1" x14ac:dyDescent="0.35">
      <c r="A96" s="503">
        <f t="shared" si="3"/>
        <v>95</v>
      </c>
      <c r="B96" s="461" t="s">
        <v>115</v>
      </c>
      <c r="C96" s="461" t="s">
        <v>273</v>
      </c>
      <c r="D96" s="462" t="s">
        <v>279</v>
      </c>
      <c r="E96" s="503" t="s">
        <v>280</v>
      </c>
      <c r="F96" s="461">
        <v>82156</v>
      </c>
      <c r="G96" s="461" t="str">
        <f t="shared" si="2"/>
        <v>AVE. INSURGENTES # 1198 COL. VILLA DEL ESTERO CENTRO COMERCIAL SORIANA, MAZATLAN, SINALOASINALOAMAZATLÁN82156</v>
      </c>
      <c r="H96" s="480">
        <v>0</v>
      </c>
      <c r="I96" s="480">
        <v>2762668.7</v>
      </c>
      <c r="J96" s="502">
        <v>2310595.64</v>
      </c>
      <c r="K96" s="480">
        <v>1406905.9681047939</v>
      </c>
      <c r="L96" s="463"/>
    </row>
    <row r="97" spans="1:12" s="458" customFormat="1" ht="23.25" customHeight="1" thickBot="1" x14ac:dyDescent="0.35">
      <c r="A97" s="503">
        <f t="shared" si="3"/>
        <v>96</v>
      </c>
      <c r="B97" s="461" t="s">
        <v>128</v>
      </c>
      <c r="C97" s="461" t="s">
        <v>281</v>
      </c>
      <c r="D97" s="462" t="s">
        <v>282</v>
      </c>
      <c r="E97" s="503" t="s">
        <v>283</v>
      </c>
      <c r="F97" s="461">
        <v>85401</v>
      </c>
      <c r="G97" s="461" t="str">
        <f t="shared" si="2"/>
        <v>BLVD. LUIS ENCINAS Y CALZADA GARCIA LOPEZ S/N COL. LA QUINTAS ZONA CENTRO GUAYMAS, SON.SONORAGUAYMAS85401</v>
      </c>
      <c r="H97" s="480">
        <v>0</v>
      </c>
      <c r="I97" s="480">
        <v>2210134.96</v>
      </c>
      <c r="J97" s="502">
        <v>1848476.5120000001</v>
      </c>
      <c r="K97" s="480">
        <v>1042256.0597876625</v>
      </c>
      <c r="L97" s="463"/>
    </row>
    <row r="98" spans="1:12" s="458" customFormat="1" ht="23.25" customHeight="1" thickBot="1" x14ac:dyDescent="0.35">
      <c r="A98" s="503">
        <f t="shared" si="3"/>
        <v>97</v>
      </c>
      <c r="B98" s="461" t="s">
        <v>115</v>
      </c>
      <c r="C98" s="461" t="s">
        <v>281</v>
      </c>
      <c r="D98" s="462" t="s">
        <v>284</v>
      </c>
      <c r="E98" s="503" t="s">
        <v>285</v>
      </c>
      <c r="F98" s="461">
        <v>83249</v>
      </c>
      <c r="G98" s="461" t="str">
        <f t="shared" si="2"/>
        <v>BLVD. JOSE GARCIA MORALES # 2 COL. EL LLANO ESQ. PERIFERICO PTE. HERMOSILLO, SONORASONORAHERMOSILLO83249</v>
      </c>
      <c r="H98" s="480">
        <v>0</v>
      </c>
      <c r="I98" s="480">
        <v>3038935.5700000003</v>
      </c>
      <c r="J98" s="502">
        <v>2541655.2040000004</v>
      </c>
      <c r="K98" s="480">
        <v>1552207.080997444</v>
      </c>
      <c r="L98" s="463"/>
    </row>
    <row r="99" spans="1:12" s="458" customFormat="1" ht="23.25" customHeight="1" thickBot="1" x14ac:dyDescent="0.35">
      <c r="A99" s="503">
        <f t="shared" si="3"/>
        <v>98</v>
      </c>
      <c r="B99" s="461" t="s">
        <v>128</v>
      </c>
      <c r="C99" s="461" t="s">
        <v>281</v>
      </c>
      <c r="D99" s="462" t="s">
        <v>286</v>
      </c>
      <c r="E99" s="503" t="s">
        <v>287</v>
      </c>
      <c r="F99" s="461">
        <v>85830</v>
      </c>
      <c r="G99" s="461" t="str">
        <f t="shared" si="2"/>
        <v>IGNACIO PESQUERIA # 807 NORTE COL. REFORMA NAVOJOA, SONORA SONORANAVOJOA85830</v>
      </c>
      <c r="H99" s="480">
        <v>0</v>
      </c>
      <c r="I99" s="480">
        <v>2210134.96</v>
      </c>
      <c r="J99" s="502">
        <v>1848476.5120000001</v>
      </c>
      <c r="K99" s="480">
        <v>992658.08375219069</v>
      </c>
      <c r="L99" s="463"/>
    </row>
    <row r="100" spans="1:12" s="458" customFormat="1" ht="23.25" customHeight="1" thickBot="1" x14ac:dyDescent="0.35">
      <c r="A100" s="503">
        <f t="shared" si="3"/>
        <v>99</v>
      </c>
      <c r="B100" s="461" t="s">
        <v>112</v>
      </c>
      <c r="C100" s="461" t="s">
        <v>288</v>
      </c>
      <c r="D100" s="462" t="s">
        <v>289</v>
      </c>
      <c r="E100" s="503" t="s">
        <v>290</v>
      </c>
      <c r="F100" s="461">
        <v>86500</v>
      </c>
      <c r="G100" s="461" t="str">
        <f t="shared" si="2"/>
        <v>PERIFERICO CARLOS MOLINA NO. 589 Y CARR. FED. CARDENAS - HUIMANGUILLO RANCHERIA PASO PLAYA CD. CARDENAS, TABASCOTABASCOCARDENAS86500</v>
      </c>
      <c r="H100" s="480">
        <v>0</v>
      </c>
      <c r="I100" s="480">
        <v>1933868.0900000003</v>
      </c>
      <c r="J100" s="502">
        <v>1617416.9480000001</v>
      </c>
      <c r="K100" s="480">
        <v>867615.29909938131</v>
      </c>
      <c r="L100" s="463"/>
    </row>
    <row r="101" spans="1:12" s="458" customFormat="1" ht="23.25" customHeight="1" thickBot="1" x14ac:dyDescent="0.35">
      <c r="A101" s="503">
        <f t="shared" si="3"/>
        <v>100</v>
      </c>
      <c r="B101" s="461" t="s">
        <v>115</v>
      </c>
      <c r="C101" s="461" t="s">
        <v>288</v>
      </c>
      <c r="D101" s="462" t="s">
        <v>291</v>
      </c>
      <c r="E101" s="503" t="s">
        <v>292</v>
      </c>
      <c r="F101" s="461">
        <v>86090</v>
      </c>
      <c r="G101" s="461" t="str">
        <f t="shared" si="2"/>
        <v>PERIFERICO CARLOS PELLICER CAMARA #205 COL. GUAYABAL MUNICIPIO DE CENTRO VILLAHERMOSA TABASCOTABASCOVILLAHERMOSA86090</v>
      </c>
      <c r="H101" s="480">
        <v>0</v>
      </c>
      <c r="I101" s="480">
        <v>2762668.7</v>
      </c>
      <c r="J101" s="502">
        <v>2310595.64</v>
      </c>
      <c r="K101" s="480">
        <v>1110016.6749347157</v>
      </c>
      <c r="L101" s="463"/>
    </row>
    <row r="102" spans="1:12" s="458" customFormat="1" ht="23.25" customHeight="1" thickBot="1" x14ac:dyDescent="0.35">
      <c r="A102" s="503">
        <f t="shared" si="3"/>
        <v>101</v>
      </c>
      <c r="B102" s="461" t="s">
        <v>128</v>
      </c>
      <c r="C102" s="461" t="s">
        <v>293</v>
      </c>
      <c r="D102" s="462" t="s">
        <v>294</v>
      </c>
      <c r="E102" s="503" t="s">
        <v>295</v>
      </c>
      <c r="F102" s="461">
        <v>89800</v>
      </c>
      <c r="G102" s="461" t="str">
        <f t="shared" si="2"/>
        <v>VICENTE GUERRERO # 900 0TE., COL. VILLA JUAREZ, CD. MANTE, TAMAULIPASTAMAULIPASCD. MANTE89800</v>
      </c>
      <c r="H102" s="480">
        <v>0</v>
      </c>
      <c r="I102" s="480">
        <v>1381334.35</v>
      </c>
      <c r="J102" s="502">
        <v>1155297.82</v>
      </c>
      <c r="K102" s="480">
        <v>692974.53841110005</v>
      </c>
      <c r="L102" s="463"/>
    </row>
    <row r="103" spans="1:12" s="458" customFormat="1" ht="23.25" customHeight="1" thickBot="1" x14ac:dyDescent="0.35">
      <c r="A103" s="503">
        <f t="shared" si="3"/>
        <v>102</v>
      </c>
      <c r="B103" s="461" t="s">
        <v>112</v>
      </c>
      <c r="C103" s="461" t="s">
        <v>293</v>
      </c>
      <c r="D103" s="462" t="s">
        <v>296</v>
      </c>
      <c r="E103" s="503" t="s">
        <v>297</v>
      </c>
      <c r="F103" s="461">
        <v>87050</v>
      </c>
      <c r="G103" s="461" t="str">
        <f t="shared" si="2"/>
        <v>AV. JUAN B. TIJERINA # 2033, FRACC. ARCOS, CD. VICTORIA, TAMAULIPASTAMAULIPASCD. VICTORIA87050</v>
      </c>
      <c r="H103" s="480">
        <v>0</v>
      </c>
      <c r="I103" s="480">
        <v>1381334.35</v>
      </c>
      <c r="J103" s="502">
        <v>1155297.82</v>
      </c>
      <c r="K103" s="480">
        <v>570027.4428865501</v>
      </c>
      <c r="L103" s="463"/>
    </row>
    <row r="104" spans="1:12" s="458" customFormat="1" ht="23.25" customHeight="1" thickBot="1" x14ac:dyDescent="0.35">
      <c r="A104" s="503">
        <f t="shared" si="3"/>
        <v>103</v>
      </c>
      <c r="B104" s="461" t="s">
        <v>112</v>
      </c>
      <c r="C104" s="461" t="s">
        <v>293</v>
      </c>
      <c r="D104" s="462" t="s">
        <v>298</v>
      </c>
      <c r="E104" s="503" t="s">
        <v>299</v>
      </c>
      <c r="F104" s="461">
        <v>87448</v>
      </c>
      <c r="G104" s="461" t="str">
        <f t="shared" si="2"/>
        <v>AV. LAURO VILLAR # 1203-A, COL. ARBOLEDAS, MATAMOROS, TAMAULIPASTAMAULIPASMATAMOROS87448</v>
      </c>
      <c r="H104" s="480">
        <v>0</v>
      </c>
      <c r="I104" s="480">
        <v>2486401.83</v>
      </c>
      <c r="J104" s="502">
        <v>2079536.0760000001</v>
      </c>
      <c r="K104" s="480">
        <v>926993.15773339698</v>
      </c>
      <c r="L104" s="463"/>
    </row>
    <row r="105" spans="1:12" s="458" customFormat="1" ht="23.25" customHeight="1" thickBot="1" x14ac:dyDescent="0.35">
      <c r="A105" s="503">
        <f t="shared" si="3"/>
        <v>104</v>
      </c>
      <c r="B105" s="461" t="s">
        <v>112</v>
      </c>
      <c r="C105" s="461" t="s">
        <v>293</v>
      </c>
      <c r="D105" s="462" t="s">
        <v>300</v>
      </c>
      <c r="E105" s="503" t="s">
        <v>301</v>
      </c>
      <c r="F105" s="461">
        <v>88280</v>
      </c>
      <c r="G105" s="461" t="str">
        <f t="shared" si="2"/>
        <v>15 DE SEPTIEMBRE # 3553, COL.CAMPESTRE, NUEVO LAREDO, TAMPS.TAMAULIPASNUEVO LAREDO88280</v>
      </c>
      <c r="H105" s="480">
        <v>0</v>
      </c>
      <c r="I105" s="480">
        <v>2210134.96</v>
      </c>
      <c r="J105" s="502">
        <v>1848476.5120000001</v>
      </c>
      <c r="K105" s="480">
        <v>968208.37725583126</v>
      </c>
      <c r="L105" s="463"/>
    </row>
    <row r="106" spans="1:12" s="458" customFormat="1" ht="23.25" customHeight="1" thickBot="1" x14ac:dyDescent="0.35">
      <c r="A106" s="503">
        <f t="shared" si="3"/>
        <v>105</v>
      </c>
      <c r="B106" s="461" t="s">
        <v>128</v>
      </c>
      <c r="C106" s="461" t="s">
        <v>293</v>
      </c>
      <c r="D106" s="462" t="s">
        <v>302</v>
      </c>
      <c r="E106" s="503" t="s">
        <v>303</v>
      </c>
      <c r="F106" s="461">
        <v>88710</v>
      </c>
      <c r="G106" s="461" t="str">
        <f t="shared" si="2"/>
        <v>BLVD. HIDALGO 101 ESQ. BLVD. LAS FUENTES FRACC. LAS FUENTES PLAZA REAL REYNOSATAMAULIPASREYNOSA88710</v>
      </c>
      <c r="H106" s="480">
        <v>0</v>
      </c>
      <c r="I106" s="480">
        <v>3914272.0100000002</v>
      </c>
      <c r="J106" s="502">
        <v>3273754.7720000003</v>
      </c>
      <c r="K106" s="480">
        <v>1610886.3765887064</v>
      </c>
      <c r="L106" s="463"/>
    </row>
    <row r="107" spans="1:12" s="458" customFormat="1" ht="23.25" customHeight="1" thickBot="1" x14ac:dyDescent="0.35">
      <c r="A107" s="503">
        <f t="shared" si="3"/>
        <v>106</v>
      </c>
      <c r="B107" s="461" t="s">
        <v>115</v>
      </c>
      <c r="C107" s="461" t="s">
        <v>293</v>
      </c>
      <c r="D107" s="462" t="s">
        <v>302</v>
      </c>
      <c r="E107" s="503" t="s">
        <v>304</v>
      </c>
      <c r="F107" s="461">
        <v>88530</v>
      </c>
      <c r="G107" s="461" t="str">
        <f t="shared" si="2"/>
        <v>AVE. PORTES GIL ESQ. PROLONGACION COLON, COLONIA DEL PRADO ZONA DORADA, REYNOSA, TAMAULIPASTAMAULIPASREYNOSA88530</v>
      </c>
      <c r="H107" s="480">
        <v>0</v>
      </c>
      <c r="I107" s="480">
        <v>2762668.7</v>
      </c>
      <c r="J107" s="502">
        <v>2310595.64</v>
      </c>
      <c r="K107" s="480">
        <v>1565479.7788097532</v>
      </c>
      <c r="L107" s="463"/>
    </row>
    <row r="108" spans="1:12" s="458" customFormat="1" ht="23.25" customHeight="1" thickBot="1" x14ac:dyDescent="0.35">
      <c r="A108" s="503">
        <f t="shared" si="3"/>
        <v>107</v>
      </c>
      <c r="B108" s="461" t="s">
        <v>112</v>
      </c>
      <c r="C108" s="461" t="s">
        <v>293</v>
      </c>
      <c r="D108" s="462" t="s">
        <v>305</v>
      </c>
      <c r="E108" s="503" t="s">
        <v>306</v>
      </c>
      <c r="F108" s="461">
        <v>89130</v>
      </c>
      <c r="G108" s="461" t="str">
        <f t="shared" si="2"/>
        <v>DIAGONAL NORTE SUR # 1101-A, FRACC. TAMPICO, TAMPICO, TAMAULIPASTAMAULIPASTAMPICO89130</v>
      </c>
      <c r="H108" s="480">
        <v>0</v>
      </c>
      <c r="I108" s="480">
        <v>2762668.7</v>
      </c>
      <c r="J108" s="502">
        <v>2310595.64</v>
      </c>
      <c r="K108" s="480">
        <v>1105126.7336354437</v>
      </c>
      <c r="L108" s="463"/>
    </row>
    <row r="109" spans="1:12" s="458" customFormat="1" ht="23.25" customHeight="1" thickBot="1" x14ac:dyDescent="0.35">
      <c r="A109" s="503">
        <f t="shared" si="3"/>
        <v>108</v>
      </c>
      <c r="B109" s="461" t="s">
        <v>128</v>
      </c>
      <c r="C109" s="461" t="s">
        <v>307</v>
      </c>
      <c r="D109" s="462" t="s">
        <v>308</v>
      </c>
      <c r="E109" s="503" t="s">
        <v>309</v>
      </c>
      <c r="F109" s="461">
        <v>96520</v>
      </c>
      <c r="G109" s="461" t="str">
        <f t="shared" si="2"/>
        <v>AV. PALMAS # 101, COL. PARAISO, COATZACOALCOS, VER.VERACRUZCOATZACOALCOS96520</v>
      </c>
      <c r="H109" s="480">
        <v>0</v>
      </c>
      <c r="I109" s="480">
        <v>2210134.96</v>
      </c>
      <c r="J109" s="502">
        <v>1848476.5120000001</v>
      </c>
      <c r="K109" s="480">
        <v>1072294.2706260469</v>
      </c>
      <c r="L109" s="463"/>
    </row>
    <row r="110" spans="1:12" s="458" customFormat="1" ht="23.25" customHeight="1" thickBot="1" x14ac:dyDescent="0.35">
      <c r="A110" s="503">
        <f t="shared" si="3"/>
        <v>109</v>
      </c>
      <c r="B110" s="461" t="s">
        <v>128</v>
      </c>
      <c r="C110" s="461" t="s">
        <v>307</v>
      </c>
      <c r="D110" s="462" t="s">
        <v>308</v>
      </c>
      <c r="E110" s="503" t="s">
        <v>310</v>
      </c>
      <c r="F110" s="461">
        <v>96536</v>
      </c>
      <c r="G110" s="461" t="str">
        <f t="shared" si="2"/>
        <v>KILOMETRO 8 DE LA ANTIGUA CARRETERA COATZACOALCOS MINATITLAN ( AVE. UNIVERSIDAD) COL. EL TESORO CENTRO COMERCIAL FORUMVERACRUZCOATZACOALCOS96536</v>
      </c>
      <c r="H110" s="480">
        <v>0</v>
      </c>
      <c r="I110" s="480">
        <v>3743331.6800000006</v>
      </c>
      <c r="J110" s="502">
        <v>3130786.4960000003</v>
      </c>
      <c r="K110" s="480">
        <v>1552207.080997444</v>
      </c>
      <c r="L110" s="463"/>
    </row>
    <row r="111" spans="1:12" s="458" customFormat="1" ht="23.25" customHeight="1" thickBot="1" x14ac:dyDescent="0.35">
      <c r="A111" s="503">
        <f t="shared" si="3"/>
        <v>110</v>
      </c>
      <c r="B111" s="461" t="s">
        <v>115</v>
      </c>
      <c r="C111" s="461" t="s">
        <v>307</v>
      </c>
      <c r="D111" s="462" t="s">
        <v>311</v>
      </c>
      <c r="E111" s="503" t="s">
        <v>312</v>
      </c>
      <c r="F111" s="461">
        <v>93520</v>
      </c>
      <c r="G111" s="461" t="str">
        <f t="shared" si="2"/>
        <v>CARR.POZA RICA CAZONES KM.50 No.4706 LOCAL A-03 C.C. GRAN PATIO POZA RICA, VER.VERACRUZPOZA RICA93520</v>
      </c>
      <c r="H111" s="480">
        <v>0</v>
      </c>
      <c r="I111" s="480">
        <v>3315202.4400000004</v>
      </c>
      <c r="J111" s="502">
        <v>2772714.7680000002</v>
      </c>
      <c r="K111" s="480">
        <v>1559891.2744677283</v>
      </c>
      <c r="L111" s="463"/>
    </row>
    <row r="112" spans="1:12" s="458" customFormat="1" ht="23.25" customHeight="1" thickBot="1" x14ac:dyDescent="0.35">
      <c r="A112" s="503">
        <f t="shared" si="3"/>
        <v>111</v>
      </c>
      <c r="B112" s="461" t="s">
        <v>128</v>
      </c>
      <c r="C112" s="461" t="s">
        <v>307</v>
      </c>
      <c r="D112" s="462" t="s">
        <v>311</v>
      </c>
      <c r="E112" s="503" t="s">
        <v>313</v>
      </c>
      <c r="F112" s="461">
        <v>92900</v>
      </c>
      <c r="G112" s="461" t="str">
        <f t="shared" si="2"/>
        <v>AV. PUEBLA # 502 LOCAL 39, COL. PALMA SOLA, POZA RICA, VER.VERACRUZPOZA RICA92900</v>
      </c>
      <c r="H112" s="480">
        <v>0</v>
      </c>
      <c r="I112" s="480">
        <v>1657601.2200000002</v>
      </c>
      <c r="J112" s="502">
        <v>1386357.3840000001</v>
      </c>
      <c r="K112" s="480">
        <v>789376.23831103125</v>
      </c>
      <c r="L112" s="463"/>
    </row>
    <row r="113" spans="1:12" s="458" customFormat="1" ht="23.25" customHeight="1" thickBot="1" x14ac:dyDescent="0.35">
      <c r="A113" s="503">
        <f t="shared" si="3"/>
        <v>112</v>
      </c>
      <c r="B113" s="461" t="s">
        <v>128</v>
      </c>
      <c r="C113" s="461" t="s">
        <v>307</v>
      </c>
      <c r="D113" s="462" t="s">
        <v>307</v>
      </c>
      <c r="E113" s="503" t="s">
        <v>314</v>
      </c>
      <c r="F113" s="461">
        <v>94299</v>
      </c>
      <c r="G113" s="461" t="str">
        <f t="shared" si="2"/>
        <v>AV. RUIZ CORTINES ESQ. S.S. JUAN PABLO II, FRACC. S.U.T.S.E.M., BOCA DEL RIO, VER.VERACRUZVERACRUZ94299</v>
      </c>
      <c r="H113" s="480">
        <v>0</v>
      </c>
      <c r="I113" s="480">
        <v>2762668.7</v>
      </c>
      <c r="J113" s="502">
        <v>2310595.64</v>
      </c>
      <c r="K113" s="480">
        <v>1348226.6725135313</v>
      </c>
      <c r="L113" s="463"/>
    </row>
    <row r="114" spans="1:12" s="458" customFormat="1" ht="23.25" customHeight="1" thickBot="1" x14ac:dyDescent="0.35">
      <c r="A114" s="503">
        <f t="shared" si="3"/>
        <v>113</v>
      </c>
      <c r="B114" s="461" t="s">
        <v>128</v>
      </c>
      <c r="C114" s="461" t="s">
        <v>307</v>
      </c>
      <c r="D114" s="462" t="s">
        <v>307</v>
      </c>
      <c r="E114" s="503" t="s">
        <v>315</v>
      </c>
      <c r="F114" s="461">
        <v>91755</v>
      </c>
      <c r="G114" s="461" t="str">
        <f t="shared" si="2"/>
        <v>AV. MIGUEL ANGEL DE QUEVEDO NO. 3852 COL. CRISTOBAL COLON VERACRUZ, VER. AL LADO DE COMERCIAL MEXICANA VERACRUZVERACRUZ91755</v>
      </c>
      <c r="H114" s="480">
        <v>0</v>
      </c>
      <c r="I114" s="480">
        <v>3315202.4400000004</v>
      </c>
      <c r="J114" s="502">
        <v>2772714.7680000002</v>
      </c>
      <c r="K114" s="480">
        <v>1546618.5766554188</v>
      </c>
      <c r="L114" s="463"/>
    </row>
    <row r="115" spans="1:12" s="458" customFormat="1" ht="23.25" customHeight="1" thickBot="1" x14ac:dyDescent="0.35">
      <c r="A115" s="503">
        <f t="shared" si="3"/>
        <v>114</v>
      </c>
      <c r="B115" s="461" t="s">
        <v>115</v>
      </c>
      <c r="C115" s="461" t="s">
        <v>316</v>
      </c>
      <c r="D115" s="462" t="s">
        <v>317</v>
      </c>
      <c r="E115" s="503" t="s">
        <v>318</v>
      </c>
      <c r="F115" s="461">
        <v>97143</v>
      </c>
      <c r="G115" s="461" t="str">
        <f t="shared" si="2"/>
        <v>CALLE 60 No. 299 CARR.MERIDA-PROGRESO KM.8.5 COL.REVOLUCION, MERIDA ,YUCATANYUCATANMERIDA97143</v>
      </c>
      <c r="H115" s="480">
        <v>0</v>
      </c>
      <c r="I115" s="480">
        <v>3467064.81</v>
      </c>
      <c r="J115" s="502">
        <v>2899726.932</v>
      </c>
      <c r="K115" s="480">
        <v>1573163.9722800376</v>
      </c>
      <c r="L115" s="463"/>
    </row>
    <row r="116" spans="1:12" s="458" customFormat="1" ht="23.25" customHeight="1" thickBot="1" x14ac:dyDescent="0.35">
      <c r="A116" s="503">
        <f t="shared" si="3"/>
        <v>115</v>
      </c>
      <c r="B116" s="461" t="s">
        <v>115</v>
      </c>
      <c r="C116" s="461" t="s">
        <v>316</v>
      </c>
      <c r="D116" s="462" t="s">
        <v>317</v>
      </c>
      <c r="E116" s="503" t="s">
        <v>319</v>
      </c>
      <c r="F116" s="461">
        <v>97143</v>
      </c>
      <c r="G116" s="461" t="str">
        <f>CONCATENATE(E116,C116,D116,F116)</f>
        <v>CALLE 33 No.200-A INT.X 44 Y CHICHI SUAREZ COL. FRACC. ITZIMNA, POLIGONO #108 MERIDA, YUCATANYUCATANMERIDA97143</v>
      </c>
      <c r="H116" s="480">
        <v>0</v>
      </c>
      <c r="I116" s="480">
        <v>2762668.7</v>
      </c>
      <c r="J116" s="502">
        <v>2310595.64</v>
      </c>
      <c r="K116" s="480">
        <v>1419480.1028743503</v>
      </c>
      <c r="L116" s="463"/>
    </row>
    <row r="117" spans="1:12" ht="23.25" customHeight="1" thickBot="1" x14ac:dyDescent="0.3">
      <c r="A117" s="503">
        <f t="shared" si="3"/>
        <v>116</v>
      </c>
      <c r="B117" s="461" t="s">
        <v>320</v>
      </c>
      <c r="C117" s="461" t="s">
        <v>321</v>
      </c>
      <c r="D117" s="462" t="s">
        <v>322</v>
      </c>
      <c r="E117" s="504" t="s">
        <v>323</v>
      </c>
      <c r="F117" s="461">
        <v>99000</v>
      </c>
      <c r="G117" s="461" t="str">
        <f t="shared" si="2"/>
        <v>GARCIA SALINAS # 510 ZONA CENTRO FRESNILLO, ZACATECAS ZACATECASFRESNILLO99000</v>
      </c>
      <c r="H117" s="480">
        <v>0</v>
      </c>
      <c r="I117" s="480">
        <v>1105067.48</v>
      </c>
      <c r="J117" s="502">
        <v>924238.25600000005</v>
      </c>
      <c r="K117" s="480">
        <v>419836.38869462814</v>
      </c>
      <c r="L117" s="463"/>
    </row>
    <row r="118" spans="1:12" ht="23.25" customHeight="1" thickBot="1" x14ac:dyDescent="0.3">
      <c r="A118" s="503">
        <f t="shared" si="3"/>
        <v>117</v>
      </c>
      <c r="B118" s="461" t="s">
        <v>128</v>
      </c>
      <c r="C118" s="461" t="s">
        <v>321</v>
      </c>
      <c r="D118" s="462" t="s">
        <v>321</v>
      </c>
      <c r="E118" s="504" t="s">
        <v>324</v>
      </c>
      <c r="F118" s="489">
        <v>98097</v>
      </c>
      <c r="G118" s="461" t="str">
        <f t="shared" si="2"/>
        <v>AVE. FRANCISCO GARCIA SALINAS Y SEVILLA FRACC. TAHONA ENTRE SEVILLA Y PASEO DE LA CAÑADA ZACATECAS, ZAC.ZACATECASZACATECAS98097</v>
      </c>
      <c r="H118" s="480">
        <v>0</v>
      </c>
      <c r="I118" s="480">
        <v>2809204.5300000003</v>
      </c>
      <c r="J118" s="502">
        <v>2349516.5159999998</v>
      </c>
      <c r="K118" s="480">
        <v>1476063.7093373532</v>
      </c>
      <c r="L118" s="463"/>
    </row>
    <row r="119" spans="1:12" ht="23.25" customHeight="1" thickBot="1" x14ac:dyDescent="0.3">
      <c r="A119" s="503">
        <f t="shared" si="3"/>
        <v>118</v>
      </c>
      <c r="B119" s="461" t="s">
        <v>320</v>
      </c>
      <c r="C119" s="461" t="s">
        <v>235</v>
      </c>
      <c r="D119" s="462" t="s">
        <v>238</v>
      </c>
      <c r="E119" s="504" t="s">
        <v>325</v>
      </c>
      <c r="F119" s="461">
        <v>64720</v>
      </c>
      <c r="G119" s="461" t="str">
        <f t="shared" si="2"/>
        <v>TEPEYAC 1209 COL INDEPENDENCIA ENTRE HILARIO MARTINEZ Y MICHOACAN MTY NUEVO LEONNUEVO LEONMONTERREY64720</v>
      </c>
      <c r="H119" s="480">
        <v>0</v>
      </c>
      <c r="I119" s="480">
        <v>48637.5</v>
      </c>
      <c r="J119" s="502">
        <v>1945.5</v>
      </c>
      <c r="K119" s="480">
        <v>0</v>
      </c>
      <c r="L119" s="463"/>
    </row>
    <row r="120" spans="1:12" ht="23.25" customHeight="1" thickBot="1" x14ac:dyDescent="0.3">
      <c r="A120" s="503">
        <f t="shared" si="3"/>
        <v>119</v>
      </c>
      <c r="B120" s="461" t="s">
        <v>320</v>
      </c>
      <c r="C120" s="461" t="s">
        <v>147</v>
      </c>
      <c r="D120" s="462" t="s">
        <v>152</v>
      </c>
      <c r="E120" s="504" t="s">
        <v>326</v>
      </c>
      <c r="F120" s="461">
        <v>11320</v>
      </c>
      <c r="G120" s="461" t="str">
        <f t="shared" si="2"/>
        <v>LAGO ISEO 72 COLONIA ANAHUAC SEEC ICDMXMIGUEL HIDALGO11320</v>
      </c>
      <c r="H120" s="480">
        <v>155549.70000000001</v>
      </c>
      <c r="I120" s="480">
        <v>63296.302083333328</v>
      </c>
      <c r="J120" s="502">
        <v>17766.197916666668</v>
      </c>
      <c r="K120" s="480">
        <v>0</v>
      </c>
      <c r="L120" s="463"/>
    </row>
    <row r="121" spans="1:12" ht="23.25" customHeight="1" thickBot="1" x14ac:dyDescent="0.3">
      <c r="A121" s="503">
        <f t="shared" si="3"/>
        <v>120</v>
      </c>
      <c r="B121" s="461" t="s">
        <v>320</v>
      </c>
      <c r="C121" s="461" t="s">
        <v>147</v>
      </c>
      <c r="D121" s="462" t="s">
        <v>327</v>
      </c>
      <c r="E121" s="504" t="s">
        <v>328</v>
      </c>
      <c r="F121" s="461">
        <v>1210</v>
      </c>
      <c r="G121" s="461" t="str">
        <f t="shared" si="2"/>
        <v>AV JAVIER BARROS SIERRA 540 PH1 COLONIA SANTA FE , DELEG. ALVARO OBREGON MEXICO D.F.CDMXCUAJIMALPA1210</v>
      </c>
      <c r="H121" s="480">
        <v>0</v>
      </c>
      <c r="I121" s="480">
        <v>379777.81249999994</v>
      </c>
      <c r="J121" s="502">
        <v>2731597.1875</v>
      </c>
      <c r="K121" s="480">
        <v>0</v>
      </c>
      <c r="L121" s="463"/>
    </row>
    <row r="122" spans="1:12" ht="23.25" customHeight="1" thickBot="1" x14ac:dyDescent="0.3">
      <c r="A122" s="503">
        <f t="shared" si="3"/>
        <v>121</v>
      </c>
      <c r="B122" s="461" t="s">
        <v>112</v>
      </c>
      <c r="C122" s="461" t="s">
        <v>263</v>
      </c>
      <c r="D122" s="462" t="s">
        <v>263</v>
      </c>
      <c r="E122" s="504" t="s">
        <v>329</v>
      </c>
      <c r="F122" s="461">
        <v>76900</v>
      </c>
      <c r="G122" s="461" t="str">
        <f t="shared" si="2"/>
        <v>KM. 38 CARRETERA LIBRE A CELAYA, EJIDOS LOS  OLVERA, MUNICIPIO DE CORREGIDORA, QUERETAROQUERETAROQUERETARO76900</v>
      </c>
      <c r="H122" s="480">
        <v>0</v>
      </c>
      <c r="I122" s="480">
        <v>2762668.7</v>
      </c>
      <c r="J122" s="502">
        <v>2310595.64</v>
      </c>
      <c r="K122" s="480">
        <v>1308408.5790766033</v>
      </c>
      <c r="L122" s="463"/>
    </row>
    <row r="123" spans="1:12" ht="23.25" customHeight="1" thickBot="1" x14ac:dyDescent="0.3">
      <c r="A123" s="503">
        <f t="shared" si="3"/>
        <v>122</v>
      </c>
      <c r="B123" s="461" t="s">
        <v>112</v>
      </c>
      <c r="C123" s="461" t="s">
        <v>180</v>
      </c>
      <c r="D123" s="462" t="s">
        <v>193</v>
      </c>
      <c r="E123" s="504" t="s">
        <v>330</v>
      </c>
      <c r="F123" s="489">
        <v>55757</v>
      </c>
      <c r="G123" s="461" t="str">
        <f t="shared" si="2"/>
        <v>LOTE 1 MZ. 1 SECC 1 CARRETERA FEDERAL LECHERIA TEXCOCO Y AUTOPISTA MEXICO PACHUCA S/N EJIDO TECAMAC, ESTADO DE MEXICOESTADO DE MEXICOTECAMAC55757</v>
      </c>
      <c r="H123" s="480">
        <v>0</v>
      </c>
      <c r="I123" s="480">
        <v>3038935.5700000003</v>
      </c>
      <c r="J123" s="502">
        <v>2541655.2040000004</v>
      </c>
      <c r="K123" s="480">
        <v>1295834.4443070469</v>
      </c>
      <c r="L123" s="463"/>
    </row>
    <row r="124" spans="1:12" ht="23.25" customHeight="1" thickBot="1" x14ac:dyDescent="0.3">
      <c r="A124" s="503">
        <f t="shared" si="3"/>
        <v>123</v>
      </c>
      <c r="B124" s="461" t="s">
        <v>115</v>
      </c>
      <c r="C124" s="461" t="s">
        <v>147</v>
      </c>
      <c r="D124" s="462" t="s">
        <v>169</v>
      </c>
      <c r="E124" s="504" t="s">
        <v>331</v>
      </c>
      <c r="F124" s="461">
        <v>9430</v>
      </c>
      <c r="G124" s="461" t="str">
        <f t="shared" si="2"/>
        <v>CALZ. DE LA VIGA No. 150 COL. APATLACO, DELEGACION IZTAPALAPA, MEXICO D.F.CDMXIZTAPALAPA9430</v>
      </c>
      <c r="H124" s="480">
        <v>0</v>
      </c>
      <c r="I124" s="480">
        <v>3315202.4400000004</v>
      </c>
      <c r="J124" s="502">
        <v>2772714.7680000002</v>
      </c>
      <c r="K124" s="480">
        <v>1466982.3897815626</v>
      </c>
      <c r="L124" s="463"/>
    </row>
    <row r="125" spans="1:12" ht="23.25" customHeight="1" thickBot="1" x14ac:dyDescent="0.3">
      <c r="A125" s="503">
        <f t="shared" si="3"/>
        <v>124</v>
      </c>
      <c r="B125" s="461" t="s">
        <v>112</v>
      </c>
      <c r="C125" s="461" t="s">
        <v>180</v>
      </c>
      <c r="D125" s="462" t="s">
        <v>332</v>
      </c>
      <c r="E125" s="504" t="s">
        <v>333</v>
      </c>
      <c r="F125" s="461">
        <v>50450</v>
      </c>
      <c r="G125" s="461" t="str">
        <f t="shared" si="2"/>
        <v>AV. 1° DE MAYO Y LIBRAMIENTO JORGE JIMENEZ CANTU, MPO. ATLACOMULCO DE FABELA, EDO DE MEXICOESTADO DE MEXICOATLACOMULCO50450</v>
      </c>
      <c r="H125" s="480">
        <v>0</v>
      </c>
      <c r="I125" s="480">
        <v>1933868.0900000003</v>
      </c>
      <c r="J125" s="502">
        <v>1617416.9480000001</v>
      </c>
      <c r="K125" s="480">
        <v>873203.80344140623</v>
      </c>
      <c r="L125" s="463"/>
    </row>
    <row r="126" spans="1:12" ht="23.25" customHeight="1" thickBot="1" x14ac:dyDescent="0.3">
      <c r="A126" s="503">
        <f t="shared" si="3"/>
        <v>125</v>
      </c>
      <c r="B126" s="461" t="s">
        <v>112</v>
      </c>
      <c r="C126" s="461" t="s">
        <v>334</v>
      </c>
      <c r="D126" s="462" t="s">
        <v>335</v>
      </c>
      <c r="E126" s="504" t="s">
        <v>336</v>
      </c>
      <c r="F126" s="461">
        <v>39890</v>
      </c>
      <c r="G126" s="461" t="str">
        <f t="shared" si="2"/>
        <v>BLVD. DE LAS NACIONES No. 802, COL. GRANJAS DEL MARQUES, MPIO. DE TABARES, ACAPULCO GUERRERO GUERREROACAPULCO39890</v>
      </c>
      <c r="H126" s="480">
        <v>0</v>
      </c>
      <c r="I126" s="480">
        <v>3315202.4400000004</v>
      </c>
      <c r="J126" s="502">
        <v>2772714.7680000002</v>
      </c>
      <c r="K126" s="480">
        <v>1377566.3203091626</v>
      </c>
      <c r="L126" s="463"/>
    </row>
    <row r="127" spans="1:12" ht="23.25" customHeight="1" thickBot="1" x14ac:dyDescent="0.3">
      <c r="A127" s="503">
        <f t="shared" si="3"/>
        <v>126</v>
      </c>
      <c r="B127" s="461" t="s">
        <v>112</v>
      </c>
      <c r="C127" s="461" t="s">
        <v>180</v>
      </c>
      <c r="D127" s="462" t="s">
        <v>191</v>
      </c>
      <c r="E127" s="504" t="s">
        <v>337</v>
      </c>
      <c r="F127" s="489">
        <v>50205</v>
      </c>
      <c r="G127" s="461" t="str">
        <f t="shared" si="2"/>
        <v>NAUCALPAN TOLUCA 1101 (INTERSECCION DE LA CARRETERA NAUCALPAN-TOLUCA Y PROLONGACION BLVD. MIGUEL ALEMAN) COL SAN DIEGO DE LOS PADRES OTZCARIPAN, TOLUCA, ESTADO DE MEXICOESTADO DE MEXICONAUCALPAN50205</v>
      </c>
      <c r="H127" s="480">
        <v>0</v>
      </c>
      <c r="I127" s="480">
        <v>2486401.83</v>
      </c>
      <c r="J127" s="502">
        <v>2079536.0760000001</v>
      </c>
      <c r="K127" s="480">
        <v>1107920.9858064563</v>
      </c>
      <c r="L127" s="463"/>
    </row>
    <row r="128" spans="1:12" ht="23.25" customHeight="1" thickBot="1" x14ac:dyDescent="0.3">
      <c r="A128" s="503">
        <f t="shared" si="3"/>
        <v>127</v>
      </c>
      <c r="B128" s="461" t="s">
        <v>128</v>
      </c>
      <c r="C128" s="461" t="s">
        <v>338</v>
      </c>
      <c r="D128" s="462" t="s">
        <v>339</v>
      </c>
      <c r="E128" s="504" t="s">
        <v>340</v>
      </c>
      <c r="F128" s="489">
        <v>58350</v>
      </c>
      <c r="G128" s="461" t="str">
        <f t="shared" si="2"/>
        <v>AV. OCAÑA MONARCA NORTE No. 1000, COL.   MONTAÑA MONARCA , MORELIA MICHOACANMICHOACANMORELIA58350</v>
      </c>
      <c r="H128" s="480">
        <v>0</v>
      </c>
      <c r="I128" s="480">
        <v>4295865.42</v>
      </c>
      <c r="J128" s="502">
        <v>3592905.6240000003</v>
      </c>
      <c r="K128" s="480">
        <v>1634637.5200423126</v>
      </c>
      <c r="L128" s="463"/>
    </row>
    <row r="129" spans="1:12" ht="23.25" customHeight="1" thickBot="1" x14ac:dyDescent="0.3">
      <c r="A129" s="503">
        <f t="shared" si="3"/>
        <v>128</v>
      </c>
      <c r="B129" s="461" t="s">
        <v>115</v>
      </c>
      <c r="C129" s="461" t="s">
        <v>180</v>
      </c>
      <c r="D129" s="462" t="s">
        <v>191</v>
      </c>
      <c r="E129" s="504" t="s">
        <v>341</v>
      </c>
      <c r="F129" s="461">
        <v>53550</v>
      </c>
      <c r="G129" s="461" t="str">
        <f t="shared" si="2"/>
        <v>CALZ. SAN ESTEBAN No. 46, COL. ESTEBAN HUITZILACASCO, NAUCALPAN, ESTADO DE MEXICOESTADO DE MEXICONAUCALPAN53550</v>
      </c>
      <c r="H129" s="480">
        <v>0</v>
      </c>
      <c r="I129" s="480">
        <v>3038935.5700000003</v>
      </c>
      <c r="J129" s="502">
        <v>2541655.2040000004</v>
      </c>
      <c r="K129" s="480">
        <v>1431355.6746011532</v>
      </c>
      <c r="L129" s="463"/>
    </row>
    <row r="130" spans="1:12" ht="23.25" customHeight="1" thickBot="1" x14ac:dyDescent="0.3">
      <c r="A130" s="503">
        <f t="shared" si="3"/>
        <v>129</v>
      </c>
      <c r="B130" s="461" t="s">
        <v>112</v>
      </c>
      <c r="C130" s="461" t="s">
        <v>180</v>
      </c>
      <c r="D130" s="462" t="s">
        <v>195</v>
      </c>
      <c r="E130" s="504" t="s">
        <v>342</v>
      </c>
      <c r="F130" s="461">
        <v>54030</v>
      </c>
      <c r="G130" s="461" t="str">
        <f t="shared" si="2"/>
        <v>AUTOPISTA MEXICO QUERETARO NO 3130 FRACCIONAMIENTO  TAXCOLPAN TLALNEPANTLA ESTADO DE MEXICO C.P. 54030ESTADO DE MEXICOTLALNEPANTLA54030</v>
      </c>
      <c r="H130" s="480">
        <v>0</v>
      </c>
      <c r="I130" s="480">
        <v>2532937.66</v>
      </c>
      <c r="J130" s="502">
        <v>2118456.952</v>
      </c>
      <c r="K130" s="480">
        <v>1219691.0726469564</v>
      </c>
      <c r="L130" s="463"/>
    </row>
    <row r="131" spans="1:12" ht="23.25" customHeight="1" thickBot="1" x14ac:dyDescent="0.3">
      <c r="A131" s="503">
        <f t="shared" si="3"/>
        <v>130</v>
      </c>
      <c r="B131" s="461" t="s">
        <v>115</v>
      </c>
      <c r="C131" s="461" t="s">
        <v>316</v>
      </c>
      <c r="D131" s="462" t="s">
        <v>343</v>
      </c>
      <c r="E131" s="504" t="s">
        <v>344</v>
      </c>
      <c r="F131" s="461">
        <v>97780</v>
      </c>
      <c r="G131" s="461" t="str">
        <f t="shared" ref="G131:G194" si="4">CONCATENATE(E131,C131,D131,F131)</f>
        <v>CALLE 42 No. 124, COL. STA LUCIA VALLADOLID centro , YUCATANYUCATANVALLADOLID97780</v>
      </c>
      <c r="H131" s="480">
        <v>0</v>
      </c>
      <c r="I131" s="480">
        <v>828800.6100000001</v>
      </c>
      <c r="J131" s="502">
        <v>693178.69200000004</v>
      </c>
      <c r="K131" s="480">
        <v>365348.47135988442</v>
      </c>
      <c r="L131" s="463"/>
    </row>
    <row r="132" spans="1:12" ht="23.25" customHeight="1" thickBot="1" x14ac:dyDescent="0.3">
      <c r="A132" s="503">
        <f t="shared" ref="A132:A195" si="5">+A131+1</f>
        <v>131</v>
      </c>
      <c r="B132" s="461" t="s">
        <v>115</v>
      </c>
      <c r="C132" s="461" t="s">
        <v>213</v>
      </c>
      <c r="D132" s="462" t="s">
        <v>224</v>
      </c>
      <c r="E132" s="504" t="s">
        <v>345</v>
      </c>
      <c r="F132" s="489">
        <v>45403</v>
      </c>
      <c r="G132" s="461" t="str">
        <f t="shared" si="4"/>
        <v>PROLONGACION PABLO VALDEZ No. 350, COL. CAMICHINES I , TONALA JALISCOJALISCOTONALA45403</v>
      </c>
      <c r="H132" s="480">
        <v>0</v>
      </c>
      <c r="I132" s="480">
        <v>2762668.7</v>
      </c>
      <c r="J132" s="502">
        <v>2310595.64</v>
      </c>
      <c r="K132" s="480">
        <v>1371279.2529243845</v>
      </c>
      <c r="L132" s="463"/>
    </row>
    <row r="133" spans="1:12" ht="23.25" customHeight="1" thickBot="1" x14ac:dyDescent="0.3">
      <c r="A133" s="503">
        <f t="shared" si="5"/>
        <v>132</v>
      </c>
      <c r="B133" s="461" t="s">
        <v>119</v>
      </c>
      <c r="C133" s="461" t="s">
        <v>147</v>
      </c>
      <c r="D133" s="462" t="s">
        <v>148</v>
      </c>
      <c r="E133" s="504" t="s">
        <v>346</v>
      </c>
      <c r="F133" s="461" t="s">
        <v>347</v>
      </c>
      <c r="G133" s="461" t="str">
        <f t="shared" si="4"/>
        <v>AV. JAVIER BARRIOS SIERRA No. 540, COL. SANTA FE, DELEG. ALVARO OBREGON, MEXICO D.F.CDMXALVARO OBREGON01210</v>
      </c>
      <c r="H133" s="480">
        <v>0</v>
      </c>
      <c r="I133" s="480">
        <v>1256929.8500000001</v>
      </c>
      <c r="J133" s="502">
        <v>1051250.4200000002</v>
      </c>
      <c r="K133" s="480">
        <v>157875.24766220624</v>
      </c>
      <c r="L133" s="463"/>
    </row>
    <row r="134" spans="1:12" ht="23.25" customHeight="1" thickBot="1" x14ac:dyDescent="0.3">
      <c r="A134" s="503">
        <f t="shared" si="5"/>
        <v>133</v>
      </c>
      <c r="B134" s="461" t="s">
        <v>115</v>
      </c>
      <c r="C134" s="461" t="s">
        <v>293</v>
      </c>
      <c r="D134" s="462" t="s">
        <v>293</v>
      </c>
      <c r="E134" s="504" t="s">
        <v>348</v>
      </c>
      <c r="F134" s="461">
        <v>88990</v>
      </c>
      <c r="G134" s="461" t="str">
        <f t="shared" si="4"/>
        <v>AV. FRANCISCO I. MADERO NO. 2000, ESQ. CALLE URSULA GALVAN, COL. INFONAVIT LA PAZ  TAMAULIPASTAMAULIPASTAMAULIPAS88990</v>
      </c>
      <c r="H134" s="480">
        <v>0</v>
      </c>
      <c r="I134" s="480">
        <v>1933868.0900000003</v>
      </c>
      <c r="J134" s="502">
        <v>1617416.9480000001</v>
      </c>
      <c r="K134" s="480">
        <v>80334.749916609377</v>
      </c>
      <c r="L134" s="463"/>
    </row>
    <row r="135" spans="1:12" s="499" customFormat="1" ht="23.25" customHeight="1" thickBot="1" x14ac:dyDescent="0.3">
      <c r="A135" s="505">
        <f t="shared" si="5"/>
        <v>134</v>
      </c>
      <c r="B135" s="495" t="s">
        <v>119</v>
      </c>
      <c r="C135" s="495" t="s">
        <v>265</v>
      </c>
      <c r="D135" s="496" t="s">
        <v>266</v>
      </c>
      <c r="E135" s="506" t="s">
        <v>349</v>
      </c>
      <c r="F135" s="495">
        <v>77519</v>
      </c>
      <c r="G135" s="495" t="str">
        <f t="shared" si="4"/>
        <v>Supermanzana 248 manzana 11lt 111016 , esquina Av Kabah y Av De los tules S7N Region Benito Juarez 248 , cp 77519 Quintana RooQUINTANA ROOCANCUN77519</v>
      </c>
      <c r="H135" s="497">
        <v>0</v>
      </c>
      <c r="I135" s="497">
        <v>2762668.7</v>
      </c>
      <c r="J135" s="507">
        <v>2310595.64</v>
      </c>
      <c r="K135" s="497">
        <v>1147040.5162006314</v>
      </c>
      <c r="L135" s="498"/>
    </row>
    <row r="136" spans="1:12" ht="23.25" customHeight="1" thickBot="1" x14ac:dyDescent="0.3">
      <c r="A136" s="503">
        <f t="shared" si="5"/>
        <v>135</v>
      </c>
      <c r="B136" s="461" t="s">
        <v>115</v>
      </c>
      <c r="C136" s="461" t="s">
        <v>256</v>
      </c>
      <c r="D136" s="462" t="s">
        <v>256</v>
      </c>
      <c r="E136" s="504" t="s">
        <v>350</v>
      </c>
      <c r="F136" s="489">
        <v>68143</v>
      </c>
      <c r="G136" s="461" t="str">
        <f t="shared" si="4"/>
        <v>Monte Alban 1462 entre Monte Tacaña y Monte Carlo, Montoya Oaxaca de Juarez C.P. 68036OAXACAOAXACA68143</v>
      </c>
      <c r="H136" s="480">
        <v>0</v>
      </c>
      <c r="I136" s="480">
        <v>3038935.5700000003</v>
      </c>
      <c r="J136" s="502">
        <v>2541655.2040000004</v>
      </c>
      <c r="K136" s="480">
        <v>1321681.2768889125</v>
      </c>
      <c r="L136" s="463"/>
    </row>
    <row r="137" spans="1:12" ht="23.25" customHeight="1" thickBot="1" x14ac:dyDescent="0.3">
      <c r="A137" s="503">
        <f t="shared" si="5"/>
        <v>136</v>
      </c>
      <c r="B137" s="461" t="s">
        <v>351</v>
      </c>
      <c r="C137" s="461" t="s">
        <v>143</v>
      </c>
      <c r="D137" s="462" t="s">
        <v>138</v>
      </c>
      <c r="E137" s="504" t="s">
        <v>352</v>
      </c>
      <c r="F137" s="489">
        <v>27272</v>
      </c>
      <c r="G137" s="461" t="str">
        <f t="shared" si="4"/>
        <v>Calzada Jose Vasconcelos 1955, L1010 Colonia Residencial Tecnologico Torreon CoahuilaTORREONCOAHUILA27272</v>
      </c>
      <c r="H137" s="480">
        <v>0</v>
      </c>
      <c r="I137" s="480">
        <v>3467064.81</v>
      </c>
      <c r="J137" s="502">
        <v>2899726.932</v>
      </c>
      <c r="K137" s="480">
        <v>1391537.581164225</v>
      </c>
      <c r="L137" s="463"/>
    </row>
    <row r="138" spans="1:12" ht="23.25" customHeight="1" thickBot="1" x14ac:dyDescent="0.3">
      <c r="A138" s="503">
        <f t="shared" si="5"/>
        <v>137</v>
      </c>
      <c r="B138" s="461" t="s">
        <v>115</v>
      </c>
      <c r="C138" s="461" t="s">
        <v>213</v>
      </c>
      <c r="D138" s="462" t="s">
        <v>220</v>
      </c>
      <c r="E138" s="504" t="s">
        <v>353</v>
      </c>
      <c r="F138" s="489">
        <v>48328</v>
      </c>
      <c r="G138" s="461" t="str">
        <f t="shared" si="4"/>
        <v>Av. Francisco Villa 526 esquina con Gonzalez Gallo Fraccionamiento Sauces Puerto Vallarta JaliscoJALISCOPUERTO VALLARTA48328</v>
      </c>
      <c r="H138" s="480">
        <v>0</v>
      </c>
      <c r="I138" s="480">
        <v>3591469.31</v>
      </c>
      <c r="J138" s="502">
        <v>3003774.3319999999</v>
      </c>
      <c r="K138" s="480">
        <v>1568274.0309807658</v>
      </c>
      <c r="L138" s="463"/>
    </row>
    <row r="139" spans="1:12" ht="23.25" customHeight="1" thickBot="1" x14ac:dyDescent="0.3">
      <c r="A139" s="503">
        <f t="shared" si="5"/>
        <v>138</v>
      </c>
      <c r="B139" s="461" t="s">
        <v>119</v>
      </c>
      <c r="C139" s="461" t="s">
        <v>180</v>
      </c>
      <c r="D139" s="462" t="s">
        <v>354</v>
      </c>
      <c r="E139" s="504" t="s">
        <v>355</v>
      </c>
      <c r="F139" s="461">
        <v>55120</v>
      </c>
      <c r="G139" s="461" t="str">
        <f t="shared" si="4"/>
        <v>Av. Central manzana 632 numero 50 local D-01 Colonia Ciudad Azteca Ecatepec C.P. 55120ESTADO DE MEXICOECATEPEC55120</v>
      </c>
      <c r="H139" s="480">
        <v>0</v>
      </c>
      <c r="I139" s="480">
        <v>3315202.4400000004</v>
      </c>
      <c r="J139" s="502">
        <v>2772714.7680000002</v>
      </c>
      <c r="K139" s="480">
        <v>1814866.7850726186</v>
      </c>
      <c r="L139" s="463"/>
    </row>
    <row r="140" spans="1:12" ht="23.25" customHeight="1" thickBot="1" x14ac:dyDescent="0.3">
      <c r="A140" s="503">
        <f t="shared" si="5"/>
        <v>139</v>
      </c>
      <c r="B140" s="461" t="s">
        <v>119</v>
      </c>
      <c r="C140" s="461" t="s">
        <v>356</v>
      </c>
      <c r="D140" s="462" t="s">
        <v>357</v>
      </c>
      <c r="E140" s="504" t="s">
        <v>358</v>
      </c>
      <c r="F140" s="489">
        <v>23098</v>
      </c>
      <c r="G140" s="461" t="str">
        <f t="shared" si="4"/>
        <v>Blvd. Constituyentes de 1975 numero 4120 esquina calle algodón COLONIA SECTOR INALAPA municipio de la paz local SA 02BAJA CALIFORNIALA PAZ23098</v>
      </c>
      <c r="H140" s="480">
        <v>0</v>
      </c>
      <c r="I140" s="480">
        <v>2876565.4775</v>
      </c>
      <c r="J140" s="502">
        <v>2405854.7630000003</v>
      </c>
      <c r="K140" s="480">
        <v>939567.29250295309</v>
      </c>
      <c r="L140" s="463"/>
    </row>
    <row r="141" spans="1:12" ht="23.25" customHeight="1" thickBot="1" x14ac:dyDescent="0.3">
      <c r="A141" s="503">
        <f t="shared" si="5"/>
        <v>140</v>
      </c>
      <c r="B141" s="461" t="s">
        <v>119</v>
      </c>
      <c r="C141" s="461" t="s">
        <v>203</v>
      </c>
      <c r="D141" s="462" t="s">
        <v>359</v>
      </c>
      <c r="E141" s="504" t="s">
        <v>360</v>
      </c>
      <c r="F141" s="461">
        <v>37500</v>
      </c>
      <c r="G141" s="461" t="str">
        <f t="shared" si="4"/>
        <v>Blvd. Adolfo López Mateos No. 1702 Colonia La Martinica C.P. 37500 León GuanajuatoLEONLEON GUANAJUATO37500</v>
      </c>
      <c r="H141" s="480">
        <v>0</v>
      </c>
      <c r="I141" s="480">
        <v>2809204.5300000003</v>
      </c>
      <c r="J141" s="502">
        <v>2349516.5159999998</v>
      </c>
      <c r="K141" s="480">
        <v>1182667.2313810405</v>
      </c>
      <c r="L141" s="463"/>
    </row>
    <row r="142" spans="1:12" ht="23.25" customHeight="1" thickBot="1" x14ac:dyDescent="0.3">
      <c r="A142" s="503">
        <f t="shared" si="5"/>
        <v>141</v>
      </c>
      <c r="B142" s="461" t="s">
        <v>158</v>
      </c>
      <c r="C142" s="461" t="s">
        <v>288</v>
      </c>
      <c r="D142" s="462" t="s">
        <v>291</v>
      </c>
      <c r="E142" s="504" t="s">
        <v>361</v>
      </c>
      <c r="F142" s="489">
        <v>86190</v>
      </c>
      <c r="G142" s="461" t="str">
        <f t="shared" si="4"/>
        <v>Periferico Carlos Pellicer y avenida Cesar Sandino Camara #1290 Colonia 1° de Mayo Municipio del Centro Villahermosa Tabasco C.P. 86190TABASCOVILLAHERMOSA86190</v>
      </c>
      <c r="H142" s="480">
        <v>0</v>
      </c>
      <c r="I142" s="480">
        <v>4333831.0125000002</v>
      </c>
      <c r="J142" s="502">
        <v>3624658.665</v>
      </c>
      <c r="K142" s="480">
        <v>1633938.9569995594</v>
      </c>
      <c r="L142" s="463"/>
    </row>
    <row r="143" spans="1:12" ht="23.25" customHeight="1" thickBot="1" x14ac:dyDescent="0.3">
      <c r="A143" s="503">
        <f t="shared" si="5"/>
        <v>142</v>
      </c>
      <c r="B143" s="461" t="s">
        <v>128</v>
      </c>
      <c r="C143" s="461" t="s">
        <v>147</v>
      </c>
      <c r="D143" s="462" t="s">
        <v>327</v>
      </c>
      <c r="E143" s="504" t="s">
        <v>362</v>
      </c>
      <c r="F143" s="500">
        <v>5348</v>
      </c>
      <c r="G143" s="461" t="str">
        <f t="shared" si="4"/>
        <v>Av. Vasco de Quiroga 3800 Colonia SANTA FE CUAJIMALPA Delegacion CuajimalpaCDMXCUAJIMALPA5348</v>
      </c>
      <c r="H143" s="480">
        <v>0</v>
      </c>
      <c r="I143" s="480">
        <v>6769309.6350000007</v>
      </c>
      <c r="J143" s="502">
        <v>5661604.4220000003</v>
      </c>
      <c r="K143" s="480">
        <v>2638472.6124785533</v>
      </c>
      <c r="L143" s="463"/>
    </row>
    <row r="144" spans="1:12" ht="23.25" customHeight="1" thickBot="1" x14ac:dyDescent="0.3">
      <c r="A144" s="503">
        <f t="shared" si="5"/>
        <v>143</v>
      </c>
      <c r="B144" s="461" t="s">
        <v>112</v>
      </c>
      <c r="C144" s="461" t="s">
        <v>147</v>
      </c>
      <c r="D144" s="462" t="s">
        <v>154</v>
      </c>
      <c r="E144" s="504" t="s">
        <v>363</v>
      </c>
      <c r="F144" s="461" t="s">
        <v>364</v>
      </c>
      <c r="G144" s="461" t="str">
        <f t="shared" si="4"/>
        <v>Av. División del norte 2462 piso 1 colonia Portales Benito Juarez Mexico D.F. C.P. 03300CDMXBENITO JUAREZ03300</v>
      </c>
      <c r="H144" s="480">
        <v>0</v>
      </c>
      <c r="I144" s="480">
        <v>2762668.7</v>
      </c>
      <c r="J144" s="502">
        <v>2310595.64</v>
      </c>
      <c r="K144" s="480">
        <v>1089758.346694875</v>
      </c>
      <c r="L144" s="463"/>
    </row>
    <row r="145" spans="1:12" ht="23.25" customHeight="1" thickBot="1" x14ac:dyDescent="0.3">
      <c r="A145" s="503">
        <f t="shared" si="5"/>
        <v>144</v>
      </c>
      <c r="B145" s="461" t="s">
        <v>112</v>
      </c>
      <c r="C145" s="461" t="s">
        <v>147</v>
      </c>
      <c r="D145" s="462" t="s">
        <v>162</v>
      </c>
      <c r="E145" s="504" t="s">
        <v>365</v>
      </c>
      <c r="F145" s="461" t="s">
        <v>366</v>
      </c>
      <c r="G145" s="461" t="str">
        <f t="shared" si="4"/>
        <v>Río Guadalquivir 104 Pb Mezzanine y piso 1 Colonia Cuauhtemoc , delegacion Cuauhtemoc D.F. C.P. 06500CDMXCUAUHTEMOC06500</v>
      </c>
      <c r="H145" s="480">
        <v>0</v>
      </c>
      <c r="I145" s="480">
        <v>1151603.31</v>
      </c>
      <c r="J145" s="502">
        <v>963159.13199999998</v>
      </c>
      <c r="K145" s="480">
        <v>435903.33867795003</v>
      </c>
      <c r="L145" s="463"/>
    </row>
    <row r="146" spans="1:12" ht="23.25" customHeight="1" thickBot="1" x14ac:dyDescent="0.3">
      <c r="A146" s="503">
        <f t="shared" si="5"/>
        <v>145</v>
      </c>
      <c r="B146" s="461" t="s">
        <v>112</v>
      </c>
      <c r="C146" s="461" t="s">
        <v>180</v>
      </c>
      <c r="D146" s="462" t="s">
        <v>367</v>
      </c>
      <c r="E146" s="504" t="s">
        <v>368</v>
      </c>
      <c r="F146" s="461">
        <v>56600</v>
      </c>
      <c r="G146" s="461" t="str">
        <f t="shared" si="4"/>
        <v>Vicente Guerrero 25 Centro Chalco Estado de México C.P. 56600ESTADO DE MEXICOCHALCO56600</v>
      </c>
      <c r="H146" s="480">
        <v>0</v>
      </c>
      <c r="I146" s="480">
        <v>2762668.7</v>
      </c>
      <c r="J146" s="502">
        <v>2310595.64</v>
      </c>
      <c r="K146" s="480">
        <v>1525661.6853728252</v>
      </c>
      <c r="L146" s="463"/>
    </row>
    <row r="147" spans="1:12" ht="23.25" customHeight="1" thickBot="1" x14ac:dyDescent="0.3">
      <c r="A147" s="503">
        <f t="shared" si="5"/>
        <v>146</v>
      </c>
      <c r="B147" s="461" t="s">
        <v>112</v>
      </c>
      <c r="C147" s="461" t="s">
        <v>180</v>
      </c>
      <c r="D147" s="462" t="s">
        <v>181</v>
      </c>
      <c r="E147" s="504" t="s">
        <v>369</v>
      </c>
      <c r="F147" s="461">
        <v>57700</v>
      </c>
      <c r="G147" s="461" t="str">
        <f t="shared" si="4"/>
        <v>Via López Portillo 105 Local H Col. Villa de las flores Coacalco de Berriozabal estado de México C.P. 57700ESTADO DE MEXICOCOACALCO57700</v>
      </c>
      <c r="H147" s="480">
        <v>0</v>
      </c>
      <c r="I147" s="480">
        <v>3038935.5700000003</v>
      </c>
      <c r="J147" s="502">
        <v>2541655.2040000004</v>
      </c>
      <c r="K147" s="480">
        <v>1490034.9701924156</v>
      </c>
      <c r="L147" s="463"/>
    </row>
    <row r="148" spans="1:12" ht="23.25" customHeight="1" thickBot="1" x14ac:dyDescent="0.3">
      <c r="A148" s="503">
        <f t="shared" si="5"/>
        <v>147</v>
      </c>
      <c r="B148" s="461" t="s">
        <v>112</v>
      </c>
      <c r="C148" s="461" t="s">
        <v>180</v>
      </c>
      <c r="D148" s="462" t="s">
        <v>183</v>
      </c>
      <c r="E148" s="504" t="s">
        <v>370</v>
      </c>
      <c r="F148" s="489">
        <v>54800</v>
      </c>
      <c r="G148" s="461" t="str">
        <f t="shared" si="4"/>
        <v>Av. Prolongacion Morelos s/n Esq. Ferrocarril Central Paseo Santa Maria Huerto Cuautitlan Izcalli Edo de Mexico C.P. 54820ESTADO DE MEXICOCUAUTITLAN IZCALLI54800</v>
      </c>
      <c r="H148" s="480">
        <v>0</v>
      </c>
      <c r="I148" s="480">
        <v>2762668.7</v>
      </c>
      <c r="J148" s="502">
        <v>2310595.64</v>
      </c>
      <c r="K148" s="480">
        <v>1066007.2032412686</v>
      </c>
      <c r="L148" s="463"/>
    </row>
    <row r="149" spans="1:12" ht="23.25" customHeight="1" thickBot="1" x14ac:dyDescent="0.3">
      <c r="A149" s="503">
        <f t="shared" si="5"/>
        <v>148</v>
      </c>
      <c r="B149" s="461" t="s">
        <v>112</v>
      </c>
      <c r="C149" s="461" t="s">
        <v>180</v>
      </c>
      <c r="D149" s="462" t="s">
        <v>371</v>
      </c>
      <c r="E149" s="504" t="s">
        <v>372</v>
      </c>
      <c r="F149" s="489">
        <v>56100</v>
      </c>
      <c r="G149" s="461" t="str">
        <f t="shared" si="4"/>
        <v>Juarez 304 local 0 Centro , Texcoco Estado de México C.P. 56177ESTADO DE MEXICOTEXCOCO56100</v>
      </c>
      <c r="H149" s="480">
        <v>0</v>
      </c>
      <c r="I149" s="480">
        <v>2762668.7</v>
      </c>
      <c r="J149" s="502">
        <v>2310595.64</v>
      </c>
      <c r="K149" s="480">
        <v>948648.61205874383</v>
      </c>
      <c r="L149" s="463"/>
    </row>
    <row r="150" spans="1:12" ht="23.25" customHeight="1" thickBot="1" x14ac:dyDescent="0.3">
      <c r="A150" s="503">
        <f t="shared" si="5"/>
        <v>149</v>
      </c>
      <c r="B150" s="461" t="s">
        <v>112</v>
      </c>
      <c r="C150" s="461" t="s">
        <v>213</v>
      </c>
      <c r="D150" s="462" t="s">
        <v>226</v>
      </c>
      <c r="E150" s="504" t="s">
        <v>373</v>
      </c>
      <c r="F150" s="461">
        <v>45118</v>
      </c>
      <c r="G150" s="461" t="str">
        <f t="shared" si="4"/>
        <v>Acueducto 6050 Col. Lomas del Bosque Zapopan Jalisco C.P. 45118JALISCOZAPOPAN45118</v>
      </c>
      <c r="H150" s="480">
        <v>0</v>
      </c>
      <c r="I150" s="480">
        <v>3937539.9249999998</v>
      </c>
      <c r="J150" s="502">
        <v>3293215.21</v>
      </c>
      <c r="K150" s="480">
        <v>1547317.139698172</v>
      </c>
      <c r="L150" s="463"/>
    </row>
    <row r="151" spans="1:12" ht="23.25" customHeight="1" thickBot="1" x14ac:dyDescent="0.3">
      <c r="A151" s="503">
        <f t="shared" si="5"/>
        <v>150</v>
      </c>
      <c r="B151" s="461" t="s">
        <v>112</v>
      </c>
      <c r="C151" s="461" t="s">
        <v>147</v>
      </c>
      <c r="D151" s="462" t="s">
        <v>173</v>
      </c>
      <c r="E151" s="504" t="s">
        <v>374</v>
      </c>
      <c r="F151" s="461">
        <v>14370</v>
      </c>
      <c r="G151" s="461" t="str">
        <f t="shared" si="4"/>
        <v>Av. Prolongacion Division del norte 4515 Col. Residencial Chimali  , Tlalpan Distrito Federal C.P. 14370CDMXTLALPAN14370</v>
      </c>
      <c r="H151" s="480">
        <v>0</v>
      </c>
      <c r="I151" s="480">
        <v>2762668.7</v>
      </c>
      <c r="J151" s="502">
        <v>2310595.64</v>
      </c>
      <c r="K151" s="480">
        <v>1080677.0271390844</v>
      </c>
      <c r="L151" s="463"/>
    </row>
    <row r="152" spans="1:12" ht="23.25" customHeight="1" thickBot="1" x14ac:dyDescent="0.3">
      <c r="A152" s="503">
        <f t="shared" si="5"/>
        <v>151</v>
      </c>
      <c r="B152" s="461" t="s">
        <v>112</v>
      </c>
      <c r="C152" s="461" t="s">
        <v>147</v>
      </c>
      <c r="D152" s="462" t="s">
        <v>173</v>
      </c>
      <c r="E152" s="504" t="s">
        <v>375</v>
      </c>
      <c r="F152" s="461" t="s">
        <v>376</v>
      </c>
      <c r="G152" s="461" t="str">
        <f t="shared" si="4"/>
        <v>Calzada de Tlalpan 4085 Bosques de Tetlameya Coyoacán D.F. C.P. 04730CDMXTLALPAN04730</v>
      </c>
      <c r="H152" s="480">
        <v>0</v>
      </c>
      <c r="I152" s="480">
        <v>2210134.96</v>
      </c>
      <c r="J152" s="502">
        <v>1848476.5120000001</v>
      </c>
      <c r="K152" s="480">
        <v>871806.67735590006</v>
      </c>
      <c r="L152" s="463"/>
    </row>
    <row r="153" spans="1:12" ht="23.25" customHeight="1" thickBot="1" x14ac:dyDescent="0.3">
      <c r="A153" s="503">
        <f t="shared" si="5"/>
        <v>152</v>
      </c>
      <c r="B153" s="461" t="s">
        <v>112</v>
      </c>
      <c r="C153" s="461" t="s">
        <v>259</v>
      </c>
      <c r="D153" s="462" t="s">
        <v>259</v>
      </c>
      <c r="E153" s="504" t="s">
        <v>377</v>
      </c>
      <c r="F153" s="489">
        <v>72534</v>
      </c>
      <c r="G153" s="461" t="str">
        <f t="shared" si="4"/>
        <v>Boulevard Heroes del 5 de mayo 3126 Zona Dorada huexotitla Puebla Puebla C.P. 72420PUEBLAPUEBLA72534</v>
      </c>
      <c r="H153" s="480">
        <v>0</v>
      </c>
      <c r="I153" s="480">
        <v>2762668.7</v>
      </c>
      <c r="J153" s="502">
        <v>2310595.64</v>
      </c>
      <c r="K153" s="480">
        <v>1108619.5488492094</v>
      </c>
      <c r="L153" s="463"/>
    </row>
    <row r="154" spans="1:12" ht="23.25" customHeight="1" thickBot="1" x14ac:dyDescent="0.3">
      <c r="A154" s="503">
        <f t="shared" si="5"/>
        <v>153</v>
      </c>
      <c r="B154" s="461" t="s">
        <v>112</v>
      </c>
      <c r="C154" s="461" t="s">
        <v>180</v>
      </c>
      <c r="D154" s="462" t="s">
        <v>185</v>
      </c>
      <c r="E154" s="504" t="s">
        <v>378</v>
      </c>
      <c r="F154" s="461">
        <v>56538</v>
      </c>
      <c r="G154" s="461" t="str">
        <f t="shared" si="4"/>
        <v>Carretera federal Mexico-Cuautla , Plaza comercial el cortijo Km 37 Mz 1 Colonia Santa Barbara Ixtapaluca Estado de Mexico C.P. 56538ESTADO DE MEXICOIXTAPALUCA56538</v>
      </c>
      <c r="H154" s="480">
        <v>0</v>
      </c>
      <c r="I154" s="480">
        <v>3315202.4400000004</v>
      </c>
      <c r="J154" s="502">
        <v>2772714.7680000002</v>
      </c>
      <c r="K154" s="480">
        <v>1282561.7464947377</v>
      </c>
      <c r="L154" s="463"/>
    </row>
    <row r="155" spans="1:12" ht="23.25" customHeight="1" thickBot="1" x14ac:dyDescent="0.3">
      <c r="A155" s="503">
        <f t="shared" si="5"/>
        <v>154</v>
      </c>
      <c r="B155" s="461" t="s">
        <v>112</v>
      </c>
      <c r="C155" s="461" t="s">
        <v>180</v>
      </c>
      <c r="D155" s="462" t="s">
        <v>371</v>
      </c>
      <c r="E155" s="504" t="s">
        <v>379</v>
      </c>
      <c r="F155" s="489">
        <v>56255</v>
      </c>
      <c r="G155" s="461" t="str">
        <f t="shared" si="4"/>
        <v>Carretera federal México-Texcoco Km 30.5 Colonia Santiago Cuautlalpan Plaza comercial Puerta Texcoco , Texcoco Estado de México C.P. 56370ESTADO DE MEXICOTEXCOCO56255</v>
      </c>
      <c r="H155" s="480">
        <v>0</v>
      </c>
      <c r="I155" s="480">
        <v>3038935.5700000003</v>
      </c>
      <c r="J155" s="502">
        <v>2541655.2040000004</v>
      </c>
      <c r="K155" s="480">
        <v>1114208.0531912344</v>
      </c>
      <c r="L155" s="463"/>
    </row>
    <row r="156" spans="1:12" ht="23.25" customHeight="1" thickBot="1" x14ac:dyDescent="0.3">
      <c r="A156" s="503">
        <f t="shared" si="5"/>
        <v>155</v>
      </c>
      <c r="B156" s="461" t="s">
        <v>112</v>
      </c>
      <c r="C156" s="461" t="s">
        <v>208</v>
      </c>
      <c r="D156" s="462" t="s">
        <v>207</v>
      </c>
      <c r="E156" s="504" t="s">
        <v>380</v>
      </c>
      <c r="F156" s="461">
        <v>42064</v>
      </c>
      <c r="G156" s="461" t="str">
        <f t="shared" si="4"/>
        <v>Blvd. Luis Donaldo Colosio Local J02 Mz 1 Fracc 1 No 2009 Ex Hacienda de Coscotitlan Plaza Comercial Pachuca de Soto Hidalgo C.P. 42064PACHUCAHIDALGO42064</v>
      </c>
      <c r="H156" s="480">
        <v>0</v>
      </c>
      <c r="I156" s="480">
        <v>2762668.7</v>
      </c>
      <c r="J156" s="502">
        <v>2310595.64</v>
      </c>
      <c r="K156" s="480">
        <v>1026887.6728470938</v>
      </c>
      <c r="L156" s="463"/>
    </row>
    <row r="157" spans="1:12" ht="23.25" customHeight="1" thickBot="1" x14ac:dyDescent="0.3">
      <c r="A157" s="503">
        <f t="shared" si="5"/>
        <v>156</v>
      </c>
      <c r="B157" s="461" t="s">
        <v>112</v>
      </c>
      <c r="C157" s="461" t="s">
        <v>180</v>
      </c>
      <c r="D157" s="462" t="s">
        <v>381</v>
      </c>
      <c r="E157" s="504" t="s">
        <v>382</v>
      </c>
      <c r="F157" s="489">
        <v>54857</v>
      </c>
      <c r="G157" s="461" t="str">
        <f t="shared" si="4"/>
        <v>Carretera Cuautitlan Melchor Ocampo 29 esq libramiento la Joya colonia VILLAS DE CUAUTITLAN Cuautitlan Estado de México C.P. 54800ESTADO DE MEXICOCUAUTITLAN54857</v>
      </c>
      <c r="H157" s="480">
        <v>0</v>
      </c>
      <c r="I157" s="480">
        <v>2762668.7</v>
      </c>
      <c r="J157" s="502">
        <v>2310595.64</v>
      </c>
      <c r="K157" s="480">
        <v>1106523.85972095</v>
      </c>
      <c r="L157" s="463"/>
    </row>
    <row r="158" spans="1:12" ht="23.25" customHeight="1" thickBot="1" x14ac:dyDescent="0.3">
      <c r="A158" s="503">
        <f t="shared" si="5"/>
        <v>157</v>
      </c>
      <c r="B158" s="461" t="s">
        <v>128</v>
      </c>
      <c r="C158" s="461" t="s">
        <v>129</v>
      </c>
      <c r="D158" s="462" t="s">
        <v>129</v>
      </c>
      <c r="E158" s="504" t="s">
        <v>383</v>
      </c>
      <c r="F158" s="489">
        <v>31125</v>
      </c>
      <c r="G158" s="461" t="str">
        <f t="shared" si="4"/>
        <v>Av. De la Juventud esquina con Av. Tecnologico Fraccionamiento paseos de Chihuahua , Chihuahua Ch.CHIHUAHUACHIHUAHUA31125</v>
      </c>
      <c r="H158" s="480">
        <v>0</v>
      </c>
      <c r="I158" s="480">
        <v>1381334.35</v>
      </c>
      <c r="J158" s="502">
        <v>1155297.82</v>
      </c>
      <c r="K158" s="480">
        <v>497376.88644022506</v>
      </c>
      <c r="L158" s="463"/>
    </row>
    <row r="159" spans="1:12" ht="23.25" customHeight="1" thickBot="1" x14ac:dyDescent="0.3">
      <c r="A159" s="503">
        <f t="shared" si="5"/>
        <v>158</v>
      </c>
      <c r="B159" s="461" t="s">
        <v>128</v>
      </c>
      <c r="C159" s="461" t="s">
        <v>201</v>
      </c>
      <c r="D159" s="462" t="s">
        <v>384</v>
      </c>
      <c r="E159" s="504" t="s">
        <v>385</v>
      </c>
      <c r="F159" s="461">
        <v>36590</v>
      </c>
      <c r="G159" s="461" t="str">
        <f t="shared" si="4"/>
        <v>Av. Enrique Colunga 1184 Colonia 18 de Agosto C.P. 36590 , Irapuato GuanajuatoGUANAJUATOIRAPUATO36590</v>
      </c>
      <c r="H159" s="480">
        <v>0</v>
      </c>
      <c r="I159" s="480">
        <v>2210134.96</v>
      </c>
      <c r="J159" s="502">
        <v>1848476.5120000001</v>
      </c>
      <c r="K159" s="480">
        <v>769117.91007119068</v>
      </c>
      <c r="L159" s="463"/>
    </row>
    <row r="160" spans="1:12" ht="23.25" customHeight="1" thickBot="1" x14ac:dyDescent="0.3">
      <c r="A160" s="503">
        <f t="shared" si="5"/>
        <v>159</v>
      </c>
      <c r="B160" s="461" t="s">
        <v>128</v>
      </c>
      <c r="C160" s="461" t="s">
        <v>176</v>
      </c>
      <c r="D160" s="462" t="s">
        <v>178</v>
      </c>
      <c r="E160" s="504" t="s">
        <v>386</v>
      </c>
      <c r="F160" s="461">
        <v>35018</v>
      </c>
      <c r="G160" s="461" t="str">
        <f t="shared" si="4"/>
        <v>Av. Periferico esquina con Av Francisco y Madero del fraccionamiento Rinconada Hamburgo Gomez Palacio DurangoDURANGOGOMEZ PALACIO35018</v>
      </c>
      <c r="H160" s="480">
        <v>0</v>
      </c>
      <c r="I160" s="480">
        <v>1381334.35</v>
      </c>
      <c r="J160" s="502">
        <v>1155297.82</v>
      </c>
      <c r="K160" s="480">
        <v>769117.91007119068</v>
      </c>
      <c r="L160" s="463"/>
    </row>
    <row r="161" spans="1:12" ht="23.25" customHeight="1" thickBot="1" x14ac:dyDescent="0.3">
      <c r="A161" s="503">
        <f t="shared" si="5"/>
        <v>160</v>
      </c>
      <c r="B161" s="461" t="s">
        <v>128</v>
      </c>
      <c r="C161" s="461" t="s">
        <v>265</v>
      </c>
      <c r="D161" s="462" t="s">
        <v>387</v>
      </c>
      <c r="E161" s="504" t="s">
        <v>388</v>
      </c>
      <c r="F161" s="461">
        <v>77026</v>
      </c>
      <c r="G161" s="461" t="str">
        <f t="shared" si="4"/>
        <v>Av. Erick Paolo Martínez No. 120, Col. EL Sol, Chetumal, Quintana RooQUINTANA ROOCHETUMAL77026</v>
      </c>
      <c r="H161" s="480">
        <v>0</v>
      </c>
      <c r="I161" s="480">
        <v>2210134.96</v>
      </c>
      <c r="J161" s="502">
        <v>1848476.5120000001</v>
      </c>
      <c r="K161" s="480">
        <v>510649.58425253443</v>
      </c>
      <c r="L161" s="463"/>
    </row>
    <row r="162" spans="1:12" ht="23.25" customHeight="1" thickBot="1" x14ac:dyDescent="0.3">
      <c r="A162" s="503">
        <f t="shared" si="5"/>
        <v>161</v>
      </c>
      <c r="B162" s="461" t="s">
        <v>119</v>
      </c>
      <c r="C162" s="461" t="s">
        <v>147</v>
      </c>
      <c r="D162" s="462" t="s">
        <v>389</v>
      </c>
      <c r="E162" s="504" t="s">
        <v>390</v>
      </c>
      <c r="F162" s="489">
        <v>2100</v>
      </c>
      <c r="G162" s="461" t="str">
        <f t="shared" si="4"/>
        <v>Av. El Rosario 901 y avenida de las culturas colonia unidad habitacional El Rosario delegacion Azcapotzalco México D.F. C.P. 02100CDMXAZCAPOTZALCO2100</v>
      </c>
      <c r="H162" s="480">
        <v>0</v>
      </c>
      <c r="I162" s="480">
        <v>2762668.7</v>
      </c>
      <c r="J162" s="502">
        <v>2310595.64</v>
      </c>
      <c r="K162" s="480">
        <v>1047844.5641296876</v>
      </c>
      <c r="L162" s="463"/>
    </row>
    <row r="163" spans="1:12" ht="23.25" customHeight="1" thickBot="1" x14ac:dyDescent="0.3">
      <c r="A163" s="503">
        <f t="shared" si="5"/>
        <v>162</v>
      </c>
      <c r="B163" s="461" t="s">
        <v>119</v>
      </c>
      <c r="C163" s="461" t="s">
        <v>180</v>
      </c>
      <c r="D163" s="462" t="s">
        <v>354</v>
      </c>
      <c r="E163" s="504" t="s">
        <v>391</v>
      </c>
      <c r="F163" s="489">
        <v>55459</v>
      </c>
      <c r="G163" s="461" t="str">
        <f t="shared" si="4"/>
        <v>1° de Mayo esquina con avenida central las Américas SANTA CLARA , Seccion II Ecatepec , Estado de MéxicoESTADO DE MEXICOECATEPEC55459</v>
      </c>
      <c r="H163" s="480">
        <v>0</v>
      </c>
      <c r="I163" s="480">
        <v>3315202.4400000004</v>
      </c>
      <c r="J163" s="502">
        <v>2772714.7680000002</v>
      </c>
      <c r="K163" s="480">
        <v>707644.3623089157</v>
      </c>
      <c r="L163" s="463"/>
    </row>
    <row r="164" spans="1:12" ht="23.25" customHeight="1" thickBot="1" x14ac:dyDescent="0.3">
      <c r="A164" s="503">
        <f t="shared" si="5"/>
        <v>163</v>
      </c>
      <c r="B164" s="461" t="s">
        <v>119</v>
      </c>
      <c r="C164" s="461" t="s">
        <v>180</v>
      </c>
      <c r="D164" s="462" t="s">
        <v>392</v>
      </c>
      <c r="E164" s="504" t="s">
        <v>393</v>
      </c>
      <c r="F164" s="461">
        <v>54910</v>
      </c>
      <c r="G164" s="461" t="str">
        <f t="shared" si="4"/>
        <v>Av. Mexiquense S/N Lote 4 Colonia Ex Hacienda Los Portales , Tultitlan Estado de México C.P. 54910ESTADO DE MEXICOTULTITLAN54910</v>
      </c>
      <c r="H164" s="480">
        <v>0</v>
      </c>
      <c r="I164" s="480">
        <v>1381334.35</v>
      </c>
      <c r="J164" s="502">
        <v>1155297.82</v>
      </c>
      <c r="K164" s="480">
        <v>303874.92359760939</v>
      </c>
      <c r="L164" s="463"/>
    </row>
    <row r="165" spans="1:12" ht="23.25" customHeight="1" thickBot="1" x14ac:dyDescent="0.3">
      <c r="A165" s="503">
        <f t="shared" si="5"/>
        <v>164</v>
      </c>
      <c r="B165" s="461" t="s">
        <v>119</v>
      </c>
      <c r="C165" s="461" t="s">
        <v>263</v>
      </c>
      <c r="D165" s="462" t="s">
        <v>394</v>
      </c>
      <c r="E165" s="504" t="s">
        <v>395</v>
      </c>
      <c r="F165" s="461">
        <v>76800</v>
      </c>
      <c r="G165" s="461" t="str">
        <f t="shared" si="4"/>
        <v>Av. Carretera Panamericana poniente 202 Col. Centro, Centro Comercial Plaza Galerias , San Juan del Río QuerétaroQUERETAROSAN JUAN DEL RIO76800</v>
      </c>
      <c r="H165" s="480">
        <v>0</v>
      </c>
      <c r="I165" s="480">
        <v>3315202.4400000004</v>
      </c>
      <c r="J165" s="502">
        <v>2772714.7680000002</v>
      </c>
      <c r="K165" s="480">
        <v>1346130.9833852719</v>
      </c>
      <c r="L165" s="463"/>
    </row>
    <row r="166" spans="1:12" ht="23.25" customHeight="1" thickBot="1" x14ac:dyDescent="0.3">
      <c r="A166" s="503">
        <f t="shared" si="5"/>
        <v>165</v>
      </c>
      <c r="B166" s="461" t="s">
        <v>112</v>
      </c>
      <c r="C166" s="461" t="s">
        <v>180</v>
      </c>
      <c r="D166" s="462" t="s">
        <v>367</v>
      </c>
      <c r="E166" s="504" t="s">
        <v>396</v>
      </c>
      <c r="F166" s="461">
        <v>56600</v>
      </c>
      <c r="G166" s="461" t="str">
        <f t="shared" si="4"/>
        <v>Montiel Rojas No.3, Barrio La Cochita, C.P. 56600 Chalco, Estado de México.ESTADO DE MEXICOCHALCO56600</v>
      </c>
      <c r="H166" s="480">
        <v>0</v>
      </c>
      <c r="I166" s="480">
        <v>2210134.96</v>
      </c>
      <c r="J166" s="502">
        <v>1848476.5120000001</v>
      </c>
      <c r="K166" s="480">
        <v>690180.28624008759</v>
      </c>
      <c r="L166" s="463"/>
    </row>
    <row r="167" spans="1:12" ht="23.25" customHeight="1" thickBot="1" x14ac:dyDescent="0.3">
      <c r="A167" s="503">
        <f t="shared" si="5"/>
        <v>166</v>
      </c>
      <c r="B167" s="461" t="s">
        <v>112</v>
      </c>
      <c r="C167" s="461" t="s">
        <v>338</v>
      </c>
      <c r="D167" s="462" t="s">
        <v>397</v>
      </c>
      <c r="E167" s="504" t="s">
        <v>398</v>
      </c>
      <c r="F167" s="461">
        <v>59684</v>
      </c>
      <c r="G167" s="461" t="str">
        <f t="shared" si="4"/>
        <v>Av. Francisco I Madero esquina Río Bravo No 2001 C.P. 59684 Colonia Río Nuevo Zamora MichoacánMICHOACANZAMORA59684</v>
      </c>
      <c r="H167" s="480">
        <v>0</v>
      </c>
      <c r="I167" s="480">
        <v>1933868.0900000003</v>
      </c>
      <c r="J167" s="502">
        <v>1617416.9480000001</v>
      </c>
      <c r="K167" s="480">
        <v>707644.3623089157</v>
      </c>
      <c r="L167" s="463"/>
    </row>
    <row r="168" spans="1:12" ht="23.25" customHeight="1" thickBot="1" x14ac:dyDescent="0.3">
      <c r="A168" s="503">
        <f t="shared" si="5"/>
        <v>167</v>
      </c>
      <c r="B168" s="461" t="s">
        <v>158</v>
      </c>
      <c r="C168" s="461" t="s">
        <v>269</v>
      </c>
      <c r="D168" s="462" t="s">
        <v>269</v>
      </c>
      <c r="E168" s="504" t="s">
        <v>399</v>
      </c>
      <c r="F168" s="489">
        <v>78294</v>
      </c>
      <c r="G168" s="461" t="str">
        <f t="shared" si="4"/>
        <v>Av. Doctor Salvador Nava Martinez No. 3125 Col. Fraccionamiento Colinas del Parque S.L.P.SAN LUIS POTOSISAN LUIS POTOSI78294</v>
      </c>
      <c r="H168" s="480">
        <v>0</v>
      </c>
      <c r="I168" s="480">
        <v>3190797.9400000004</v>
      </c>
      <c r="J168" s="502">
        <v>2668667.3679999998</v>
      </c>
      <c r="K168" s="480">
        <v>978686.82289712818</v>
      </c>
      <c r="L168" s="463"/>
    </row>
    <row r="169" spans="1:12" ht="23.25" customHeight="1" thickBot="1" x14ac:dyDescent="0.3">
      <c r="A169" s="503">
        <f t="shared" si="5"/>
        <v>168</v>
      </c>
      <c r="B169" s="461" t="s">
        <v>119</v>
      </c>
      <c r="C169" s="461" t="s">
        <v>147</v>
      </c>
      <c r="D169" s="462" t="s">
        <v>154</v>
      </c>
      <c r="E169" s="504" t="s">
        <v>400</v>
      </c>
      <c r="F169" s="464" t="s">
        <v>401</v>
      </c>
      <c r="G169" s="461" t="str">
        <f t="shared" si="4"/>
        <v>Félix Cuevas No 374 Colonia del Valle delegación Benito Juárez C.P. 03100 México D.F.CDMXBENITO JUAREZ03100</v>
      </c>
      <c r="H169" s="480">
        <v>0</v>
      </c>
      <c r="I169" s="480">
        <v>2199627.2374999998</v>
      </c>
      <c r="J169" s="502">
        <v>1839688.2350000001</v>
      </c>
      <c r="K169" s="480">
        <v>247989.88017735939</v>
      </c>
      <c r="L169" s="463"/>
    </row>
    <row r="170" spans="1:12" ht="23.25" customHeight="1" thickBot="1" x14ac:dyDescent="0.3">
      <c r="A170" s="503">
        <f t="shared" si="5"/>
        <v>169</v>
      </c>
      <c r="B170" s="461" t="s">
        <v>128</v>
      </c>
      <c r="C170" s="461" t="s">
        <v>180</v>
      </c>
      <c r="D170" s="462" t="s">
        <v>197</v>
      </c>
      <c r="E170" s="504" t="s">
        <v>402</v>
      </c>
      <c r="F170" s="489">
        <v>82120</v>
      </c>
      <c r="G170" s="461" t="str">
        <f t="shared" si="4"/>
        <v>Av. De la marina y avenida delfin dentro del desarrollo residencial turistico Marina Mazatlan C.P. 82103 SANCHEZ CELISESTADO DE MEXICOTOLUCA82120</v>
      </c>
      <c r="H170" s="480">
        <v>0</v>
      </c>
      <c r="I170" s="480">
        <v>3743331.6800000006</v>
      </c>
      <c r="J170" s="502">
        <v>3130786.4960000003</v>
      </c>
      <c r="K170" s="480">
        <v>1086964.0945238625</v>
      </c>
      <c r="L170" s="463"/>
    </row>
    <row r="171" spans="1:12" ht="23.25" customHeight="1" thickBot="1" x14ac:dyDescent="0.3">
      <c r="A171" s="503">
        <f t="shared" si="5"/>
        <v>170</v>
      </c>
      <c r="B171" s="461" t="s">
        <v>119</v>
      </c>
      <c r="C171" s="461" t="s">
        <v>180</v>
      </c>
      <c r="D171" s="462" t="s">
        <v>403</v>
      </c>
      <c r="E171" s="504" t="s">
        <v>404</v>
      </c>
      <c r="F171" s="461">
        <v>52140</v>
      </c>
      <c r="G171" s="461" t="str">
        <f t="shared" si="4"/>
        <v>Hacienda la Quemada Num 500 Norte , Barrio de San Mateo Municipio de Metepec, Estado de México C.P. 52140ESTADO DE MEXICOMETEPEC52140</v>
      </c>
      <c r="H171" s="480">
        <v>0</v>
      </c>
      <c r="I171" s="480">
        <v>1381334.35</v>
      </c>
      <c r="J171" s="502">
        <v>1155297.82</v>
      </c>
      <c r="K171" s="480">
        <v>491788.38209819997</v>
      </c>
      <c r="L171" s="463"/>
    </row>
    <row r="172" spans="1:12" ht="23.25" customHeight="1" thickBot="1" x14ac:dyDescent="0.3">
      <c r="A172" s="503">
        <f t="shared" si="5"/>
        <v>171</v>
      </c>
      <c r="B172" s="461" t="s">
        <v>112</v>
      </c>
      <c r="C172" s="461" t="s">
        <v>307</v>
      </c>
      <c r="D172" s="462" t="s">
        <v>405</v>
      </c>
      <c r="E172" s="504" t="s">
        <v>406</v>
      </c>
      <c r="F172" s="461">
        <v>94690</v>
      </c>
      <c r="G172" s="461" t="str">
        <f t="shared" si="4"/>
        <v>Av.1 número 3511 Col. Zona Industrial Córdoba Veracruz C.P. 94690VERACRUZCORDOBA94690</v>
      </c>
      <c r="H172" s="480">
        <v>0</v>
      </c>
      <c r="I172" s="480">
        <v>1933868.0900000003</v>
      </c>
      <c r="J172" s="502">
        <v>1617416.9480000001</v>
      </c>
      <c r="K172" s="480">
        <v>648266.50367490004</v>
      </c>
      <c r="L172" s="463"/>
    </row>
    <row r="173" spans="1:12" ht="23.25" customHeight="1" thickBot="1" x14ac:dyDescent="0.3">
      <c r="A173" s="503">
        <f t="shared" si="5"/>
        <v>172</v>
      </c>
      <c r="B173" s="461" t="s">
        <v>119</v>
      </c>
      <c r="C173" s="461" t="s">
        <v>307</v>
      </c>
      <c r="D173" s="462" t="s">
        <v>407</v>
      </c>
      <c r="E173" s="504" t="s">
        <v>408</v>
      </c>
      <c r="F173" s="489">
        <v>91726</v>
      </c>
      <c r="G173" s="461" t="str">
        <f t="shared" si="4"/>
        <v>Km. 435.3 Carretera Mexico Jalapa Veracruz s/n Col. NUEVO VERACRUZ Plaza Nuevo VeracruzVERACRUZJALAPA91726</v>
      </c>
      <c r="H173" s="480">
        <v>0</v>
      </c>
      <c r="I173" s="480">
        <v>3467064.81</v>
      </c>
      <c r="J173" s="502">
        <v>2899726.932</v>
      </c>
      <c r="K173" s="480">
        <v>968906.94029858452</v>
      </c>
      <c r="L173" s="463"/>
    </row>
    <row r="174" spans="1:12" ht="23.25" customHeight="1" thickBot="1" x14ac:dyDescent="0.3">
      <c r="A174" s="503">
        <f t="shared" si="5"/>
        <v>173</v>
      </c>
      <c r="B174" s="461" t="s">
        <v>128</v>
      </c>
      <c r="C174" s="461" t="s">
        <v>256</v>
      </c>
      <c r="D174" s="462" t="s">
        <v>409</v>
      </c>
      <c r="E174" s="504" t="s">
        <v>410</v>
      </c>
      <c r="F174" s="461">
        <v>70613</v>
      </c>
      <c r="G174" s="461" t="str">
        <f t="shared" si="4"/>
        <v>Super Carretera Transistmica numero 10 Colonia Granadillo Salina Cruz Oaxaca , Pabellon Salina CruzOAXACASALINA CRUZ70613</v>
      </c>
      <c r="H174" s="480">
        <v>0</v>
      </c>
      <c r="I174" s="480">
        <v>2762668.7</v>
      </c>
      <c r="J174" s="502">
        <v>2310595.64</v>
      </c>
      <c r="K174" s="480">
        <v>1072992.8336688001</v>
      </c>
      <c r="L174" s="463"/>
    </row>
    <row r="175" spans="1:12" ht="23.25" customHeight="1" thickBot="1" x14ac:dyDescent="0.3">
      <c r="A175" s="503">
        <f t="shared" si="5"/>
        <v>174</v>
      </c>
      <c r="B175" s="461" t="s">
        <v>128</v>
      </c>
      <c r="C175" s="461" t="s">
        <v>203</v>
      </c>
      <c r="D175" s="462" t="s">
        <v>201</v>
      </c>
      <c r="E175" s="504" t="s">
        <v>411</v>
      </c>
      <c r="F175" s="500">
        <v>37150</v>
      </c>
      <c r="G175" s="461" t="str">
        <f t="shared" si="4"/>
        <v>Blvd. Juan Alonso de Torres 2002 Colonia Valle del Campestre Leon Guanajuato , C.P. 37150 Plaza MayorLEONGUANAJUATO37150</v>
      </c>
      <c r="H175" s="480">
        <v>0</v>
      </c>
      <c r="I175" s="480">
        <v>4572132.290000001</v>
      </c>
      <c r="J175" s="502">
        <v>3823965.1880000001</v>
      </c>
      <c r="K175" s="480">
        <v>1390140.4550787187</v>
      </c>
      <c r="L175" s="463"/>
    </row>
    <row r="176" spans="1:12" ht="23.25" customHeight="1" thickBot="1" x14ac:dyDescent="0.3">
      <c r="A176" s="503">
        <f t="shared" si="5"/>
        <v>175</v>
      </c>
      <c r="B176" s="461" t="s">
        <v>351</v>
      </c>
      <c r="C176" s="461" t="s">
        <v>316</v>
      </c>
      <c r="D176" s="462" t="s">
        <v>317</v>
      </c>
      <c r="E176" s="504" t="s">
        <v>412</v>
      </c>
      <c r="F176" s="489">
        <v>97238</v>
      </c>
      <c r="G176" s="461" t="str">
        <f t="shared" si="4"/>
        <v>AV. JACINTO CANEK Y CALLE 128 NO 277 COL YUCALTEPEC MERIDA YUCATÁNYUCATANMERIDA97238</v>
      </c>
      <c r="H176" s="480">
        <v>0</v>
      </c>
      <c r="I176" s="480">
        <v>3315202.4400000004</v>
      </c>
      <c r="J176" s="502">
        <v>2772714.7680000002</v>
      </c>
      <c r="K176" s="480">
        <v>1269987.6117251813</v>
      </c>
      <c r="L176" s="463"/>
    </row>
    <row r="177" spans="1:12" ht="23.25" customHeight="1" thickBot="1" x14ac:dyDescent="0.3">
      <c r="A177" s="503">
        <f t="shared" si="5"/>
        <v>176</v>
      </c>
      <c r="B177" s="461" t="s">
        <v>128</v>
      </c>
      <c r="C177" s="461" t="s">
        <v>338</v>
      </c>
      <c r="D177" s="462" t="s">
        <v>413</v>
      </c>
      <c r="E177" s="504" t="s">
        <v>414</v>
      </c>
      <c r="F177" s="489">
        <v>60950</v>
      </c>
      <c r="G177" s="461" t="str">
        <f t="shared" si="4"/>
        <v>AV. TULIPANES #548 COLONIA UNIDAD 7.4 Siderúrgica Lázaro Cárdenas Las Truchas MICHOACÁNMICHOACANLÁZARO CÁRDENAS60950</v>
      </c>
      <c r="H177" s="480">
        <v>0</v>
      </c>
      <c r="I177" s="480">
        <v>1657601.2200000002</v>
      </c>
      <c r="J177" s="502">
        <v>1386357.3840000001</v>
      </c>
      <c r="K177" s="480">
        <v>728601.25359150942</v>
      </c>
      <c r="L177" s="463"/>
    </row>
    <row r="178" spans="1:12" ht="23.25" customHeight="1" thickBot="1" x14ac:dyDescent="0.3">
      <c r="A178" s="503">
        <f t="shared" si="5"/>
        <v>177</v>
      </c>
      <c r="B178" s="461" t="s">
        <v>128</v>
      </c>
      <c r="C178" s="461" t="s">
        <v>338</v>
      </c>
      <c r="D178" s="462" t="s">
        <v>339</v>
      </c>
      <c r="E178" s="504" t="s">
        <v>415</v>
      </c>
      <c r="F178" s="461">
        <v>58115</v>
      </c>
      <c r="G178" s="461" t="str">
        <f t="shared" si="4"/>
        <v>Paseo de la República No. 3380 El Lago IMICHOACANMORELIA58115</v>
      </c>
      <c r="H178" s="480">
        <v>0</v>
      </c>
      <c r="I178" s="480">
        <v>2762668.7</v>
      </c>
      <c r="J178" s="502">
        <v>2310595.64</v>
      </c>
      <c r="K178" s="480">
        <v>1098839.6662506657</v>
      </c>
      <c r="L178" s="463"/>
    </row>
    <row r="179" spans="1:12" ht="23.25" customHeight="1" thickBot="1" x14ac:dyDescent="0.3">
      <c r="A179" s="503">
        <f t="shared" si="5"/>
        <v>178</v>
      </c>
      <c r="B179" s="461" t="s">
        <v>158</v>
      </c>
      <c r="C179" s="461" t="s">
        <v>416</v>
      </c>
      <c r="D179" s="462" t="s">
        <v>416</v>
      </c>
      <c r="E179" s="504" t="s">
        <v>417</v>
      </c>
      <c r="F179" s="489">
        <v>31216</v>
      </c>
      <c r="G179" s="461" t="str">
        <f t="shared" si="4"/>
        <v>Hacienda Esperanza y Periférico Juventud 7301  Chihuahua Chihuahua RINCON DE LAS LOMAS IChihuahuaChihuahua31216</v>
      </c>
      <c r="H179" s="480">
        <v>0</v>
      </c>
      <c r="I179" s="480">
        <v>3467064.81</v>
      </c>
      <c r="J179" s="502">
        <v>2899726.932</v>
      </c>
      <c r="K179" s="480">
        <v>1740819.1025407878</v>
      </c>
      <c r="L179" s="463"/>
    </row>
    <row r="180" spans="1:12" ht="23.25" customHeight="1" thickBot="1" x14ac:dyDescent="0.3">
      <c r="A180" s="503">
        <f t="shared" si="5"/>
        <v>179</v>
      </c>
      <c r="B180" s="461" t="s">
        <v>158</v>
      </c>
      <c r="C180" s="461" t="s">
        <v>418</v>
      </c>
      <c r="D180" s="462" t="s">
        <v>419</v>
      </c>
      <c r="E180" s="504" t="s">
        <v>420</v>
      </c>
      <c r="F180" s="461">
        <v>83200</v>
      </c>
      <c r="G180" s="461" t="str">
        <f t="shared" si="4"/>
        <v>Blvd. Colosio esquina periferico poniente s/n Col. Villa Satelite Hermosillo SonoraSonoraHermosillo83200</v>
      </c>
      <c r="H180" s="480">
        <v>0</v>
      </c>
      <c r="I180" s="480">
        <v>2838599.8850000002</v>
      </c>
      <c r="J180" s="502">
        <v>2374101.7220000001</v>
      </c>
      <c r="K180" s="480">
        <v>1425767.1702591281</v>
      </c>
      <c r="L180" s="463"/>
    </row>
    <row r="181" spans="1:12" ht="23.25" customHeight="1" thickBot="1" x14ac:dyDescent="0.3">
      <c r="A181" s="503">
        <f t="shared" si="5"/>
        <v>180</v>
      </c>
      <c r="B181" s="461" t="s">
        <v>158</v>
      </c>
      <c r="C181" s="461" t="s">
        <v>147</v>
      </c>
      <c r="D181" s="462" t="s">
        <v>421</v>
      </c>
      <c r="E181" s="504" t="s">
        <v>422</v>
      </c>
      <c r="F181" s="461">
        <v>14320</v>
      </c>
      <c r="G181" s="461" t="str">
        <f t="shared" si="4"/>
        <v>Av. Canal de Miramontes No 3163 Col. Vergel Coapa Del. Tlalpan Mexico Distrito FederalCDMXTlalpan14320</v>
      </c>
      <c r="H181" s="480">
        <v>0</v>
      </c>
      <c r="I181" s="480">
        <v>3038935.5700000003</v>
      </c>
      <c r="J181" s="502">
        <v>2541655.2040000004</v>
      </c>
      <c r="K181" s="480">
        <v>2180215.256432503</v>
      </c>
      <c r="L181" s="463"/>
    </row>
    <row r="182" spans="1:12" ht="23.25" customHeight="1" thickBot="1" x14ac:dyDescent="0.3">
      <c r="A182" s="503">
        <f t="shared" si="5"/>
        <v>181</v>
      </c>
      <c r="B182" s="461" t="s">
        <v>320</v>
      </c>
      <c r="C182" s="461" t="s">
        <v>147</v>
      </c>
      <c r="D182" s="462" t="s">
        <v>421</v>
      </c>
      <c r="E182" s="504" t="s">
        <v>423</v>
      </c>
      <c r="F182" s="461" t="s">
        <v>424</v>
      </c>
      <c r="G182" s="461" t="str">
        <f t="shared" si="4"/>
        <v>Colonia Contry Club lateral de Rio Churubusco Esq. Canal de Miramontes. CAMPESTRE CHURUBUSCOCDMXTlalpan04200</v>
      </c>
      <c r="H182" s="480">
        <v>0</v>
      </c>
      <c r="I182" s="480">
        <v>3315202.4400000004</v>
      </c>
      <c r="J182" s="502">
        <v>2772714.7680000002</v>
      </c>
      <c r="K182" s="480">
        <v>1625556.2004865219</v>
      </c>
      <c r="L182" s="463"/>
    </row>
    <row r="183" spans="1:12" ht="23.25" customHeight="1" thickBot="1" x14ac:dyDescent="0.3">
      <c r="A183" s="503">
        <f t="shared" si="5"/>
        <v>182</v>
      </c>
      <c r="B183" s="461" t="s">
        <v>158</v>
      </c>
      <c r="C183" s="461" t="s">
        <v>425</v>
      </c>
      <c r="D183" s="462" t="s">
        <v>426</v>
      </c>
      <c r="E183" s="504" t="s">
        <v>427</v>
      </c>
      <c r="F183" s="489">
        <v>36557</v>
      </c>
      <c r="G183" s="461" t="str">
        <f t="shared" si="4"/>
        <v>Avenida Arboledas No. 1200, Colonia San Miguelito, 36557 Irapuato, GuanajuatoIrapuatoGuanajuato36557</v>
      </c>
      <c r="H183" s="480">
        <v>0</v>
      </c>
      <c r="I183" s="480">
        <v>2762668.7</v>
      </c>
      <c r="J183" s="502">
        <v>2310595.64</v>
      </c>
      <c r="K183" s="480">
        <v>1254619.2247846127</v>
      </c>
      <c r="L183" s="463"/>
    </row>
    <row r="184" spans="1:12" ht="23.25" customHeight="1" thickBot="1" x14ac:dyDescent="0.3">
      <c r="A184" s="503">
        <f t="shared" si="5"/>
        <v>183</v>
      </c>
      <c r="B184" s="461" t="s">
        <v>158</v>
      </c>
      <c r="C184" s="461" t="s">
        <v>416</v>
      </c>
      <c r="D184" s="462" t="s">
        <v>428</v>
      </c>
      <c r="E184" s="504" t="s">
        <v>429</v>
      </c>
      <c r="F184" s="489">
        <v>32536</v>
      </c>
      <c r="G184" s="461" t="str">
        <f t="shared" si="4"/>
        <v>Avenida Ejército Nacional No. 7695, Colonia El Marquis, 32530 Cd. Juárez, ChihuahuaChihuahuaCd. Juarez32536</v>
      </c>
      <c r="H184" s="480">
        <v>0</v>
      </c>
      <c r="I184" s="480">
        <v>2762668.7</v>
      </c>
      <c r="J184" s="502">
        <v>2310595.64</v>
      </c>
      <c r="K184" s="480">
        <v>1315394.2095041345</v>
      </c>
      <c r="L184" s="463"/>
    </row>
    <row r="185" spans="1:12" ht="23.25" customHeight="1" thickBot="1" x14ac:dyDescent="0.3">
      <c r="A185" s="503">
        <f t="shared" si="5"/>
        <v>184</v>
      </c>
      <c r="B185" s="461" t="s">
        <v>158</v>
      </c>
      <c r="C185" s="461" t="s">
        <v>430</v>
      </c>
      <c r="D185" s="462" t="s">
        <v>431</v>
      </c>
      <c r="E185" s="504" t="s">
        <v>432</v>
      </c>
      <c r="F185" s="461">
        <v>21150</v>
      </c>
      <c r="G185" s="461" t="str">
        <f t="shared" si="4"/>
        <v>Boulevard Adolfo López Mateos No. 856, Colonia Bellavista, 21150 Mexicali, Baja CaliforniaMexicaliBaja California21150</v>
      </c>
      <c r="H185" s="480">
        <v>0</v>
      </c>
      <c r="I185" s="480">
        <v>1933868.0900000003</v>
      </c>
      <c r="J185" s="502">
        <v>1617416.9480000001</v>
      </c>
      <c r="K185" s="480">
        <v>1161710.3400984469</v>
      </c>
      <c r="L185" s="463"/>
    </row>
    <row r="186" spans="1:12" ht="23.25" customHeight="1" thickBot="1" x14ac:dyDescent="0.3">
      <c r="A186" s="503">
        <f t="shared" si="5"/>
        <v>185</v>
      </c>
      <c r="B186" s="461" t="s">
        <v>158</v>
      </c>
      <c r="C186" s="461" t="s">
        <v>147</v>
      </c>
      <c r="D186" s="462" t="s">
        <v>433</v>
      </c>
      <c r="E186" s="504" t="s">
        <v>434</v>
      </c>
      <c r="F186" s="461">
        <v>11700</v>
      </c>
      <c r="G186" s="461" t="str">
        <f t="shared" si="4"/>
        <v>Bosques de Duraznos No.39 Col Bosques de Las LomasCDMXMiguel Hidalgo11700</v>
      </c>
      <c r="H186" s="480">
        <v>0</v>
      </c>
      <c r="I186" s="480">
        <v>3142324.6250000005</v>
      </c>
      <c r="J186" s="502">
        <v>2628126.0499999998</v>
      </c>
      <c r="K186" s="480">
        <v>1209212.6270056595</v>
      </c>
      <c r="L186" s="463"/>
    </row>
    <row r="187" spans="1:12" ht="23.25" customHeight="1" thickBot="1" x14ac:dyDescent="0.3">
      <c r="A187" s="503">
        <f t="shared" si="5"/>
        <v>186</v>
      </c>
      <c r="B187" s="461" t="s">
        <v>158</v>
      </c>
      <c r="C187" s="461" t="s">
        <v>435</v>
      </c>
      <c r="D187" s="462" t="s">
        <v>436</v>
      </c>
      <c r="E187" s="504" t="s">
        <v>437</v>
      </c>
      <c r="F187" s="461">
        <v>25280</v>
      </c>
      <c r="G187" s="461" t="str">
        <f t="shared" si="4"/>
        <v>Periférico Luis Echeverría No. 851, Sub-ancla 5, Colonia República Norte, 25280 Saltillo, CoahuilaCoahuilaSaltillo25280</v>
      </c>
      <c r="H187" s="480">
        <v>0</v>
      </c>
      <c r="I187" s="480">
        <v>1381334.35</v>
      </c>
      <c r="J187" s="502">
        <v>1155297.82</v>
      </c>
      <c r="K187" s="480">
        <v>1068102.8923695281</v>
      </c>
      <c r="L187" s="463"/>
    </row>
    <row r="188" spans="1:12" ht="23.25" customHeight="1" thickBot="1" x14ac:dyDescent="0.3">
      <c r="A188" s="503">
        <f t="shared" si="5"/>
        <v>187</v>
      </c>
      <c r="B188" s="461" t="s">
        <v>158</v>
      </c>
      <c r="C188" s="461" t="s">
        <v>431</v>
      </c>
      <c r="D188" s="462" t="s">
        <v>438</v>
      </c>
      <c r="E188" s="504" t="s">
        <v>439</v>
      </c>
      <c r="F188" s="461">
        <v>22226</v>
      </c>
      <c r="G188" s="461" t="str">
        <f t="shared" si="4"/>
        <v>Via Rápida Poniente No. 15035,Río Tijuana 3a etapa, 22610 Tijuana, Baja CaliforniaBaja CaliforniaTijuana22226</v>
      </c>
      <c r="H188" s="480">
        <v>0</v>
      </c>
      <c r="I188" s="480">
        <v>3315202.4400000004</v>
      </c>
      <c r="J188" s="502">
        <v>2772714.7680000002</v>
      </c>
      <c r="K188" s="480">
        <v>2127823.0282260189</v>
      </c>
      <c r="L188" s="463"/>
    </row>
    <row r="189" spans="1:12" ht="23.25" customHeight="1" thickBot="1" x14ac:dyDescent="0.3">
      <c r="A189" s="503">
        <f t="shared" si="5"/>
        <v>188</v>
      </c>
      <c r="B189" s="461" t="s">
        <v>158</v>
      </c>
      <c r="C189" s="461" t="s">
        <v>440</v>
      </c>
      <c r="D189" s="462" t="s">
        <v>441</v>
      </c>
      <c r="E189" s="504" t="s">
        <v>442</v>
      </c>
      <c r="F189" s="489">
        <v>29059</v>
      </c>
      <c r="G189" s="461" t="str">
        <f t="shared" si="4"/>
        <v>Boulevard Dr.Belisario Domínguez #1861 BELISARIO DOMINGUEZ, 29060 Tuxtla Gtz. ChiapasChiapasTuxtla Gutierrez29059</v>
      </c>
      <c r="H189" s="480">
        <v>0</v>
      </c>
      <c r="I189" s="480">
        <v>2210134.96</v>
      </c>
      <c r="J189" s="502">
        <v>1848476.5120000001</v>
      </c>
      <c r="K189" s="480">
        <v>1315394.2095041345</v>
      </c>
      <c r="L189" s="463"/>
    </row>
    <row r="190" spans="1:12" ht="23.25" customHeight="1" thickBot="1" x14ac:dyDescent="0.3">
      <c r="A190" s="503">
        <f t="shared" si="5"/>
        <v>189</v>
      </c>
      <c r="B190" s="461" t="s">
        <v>158</v>
      </c>
      <c r="C190" s="461" t="s">
        <v>147</v>
      </c>
      <c r="D190" s="462" t="s">
        <v>443</v>
      </c>
      <c r="E190" s="504" t="s">
        <v>444</v>
      </c>
      <c r="F190" s="461" t="s">
        <v>445</v>
      </c>
      <c r="G190" s="461" t="str">
        <f t="shared" si="4"/>
        <v>Paseo de la Reforma #222, Col. Juárez, 06600, México, Distrito FederalCDMXCuauhtemoc06600</v>
      </c>
      <c r="H190" s="480">
        <v>0</v>
      </c>
      <c r="I190" s="480">
        <v>3038935.5700000003</v>
      </c>
      <c r="J190" s="502">
        <v>2541655.2040000004</v>
      </c>
      <c r="K190" s="480">
        <v>1517278.9288597875</v>
      </c>
      <c r="L190" s="463"/>
    </row>
    <row r="191" spans="1:12" ht="23.25" customHeight="1" thickBot="1" x14ac:dyDescent="0.3">
      <c r="A191" s="503">
        <f t="shared" si="5"/>
        <v>190</v>
      </c>
      <c r="B191" s="461" t="s">
        <v>158</v>
      </c>
      <c r="C191" s="461" t="s">
        <v>446</v>
      </c>
      <c r="D191" s="462" t="s">
        <v>447</v>
      </c>
      <c r="E191" s="504" t="s">
        <v>448</v>
      </c>
      <c r="F191" s="489">
        <v>48333</v>
      </c>
      <c r="G191" s="461" t="str">
        <f t="shared" si="4"/>
        <v>Av. De los Tules #178 Interior plaza Caracol. Fracc. Las Glorias, 48310, Puerto Vallarta JaliscoJaliscoPuerto Vallarta48333</v>
      </c>
      <c r="H191" s="480">
        <v>0</v>
      </c>
      <c r="I191" s="480">
        <v>2210134.96</v>
      </c>
      <c r="J191" s="502">
        <v>1848476.5120000001</v>
      </c>
      <c r="K191" s="480">
        <v>1372676.3790098908</v>
      </c>
      <c r="L191" s="463"/>
    </row>
    <row r="192" spans="1:12" ht="23.25" customHeight="1" thickBot="1" x14ac:dyDescent="0.3">
      <c r="A192" s="503">
        <f t="shared" si="5"/>
        <v>191</v>
      </c>
      <c r="B192" s="461" t="s">
        <v>158</v>
      </c>
      <c r="C192" s="461" t="s">
        <v>449</v>
      </c>
      <c r="D192" s="462" t="s">
        <v>449</v>
      </c>
      <c r="E192" s="504" t="s">
        <v>450</v>
      </c>
      <c r="F192" s="461">
        <v>72400</v>
      </c>
      <c r="G192" s="461" t="str">
        <f t="shared" si="4"/>
        <v>39 Poniente No. 3515, 2o piso. Centro Comercial Triángulo Las Animas, Col. Las Animas C.P. 72400, Puebla,Puebla PueblaPuebla72400</v>
      </c>
      <c r="H192" s="480">
        <v>0</v>
      </c>
      <c r="I192" s="480">
        <v>2762668.7</v>
      </c>
      <c r="J192" s="502">
        <v>2310595.64</v>
      </c>
      <c r="K192" s="480">
        <v>1521470.3071163064</v>
      </c>
      <c r="L192" s="463"/>
    </row>
    <row r="193" spans="1:12" ht="23.25" customHeight="1" thickBot="1" x14ac:dyDescent="0.3">
      <c r="A193" s="503">
        <f t="shared" si="5"/>
        <v>192</v>
      </c>
      <c r="B193" s="461" t="s">
        <v>158</v>
      </c>
      <c r="C193" s="461" t="s">
        <v>147</v>
      </c>
      <c r="D193" s="462" t="s">
        <v>451</v>
      </c>
      <c r="E193" s="504" t="s">
        <v>452</v>
      </c>
      <c r="F193" s="461" t="s">
        <v>453</v>
      </c>
      <c r="G193" s="461" t="str">
        <f t="shared" si="4"/>
        <v>Av. Canal de Tezontle 1512, Col. Dr. Alfonso Ortíz Tirado. Del. Iztapalapa, 09020 México Distrito Federal.CDMXIztapalapa09020</v>
      </c>
      <c r="H193" s="480">
        <v>0</v>
      </c>
      <c r="I193" s="480">
        <v>2762668.7</v>
      </c>
      <c r="J193" s="502">
        <v>2310595.64</v>
      </c>
      <c r="K193" s="480">
        <v>1595517.9896481377</v>
      </c>
      <c r="L193" s="463"/>
    </row>
    <row r="194" spans="1:12" ht="23.25" customHeight="1" thickBot="1" x14ac:dyDescent="0.3">
      <c r="A194" s="503">
        <f t="shared" si="5"/>
        <v>193</v>
      </c>
      <c r="B194" s="461" t="s">
        <v>158</v>
      </c>
      <c r="C194" s="461" t="s">
        <v>431</v>
      </c>
      <c r="D194" s="462" t="s">
        <v>438</v>
      </c>
      <c r="E194" s="504" t="s">
        <v>454</v>
      </c>
      <c r="F194" s="489">
        <v>22010</v>
      </c>
      <c r="G194" s="461" t="str">
        <f t="shared" si="4"/>
        <v>Boulevard Sánchez Taboada No. 4555, Colonia Zona URBANA del Río, 22320 Tijuana, Baja CaliforniaBaja CaliforniaTijuana22010</v>
      </c>
      <c r="H194" s="480">
        <v>0</v>
      </c>
      <c r="I194" s="480">
        <v>2762668.7</v>
      </c>
      <c r="J194" s="502">
        <v>2310595.64</v>
      </c>
      <c r="K194" s="480">
        <v>1508896.17234675</v>
      </c>
      <c r="L194" s="463"/>
    </row>
    <row r="195" spans="1:12" ht="23.25" customHeight="1" thickBot="1" x14ac:dyDescent="0.3">
      <c r="A195" s="503">
        <f t="shared" si="5"/>
        <v>194</v>
      </c>
      <c r="B195" s="461" t="s">
        <v>158</v>
      </c>
      <c r="C195" s="461" t="s">
        <v>147</v>
      </c>
      <c r="D195" s="462" t="s">
        <v>451</v>
      </c>
      <c r="E195" s="504" t="s">
        <v>455</v>
      </c>
      <c r="F195" s="461" t="s">
        <v>453</v>
      </c>
      <c r="G195" s="461" t="str">
        <f t="shared" ref="G195:G258" si="6">CONCATENATE(E195,C195,D195,F195)</f>
        <v>Avenida Canal del Tezontle No. 1520, Colonia Dr. Alfonso Ortíz Tirado, 09020 México, Distrito FederalCDMXIztapalapa09020</v>
      </c>
      <c r="H195" s="480">
        <v>0</v>
      </c>
      <c r="I195" s="480">
        <v>2762668.7</v>
      </c>
      <c r="J195" s="502">
        <v>2310595.64</v>
      </c>
      <c r="K195" s="480">
        <v>1750598.9851393313</v>
      </c>
      <c r="L195" s="463"/>
    </row>
    <row r="196" spans="1:12" ht="23.25" customHeight="1" thickBot="1" x14ac:dyDescent="0.3">
      <c r="A196" s="503">
        <f t="shared" ref="A196:A259" si="7">+A195+1</f>
        <v>195</v>
      </c>
      <c r="B196" s="461" t="s">
        <v>158</v>
      </c>
      <c r="C196" s="461" t="s">
        <v>418</v>
      </c>
      <c r="D196" s="462" t="s">
        <v>419</v>
      </c>
      <c r="E196" s="504" t="s">
        <v>456</v>
      </c>
      <c r="F196" s="461">
        <v>83148</v>
      </c>
      <c r="G196" s="461" t="str">
        <f t="shared" si="6"/>
        <v>Boulevard José López Portillo y Juárez No. 549, Colonia Bachoco, 83148 Hermosillo, SonoraSonoraHermosillo83148</v>
      </c>
      <c r="H196" s="480">
        <v>0</v>
      </c>
      <c r="I196" s="480">
        <v>2486401.83</v>
      </c>
      <c r="J196" s="502">
        <v>2079536.0760000001</v>
      </c>
      <c r="K196" s="480">
        <v>1886818.7784761905</v>
      </c>
      <c r="L196" s="463"/>
    </row>
    <row r="197" spans="1:12" ht="23.25" customHeight="1" thickBot="1" x14ac:dyDescent="0.3">
      <c r="A197" s="503">
        <f t="shared" si="7"/>
        <v>196</v>
      </c>
      <c r="B197" s="461" t="s">
        <v>158</v>
      </c>
      <c r="C197" s="461" t="s">
        <v>457</v>
      </c>
      <c r="D197" s="462" t="s">
        <v>457</v>
      </c>
      <c r="E197" s="504" t="s">
        <v>458</v>
      </c>
      <c r="F197" s="461">
        <v>76090</v>
      </c>
      <c r="G197" s="461" t="str">
        <f t="shared" si="6"/>
        <v>Boulevard Bernardo Quintana No. 502, Colonia Centro Sur, 76090 Querétaro, QuerétaroQueretaroQueretaro76090</v>
      </c>
      <c r="H197" s="480">
        <v>0</v>
      </c>
      <c r="I197" s="480">
        <v>3315202.4400000004</v>
      </c>
      <c r="J197" s="502">
        <v>2772714.7680000002</v>
      </c>
      <c r="K197" s="480">
        <v>1387346.2029077064</v>
      </c>
      <c r="L197" s="463"/>
    </row>
    <row r="198" spans="1:12" ht="23.25" customHeight="1" thickBot="1" x14ac:dyDescent="0.3">
      <c r="A198" s="503">
        <f t="shared" si="7"/>
        <v>197</v>
      </c>
      <c r="B198" s="461" t="s">
        <v>158</v>
      </c>
      <c r="C198" s="461" t="s">
        <v>147</v>
      </c>
      <c r="D198" s="462" t="s">
        <v>459</v>
      </c>
      <c r="E198" s="504" t="s">
        <v>460</v>
      </c>
      <c r="F198" s="461" t="s">
        <v>461</v>
      </c>
      <c r="G198" s="461" t="str">
        <f t="shared" si="6"/>
        <v>Calle Colector 13 # 280, Col. Magdalena de las Salinas. G.A. Madero, 07760 México, Distrito FederalCDMXGustavo A. Madero07760</v>
      </c>
      <c r="H198" s="480">
        <v>0</v>
      </c>
      <c r="I198" s="480">
        <v>3038935.5700000003</v>
      </c>
      <c r="J198" s="502">
        <v>2541655.2040000004</v>
      </c>
      <c r="K198" s="480">
        <v>1469078.078909822</v>
      </c>
      <c r="L198" s="463"/>
    </row>
    <row r="199" spans="1:12" ht="23.25" customHeight="1" thickBot="1" x14ac:dyDescent="0.3">
      <c r="A199" s="503">
        <f t="shared" si="7"/>
        <v>198</v>
      </c>
      <c r="B199" s="461" t="s">
        <v>158</v>
      </c>
      <c r="C199" s="461" t="s">
        <v>462</v>
      </c>
      <c r="D199" s="462" t="s">
        <v>463</v>
      </c>
      <c r="E199" s="504" t="s">
        <v>464</v>
      </c>
      <c r="F199" s="461">
        <v>77500</v>
      </c>
      <c r="G199" s="461" t="str">
        <f t="shared" si="6"/>
        <v>Lote 18-10, Manzana 52, Sección A del Boulevard Kukulcán COL ZONA HOTELERA, Benito Juárez, Cancún, Estado de Quintana RooQuintana RooCancun77500</v>
      </c>
      <c r="H199" s="480">
        <v>0</v>
      </c>
      <c r="I199" s="480">
        <v>1657601.2200000002</v>
      </c>
      <c r="J199" s="502">
        <v>1386357.3840000001</v>
      </c>
      <c r="K199" s="480">
        <v>868313.86214213446</v>
      </c>
      <c r="L199" s="463"/>
    </row>
    <row r="200" spans="1:12" ht="23.25" customHeight="1" thickBot="1" x14ac:dyDescent="0.3">
      <c r="A200" s="503">
        <f t="shared" si="7"/>
        <v>199</v>
      </c>
      <c r="B200" s="461" t="s">
        <v>158</v>
      </c>
      <c r="C200" s="461" t="s">
        <v>147</v>
      </c>
      <c r="D200" s="462" t="s">
        <v>465</v>
      </c>
      <c r="E200" s="504" t="s">
        <v>466</v>
      </c>
      <c r="F200" s="461" t="s">
        <v>467</v>
      </c>
      <c r="G200" s="461" t="str">
        <f t="shared" si="6"/>
        <v>Avenida Tláhuac No. 5662, Colonia San Lorenzo Tezonco, 09790 México, Distrito FederalCDMXTlahuac09790</v>
      </c>
      <c r="H200" s="480">
        <v>0</v>
      </c>
      <c r="I200" s="480">
        <v>2762668.7</v>
      </c>
      <c r="J200" s="502">
        <v>2310595.64</v>
      </c>
      <c r="K200" s="480">
        <v>1608790.687460447</v>
      </c>
      <c r="L200" s="463"/>
    </row>
    <row r="201" spans="1:12" ht="23.25" customHeight="1" thickBot="1" x14ac:dyDescent="0.3">
      <c r="A201" s="503">
        <f t="shared" si="7"/>
        <v>200</v>
      </c>
      <c r="B201" s="461" t="s">
        <v>158</v>
      </c>
      <c r="C201" s="461" t="s">
        <v>468</v>
      </c>
      <c r="D201" s="462" t="s">
        <v>469</v>
      </c>
      <c r="E201" s="504" t="s">
        <v>470</v>
      </c>
      <c r="F201" s="461">
        <v>53120</v>
      </c>
      <c r="G201" s="461" t="str">
        <f t="shared" si="6"/>
        <v>Colina de la Paz No. 25, Col. Fraccionamiento Residencial Boulevares LOMAS VERDES 1A SECCION, 53120 Naucalpan Edo. de MéxicoEstado de MéxicoNaucalpan53120</v>
      </c>
      <c r="H201" s="480">
        <v>0</v>
      </c>
      <c r="I201" s="480">
        <v>2876565.4775</v>
      </c>
      <c r="J201" s="502">
        <v>2405854.7630000003</v>
      </c>
      <c r="K201" s="480">
        <v>1418082.9767888437</v>
      </c>
      <c r="L201" s="463"/>
    </row>
    <row r="202" spans="1:12" ht="23.25" customHeight="1" thickBot="1" x14ac:dyDescent="0.3">
      <c r="A202" s="503">
        <f t="shared" si="7"/>
        <v>201</v>
      </c>
      <c r="B202" s="461" t="s">
        <v>158</v>
      </c>
      <c r="C202" s="461" t="s">
        <v>471</v>
      </c>
      <c r="D202" s="462" t="s">
        <v>472</v>
      </c>
      <c r="E202" s="504" t="s">
        <v>473</v>
      </c>
      <c r="F202" s="461">
        <v>97117</v>
      </c>
      <c r="G202" s="461" t="str">
        <f t="shared" si="6"/>
        <v>Calle 30 No. 185 Manzana 474 Sección 16, Col. San Ramón Norte, 97117 Mérida YucatánYucatánMérida97117</v>
      </c>
      <c r="H202" s="480">
        <v>0</v>
      </c>
      <c r="I202" s="480">
        <v>2286066.1450000005</v>
      </c>
      <c r="J202" s="502">
        <v>1911982.594</v>
      </c>
      <c r="K202" s="480">
        <v>1187557.1726803125</v>
      </c>
      <c r="L202" s="463"/>
    </row>
    <row r="203" spans="1:12" ht="23.25" customHeight="1" thickBot="1" x14ac:dyDescent="0.3">
      <c r="A203" s="503">
        <f t="shared" si="7"/>
        <v>202</v>
      </c>
      <c r="B203" s="461" t="s">
        <v>119</v>
      </c>
      <c r="C203" s="461" t="s">
        <v>147</v>
      </c>
      <c r="D203" s="462" t="s">
        <v>389</v>
      </c>
      <c r="E203" s="504" t="s">
        <v>474</v>
      </c>
      <c r="F203" s="464" t="s">
        <v>475</v>
      </c>
      <c r="G203" s="461" t="str">
        <f t="shared" si="6"/>
        <v>Avenida Egipto 142 Colonia Clavería Delegacion Azcapotzalco México D.F.CDMXAZCAPOTZALCO02080</v>
      </c>
      <c r="H203" s="480">
        <v>0</v>
      </c>
      <c r="I203" s="480">
        <v>1657601.2200000002</v>
      </c>
      <c r="J203" s="502">
        <v>1386357.3840000001</v>
      </c>
      <c r="K203" s="480">
        <v>713931.42969369376</v>
      </c>
      <c r="L203" s="463"/>
    </row>
    <row r="204" spans="1:12" ht="23.25" customHeight="1" thickBot="1" x14ac:dyDescent="0.3">
      <c r="A204" s="503">
        <f t="shared" si="7"/>
        <v>203</v>
      </c>
      <c r="B204" s="461" t="s">
        <v>112</v>
      </c>
      <c r="C204" s="461" t="s">
        <v>307</v>
      </c>
      <c r="D204" s="462" t="s">
        <v>476</v>
      </c>
      <c r="E204" s="504" t="s">
        <v>477</v>
      </c>
      <c r="F204" s="461">
        <v>96710</v>
      </c>
      <c r="G204" s="461" t="str">
        <f t="shared" si="6"/>
        <v>Blvd Instituto Tecnologicos No 24 Col Insurgentes Norte Minatitlan Veracruz VERACRUZMINATITLAN96710</v>
      </c>
      <c r="H204" s="480">
        <v>0</v>
      </c>
      <c r="I204" s="480">
        <v>1933868.0900000003</v>
      </c>
      <c r="J204" s="502">
        <v>1617416.9480000001</v>
      </c>
      <c r="K204" s="480">
        <v>716027.11882195319</v>
      </c>
      <c r="L204" s="463"/>
    </row>
    <row r="205" spans="1:12" s="494" customFormat="1" ht="23.25" customHeight="1" thickBot="1" x14ac:dyDescent="0.3">
      <c r="A205" s="508">
        <f t="shared" si="7"/>
        <v>204</v>
      </c>
      <c r="B205" s="490" t="s">
        <v>119</v>
      </c>
      <c r="C205" s="490" t="s">
        <v>228</v>
      </c>
      <c r="D205" s="491" t="s">
        <v>478</v>
      </c>
      <c r="E205" s="509" t="s">
        <v>479</v>
      </c>
      <c r="F205" s="490">
        <v>62400</v>
      </c>
      <c r="G205" s="490" t="str">
        <f t="shared" si="6"/>
        <v>Av. Rio Balsas S/N Calzada Leandro Valle y Vicente Guerrero Colonia Lomas de la Selva Cuernavaca MorelosMORELOSCUERNAVACA62400</v>
      </c>
      <c r="H205" s="492">
        <v>0</v>
      </c>
      <c r="I205" s="492">
        <v>4687044.4500000011</v>
      </c>
      <c r="J205" s="510">
        <v>3920073.54</v>
      </c>
      <c r="K205" s="492">
        <v>1616474.8809307315</v>
      </c>
      <c r="L205" s="493"/>
    </row>
    <row r="206" spans="1:12" ht="23.25" customHeight="1" thickBot="1" x14ac:dyDescent="0.3">
      <c r="A206" s="503">
        <f t="shared" si="7"/>
        <v>205</v>
      </c>
      <c r="B206" s="461" t="s">
        <v>119</v>
      </c>
      <c r="C206" s="461" t="s">
        <v>356</v>
      </c>
      <c r="D206" s="462" t="s">
        <v>117</v>
      </c>
      <c r="E206" s="504" t="s">
        <v>480</v>
      </c>
      <c r="F206" s="461">
        <v>22320</v>
      </c>
      <c r="G206" s="461" t="str">
        <f t="shared" si="6"/>
        <v>Paseo Heroes No. 9111 Manzana 075 Esquina Manuel M. Marquez Tijuana Baja CaliforniaBAJA CALIFORNIATIJUANA22320</v>
      </c>
      <c r="H206" s="480">
        <v>0</v>
      </c>
      <c r="I206" s="480">
        <v>1933868.0900000003</v>
      </c>
      <c r="J206" s="502">
        <v>1617416.9480000001</v>
      </c>
      <c r="K206" s="480">
        <v>655950.69714518439</v>
      </c>
      <c r="L206" s="463"/>
    </row>
    <row r="207" spans="1:12" ht="23.25" customHeight="1" thickBot="1" x14ac:dyDescent="0.3">
      <c r="A207" s="503">
        <f t="shared" si="7"/>
        <v>206</v>
      </c>
      <c r="B207" s="461" t="s">
        <v>119</v>
      </c>
      <c r="C207" s="461" t="s">
        <v>256</v>
      </c>
      <c r="D207" s="462" t="s">
        <v>256</v>
      </c>
      <c r="E207" s="504" t="s">
        <v>481</v>
      </c>
      <c r="F207" s="461">
        <v>71288</v>
      </c>
      <c r="G207" s="461" t="str">
        <f t="shared" si="6"/>
        <v>Carretera internacional Cristobal Colon No. 2002 Municipio de Santa Lucía del Camino OaxacaOAXACAOAXACA71288</v>
      </c>
      <c r="H207" s="480">
        <v>0</v>
      </c>
      <c r="I207" s="480">
        <v>3038935.5700000003</v>
      </c>
      <c r="J207" s="502">
        <v>2541655.2040000004</v>
      </c>
      <c r="K207" s="480">
        <v>1005930.7815645</v>
      </c>
      <c r="L207" s="463"/>
    </row>
    <row r="208" spans="1:12" ht="23.25" customHeight="1" thickBot="1" x14ac:dyDescent="0.3">
      <c r="A208" s="503">
        <f t="shared" si="7"/>
        <v>207</v>
      </c>
      <c r="B208" s="461" t="s">
        <v>119</v>
      </c>
      <c r="C208" s="461" t="s">
        <v>259</v>
      </c>
      <c r="D208" s="462" t="s">
        <v>259</v>
      </c>
      <c r="E208" s="504" t="s">
        <v>482</v>
      </c>
      <c r="F208" s="461">
        <v>72020</v>
      </c>
      <c r="G208" s="461" t="str">
        <f t="shared" si="6"/>
        <v>Blvd. Hermanos Serdán No. 630 Col. Pino Suarez Puebla Puebla , C.P. 72020PUEBLAPUEBLA72020</v>
      </c>
      <c r="H208" s="480">
        <v>0</v>
      </c>
      <c r="I208" s="480">
        <v>1933868.0900000003</v>
      </c>
      <c r="J208" s="502">
        <v>1617416.9480000001</v>
      </c>
      <c r="K208" s="480">
        <v>724409.87533499068</v>
      </c>
      <c r="L208" s="463"/>
    </row>
    <row r="209" spans="1:12" ht="23.25" customHeight="1" thickBot="1" x14ac:dyDescent="0.3">
      <c r="A209" s="503">
        <f t="shared" si="7"/>
        <v>208</v>
      </c>
      <c r="B209" s="461" t="s">
        <v>112</v>
      </c>
      <c r="C209" s="461" t="s">
        <v>307</v>
      </c>
      <c r="D209" s="462" t="s">
        <v>307</v>
      </c>
      <c r="E209" s="504" t="s">
        <v>483</v>
      </c>
      <c r="F209" s="461">
        <v>94293</v>
      </c>
      <c r="G209" s="461" t="str">
        <f t="shared" si="6"/>
        <v>Predio Mocambo , Collado o Boticaria , Boca del Río , VeracruzVERACRUZVERACRUZ94293</v>
      </c>
      <c r="H209" s="480">
        <v>0</v>
      </c>
      <c r="I209" s="480">
        <v>3038935.5700000003</v>
      </c>
      <c r="J209" s="502">
        <v>2541655.2040000004</v>
      </c>
      <c r="K209" s="480">
        <v>1301422.9486490719</v>
      </c>
      <c r="L209" s="463"/>
    </row>
    <row r="210" spans="1:12" ht="23.25" customHeight="1" thickBot="1" x14ac:dyDescent="0.3">
      <c r="A210" s="503">
        <f t="shared" si="7"/>
        <v>209</v>
      </c>
      <c r="B210" s="461" t="s">
        <v>115</v>
      </c>
      <c r="C210" s="461" t="s">
        <v>259</v>
      </c>
      <c r="D210" s="462" t="s">
        <v>259</v>
      </c>
      <c r="E210" s="504" t="s">
        <v>484</v>
      </c>
      <c r="F210" s="461">
        <v>17002</v>
      </c>
      <c r="G210" s="461" t="str">
        <f t="shared" si="6"/>
        <v>Paseo Sinfonía no. 4 Grand Boulevard Lomas no. 301 Lomas de Angelopolis II Periferico Ecologico , San Andrés Cholula Puebla C.P. 17002PUEBLAPUEBLA17002</v>
      </c>
      <c r="H210" s="480">
        <v>0</v>
      </c>
      <c r="I210" s="480">
        <v>2199627.2374999998</v>
      </c>
      <c r="J210" s="502">
        <v>1839688.2350000001</v>
      </c>
      <c r="K210" s="480">
        <v>245894.19104909999</v>
      </c>
      <c r="L210" s="463"/>
    </row>
    <row r="211" spans="1:12" ht="23.25" customHeight="1" thickBot="1" x14ac:dyDescent="0.3">
      <c r="A211" s="503">
        <f t="shared" si="7"/>
        <v>210</v>
      </c>
      <c r="B211" s="461" t="s">
        <v>119</v>
      </c>
      <c r="C211" s="461" t="s">
        <v>265</v>
      </c>
      <c r="D211" s="462" t="s">
        <v>266</v>
      </c>
      <c r="E211" s="504" t="s">
        <v>485</v>
      </c>
      <c r="F211" s="461">
        <v>77580</v>
      </c>
      <c r="G211" s="461" t="str">
        <f t="shared" si="6"/>
        <v>Boulevard Cumbres esquina con Luis Donaldo Colosio sm 310 mz 109 lt 01 Residencial Cumbres Cancun Quintana Roo , C.P. 77580QUINTANA ROOCANCUN77580</v>
      </c>
      <c r="H211" s="480">
        <v>0</v>
      </c>
      <c r="I211" s="480">
        <v>2303206.62</v>
      </c>
      <c r="J211" s="502">
        <v>1926318.264</v>
      </c>
      <c r="K211" s="480">
        <v>578410.19939958747</v>
      </c>
      <c r="L211" s="463"/>
    </row>
    <row r="212" spans="1:12" ht="23.25" customHeight="1" thickBot="1" x14ac:dyDescent="0.3">
      <c r="A212" s="503">
        <f t="shared" si="7"/>
        <v>211</v>
      </c>
      <c r="B212" s="461" t="s">
        <v>119</v>
      </c>
      <c r="C212" s="461" t="s">
        <v>440</v>
      </c>
      <c r="D212" s="462" t="s">
        <v>486</v>
      </c>
      <c r="E212" s="504" t="s">
        <v>487</v>
      </c>
      <c r="F212" s="461">
        <v>30740</v>
      </c>
      <c r="G212" s="461" t="str">
        <f t="shared" si="6"/>
        <v>Avenida de la Juventud Esquina con Boulevard Díaz Ordaz O. 182 Colonia Coapante Tapachula ChiapasChiapasTAPACHULA30740</v>
      </c>
      <c r="H212" s="480">
        <v>0</v>
      </c>
      <c r="I212" s="480">
        <v>1933868.0900000003</v>
      </c>
      <c r="J212" s="502">
        <v>1617416.9480000001</v>
      </c>
      <c r="K212" s="480">
        <v>716027.11882195319</v>
      </c>
      <c r="L212" s="463"/>
    </row>
    <row r="213" spans="1:12" ht="23.25" customHeight="1" thickBot="1" x14ac:dyDescent="0.3">
      <c r="A213" s="503">
        <f t="shared" si="7"/>
        <v>212</v>
      </c>
      <c r="B213" s="461" t="s">
        <v>119</v>
      </c>
      <c r="C213" s="461" t="s">
        <v>265</v>
      </c>
      <c r="D213" s="462" t="s">
        <v>266</v>
      </c>
      <c r="E213" s="504" t="s">
        <v>488</v>
      </c>
      <c r="F213" s="461">
        <v>77518</v>
      </c>
      <c r="G213" s="461" t="str">
        <f t="shared" si="6"/>
        <v>Avenida 20 de Noviembre Manzana 1 Lote 158 04 Los Héroes Cancun , Municipio de Benito Juarez Quintana RooQUINTANA ROOCANCUN77518</v>
      </c>
      <c r="H213" s="480">
        <v>0</v>
      </c>
      <c r="I213" s="480">
        <v>1657601.2200000002</v>
      </c>
      <c r="J213" s="502">
        <v>1386357.3840000001</v>
      </c>
      <c r="K213" s="480">
        <v>711835.74056543433</v>
      </c>
      <c r="L213" s="463"/>
    </row>
    <row r="214" spans="1:12" ht="23.25" customHeight="1" thickBot="1" x14ac:dyDescent="0.3">
      <c r="A214" s="503">
        <f t="shared" si="7"/>
        <v>213</v>
      </c>
      <c r="B214" s="461" t="s">
        <v>119</v>
      </c>
      <c r="C214" s="461" t="s">
        <v>180</v>
      </c>
      <c r="D214" s="462" t="s">
        <v>193</v>
      </c>
      <c r="E214" s="504" t="s">
        <v>489</v>
      </c>
      <c r="F214" s="461">
        <v>55764</v>
      </c>
      <c r="G214" s="461" t="str">
        <f t="shared" si="6"/>
        <v>Manzana 126 Lote 1 Sector 39 , Seccion III Los Heroes Ejido de Santo Tomas Chiconautla , Tecámac Estado de MéxicoESTADO DE MEXICOTECAMAC55764</v>
      </c>
      <c r="H214" s="480">
        <v>0</v>
      </c>
      <c r="I214" s="480">
        <v>1381334.35</v>
      </c>
      <c r="J214" s="502">
        <v>1155297.82</v>
      </c>
      <c r="K214" s="480">
        <v>370238.41265915625</v>
      </c>
      <c r="L214" s="463"/>
    </row>
    <row r="215" spans="1:12" ht="23.25" customHeight="1" thickBot="1" x14ac:dyDescent="0.3">
      <c r="A215" s="503">
        <f t="shared" si="7"/>
        <v>214</v>
      </c>
      <c r="B215" s="461" t="s">
        <v>119</v>
      </c>
      <c r="C215" s="461" t="s">
        <v>180</v>
      </c>
      <c r="D215" s="462" t="s">
        <v>195</v>
      </c>
      <c r="E215" s="504" t="s">
        <v>490</v>
      </c>
      <c r="F215" s="461">
        <v>54000</v>
      </c>
      <c r="G215" s="461" t="str">
        <f t="shared" si="6"/>
        <v>Sor Juana Ines de la Cruz No. 280 esquina vía Dr. Gustavo Baz Tlalnepantla Estado de MéxicoESTADO DE MEXICOTLALNEPANTLA54000</v>
      </c>
      <c r="H215" s="480">
        <v>0</v>
      </c>
      <c r="I215" s="480">
        <v>5527479.0175000001</v>
      </c>
      <c r="J215" s="502">
        <v>4622982.4510000004</v>
      </c>
      <c r="K215" s="480">
        <v>1453709.6919692534</v>
      </c>
      <c r="L215" s="463"/>
    </row>
    <row r="216" spans="1:12" ht="23.25" customHeight="1" thickBot="1" x14ac:dyDescent="0.3">
      <c r="A216" s="503">
        <f t="shared" si="7"/>
        <v>215</v>
      </c>
      <c r="B216" s="461" t="s">
        <v>119</v>
      </c>
      <c r="C216" s="461" t="s">
        <v>338</v>
      </c>
      <c r="D216" s="462" t="s">
        <v>491</v>
      </c>
      <c r="E216" s="504" t="s">
        <v>492</v>
      </c>
      <c r="F216" s="461">
        <v>59374</v>
      </c>
      <c r="G216" s="461" t="str">
        <f t="shared" si="6"/>
        <v>Boulevard Lázaro Cárdenas No. 3001-C , Colonia Lázaro Cárdenas La Piedad Michoacán C.P. 59374MICHOACANLA PIEDAD59374</v>
      </c>
      <c r="H216" s="480">
        <v>0</v>
      </c>
      <c r="I216" s="480">
        <v>2486401.83</v>
      </c>
      <c r="J216" s="502">
        <v>2079536.0760000001</v>
      </c>
      <c r="K216" s="480">
        <v>1049241.6902151939</v>
      </c>
      <c r="L216" s="463"/>
    </row>
    <row r="217" spans="1:12" ht="23.25" customHeight="1" thickBot="1" x14ac:dyDescent="0.3">
      <c r="A217" s="503">
        <f t="shared" si="7"/>
        <v>216</v>
      </c>
      <c r="B217" s="461" t="s">
        <v>119</v>
      </c>
      <c r="C217" s="461" t="s">
        <v>356</v>
      </c>
      <c r="D217" s="462" t="s">
        <v>117</v>
      </c>
      <c r="E217" s="504" t="s">
        <v>493</v>
      </c>
      <c r="F217" s="461">
        <v>22643</v>
      </c>
      <c r="G217" s="461" t="str">
        <f t="shared" si="6"/>
        <v>Libramiento Oriente No. 7501 Parque Industrial Pacifico , C.P. 22643 Tijuana Baja CaliforniaBAJA CALIFORNIATIJUANA22643</v>
      </c>
      <c r="H217" s="480">
        <v>0</v>
      </c>
      <c r="I217" s="480">
        <v>2762668.7</v>
      </c>
      <c r="J217" s="502">
        <v>2310595.64</v>
      </c>
      <c r="K217" s="480">
        <v>926294.59469064383</v>
      </c>
      <c r="L217" s="463"/>
    </row>
    <row r="218" spans="1:12" ht="23.25" customHeight="1" thickBot="1" x14ac:dyDescent="0.3">
      <c r="A218" s="503">
        <f t="shared" si="7"/>
        <v>217</v>
      </c>
      <c r="B218" s="461" t="s">
        <v>119</v>
      </c>
      <c r="C218" s="461" t="s">
        <v>180</v>
      </c>
      <c r="D218" s="462" t="s">
        <v>392</v>
      </c>
      <c r="E218" s="504" t="s">
        <v>494</v>
      </c>
      <c r="F218" s="461">
        <v>54932</v>
      </c>
      <c r="G218" s="461" t="str">
        <f t="shared" si="6"/>
        <v>Av. Prados Mitad Lote 100 s/n , Colonia San Pablo de Las Salinas , Estado de MéxicoESTADO DE MEXICOTULTITLAN54932</v>
      </c>
      <c r="H218" s="480">
        <v>0</v>
      </c>
      <c r="I218" s="480">
        <v>1105067.48</v>
      </c>
      <c r="J218" s="502">
        <v>924238.25600000005</v>
      </c>
      <c r="K218" s="480">
        <v>435903.33867795003</v>
      </c>
      <c r="L218" s="463"/>
    </row>
    <row r="219" spans="1:12" ht="23.25" customHeight="1" thickBot="1" x14ac:dyDescent="0.3">
      <c r="A219" s="503">
        <f t="shared" si="7"/>
        <v>218</v>
      </c>
      <c r="B219" s="461" t="s">
        <v>128</v>
      </c>
      <c r="C219" s="461" t="s">
        <v>180</v>
      </c>
      <c r="D219" s="462" t="s">
        <v>495</v>
      </c>
      <c r="E219" s="504" t="s">
        <v>496</v>
      </c>
      <c r="F219" s="461">
        <v>55600</v>
      </c>
      <c r="G219" s="461" t="str">
        <f t="shared" si="6"/>
        <v>Calle Jose Jimenez Cantu , Libramiento Luis Donaldo Colosio calle s/n oficial , Barrio San Marcos Municipio de Zumpango Estado de MéxicoESTADO DE MEXICOZUMPANGO55600</v>
      </c>
      <c r="H219" s="480">
        <v>0</v>
      </c>
      <c r="I219" s="480">
        <v>1381334.35</v>
      </c>
      <c r="J219" s="502">
        <v>1155297.82</v>
      </c>
      <c r="K219" s="480">
        <v>370238.41265915625</v>
      </c>
      <c r="L219" s="463"/>
    </row>
    <row r="220" spans="1:12" ht="23.25" customHeight="1" thickBot="1" x14ac:dyDescent="0.3">
      <c r="A220" s="503">
        <f t="shared" si="7"/>
        <v>219</v>
      </c>
      <c r="B220" s="461" t="s">
        <v>119</v>
      </c>
      <c r="C220" s="461" t="s">
        <v>435</v>
      </c>
      <c r="D220" s="462" t="s">
        <v>436</v>
      </c>
      <c r="E220" s="504" t="s">
        <v>497</v>
      </c>
      <c r="F220" s="461">
        <v>25016</v>
      </c>
      <c r="G220" s="461" t="str">
        <f t="shared" si="6"/>
        <v>Boulevard fundadores Kilometro 2.5 entre kilometro 868 y 869 carretera 57 Saltillo-Matehuala , Saltillo CoahuilaCoahuilaSaltillo25016</v>
      </c>
      <c r="H220" s="480">
        <v>0</v>
      </c>
      <c r="I220" s="480">
        <v>2762668.7</v>
      </c>
      <c r="J220" s="502">
        <v>2310595.64</v>
      </c>
      <c r="K220" s="480">
        <v>1044351.7489159219</v>
      </c>
      <c r="L220" s="463"/>
    </row>
    <row r="221" spans="1:12" ht="23.25" customHeight="1" thickBot="1" x14ac:dyDescent="0.3">
      <c r="A221" s="503">
        <f t="shared" si="7"/>
        <v>220</v>
      </c>
      <c r="B221" s="461" t="s">
        <v>158</v>
      </c>
      <c r="C221" s="461" t="s">
        <v>201</v>
      </c>
      <c r="D221" s="462" t="s">
        <v>498</v>
      </c>
      <c r="E221" s="504" t="s">
        <v>499</v>
      </c>
      <c r="F221" s="461">
        <v>36766</v>
      </c>
      <c r="G221" s="461" t="str">
        <f t="shared" si="6"/>
        <v>Macrolote Comercial del Fraccionamiento Residencial Las Glorias , Salamanca GuanajuatoGUANAJUATOSALAMANCA36766</v>
      </c>
      <c r="H221" s="480">
        <v>0</v>
      </c>
      <c r="I221" s="480">
        <v>3361738.2700000005</v>
      </c>
      <c r="J221" s="502">
        <v>2811635.6440000003</v>
      </c>
      <c r="K221" s="480">
        <v>1300724.3856063189</v>
      </c>
      <c r="L221" s="463"/>
    </row>
    <row r="222" spans="1:12" ht="23.25" customHeight="1" thickBot="1" x14ac:dyDescent="0.3">
      <c r="A222" s="503">
        <f t="shared" si="7"/>
        <v>221</v>
      </c>
      <c r="B222" s="461" t="s">
        <v>119</v>
      </c>
      <c r="C222" s="461" t="s">
        <v>147</v>
      </c>
      <c r="D222" s="462" t="s">
        <v>451</v>
      </c>
      <c r="E222" s="504" t="s">
        <v>500</v>
      </c>
      <c r="F222" s="464" t="s">
        <v>501</v>
      </c>
      <c r="G222" s="461" t="str">
        <f t="shared" si="6"/>
        <v>Ignacio Zaragoza No 1433 y 2717 esquina con calle Guadalupe Victoria , Colonia Tepalcates C.P. 09210 Delegación Iztapalapa México D.F.CDMXIztapalapa09210</v>
      </c>
      <c r="H222" s="480">
        <v>0</v>
      </c>
      <c r="I222" s="480">
        <v>1933868.0900000003</v>
      </c>
      <c r="J222" s="502">
        <v>1617416.9480000001</v>
      </c>
      <c r="K222" s="480">
        <v>539989.23204816575</v>
      </c>
      <c r="L222" s="463"/>
    </row>
    <row r="223" spans="1:12" ht="23.25" customHeight="1" thickBot="1" x14ac:dyDescent="0.3">
      <c r="A223" s="503">
        <f t="shared" si="7"/>
        <v>222</v>
      </c>
      <c r="B223" s="461" t="s">
        <v>158</v>
      </c>
      <c r="C223" s="461" t="s">
        <v>273</v>
      </c>
      <c r="D223" s="462" t="s">
        <v>277</v>
      </c>
      <c r="E223" s="504" t="s">
        <v>502</v>
      </c>
      <c r="F223" s="461">
        <v>81200</v>
      </c>
      <c r="G223" s="461" t="str">
        <f t="shared" si="6"/>
        <v>Calle Gabriel Leyva #700 sur , C.P. 81200 en la ciudad de los Mochis SinaloaSINALOALOS MOCHIS81200</v>
      </c>
      <c r="H223" s="480">
        <v>0</v>
      </c>
      <c r="I223" s="480">
        <v>1381334.35</v>
      </c>
      <c r="J223" s="502">
        <v>1155297.82</v>
      </c>
      <c r="K223" s="480">
        <v>414247.88435260311</v>
      </c>
      <c r="L223" s="463"/>
    </row>
    <row r="224" spans="1:12" ht="23.25" customHeight="1" thickBot="1" x14ac:dyDescent="0.3">
      <c r="A224" s="503">
        <f t="shared" si="7"/>
        <v>223</v>
      </c>
      <c r="B224" s="461" t="s">
        <v>119</v>
      </c>
      <c r="C224" s="461" t="s">
        <v>213</v>
      </c>
      <c r="D224" s="462" t="s">
        <v>216</v>
      </c>
      <c r="E224" s="504" t="s">
        <v>503</v>
      </c>
      <c r="F224" s="461">
        <v>45645</v>
      </c>
      <c r="G224" s="461" t="str">
        <f t="shared" si="6"/>
        <v>Av. López Mateos Sur No.1710, Zona El Palomar, C.P. 45645, Guadalajara, Jalisco.JALISCOGUADALAJARA45645</v>
      </c>
      <c r="H224" s="480">
        <v>0</v>
      </c>
      <c r="I224" s="480">
        <v>1933868.0900000003</v>
      </c>
      <c r="J224" s="502">
        <v>1617416.9480000001</v>
      </c>
      <c r="K224" s="480">
        <v>523922.28206484381</v>
      </c>
      <c r="L224" s="463"/>
    </row>
    <row r="225" spans="1:12" ht="23.25" customHeight="1" thickBot="1" x14ac:dyDescent="0.3">
      <c r="A225" s="503">
        <f t="shared" si="7"/>
        <v>224</v>
      </c>
      <c r="B225" s="461" t="s">
        <v>115</v>
      </c>
      <c r="C225" s="461" t="s">
        <v>504</v>
      </c>
      <c r="D225" s="462" t="s">
        <v>505</v>
      </c>
      <c r="E225" s="504" t="s">
        <v>506</v>
      </c>
      <c r="F225" s="461">
        <v>64989</v>
      </c>
      <c r="G225" s="461" t="str">
        <f t="shared" si="6"/>
        <v>Carretera Nacional No. 500-1 al 500-12 en Monterrey N.L.Nuevo LeonMonterrey64989</v>
      </c>
      <c r="H225" s="480">
        <v>0</v>
      </c>
      <c r="I225" s="480">
        <v>4423838.9525000006</v>
      </c>
      <c r="J225" s="502">
        <v>3699938.0329999998</v>
      </c>
      <c r="K225" s="480">
        <v>914419.02296384075</v>
      </c>
      <c r="L225" s="463"/>
    </row>
    <row r="226" spans="1:12" ht="23.25" customHeight="1" thickBot="1" x14ac:dyDescent="0.3">
      <c r="A226" s="503">
        <f t="shared" si="7"/>
        <v>225</v>
      </c>
      <c r="B226" s="461" t="s">
        <v>119</v>
      </c>
      <c r="C226" s="461" t="s">
        <v>418</v>
      </c>
      <c r="D226" s="462" t="s">
        <v>507</v>
      </c>
      <c r="E226" s="504" t="s">
        <v>508</v>
      </c>
      <c r="F226" s="461">
        <v>84340</v>
      </c>
      <c r="G226" s="461" t="str">
        <f t="shared" si="6"/>
        <v>Calle Monte Himalaya S/N Antigua Planta de Luz, Lomas de Nacozari, Nacozari de Garcia, Sonora. C.P. 84340.SonoraNacozari84340</v>
      </c>
      <c r="H226" s="480">
        <v>0</v>
      </c>
      <c r="I226" s="480">
        <v>828800.6100000001</v>
      </c>
      <c r="J226" s="502">
        <v>693178.69200000004</v>
      </c>
      <c r="K226" s="480">
        <v>197693.34109913438</v>
      </c>
      <c r="L226" s="463"/>
    </row>
    <row r="227" spans="1:12" ht="23.25" customHeight="1" thickBot="1" x14ac:dyDescent="0.3">
      <c r="A227" s="503">
        <f t="shared" si="7"/>
        <v>226</v>
      </c>
      <c r="B227" s="461" t="s">
        <v>119</v>
      </c>
      <c r="C227" s="461" t="s">
        <v>468</v>
      </c>
      <c r="D227" s="462" t="s">
        <v>509</v>
      </c>
      <c r="E227" s="504" t="s">
        <v>510</v>
      </c>
      <c r="F227" s="461">
        <v>56330</v>
      </c>
      <c r="G227" s="461" t="str">
        <f t="shared" si="6"/>
        <v>Av del peñon s/n Col.BARRIO DE XOCHIACA o Chimalhuacan Estado de MéxicoEstado de MéxicoChimalhuacán56330</v>
      </c>
      <c r="H227" s="480">
        <v>0</v>
      </c>
      <c r="I227" s="480">
        <v>2210134.96</v>
      </c>
      <c r="J227" s="502">
        <v>1848476.5120000001</v>
      </c>
      <c r="K227" s="480">
        <v>720917.06012122496</v>
      </c>
      <c r="L227" s="463"/>
    </row>
    <row r="228" spans="1:12" ht="23.25" customHeight="1" thickBot="1" x14ac:dyDescent="0.3">
      <c r="A228" s="503">
        <f t="shared" si="7"/>
        <v>227</v>
      </c>
      <c r="B228" s="461" t="s">
        <v>119</v>
      </c>
      <c r="C228" s="461" t="s">
        <v>418</v>
      </c>
      <c r="D228" s="462" t="s">
        <v>511</v>
      </c>
      <c r="E228" s="504" t="s">
        <v>512</v>
      </c>
      <c r="F228" s="461">
        <v>84620</v>
      </c>
      <c r="G228" s="461" t="str">
        <f t="shared" si="6"/>
        <v>Carretera Agua Prieta Km. 2, Col. Cananea Centro, Cananea, Sonora. CP. 84620SonoraCANANEA84620</v>
      </c>
      <c r="H228" s="480">
        <v>0</v>
      </c>
      <c r="I228" s="480">
        <v>1105067.48</v>
      </c>
      <c r="J228" s="502">
        <v>924238.25600000005</v>
      </c>
      <c r="K228" s="480">
        <v>240305.68670707504</v>
      </c>
      <c r="L228" s="463"/>
    </row>
    <row r="229" spans="1:12" ht="23.25" customHeight="1" thickBot="1" x14ac:dyDescent="0.3">
      <c r="A229" s="503">
        <f t="shared" si="7"/>
        <v>228</v>
      </c>
      <c r="B229" s="461" t="s">
        <v>119</v>
      </c>
      <c r="C229" s="461" t="s">
        <v>468</v>
      </c>
      <c r="D229" s="462" t="s">
        <v>513</v>
      </c>
      <c r="E229" s="504" t="s">
        <v>514</v>
      </c>
      <c r="F229" s="461">
        <v>54878</v>
      </c>
      <c r="G229" s="461" t="str">
        <f t="shared" si="6"/>
        <v>Avenida Universidad S/N Rancho Tenería Plaza Cuautitlán Estado de MéxicoCuautitlan Izcalli54878</v>
      </c>
      <c r="H229" s="480">
        <v>0</v>
      </c>
      <c r="I229" s="480">
        <v>1318759.3375000001</v>
      </c>
      <c r="J229" s="502">
        <v>1102962.355</v>
      </c>
      <c r="K229" s="480">
        <v>753749.52313062199</v>
      </c>
      <c r="L229" s="463"/>
    </row>
    <row r="230" spans="1:12" ht="23.25" customHeight="1" thickBot="1" x14ac:dyDescent="0.3">
      <c r="A230" s="503">
        <f t="shared" si="7"/>
        <v>229</v>
      </c>
      <c r="B230" s="461" t="s">
        <v>119</v>
      </c>
      <c r="C230" s="461" t="s">
        <v>307</v>
      </c>
      <c r="D230" s="462" t="s">
        <v>515</v>
      </c>
      <c r="E230" s="504" t="s">
        <v>516</v>
      </c>
      <c r="F230" s="461">
        <v>94300</v>
      </c>
      <c r="G230" s="461" t="str">
        <f t="shared" si="6"/>
        <v>Calle Sur 35, Esquina vía FFCC y sur 33 No. 700 en la ciudad de Orizaba Veracruz , Plaza FaroVERACRUZOrizaba94300</v>
      </c>
      <c r="H230" s="480">
        <v>0</v>
      </c>
      <c r="I230" s="480">
        <v>1381334.35</v>
      </c>
      <c r="J230" s="502">
        <v>1155297.82</v>
      </c>
      <c r="K230" s="480">
        <v>370238.41265915625</v>
      </c>
      <c r="L230" s="463"/>
    </row>
    <row r="231" spans="1:12" ht="23.25" customHeight="1" thickBot="1" x14ac:dyDescent="0.3">
      <c r="A231" s="503">
        <f t="shared" si="7"/>
        <v>230</v>
      </c>
      <c r="B231" s="461" t="s">
        <v>158</v>
      </c>
      <c r="C231" s="461" t="s">
        <v>435</v>
      </c>
      <c r="D231" s="462" t="s">
        <v>517</v>
      </c>
      <c r="E231" s="504" t="s">
        <v>518</v>
      </c>
      <c r="F231" s="461">
        <v>26080</v>
      </c>
      <c r="G231" s="461" t="str">
        <f t="shared" si="6"/>
        <v>Lote 01 Manzana 24 de la calle Manuel Perez Treviño colonia Tecnologico Piedras Negras Coahuila No.2700CoahuilaPiedras Negras26080</v>
      </c>
      <c r="H231" s="480">
        <v>0</v>
      </c>
      <c r="I231" s="480">
        <v>1381334.35</v>
      </c>
      <c r="J231" s="502">
        <v>1155297.82</v>
      </c>
      <c r="K231" s="480">
        <v>370238.41265915625</v>
      </c>
      <c r="L231" s="463"/>
    </row>
    <row r="232" spans="1:12" ht="23.25" customHeight="1" thickBot="1" x14ac:dyDescent="0.3">
      <c r="A232" s="503">
        <f t="shared" si="7"/>
        <v>231</v>
      </c>
      <c r="B232" s="461" t="s">
        <v>115</v>
      </c>
      <c r="C232" s="461" t="s">
        <v>435</v>
      </c>
      <c r="D232" s="462" t="s">
        <v>436</v>
      </c>
      <c r="E232" s="504" t="s">
        <v>519</v>
      </c>
      <c r="F232" s="461">
        <v>25069</v>
      </c>
      <c r="G232" s="461" t="str">
        <f t="shared" si="6"/>
        <v>Periferico Luis Echeverría 1511 villa universidad ciudad de Saltillo Coahuila CoahuilaSaltillo25069</v>
      </c>
      <c r="H232" s="480">
        <v>0</v>
      </c>
      <c r="I232" s="480">
        <v>2762668.7</v>
      </c>
      <c r="J232" s="502">
        <v>2310595.64</v>
      </c>
      <c r="K232" s="480">
        <v>1228073.8291599939</v>
      </c>
      <c r="L232" s="463"/>
    </row>
    <row r="233" spans="1:12" ht="23.25" customHeight="1" thickBot="1" x14ac:dyDescent="0.3">
      <c r="A233" s="503">
        <f t="shared" si="7"/>
        <v>232</v>
      </c>
      <c r="B233" s="461" t="s">
        <v>128</v>
      </c>
      <c r="C233" s="461" t="s">
        <v>263</v>
      </c>
      <c r="D233" s="462" t="s">
        <v>457</v>
      </c>
      <c r="E233" s="504" t="s">
        <v>520</v>
      </c>
      <c r="F233" s="461">
        <v>76100</v>
      </c>
      <c r="G233" s="461" t="str">
        <f t="shared" si="6"/>
        <v>Avenida 5 de Febrero S/N Colonia Industrial Benito Juarez , Santiago de Queretaro.QUERETAROQueretaro76100</v>
      </c>
      <c r="H233" s="480">
        <v>0</v>
      </c>
      <c r="I233" s="480">
        <v>1933868.0900000003</v>
      </c>
      <c r="J233" s="502">
        <v>1617416.9480000001</v>
      </c>
      <c r="K233" s="480">
        <v>776103.540498722</v>
      </c>
      <c r="L233" s="463"/>
    </row>
    <row r="234" spans="1:12" ht="23.25" customHeight="1" thickBot="1" x14ac:dyDescent="0.3">
      <c r="A234" s="503">
        <f t="shared" si="7"/>
        <v>233</v>
      </c>
      <c r="B234" s="461" t="s">
        <v>128</v>
      </c>
      <c r="C234" s="461" t="s">
        <v>147</v>
      </c>
      <c r="D234" s="462" t="s">
        <v>451</v>
      </c>
      <c r="E234" s="504" t="s">
        <v>521</v>
      </c>
      <c r="F234" s="464" t="s">
        <v>522</v>
      </c>
      <c r="G234" s="461" t="str">
        <f t="shared" si="6"/>
        <v>Av Tlahuac 4409 lomas estrella 2a seccion Ciudad de MéxicoCDMXIztapalapa09890</v>
      </c>
      <c r="H234" s="480">
        <v>0</v>
      </c>
      <c r="I234" s="480">
        <v>3315202.4400000004</v>
      </c>
      <c r="J234" s="502">
        <v>2772714.7680000002</v>
      </c>
      <c r="K234" s="480">
        <v>1389441.8920359658</v>
      </c>
      <c r="L234" s="463"/>
    </row>
    <row r="235" spans="1:12" ht="23.25" customHeight="1" thickBot="1" x14ac:dyDescent="0.3">
      <c r="A235" s="503">
        <f t="shared" si="7"/>
        <v>234</v>
      </c>
      <c r="B235" s="461" t="s">
        <v>119</v>
      </c>
      <c r="C235" s="461" t="s">
        <v>418</v>
      </c>
      <c r="D235" s="462" t="s">
        <v>419</v>
      </c>
      <c r="E235" s="504" t="s">
        <v>523</v>
      </c>
      <c r="F235" s="461">
        <v>83130</v>
      </c>
      <c r="G235" s="461" t="str">
        <f t="shared" si="6"/>
        <v>Boulevard Solidaridad s/n Colonia Libertad Hermosillo SonoraSonoraHermosillo83130</v>
      </c>
      <c r="H235" s="480">
        <v>0</v>
      </c>
      <c r="I235" s="480">
        <v>2210134.96</v>
      </c>
      <c r="J235" s="502">
        <v>1848476.5120000001</v>
      </c>
      <c r="K235" s="480">
        <v>811031.69263637823</v>
      </c>
      <c r="L235" s="463"/>
    </row>
    <row r="236" spans="1:12" ht="23.25" customHeight="1" thickBot="1" x14ac:dyDescent="0.3">
      <c r="A236" s="503">
        <f t="shared" si="7"/>
        <v>235</v>
      </c>
      <c r="B236" s="461" t="s">
        <v>119</v>
      </c>
      <c r="C236" s="461" t="s">
        <v>338</v>
      </c>
      <c r="D236" s="462" t="s">
        <v>339</v>
      </c>
      <c r="E236" s="504" t="s">
        <v>524</v>
      </c>
      <c r="F236" s="461">
        <v>58050</v>
      </c>
      <c r="G236" s="461" t="str">
        <f t="shared" si="6"/>
        <v>Periferico Paseo de la Republica no. 853 Sector Independencia Colonia Lomas de la Huerta Morelia MichoacanMICHOACANMORELIA58050</v>
      </c>
      <c r="H236" s="480">
        <v>0</v>
      </c>
      <c r="I236" s="480">
        <v>2762668.7</v>
      </c>
      <c r="J236" s="502">
        <v>2310595.64</v>
      </c>
      <c r="K236" s="480">
        <v>998246.58809421561</v>
      </c>
      <c r="L236" s="463"/>
    </row>
    <row r="237" spans="1:12" ht="23.25" customHeight="1" thickBot="1" x14ac:dyDescent="0.3">
      <c r="A237" s="503">
        <f t="shared" si="7"/>
        <v>236</v>
      </c>
      <c r="B237" s="461" t="s">
        <v>128</v>
      </c>
      <c r="C237" s="461" t="s">
        <v>446</v>
      </c>
      <c r="D237" s="462" t="s">
        <v>216</v>
      </c>
      <c r="E237" s="504" t="s">
        <v>525</v>
      </c>
      <c r="F237" s="461">
        <v>44690</v>
      </c>
      <c r="G237" s="461" t="str">
        <f t="shared" si="6"/>
        <v>Prolongacion Avenida Vallarta no. 3300 Vallarta Nte Municipio de Guadalajara JaliscoJaliscoGUADALAJARA44690</v>
      </c>
      <c r="H237" s="480">
        <v>0</v>
      </c>
      <c r="I237" s="480">
        <v>2762668.7</v>
      </c>
      <c r="J237" s="502">
        <v>2310595.64</v>
      </c>
      <c r="K237" s="480">
        <v>962619.87291380635</v>
      </c>
      <c r="L237" s="463"/>
    </row>
    <row r="238" spans="1:12" ht="23.25" customHeight="1" thickBot="1" x14ac:dyDescent="0.3">
      <c r="A238" s="503">
        <f t="shared" si="7"/>
        <v>237</v>
      </c>
      <c r="B238" s="461" t="s">
        <v>158</v>
      </c>
      <c r="C238" s="461" t="s">
        <v>435</v>
      </c>
      <c r="D238" s="462" t="s">
        <v>526</v>
      </c>
      <c r="E238" s="504" t="s">
        <v>527</v>
      </c>
      <c r="F238" s="461">
        <v>25903</v>
      </c>
      <c r="G238" s="461" t="str">
        <f t="shared" si="6"/>
        <v>Blvd Plan de Guadalupe 1200 entre sindicalismo y periferico Díaz Ordaz en Ramos Arizpe Coahuila, EL PROGRESOCoahuilaRAMOS ARIZPE25903</v>
      </c>
      <c r="H238" s="480">
        <v>0</v>
      </c>
      <c r="I238" s="480">
        <v>1318759.3375000001</v>
      </c>
      <c r="J238" s="502">
        <v>1102962.355</v>
      </c>
      <c r="K238" s="480">
        <v>352075.77354757499</v>
      </c>
      <c r="L238" s="463"/>
    </row>
    <row r="239" spans="1:12" ht="23.25" customHeight="1" thickBot="1" x14ac:dyDescent="0.3">
      <c r="A239" s="503">
        <f t="shared" si="7"/>
        <v>238</v>
      </c>
      <c r="B239" s="461" t="s">
        <v>158</v>
      </c>
      <c r="C239" s="461" t="s">
        <v>356</v>
      </c>
      <c r="D239" s="462" t="s">
        <v>528</v>
      </c>
      <c r="E239" s="504" t="s">
        <v>529</v>
      </c>
      <c r="F239" s="461">
        <v>23427</v>
      </c>
      <c r="G239" s="461" t="str">
        <f t="shared" si="6"/>
        <v>Carretera Transpeninsular s/n, Col. El Zacatal San Jose del Cabo BCSBAJA CALIFORNIASAN JOSE DEL CABO23427</v>
      </c>
      <c r="H239" s="480">
        <v>0</v>
      </c>
      <c r="I239" s="480">
        <v>1318759.3375000001</v>
      </c>
      <c r="J239" s="502">
        <v>1102962.355</v>
      </c>
      <c r="K239" s="480">
        <v>324133.25183745002</v>
      </c>
      <c r="L239" s="463"/>
    </row>
    <row r="240" spans="1:12" ht="23.25" customHeight="1" thickBot="1" x14ac:dyDescent="0.3">
      <c r="A240" s="503">
        <f t="shared" si="7"/>
        <v>239</v>
      </c>
      <c r="B240" s="461" t="s">
        <v>128</v>
      </c>
      <c r="C240" s="461" t="s">
        <v>147</v>
      </c>
      <c r="D240" s="462" t="s">
        <v>148</v>
      </c>
      <c r="E240" s="504" t="s">
        <v>530</v>
      </c>
      <c r="F240" s="464" t="s">
        <v>531</v>
      </c>
      <c r="G240" s="461" t="str">
        <f t="shared" si="6"/>
        <v>Av. Revolucion #1817 Colonia San Angel Delegacion Alvaro Obregon Ciudad de MéxicoCDMXALVARO OBREGON01000</v>
      </c>
      <c r="H240" s="480">
        <v>0</v>
      </c>
      <c r="I240" s="480">
        <v>2513859.7000000002</v>
      </c>
      <c r="J240" s="502">
        <v>2102500.8400000003</v>
      </c>
      <c r="K240" s="480">
        <v>324831.81488020311</v>
      </c>
      <c r="L240" s="463"/>
    </row>
    <row r="241" spans="1:12" ht="23.25" customHeight="1" thickBot="1" x14ac:dyDescent="0.3">
      <c r="A241" s="503">
        <f t="shared" si="7"/>
        <v>240</v>
      </c>
      <c r="B241" s="461" t="s">
        <v>158</v>
      </c>
      <c r="C241" s="461" t="s">
        <v>201</v>
      </c>
      <c r="D241" s="462" t="s">
        <v>203</v>
      </c>
      <c r="E241" s="504" t="s">
        <v>532</v>
      </c>
      <c r="F241" s="461">
        <v>37407</v>
      </c>
      <c r="G241" s="461" t="str">
        <f t="shared" si="6"/>
        <v>Boulevard San Juan Bosco no. 2109  Rancho Cruz de las Hilamas, Hilmas León GuanajuatoGUANAJUATOLEON37407</v>
      </c>
      <c r="H241" s="480">
        <v>0</v>
      </c>
      <c r="I241" s="480">
        <v>1318759.3375000001</v>
      </c>
      <c r="J241" s="502">
        <v>1102962.355</v>
      </c>
      <c r="K241" s="480">
        <v>349281.52137656254</v>
      </c>
      <c r="L241" s="463"/>
    </row>
    <row r="242" spans="1:12" ht="23.25" customHeight="1" thickBot="1" x14ac:dyDescent="0.3">
      <c r="A242" s="503">
        <f t="shared" si="7"/>
        <v>241</v>
      </c>
      <c r="B242" s="461" t="s">
        <v>158</v>
      </c>
      <c r="C242" s="461" t="s">
        <v>273</v>
      </c>
      <c r="D242" s="462" t="s">
        <v>274</v>
      </c>
      <c r="E242" s="504" t="s">
        <v>533</v>
      </c>
      <c r="F242" s="461">
        <v>80189</v>
      </c>
      <c r="G242" s="461" t="str">
        <f t="shared" si="6"/>
        <v>Av. Alma Schillerde de Z. y Av. Benjamin Hill 5720 Colonia Infonavit Barrancos Culiacan SinaloaSINALOACULIACAN80189</v>
      </c>
      <c r="H242" s="480">
        <v>0</v>
      </c>
      <c r="I242" s="480">
        <v>1318759.3375000001</v>
      </c>
      <c r="J242" s="502">
        <v>1102962.355</v>
      </c>
      <c r="K242" s="480">
        <v>348582.95833380939</v>
      </c>
      <c r="L242" s="463"/>
    </row>
    <row r="243" spans="1:12" ht="23.25" customHeight="1" thickBot="1" x14ac:dyDescent="0.3">
      <c r="A243" s="503">
        <f t="shared" si="7"/>
        <v>242</v>
      </c>
      <c r="B243" s="461" t="s">
        <v>158</v>
      </c>
      <c r="C243" s="461" t="s">
        <v>356</v>
      </c>
      <c r="D243" s="462" t="s">
        <v>534</v>
      </c>
      <c r="E243" s="504" t="s">
        <v>535</v>
      </c>
      <c r="F243" s="461">
        <v>21259</v>
      </c>
      <c r="G243" s="461" t="str">
        <f t="shared" si="6"/>
        <v>Local 1 manzana 9 esquina Manuel Gomez Marin y Calzada Cetys Mexicali Baja California RIVERABAJA CALIFORNIAMEXICALI21259</v>
      </c>
      <c r="H243" s="480">
        <v>0</v>
      </c>
      <c r="I243" s="480">
        <v>2879008.2750000004</v>
      </c>
      <c r="J243" s="502">
        <v>2407897.83</v>
      </c>
      <c r="K243" s="480">
        <v>692974.53841110005</v>
      </c>
      <c r="L243" s="463"/>
    </row>
    <row r="244" spans="1:12" ht="23.25" customHeight="1" thickBot="1" x14ac:dyDescent="0.3">
      <c r="A244" s="503">
        <f t="shared" si="7"/>
        <v>243</v>
      </c>
      <c r="B244" s="461" t="s">
        <v>119</v>
      </c>
      <c r="C244" s="461" t="s">
        <v>147</v>
      </c>
      <c r="D244" s="462" t="s">
        <v>389</v>
      </c>
      <c r="E244" s="504" t="s">
        <v>536</v>
      </c>
      <c r="F244" s="464">
        <v>2960</v>
      </c>
      <c r="G244" s="461" t="str">
        <f t="shared" si="6"/>
        <v>Eje 1 Poniente Calzada Vallejo No. 296 Colonia San Francisco Xocotitla, C.P. 02960 Delegación Azcapotzalco México D.F.CDMXAZCAPOTZALCO2960</v>
      </c>
      <c r="H244" s="480">
        <v>0</v>
      </c>
      <c r="I244" s="480">
        <v>2210134.96</v>
      </c>
      <c r="J244" s="502">
        <v>1848476.5120000001</v>
      </c>
      <c r="K244" s="480">
        <v>761433.71660090634</v>
      </c>
      <c r="L244" s="463"/>
    </row>
    <row r="245" spans="1:12" ht="23.25" customHeight="1" thickBot="1" x14ac:dyDescent="0.3">
      <c r="A245" s="503">
        <f t="shared" si="7"/>
        <v>244</v>
      </c>
      <c r="B245" s="461" t="s">
        <v>158</v>
      </c>
      <c r="C245" s="461" t="s">
        <v>468</v>
      </c>
      <c r="D245" s="462" t="s">
        <v>469</v>
      </c>
      <c r="E245" s="504" t="s">
        <v>537</v>
      </c>
      <c r="F245" s="461">
        <v>53390</v>
      </c>
      <c r="G245" s="461" t="str">
        <f t="shared" si="6"/>
        <v>Transmisiones Militares numero 30 Fraccionamiento Industiral Naucalpan , Municipio de Naucalpan de Juárez , EL PARQUEEstado de MéxicoNaucalpan53390</v>
      </c>
      <c r="H245" s="480">
        <v>0</v>
      </c>
      <c r="I245" s="480">
        <v>3038935.5700000003</v>
      </c>
      <c r="J245" s="502">
        <v>2541655.2040000004</v>
      </c>
      <c r="K245" s="480">
        <v>874600.92952691263</v>
      </c>
      <c r="L245" s="463"/>
    </row>
    <row r="246" spans="1:12" ht="23.25" customHeight="1" thickBot="1" x14ac:dyDescent="0.3">
      <c r="A246" s="503">
        <f t="shared" si="7"/>
        <v>245</v>
      </c>
      <c r="B246" s="461" t="s">
        <v>112</v>
      </c>
      <c r="C246" s="461" t="s">
        <v>238</v>
      </c>
      <c r="D246" s="462" t="s">
        <v>235</v>
      </c>
      <c r="E246" s="504" t="s">
        <v>538</v>
      </c>
      <c r="F246" s="461">
        <v>66260</v>
      </c>
      <c r="G246" s="461" t="str">
        <f t="shared" si="6"/>
        <v>Av. Batallón de San Patricio #1000 Colonia Residencial San Agustin San Pedro Garza García Nuevo Leon MéxicoMONTERREYNUEVO LEON66260</v>
      </c>
      <c r="H246" s="480">
        <v>0</v>
      </c>
      <c r="I246" s="480">
        <v>3874368.9325000001</v>
      </c>
      <c r="J246" s="502">
        <v>3240381.2889999999</v>
      </c>
      <c r="K246" s="480">
        <v>706945.79926616256</v>
      </c>
      <c r="L246" s="463"/>
    </row>
    <row r="247" spans="1:12" ht="23.25" customHeight="1" thickBot="1" x14ac:dyDescent="0.3">
      <c r="A247" s="503">
        <f t="shared" si="7"/>
        <v>246</v>
      </c>
      <c r="B247" s="461" t="s">
        <v>128</v>
      </c>
      <c r="C247" s="461" t="s">
        <v>228</v>
      </c>
      <c r="D247" s="462" t="s">
        <v>478</v>
      </c>
      <c r="E247" s="504" t="s">
        <v>539</v>
      </c>
      <c r="F247" s="461">
        <v>62450</v>
      </c>
      <c r="G247" s="461" t="str">
        <f t="shared" si="6"/>
        <v>Av. Paseo Cuauhnahuac sin numero km. 05 carretera Cuernavaca Cuautla Colonia Chapultepec, Municipio de Cuernavaca MorelosMORELOSCUERNAVACA62450</v>
      </c>
      <c r="H247" s="480">
        <v>0</v>
      </c>
      <c r="I247" s="480">
        <v>4057564.1425000005</v>
      </c>
      <c r="J247" s="502">
        <v>3393599.1009999998</v>
      </c>
      <c r="K247" s="480">
        <v>922801.77947687823</v>
      </c>
      <c r="L247" s="463"/>
    </row>
    <row r="248" spans="1:12" ht="23.25" customHeight="1" thickBot="1" x14ac:dyDescent="0.3">
      <c r="A248" s="503">
        <f t="shared" si="7"/>
        <v>247</v>
      </c>
      <c r="B248" s="461" t="s">
        <v>128</v>
      </c>
      <c r="C248" s="461" t="s">
        <v>540</v>
      </c>
      <c r="D248" s="462" t="s">
        <v>317</v>
      </c>
      <c r="E248" s="504" t="s">
        <v>541</v>
      </c>
      <c r="F248" s="461">
        <v>97130</v>
      </c>
      <c r="G248" s="461" t="str">
        <f t="shared" si="6"/>
        <v>Av. Correa Racho No. 34, vista alegre, Mérida YucatánYUCATÁNMERIDA97130</v>
      </c>
      <c r="H248" s="480">
        <v>0</v>
      </c>
      <c r="I248" s="480">
        <v>2879008.2750000004</v>
      </c>
      <c r="J248" s="502">
        <v>2407897.83</v>
      </c>
      <c r="K248" s="480">
        <v>780993.48179799388</v>
      </c>
      <c r="L248" s="463"/>
    </row>
    <row r="249" spans="1:12" ht="23.25" customHeight="1" thickBot="1" x14ac:dyDescent="0.3">
      <c r="A249" s="503">
        <f t="shared" si="7"/>
        <v>248</v>
      </c>
      <c r="B249" s="461" t="s">
        <v>119</v>
      </c>
      <c r="C249" s="461" t="s">
        <v>446</v>
      </c>
      <c r="D249" s="462" t="s">
        <v>542</v>
      </c>
      <c r="E249" s="504" t="s">
        <v>543</v>
      </c>
      <c r="F249" s="461">
        <v>45160</v>
      </c>
      <c r="G249" s="461" t="str">
        <f t="shared" si="6"/>
        <v>Av. Patria entre las avenidas de las Americas y Avila Camacho en Zapopan Jalisco, JACARANDASJaliscoZapopan45160</v>
      </c>
      <c r="H249" s="480">
        <v>0</v>
      </c>
      <c r="I249" s="480">
        <v>6762485.0150000006</v>
      </c>
      <c r="J249" s="502">
        <v>5655896.5580000002</v>
      </c>
      <c r="K249" s="480">
        <v>1193844.2400650908</v>
      </c>
      <c r="L249" s="463"/>
    </row>
    <row r="250" spans="1:12" ht="23.25" customHeight="1" thickBot="1" x14ac:dyDescent="0.3">
      <c r="A250" s="503">
        <f t="shared" si="7"/>
        <v>249</v>
      </c>
      <c r="B250" s="461" t="s">
        <v>158</v>
      </c>
      <c r="C250" s="461" t="s">
        <v>446</v>
      </c>
      <c r="D250" s="462" t="s">
        <v>542</v>
      </c>
      <c r="E250" s="504" t="s">
        <v>544</v>
      </c>
      <c r="F250" s="461">
        <v>45190</v>
      </c>
      <c r="G250" s="461" t="str">
        <f t="shared" si="6"/>
        <v>Av. Alcalde 140 entre Ramon Corona y Av. Experiencia, Fraccionamiento El Batán Municipio de Zapopan Jalisco C.P. 45190JaliscoZapopan45190</v>
      </c>
      <c r="H250" s="480">
        <v>0</v>
      </c>
      <c r="I250" s="480">
        <v>1056973.1700000002</v>
      </c>
      <c r="J250" s="502">
        <v>884013.924</v>
      </c>
      <c r="K250" s="480">
        <v>349660.16799999995</v>
      </c>
      <c r="L250" s="463"/>
    </row>
    <row r="251" spans="1:12" ht="23.25" customHeight="1" thickBot="1" x14ac:dyDescent="0.3">
      <c r="A251" s="503">
        <f t="shared" si="7"/>
        <v>250</v>
      </c>
      <c r="B251" s="461" t="s">
        <v>158</v>
      </c>
      <c r="C251" s="461" t="s">
        <v>504</v>
      </c>
      <c r="D251" s="462" t="s">
        <v>235</v>
      </c>
      <c r="E251" s="504" t="s">
        <v>545</v>
      </c>
      <c r="F251" s="461">
        <v>65515</v>
      </c>
      <c r="G251" s="461" t="str">
        <f t="shared" si="6"/>
        <v>Carretera Monterrey Salinas Victoria Km 5.5 #5001 Fracc, Bosque de los Nogales, los fresno Salinas VictoriaNuevo LeonNUEVO LEON65515</v>
      </c>
      <c r="H251" s="480">
        <v>0</v>
      </c>
      <c r="I251" s="480">
        <v>1329819.2875000001</v>
      </c>
      <c r="J251" s="502">
        <v>1112212.4950000001</v>
      </c>
      <c r="K251" s="480">
        <v>339170.36295999994</v>
      </c>
      <c r="L251" s="463"/>
    </row>
    <row r="252" spans="1:12" ht="23.25" customHeight="1" thickBot="1" x14ac:dyDescent="0.3">
      <c r="A252" s="503">
        <f t="shared" si="7"/>
        <v>251</v>
      </c>
      <c r="B252" s="461" t="s">
        <v>119</v>
      </c>
      <c r="C252" s="461" t="s">
        <v>546</v>
      </c>
      <c r="D252" s="462" t="s">
        <v>547</v>
      </c>
      <c r="E252" s="504" t="s">
        <v>548</v>
      </c>
      <c r="F252" s="461">
        <v>90111</v>
      </c>
      <c r="G252" s="461" t="str">
        <f t="shared" si="6"/>
        <v>Libramiento poniente de Tlaxcala  del km 8+673.4 comunidad de San Sebastian Atlahapa, C.P. 90111 Municipio de Tlaxcala , TlaxcalaTlaxcalaTLAXCALA90111</v>
      </c>
      <c r="H252" s="480">
        <v>0</v>
      </c>
      <c r="I252" s="480">
        <v>4113677.37</v>
      </c>
      <c r="J252" s="502">
        <v>3440530.1639999999</v>
      </c>
      <c r="K252" s="480">
        <v>570098.1</v>
      </c>
      <c r="L252" s="463"/>
    </row>
    <row r="253" spans="1:12" ht="23.25" customHeight="1" thickBot="1" x14ac:dyDescent="0.3">
      <c r="A253" s="503">
        <f t="shared" si="7"/>
        <v>252</v>
      </c>
      <c r="B253" s="461" t="s">
        <v>115</v>
      </c>
      <c r="C253" s="461" t="s">
        <v>549</v>
      </c>
      <c r="D253" s="462" t="s">
        <v>334</v>
      </c>
      <c r="E253" s="504" t="s">
        <v>550</v>
      </c>
      <c r="F253" s="461">
        <v>40890</v>
      </c>
      <c r="G253" s="461" t="str">
        <f t="shared" si="6"/>
        <v>Lote de la manzana 6, supermanzana VII Col.centro de Zihuatanejo de Azueta Guerrero , mar egeo 48 centroGuerreroGUERRERO40890</v>
      </c>
      <c r="H253" s="480">
        <v>0</v>
      </c>
      <c r="I253" s="480">
        <v>1318759.3375000001</v>
      </c>
      <c r="J253" s="502">
        <v>1102962.355</v>
      </c>
      <c r="K253" s="480">
        <v>339170.36295999994</v>
      </c>
      <c r="L253" s="463"/>
    </row>
    <row r="254" spans="1:12" ht="23.25" customHeight="1" thickBot="1" x14ac:dyDescent="0.3">
      <c r="A254" s="503">
        <f t="shared" si="7"/>
        <v>253</v>
      </c>
      <c r="B254" s="461" t="s">
        <v>115</v>
      </c>
      <c r="C254" s="461" t="s">
        <v>147</v>
      </c>
      <c r="D254" s="462" t="s">
        <v>154</v>
      </c>
      <c r="E254" s="504" t="s">
        <v>551</v>
      </c>
      <c r="F254" s="464" t="s">
        <v>552</v>
      </c>
      <c r="G254" s="461" t="str">
        <f t="shared" si="6"/>
        <v>Avenida Insurgentes Sur numero 1457 colonia Insurgentes Mixcoac delegación Benito Juárez Ciudad de MéxicoCDMXBENITO JUAREZ03920</v>
      </c>
      <c r="H254" s="480">
        <v>0</v>
      </c>
      <c r="I254" s="480">
        <v>3742710.7575000003</v>
      </c>
      <c r="J254" s="502">
        <v>3130267.1790000005</v>
      </c>
      <c r="K254" s="480">
        <v>570098.1</v>
      </c>
      <c r="L254" s="463"/>
    </row>
    <row r="255" spans="1:12" ht="23.25" customHeight="1" thickBot="1" x14ac:dyDescent="0.3">
      <c r="A255" s="503">
        <f t="shared" si="7"/>
        <v>254</v>
      </c>
      <c r="B255" s="461" t="s">
        <v>158</v>
      </c>
      <c r="C255" s="461" t="s">
        <v>504</v>
      </c>
      <c r="D255" s="462" t="s">
        <v>238</v>
      </c>
      <c r="E255" s="504" t="s">
        <v>553</v>
      </c>
      <c r="F255" s="461">
        <v>64000</v>
      </c>
      <c r="G255" s="461" t="str">
        <f t="shared" si="6"/>
        <v>Avenida Constitución entre Benito Juárez y José Garibaldi Colonia Centro Municipio de Monterrey Nuevo LeónNuevo LeonMONTERREY64000</v>
      </c>
      <c r="H255" s="480">
        <v>0</v>
      </c>
      <c r="I255" s="480">
        <v>2303206.62</v>
      </c>
      <c r="J255" s="502">
        <v>1926318.264</v>
      </c>
      <c r="K255" s="480">
        <v>350829.6</v>
      </c>
      <c r="L255" s="463"/>
    </row>
    <row r="256" spans="1:12" ht="23.25" customHeight="1" thickBot="1" x14ac:dyDescent="0.3">
      <c r="A256" s="503">
        <f t="shared" si="7"/>
        <v>255</v>
      </c>
      <c r="B256" s="461" t="s">
        <v>115</v>
      </c>
      <c r="C256" s="461" t="s">
        <v>449</v>
      </c>
      <c r="D256" s="462" t="s">
        <v>259</v>
      </c>
      <c r="E256" s="504" t="s">
        <v>554</v>
      </c>
      <c r="F256" s="461">
        <v>72480</v>
      </c>
      <c r="G256" s="461" t="str">
        <f t="shared" si="6"/>
        <v>Prolongación Municipio Libre Numero 1910 Colonia Exhacienda de Mayorazgo Puebla Puebla.PueblaPUEBLA72480</v>
      </c>
      <c r="H256" s="480">
        <v>0</v>
      </c>
      <c r="I256" s="480">
        <v>2762668.7</v>
      </c>
      <c r="J256" s="502">
        <v>2310595.64</v>
      </c>
      <c r="K256" s="480">
        <v>409301.2</v>
      </c>
      <c r="L256" s="463"/>
    </row>
    <row r="257" spans="1:12" ht="23.25" customHeight="1" thickBot="1" x14ac:dyDescent="0.3">
      <c r="A257" s="503">
        <f t="shared" si="7"/>
        <v>256</v>
      </c>
      <c r="B257" s="461" t="s">
        <v>115</v>
      </c>
      <c r="C257" s="461" t="s">
        <v>147</v>
      </c>
      <c r="D257" s="462" t="s">
        <v>443</v>
      </c>
      <c r="E257" s="504" t="s">
        <v>555</v>
      </c>
      <c r="F257" s="464" t="s">
        <v>556</v>
      </c>
      <c r="G257" s="461" t="str">
        <f t="shared" si="6"/>
        <v>Calle Lorenzo Boturini Numero 258 Colonia Transito delegación Cuauhtemoc Ciudad de MéxicoCDMXCuauhtemoc06820</v>
      </c>
      <c r="H257" s="480">
        <v>0</v>
      </c>
      <c r="I257" s="480">
        <v>2486401.83</v>
      </c>
      <c r="J257" s="502">
        <v>2079536.0760000001</v>
      </c>
      <c r="K257" s="480">
        <v>368371.08</v>
      </c>
      <c r="L257" s="463"/>
    </row>
    <row r="258" spans="1:12" ht="23.25" customHeight="1" thickBot="1" x14ac:dyDescent="0.3">
      <c r="A258" s="503">
        <f t="shared" si="7"/>
        <v>257</v>
      </c>
      <c r="B258" s="461" t="s">
        <v>158</v>
      </c>
      <c r="C258" s="461" t="s">
        <v>238</v>
      </c>
      <c r="D258" s="462" t="s">
        <v>235</v>
      </c>
      <c r="E258" s="504" t="s">
        <v>557</v>
      </c>
      <c r="F258" s="461">
        <v>64740</v>
      </c>
      <c r="G258" s="461" t="str">
        <f t="shared" si="6"/>
        <v>Avenida Eugenio Garza Sada Numero 3431 Colonia Arrollo Seco Municipio de Monterrey Nuevo LeónMONTERREYNUEVO LEON64740</v>
      </c>
      <c r="H258" s="480">
        <v>0</v>
      </c>
      <c r="I258" s="480">
        <v>3038935.5700000003</v>
      </c>
      <c r="J258" s="502">
        <v>2541655.2040000004</v>
      </c>
      <c r="K258" s="480">
        <v>393952.40499999997</v>
      </c>
      <c r="L258" s="463"/>
    </row>
    <row r="259" spans="1:12" ht="23.25" customHeight="1" thickBot="1" x14ac:dyDescent="0.3">
      <c r="A259" s="503">
        <f t="shared" si="7"/>
        <v>258</v>
      </c>
      <c r="B259" s="461" t="s">
        <v>119</v>
      </c>
      <c r="C259" s="461" t="s">
        <v>147</v>
      </c>
      <c r="D259" s="462" t="s">
        <v>558</v>
      </c>
      <c r="E259" s="504" t="s">
        <v>559</v>
      </c>
      <c r="F259" s="461">
        <v>16020</v>
      </c>
      <c r="G259" s="461" t="str">
        <f t="shared" ref="G259:G322" si="8">CONCATENATE(E259,C259,D259,F259)</f>
        <v>Calzada Arenal Número 651 Santa Maria Tepepan Xochimilco Ciudad de MéxicoCDMXXOCHIMILCO16020</v>
      </c>
      <c r="H259" s="480">
        <v>0</v>
      </c>
      <c r="I259" s="480">
        <v>1933868.0900000003</v>
      </c>
      <c r="J259" s="502">
        <v>1617416.9480000001</v>
      </c>
      <c r="K259" s="480">
        <v>286510.83999999997</v>
      </c>
      <c r="L259" s="463"/>
    </row>
    <row r="260" spans="1:12" ht="23.25" customHeight="1" thickBot="1" x14ac:dyDescent="0.3">
      <c r="A260" s="503">
        <f t="shared" ref="A260:A313" si="9">+A259+1</f>
        <v>259</v>
      </c>
      <c r="B260" s="461" t="s">
        <v>128</v>
      </c>
      <c r="C260" s="461" t="s">
        <v>180</v>
      </c>
      <c r="D260" s="462" t="s">
        <v>197</v>
      </c>
      <c r="E260" s="504" t="s">
        <v>560</v>
      </c>
      <c r="F260" s="461">
        <v>50150</v>
      </c>
      <c r="G260" s="461" t="str">
        <f t="shared" si="8"/>
        <v>Miguel Hidalgo Oriente numero 1350, vertice, Barrio de San Sebastian Toluca Estado de MéxicoESTADO DE MEXICOTOLUCA50150</v>
      </c>
      <c r="H260" s="480">
        <v>0</v>
      </c>
      <c r="I260" s="480">
        <v>2210134.96</v>
      </c>
      <c r="J260" s="502">
        <v>1848476.5120000001</v>
      </c>
      <c r="K260" s="480">
        <v>286510.83999999997</v>
      </c>
      <c r="L260" s="463"/>
    </row>
    <row r="261" spans="1:12" ht="23.25" customHeight="1" thickBot="1" x14ac:dyDescent="0.3">
      <c r="A261" s="503">
        <f t="shared" si="9"/>
        <v>260</v>
      </c>
      <c r="B261" s="461" t="s">
        <v>158</v>
      </c>
      <c r="C261" s="461" t="s">
        <v>180</v>
      </c>
      <c r="D261" s="462" t="s">
        <v>191</v>
      </c>
      <c r="E261" s="504" t="s">
        <v>561</v>
      </c>
      <c r="F261" s="461">
        <v>53900</v>
      </c>
      <c r="G261" s="461" t="str">
        <f t="shared" si="8"/>
        <v>Manzana H Fraccionamiento Lomas Hipódromo Naucalpan de Juárez Estado de México avenida del Conscripto 360 Lomas HipódromoESTADO DE MEXICONAUCALPAN53900</v>
      </c>
      <c r="H261" s="480">
        <v>0</v>
      </c>
      <c r="I261" s="480">
        <v>1885394.7749999999</v>
      </c>
      <c r="J261" s="502">
        <v>1576875.6300000001</v>
      </c>
      <c r="K261" s="480">
        <v>214883.12999999998</v>
      </c>
      <c r="L261" s="463"/>
    </row>
    <row r="262" spans="1:12" ht="23.25" customHeight="1" thickBot="1" x14ac:dyDescent="0.3">
      <c r="A262" s="503">
        <f t="shared" si="9"/>
        <v>261</v>
      </c>
      <c r="B262" s="461" t="s">
        <v>158</v>
      </c>
      <c r="C262" s="461" t="s">
        <v>228</v>
      </c>
      <c r="D262" s="462" t="s">
        <v>478</v>
      </c>
      <c r="E262" s="504" t="s">
        <v>562</v>
      </c>
      <c r="F262" s="461">
        <v>62430</v>
      </c>
      <c r="G262" s="461" t="str">
        <f t="shared" si="8"/>
        <v>Avenida Cuauhnahuac 1932 Tlahuapan Km 4.5 de la carretera Cuernavaca-Cuautla ,Jiutepec MorelosMORELOSCUERNAVACA62430</v>
      </c>
      <c r="H262" s="480">
        <v>0</v>
      </c>
      <c r="I262" s="480">
        <v>1933868.0900000003</v>
      </c>
      <c r="J262" s="502">
        <v>1617416.9480000001</v>
      </c>
      <c r="K262" s="480">
        <v>250696.98500000002</v>
      </c>
      <c r="L262" s="463"/>
    </row>
    <row r="263" spans="1:12" ht="23.25" customHeight="1" thickBot="1" x14ac:dyDescent="0.3">
      <c r="A263" s="503">
        <f t="shared" si="9"/>
        <v>262</v>
      </c>
      <c r="B263" s="461" t="s">
        <v>115</v>
      </c>
      <c r="C263" s="461" t="s">
        <v>147</v>
      </c>
      <c r="D263" s="462" t="s">
        <v>389</v>
      </c>
      <c r="E263" s="504" t="s">
        <v>563</v>
      </c>
      <c r="F263" s="464">
        <v>2020</v>
      </c>
      <c r="G263" s="461" t="str">
        <f t="shared" si="8"/>
        <v>Numero 99 de la antigua calzada de Guadalupe Azcapotzalco La Villa Col. San Marcos que es una porcion del resto del lote numero uno de la antigua hacienda de San Marcos y Pantaco Azcapotzalco Ciudad de MéxicoCDMXAZCAPOTZALCO2020</v>
      </c>
      <c r="H263" s="480">
        <v>0</v>
      </c>
      <c r="I263" s="480">
        <v>1933868.0900000003</v>
      </c>
      <c r="J263" s="502">
        <v>1617416.9480000001</v>
      </c>
      <c r="K263" s="480">
        <v>250696.98500000002</v>
      </c>
      <c r="L263" s="463"/>
    </row>
    <row r="264" spans="1:12" ht="23.25" customHeight="1" thickBot="1" x14ac:dyDescent="0.3">
      <c r="A264" s="503">
        <f t="shared" si="9"/>
        <v>263</v>
      </c>
      <c r="B264" s="461" t="s">
        <v>158</v>
      </c>
      <c r="C264" s="461" t="s">
        <v>138</v>
      </c>
      <c r="D264" s="462" t="s">
        <v>143</v>
      </c>
      <c r="E264" s="504" t="s">
        <v>564</v>
      </c>
      <c r="F264" s="464">
        <v>27830</v>
      </c>
      <c r="G264" s="461" t="str">
        <f t="shared" si="8"/>
        <v>Torreón San Pedro No. 58 en la colonia Tierras del Ejido de Áncora C.P. 27830  Municipio San Pedro de las Colonias CoahuilaCOAHUILATORREON27830</v>
      </c>
      <c r="H264" s="480">
        <v>0</v>
      </c>
      <c r="I264" s="480">
        <v>1318759.3375000001</v>
      </c>
      <c r="J264" s="502">
        <v>1102962.355</v>
      </c>
      <c r="K264" s="480">
        <v>179069.27499999999</v>
      </c>
      <c r="L264" s="463"/>
    </row>
    <row r="265" spans="1:12" ht="23.25" customHeight="1" thickBot="1" x14ac:dyDescent="0.3">
      <c r="A265" s="503">
        <f t="shared" si="9"/>
        <v>264</v>
      </c>
      <c r="B265" s="461" t="s">
        <v>115</v>
      </c>
      <c r="C265" s="461" t="s">
        <v>259</v>
      </c>
      <c r="D265" s="462" t="s">
        <v>259</v>
      </c>
      <c r="E265" s="504" t="s">
        <v>565</v>
      </c>
      <c r="F265" s="464">
        <v>72570</v>
      </c>
      <c r="G265" s="461" t="str">
        <f t="shared" si="8"/>
        <v>Boulevard 14 sur No. 4502 Sector Independencia Puebla Puebla México C.P. 72570Jardines de san manuel,Plaza San ManuelPUEBLAPUEBLA72570</v>
      </c>
      <c r="H265" s="480">
        <v>0</v>
      </c>
      <c r="I265" s="480">
        <v>2210134.96</v>
      </c>
      <c r="J265" s="502">
        <v>1848476.5120000001</v>
      </c>
      <c r="K265" s="480">
        <v>286510.83999999997</v>
      </c>
      <c r="L265" s="463"/>
    </row>
    <row r="266" spans="1:12" ht="23.25" customHeight="1" thickBot="1" x14ac:dyDescent="0.3">
      <c r="A266" s="503">
        <f t="shared" si="9"/>
        <v>265</v>
      </c>
      <c r="B266" s="461" t="s">
        <v>128</v>
      </c>
      <c r="C266" s="461" t="s">
        <v>259</v>
      </c>
      <c r="D266" s="462" t="s">
        <v>566</v>
      </c>
      <c r="E266" s="504" t="s">
        <v>567</v>
      </c>
      <c r="F266" s="464">
        <v>72760</v>
      </c>
      <c r="G266" s="461" t="str">
        <f t="shared" si="8"/>
        <v>Calle Alejandra S/N Junta Aux Santiago Momoxpan San Pedro Cholula PueblaPUEBLACHOLULA72760</v>
      </c>
      <c r="H266" s="480">
        <v>0</v>
      </c>
      <c r="I266" s="480">
        <v>2879008.2750000004</v>
      </c>
      <c r="J266" s="502">
        <v>2407897.83</v>
      </c>
      <c r="K266" s="480">
        <v>376045.47749999998</v>
      </c>
      <c r="L266" s="463"/>
    </row>
    <row r="267" spans="1:12" ht="23.25" customHeight="1" thickBot="1" x14ac:dyDescent="0.3">
      <c r="A267" s="503">
        <f t="shared" si="9"/>
        <v>266</v>
      </c>
      <c r="B267" s="461" t="s">
        <v>158</v>
      </c>
      <c r="C267" s="461" t="s">
        <v>273</v>
      </c>
      <c r="D267" s="462" t="s">
        <v>274</v>
      </c>
      <c r="E267" s="504" t="s">
        <v>568</v>
      </c>
      <c r="F267" s="464">
        <v>80080</v>
      </c>
      <c r="G267" s="461" t="str">
        <f t="shared" si="8"/>
        <v>Boulevard Francisco I Madero numero 4244 Oriente en la Colonia El Barrio Culiacán SinaloaSINALOACULIACAN80080</v>
      </c>
      <c r="H267" s="480">
        <v>0</v>
      </c>
      <c r="I267" s="480">
        <v>1846263.0725000002</v>
      </c>
      <c r="J267" s="502">
        <v>1544147.297</v>
      </c>
      <c r="K267" s="480">
        <v>263231.83424999996</v>
      </c>
      <c r="L267" s="463"/>
    </row>
    <row r="268" spans="1:12" ht="23.25" customHeight="1" thickBot="1" x14ac:dyDescent="0.3">
      <c r="A268" s="503">
        <f t="shared" si="9"/>
        <v>267</v>
      </c>
      <c r="B268" s="461" t="s">
        <v>119</v>
      </c>
      <c r="C268" s="461" t="s">
        <v>263</v>
      </c>
      <c r="D268" s="462" t="s">
        <v>263</v>
      </c>
      <c r="E268" s="504" t="s">
        <v>569</v>
      </c>
      <c r="F268" s="464">
        <v>76178</v>
      </c>
      <c r="G268" s="461" t="str">
        <f t="shared" si="8"/>
        <v>Calle Guadalupe 201 delegación Felipe Carrillo Puerto C.P. 76178 Santiago de Querétaro , QuerétaroQUERETAROQUERETARO76178</v>
      </c>
      <c r="H268" s="480">
        <v>0</v>
      </c>
      <c r="I268" s="480">
        <v>1582511.2050000001</v>
      </c>
      <c r="J268" s="502">
        <v>1323554.8259999999</v>
      </c>
      <c r="K268" s="480">
        <v>225627.28649999999</v>
      </c>
      <c r="L268" s="463"/>
    </row>
    <row r="269" spans="1:12" ht="23.25" customHeight="1" thickBot="1" x14ac:dyDescent="0.3">
      <c r="A269" s="503">
        <f t="shared" si="9"/>
        <v>268</v>
      </c>
      <c r="B269" s="461" t="s">
        <v>128</v>
      </c>
      <c r="C269" s="461" t="s">
        <v>570</v>
      </c>
      <c r="D269" s="462" t="s">
        <v>441</v>
      </c>
      <c r="E269" s="504" t="s">
        <v>571</v>
      </c>
      <c r="F269" s="464">
        <v>29040</v>
      </c>
      <c r="G269" s="461" t="str">
        <f t="shared" si="8"/>
        <v>Carretera Tuxtla Chiapa de Corzo No. 651 Esq. Boulevard Salomón Gonzalez Blanco Tuxtla Gutierrez ChiapasCHIAPASTuxtla Gutierrez29040</v>
      </c>
      <c r="H269" s="480">
        <v>0</v>
      </c>
      <c r="I269" s="480">
        <v>3467064.81</v>
      </c>
      <c r="J269" s="502">
        <v>2899726.932</v>
      </c>
      <c r="K269" s="480">
        <v>429766.25999999995</v>
      </c>
      <c r="L269" s="463"/>
    </row>
    <row r="270" spans="1:12" ht="23.25" customHeight="1" thickBot="1" x14ac:dyDescent="0.3">
      <c r="A270" s="503">
        <f t="shared" si="9"/>
        <v>269</v>
      </c>
      <c r="B270" s="461" t="s">
        <v>158</v>
      </c>
      <c r="C270" s="461" t="s">
        <v>273</v>
      </c>
      <c r="D270" s="462" t="s">
        <v>274</v>
      </c>
      <c r="E270" s="504" t="s">
        <v>572</v>
      </c>
      <c r="F270" s="464">
        <v>80290</v>
      </c>
      <c r="G270" s="461" t="str">
        <f t="shared" si="8"/>
        <v>Avenida Patria 3140 Col. Lázaro Cardenas 80290 , Culiacán SinaloaSINALOACULIACAN80290</v>
      </c>
      <c r="H270" s="480">
        <v>0</v>
      </c>
      <c r="I270" s="480">
        <v>1318759.3375000001</v>
      </c>
      <c r="J270" s="502">
        <v>1102962.355</v>
      </c>
      <c r="K270" s="480">
        <v>179069.27499999999</v>
      </c>
      <c r="L270" s="463"/>
    </row>
    <row r="271" spans="1:12" ht="23.25" customHeight="1" thickBot="1" x14ac:dyDescent="0.3">
      <c r="A271" s="503">
        <f t="shared" si="9"/>
        <v>270</v>
      </c>
      <c r="B271" s="461" t="s">
        <v>128</v>
      </c>
      <c r="C271" s="461" t="s">
        <v>462</v>
      </c>
      <c r="D271" s="462" t="s">
        <v>573</v>
      </c>
      <c r="E271" s="504" t="s">
        <v>574</v>
      </c>
      <c r="F271" s="464">
        <v>77600</v>
      </c>
      <c r="G271" s="461" t="str">
        <f t="shared" si="8"/>
        <v>Av. Rafael E. Melgar no. 599 Centro Cozumel Quintana Roo C.P. 77600, Punta LangostaQuintana RooCOZUMEL77600</v>
      </c>
      <c r="H271" s="480">
        <v>0</v>
      </c>
      <c r="I271" s="480">
        <v>2015305.7925</v>
      </c>
      <c r="J271" s="502">
        <v>1685528.4810000001</v>
      </c>
      <c r="K271" s="480">
        <v>361003.65839999996</v>
      </c>
      <c r="L271" s="463"/>
    </row>
    <row r="272" spans="1:12" ht="23.25" customHeight="1" thickBot="1" x14ac:dyDescent="0.3">
      <c r="A272" s="503">
        <f t="shared" si="9"/>
        <v>271</v>
      </c>
      <c r="B272" s="461" t="s">
        <v>119</v>
      </c>
      <c r="C272" s="461" t="s">
        <v>504</v>
      </c>
      <c r="D272" s="462" t="s">
        <v>505</v>
      </c>
      <c r="E272" s="504" t="s">
        <v>575</v>
      </c>
      <c r="F272" s="464">
        <v>66169</v>
      </c>
      <c r="G272" s="461" t="str">
        <f t="shared" si="8"/>
        <v>Avenida Alfonso Reyes No.11 Fraccionamiento denominado Vía Cordillera C.P. 66169 Santa Catarina N.L.EFIMEXNuevo LeonMonterrey66169</v>
      </c>
      <c r="H272" s="480">
        <v>0</v>
      </c>
      <c r="I272" s="480">
        <v>2513859.7000000002</v>
      </c>
      <c r="J272" s="502">
        <v>2102500.8400000003</v>
      </c>
      <c r="K272" s="480">
        <v>286510.83999999997</v>
      </c>
      <c r="L272" s="463"/>
    </row>
    <row r="273" spans="1:12" ht="23.25" customHeight="1" thickBot="1" x14ac:dyDescent="0.3">
      <c r="A273" s="503">
        <f t="shared" si="9"/>
        <v>272</v>
      </c>
      <c r="B273" s="461" t="s">
        <v>112</v>
      </c>
      <c r="C273" s="461" t="s">
        <v>576</v>
      </c>
      <c r="D273" s="462" t="s">
        <v>576</v>
      </c>
      <c r="E273" s="504" t="s">
        <v>577</v>
      </c>
      <c r="F273" s="464">
        <v>20410</v>
      </c>
      <c r="G273" s="461" t="str">
        <f t="shared" si="8"/>
        <v>Calle Francisco Guel Jimenez  s/n Col.EL POTRERO. De Rincon de Romos , Rincon de Romos AguascalientesAguascalientesAguascalientes20410</v>
      </c>
      <c r="H273" s="480">
        <v>0</v>
      </c>
      <c r="I273" s="480">
        <v>1318759.3375000001</v>
      </c>
      <c r="J273" s="502">
        <v>1102962.355</v>
      </c>
      <c r="K273" s="480">
        <v>225627.28649999999</v>
      </c>
      <c r="L273" s="463"/>
    </row>
    <row r="274" spans="1:12" ht="23.25" customHeight="1" thickBot="1" x14ac:dyDescent="0.3">
      <c r="A274" s="503">
        <f t="shared" si="9"/>
        <v>273</v>
      </c>
      <c r="B274" s="461" t="s">
        <v>158</v>
      </c>
      <c r="C274" s="461" t="s">
        <v>356</v>
      </c>
      <c r="D274" s="462" t="s">
        <v>438</v>
      </c>
      <c r="E274" s="504" t="s">
        <v>578</v>
      </c>
      <c r="F274" s="464">
        <v>22185</v>
      </c>
      <c r="G274" s="461" t="str">
        <f t="shared" si="8"/>
        <v>Rampa Aeropuerto Lote 20 #16000 Colonia sanchez taboaProdutsa Tijuana Baja California , Alameda OtayBAJA CALIFORNIATijuana22185</v>
      </c>
      <c r="H274" s="480">
        <v>0</v>
      </c>
      <c r="I274" s="480">
        <v>2762668.7</v>
      </c>
      <c r="J274" s="502">
        <v>2310595.64</v>
      </c>
      <c r="K274" s="480">
        <v>358138.55</v>
      </c>
      <c r="L274" s="463"/>
    </row>
    <row r="275" spans="1:12" ht="23.25" customHeight="1" thickBot="1" x14ac:dyDescent="0.3">
      <c r="A275" s="503">
        <f t="shared" si="9"/>
        <v>274</v>
      </c>
      <c r="B275" s="461" t="s">
        <v>158</v>
      </c>
      <c r="C275" s="461" t="s">
        <v>197</v>
      </c>
      <c r="D275" s="462" t="s">
        <v>403</v>
      </c>
      <c r="E275" s="504" t="s">
        <v>579</v>
      </c>
      <c r="F275" s="464">
        <v>52177</v>
      </c>
      <c r="G275" s="461" t="str">
        <f t="shared" si="8"/>
        <v>Avenida Ignacio Comonfort #1100 Lote 1 Manzana 7 Metepec, la providencia.TOLUCAMETEPEC52177</v>
      </c>
      <c r="H275" s="480">
        <v>0</v>
      </c>
      <c r="I275" s="480">
        <v>3560136.47</v>
      </c>
      <c r="J275" s="502">
        <v>2977568.6839999999</v>
      </c>
      <c r="K275" s="480">
        <v>429766.25999999995</v>
      </c>
      <c r="L275" s="463"/>
    </row>
    <row r="276" spans="1:12" ht="23.25" customHeight="1" thickBot="1" x14ac:dyDescent="0.3">
      <c r="A276" s="503">
        <f t="shared" si="9"/>
        <v>275</v>
      </c>
      <c r="B276" s="461" t="s">
        <v>115</v>
      </c>
      <c r="C276" s="461" t="s">
        <v>540</v>
      </c>
      <c r="D276" s="462" t="s">
        <v>580</v>
      </c>
      <c r="E276" s="504" t="s">
        <v>581</v>
      </c>
      <c r="F276" s="464">
        <v>97700</v>
      </c>
      <c r="G276" s="461" t="str">
        <f t="shared" si="8"/>
        <v>Calle 46 No. 416-D Centro C.P. 97700 Tizimin Yucatán MéxicoYUCATÁNTIZIMIN97700</v>
      </c>
      <c r="H276" s="480">
        <v>0</v>
      </c>
      <c r="I276" s="480">
        <v>1318759.3375000001</v>
      </c>
      <c r="J276" s="502">
        <v>1102962.355</v>
      </c>
      <c r="K276" s="480">
        <v>232073.78039999999</v>
      </c>
      <c r="L276" s="463"/>
    </row>
    <row r="277" spans="1:12" ht="23.25" customHeight="1" thickBot="1" x14ac:dyDescent="0.3">
      <c r="A277" s="503">
        <f t="shared" si="9"/>
        <v>276</v>
      </c>
      <c r="B277" s="461" t="s">
        <v>128</v>
      </c>
      <c r="C277" s="461" t="s">
        <v>457</v>
      </c>
      <c r="D277" s="462" t="s">
        <v>457</v>
      </c>
      <c r="E277" s="504" t="s">
        <v>582</v>
      </c>
      <c r="F277" s="464">
        <v>76146</v>
      </c>
      <c r="G277" s="461" t="str">
        <f t="shared" si="8"/>
        <v>Anillo vial Fray Junipero Serra 7901 Col. La Purisima Del. Epigmenio Gonzalez Santiago de Queretaro Qro.QueretaroQueretaro76146</v>
      </c>
      <c r="H277" s="480">
        <v>0</v>
      </c>
      <c r="I277" s="480">
        <v>3560136.47</v>
      </c>
      <c r="J277" s="502">
        <v>2977568.6839999999</v>
      </c>
      <c r="K277" s="480">
        <v>429766.25999999995</v>
      </c>
      <c r="L277" s="463"/>
    </row>
    <row r="278" spans="1:12" ht="23.25" customHeight="1" thickBot="1" x14ac:dyDescent="0.3">
      <c r="A278" s="503">
        <f t="shared" si="9"/>
        <v>277</v>
      </c>
      <c r="B278" s="461" t="s">
        <v>112</v>
      </c>
      <c r="C278" s="461" t="s">
        <v>321</v>
      </c>
      <c r="D278" s="462" t="s">
        <v>322</v>
      </c>
      <c r="E278" s="511" t="s">
        <v>583</v>
      </c>
      <c r="F278" s="500">
        <v>99014</v>
      </c>
      <c r="G278" s="461" t="str">
        <f t="shared" si="8"/>
        <v>Calle Prolongación Av. Sonora 1033 Col. Panamericana Fresnillo Zacatecas 99011ZACATECASFRESNILLO99014</v>
      </c>
      <c r="H278" s="480">
        <v>0</v>
      </c>
      <c r="I278" s="480">
        <v>2210134.96</v>
      </c>
      <c r="J278" s="502">
        <v>1848476.5120000001</v>
      </c>
      <c r="K278" s="480">
        <v>286510.83999999997</v>
      </c>
      <c r="L278" s="463"/>
    </row>
    <row r="279" spans="1:12" ht="23.25" customHeight="1" thickBot="1" x14ac:dyDescent="0.3">
      <c r="A279" s="503">
        <f t="shared" si="9"/>
        <v>278</v>
      </c>
      <c r="B279" s="461" t="s">
        <v>158</v>
      </c>
      <c r="C279" s="461" t="s">
        <v>446</v>
      </c>
      <c r="D279" s="462" t="s">
        <v>226</v>
      </c>
      <c r="E279" s="504" t="s">
        <v>584</v>
      </c>
      <c r="F279" s="464">
        <v>45116</v>
      </c>
      <c r="G279" s="461" t="str">
        <f t="shared" si="8"/>
        <v>Paseo de los Virreyes 65, Zapopan Jalisco MéxicoJaliscoZAPOPAN45116</v>
      </c>
      <c r="H279" s="480">
        <v>0</v>
      </c>
      <c r="I279" s="480">
        <v>3142324.6250000005</v>
      </c>
      <c r="J279" s="502">
        <v>2628126.0499999998</v>
      </c>
      <c r="K279" s="480">
        <v>358138.55</v>
      </c>
      <c r="L279" s="463"/>
    </row>
    <row r="280" spans="1:12" ht="23.25" customHeight="1" thickBot="1" x14ac:dyDescent="0.3">
      <c r="A280" s="503">
        <f t="shared" si="9"/>
        <v>279</v>
      </c>
      <c r="B280" s="461" t="s">
        <v>158</v>
      </c>
      <c r="C280" s="461" t="s">
        <v>147</v>
      </c>
      <c r="D280" s="462" t="s">
        <v>148</v>
      </c>
      <c r="E280" s="504" t="s">
        <v>585</v>
      </c>
      <c r="F280" s="464">
        <v>1900</v>
      </c>
      <c r="G280" s="461" t="str">
        <f t="shared" si="8"/>
        <v>Blvd. Adolfo Ruiz Cortines 3270 Col. Jardines del Pedregal Delegación Álvaro Obregón CDMXCDMXALVARO OBREGON1900</v>
      </c>
      <c r="H280" s="480">
        <v>0</v>
      </c>
      <c r="I280" s="480">
        <v>4540253.193500001</v>
      </c>
      <c r="J280" s="502">
        <v>5910968.3839999996</v>
      </c>
      <c r="K280" s="480">
        <v>1267132.774</v>
      </c>
      <c r="L280" s="463"/>
    </row>
    <row r="281" spans="1:12" ht="23.25" customHeight="1" thickBot="1" x14ac:dyDescent="0.3">
      <c r="A281" s="503">
        <f t="shared" si="9"/>
        <v>280</v>
      </c>
      <c r="B281" s="461" t="s">
        <v>112</v>
      </c>
      <c r="C281" s="461" t="s">
        <v>207</v>
      </c>
      <c r="D281" s="462" t="s">
        <v>586</v>
      </c>
      <c r="E281" s="504" t="s">
        <v>587</v>
      </c>
      <c r="F281" s="464">
        <v>42730</v>
      </c>
      <c r="G281" s="461" t="str">
        <f t="shared" si="8"/>
        <v>Cda. Emiliano Zapata 60 Progreso Hidalgo C.P. 42730HIDALGOPROGRESO HIDALGO42730</v>
      </c>
      <c r="H281" s="480">
        <v>0</v>
      </c>
      <c r="I281" s="480">
        <v>1318759.3375000001</v>
      </c>
      <c r="J281" s="502">
        <v>1102962.355</v>
      </c>
      <c r="K281" s="480">
        <v>179069.27499999999</v>
      </c>
      <c r="L281" s="463"/>
    </row>
    <row r="282" spans="1:12" ht="23.25" customHeight="1" thickBot="1" x14ac:dyDescent="0.3">
      <c r="A282" s="503">
        <f t="shared" si="9"/>
        <v>281</v>
      </c>
      <c r="B282" s="461" t="s">
        <v>158</v>
      </c>
      <c r="C282" s="461" t="s">
        <v>138</v>
      </c>
      <c r="D282" s="462" t="s">
        <v>298</v>
      </c>
      <c r="E282" s="504" t="s">
        <v>588</v>
      </c>
      <c r="F282" s="464">
        <v>27446</v>
      </c>
      <c r="G282" s="461" t="str">
        <f t="shared" si="8"/>
        <v>Blvd. Matamoros Torreón No. 2555 en la Colonia Valle Hermoso C.P. 27446 Matamoros CoahuilaCOAHUILAMATAMOROS27446</v>
      </c>
      <c r="H282" s="480">
        <v>0</v>
      </c>
      <c r="I282" s="480">
        <v>1318759.3375000001</v>
      </c>
      <c r="J282" s="502">
        <v>1102962.355</v>
      </c>
      <c r="K282" s="480">
        <v>179069.27499999999</v>
      </c>
      <c r="L282" s="463"/>
    </row>
    <row r="283" spans="1:12" ht="23.25" customHeight="1" thickBot="1" x14ac:dyDescent="0.3">
      <c r="A283" s="503">
        <f t="shared" si="9"/>
        <v>282</v>
      </c>
      <c r="B283" s="461" t="s">
        <v>158</v>
      </c>
      <c r="C283" s="461" t="s">
        <v>201</v>
      </c>
      <c r="D283" s="462" t="s">
        <v>589</v>
      </c>
      <c r="E283" s="504" t="s">
        <v>590</v>
      </c>
      <c r="F283" s="464">
        <v>38359</v>
      </c>
      <c r="G283" s="461" t="str">
        <f t="shared" si="8"/>
        <v>Avenida Casuarinas No. 101 poniente Colonia Alameda C.P. 38359 en el Municipio de Cortázar GuanajuatoGUANAJUATOCORTAZAR38359</v>
      </c>
      <c r="H283" s="480">
        <v>0</v>
      </c>
      <c r="I283" s="480">
        <v>1318759.3375000001</v>
      </c>
      <c r="J283" s="502">
        <v>1102962.355</v>
      </c>
      <c r="K283" s="480">
        <v>179069.27499999999</v>
      </c>
      <c r="L283" s="463"/>
    </row>
    <row r="284" spans="1:12" ht="23.25" customHeight="1" thickBot="1" x14ac:dyDescent="0.3">
      <c r="A284" s="503">
        <f t="shared" si="9"/>
        <v>283</v>
      </c>
      <c r="B284" s="461" t="s">
        <v>112</v>
      </c>
      <c r="C284" s="461" t="s">
        <v>176</v>
      </c>
      <c r="D284" s="462" t="s">
        <v>176</v>
      </c>
      <c r="E284" s="504" t="s">
        <v>591</v>
      </c>
      <c r="F284" s="464">
        <v>34220</v>
      </c>
      <c r="G284" s="461" t="str">
        <f t="shared" si="8"/>
        <v>Kilómetro 2 de la carretera Torreón-Durango Fraccionamiento 20 de Noviembre Durango , Durango, Las fuentesDURANGODURANGO34220</v>
      </c>
      <c r="H284" s="480">
        <v>0</v>
      </c>
      <c r="I284" s="480">
        <v>2210134.96</v>
      </c>
      <c r="J284" s="502">
        <v>1848476.5120000001</v>
      </c>
      <c r="K284" s="480">
        <v>322324.69499999995</v>
      </c>
      <c r="L284" s="463"/>
    </row>
    <row r="285" spans="1:12" ht="23.25" customHeight="1" thickBot="1" x14ac:dyDescent="0.3">
      <c r="A285" s="503">
        <f t="shared" si="9"/>
        <v>284</v>
      </c>
      <c r="B285" s="461" t="s">
        <v>128</v>
      </c>
      <c r="C285" s="461" t="s">
        <v>207</v>
      </c>
      <c r="D285" s="462" t="s">
        <v>208</v>
      </c>
      <c r="E285" s="504" t="s">
        <v>592</v>
      </c>
      <c r="F285" s="464">
        <v>42083</v>
      </c>
      <c r="G285" s="461" t="str">
        <f t="shared" si="8"/>
        <v>Ejido de San Antonio El Desmonte , Municipio de Pachuca HidalgoHIDALGOPACHUCA42083</v>
      </c>
      <c r="H285" s="480">
        <v>0</v>
      </c>
      <c r="I285" s="480">
        <v>2762668.7</v>
      </c>
      <c r="J285" s="502">
        <v>2310595.64</v>
      </c>
      <c r="K285" s="480">
        <v>358138.55</v>
      </c>
      <c r="L285" s="463"/>
    </row>
    <row r="286" spans="1:12" ht="23.25" customHeight="1" thickBot="1" x14ac:dyDescent="0.3">
      <c r="A286" s="503">
        <f t="shared" si="9"/>
        <v>285</v>
      </c>
      <c r="B286" s="461" t="s">
        <v>128</v>
      </c>
      <c r="C286" s="461" t="s">
        <v>201</v>
      </c>
      <c r="D286" s="462" t="s">
        <v>201</v>
      </c>
      <c r="E286" s="504" t="s">
        <v>593</v>
      </c>
      <c r="F286" s="464">
        <v>37407</v>
      </c>
      <c r="G286" s="461" t="str">
        <f t="shared" si="8"/>
        <v>Rancho el Establo Guanajuato ,Las Hilamas Gto.GUANAJUATOGUANAJUATO37407</v>
      </c>
      <c r="H286" s="480">
        <v>0</v>
      </c>
      <c r="I286" s="480">
        <v>2879008.2750000004</v>
      </c>
      <c r="J286" s="502">
        <v>2407897.83</v>
      </c>
      <c r="K286" s="480">
        <v>358138.55</v>
      </c>
      <c r="L286" s="463"/>
    </row>
    <row r="287" spans="1:12" ht="23.25" customHeight="1" thickBot="1" x14ac:dyDescent="0.3">
      <c r="A287" s="503">
        <f t="shared" si="9"/>
        <v>286</v>
      </c>
      <c r="B287" s="461" t="s">
        <v>158</v>
      </c>
      <c r="C287" s="461" t="s">
        <v>129</v>
      </c>
      <c r="D287" s="462" t="s">
        <v>134</v>
      </c>
      <c r="E287" s="504" t="s">
        <v>594</v>
      </c>
      <c r="F287" s="464">
        <v>32590</v>
      </c>
      <c r="G287" s="461" t="str">
        <f t="shared" si="8"/>
        <v>Blvd. Independencia 1510 Zaragoza 32590 la perla, Ciudad Juárez ChihuahuaCHIHUAHUACIUDAD JUAREZ32590</v>
      </c>
      <c r="H287" s="480">
        <v>0</v>
      </c>
      <c r="I287" s="480">
        <v>1933868.0900000003</v>
      </c>
      <c r="J287" s="502">
        <v>1617416.9480000001</v>
      </c>
      <c r="K287" s="480">
        <v>250696.98500000002</v>
      </c>
      <c r="L287" s="463"/>
    </row>
    <row r="288" spans="1:12" ht="23.25" customHeight="1" thickBot="1" x14ac:dyDescent="0.3">
      <c r="A288" s="503">
        <f t="shared" si="9"/>
        <v>287</v>
      </c>
      <c r="B288" s="461" t="s">
        <v>112</v>
      </c>
      <c r="C288" s="461" t="s">
        <v>281</v>
      </c>
      <c r="D288" s="462" t="s">
        <v>284</v>
      </c>
      <c r="E288" s="504" t="s">
        <v>595</v>
      </c>
      <c r="F288" s="464">
        <v>83117</v>
      </c>
      <c r="G288" s="461" t="str">
        <f t="shared" si="8"/>
        <v>Blvd. Juan Bautista Escalante Progreso #507 Hermosillo Sonora,MIGUEL HIDALGOSONORAHERMOSILLO83117</v>
      </c>
      <c r="H288" s="480">
        <v>0</v>
      </c>
      <c r="I288" s="480">
        <v>2303206.62</v>
      </c>
      <c r="J288" s="502">
        <v>1926318.264</v>
      </c>
      <c r="K288" s="480">
        <v>286510.83999999997</v>
      </c>
      <c r="L288" s="463"/>
    </row>
    <row r="289" spans="1:12" ht="23.25" customHeight="1" thickBot="1" x14ac:dyDescent="0.3">
      <c r="A289" s="503">
        <f t="shared" si="9"/>
        <v>288</v>
      </c>
      <c r="B289" s="461" t="s">
        <v>119</v>
      </c>
      <c r="C289" s="461" t="s">
        <v>235</v>
      </c>
      <c r="D289" s="462" t="s">
        <v>238</v>
      </c>
      <c r="E289" s="504" t="s">
        <v>596</v>
      </c>
      <c r="F289" s="464">
        <v>64349</v>
      </c>
      <c r="G289" s="461" t="str">
        <f t="shared" si="8"/>
        <v>Av. Paseo de los Leones #1001 Col Cumbres Madeira Monterrey N.L.NUEVO LEONMONTERREY64349</v>
      </c>
      <c r="H289" s="480">
        <v>0</v>
      </c>
      <c r="I289" s="480">
        <v>2303206.62</v>
      </c>
      <c r="J289" s="502">
        <v>1926318.264</v>
      </c>
      <c r="K289" s="480">
        <v>286510.83999999997</v>
      </c>
      <c r="L289" s="463"/>
    </row>
    <row r="290" spans="1:12" ht="23.25" customHeight="1" thickBot="1" x14ac:dyDescent="0.3">
      <c r="A290" s="503">
        <f t="shared" si="9"/>
        <v>289</v>
      </c>
      <c r="B290" s="461" t="s">
        <v>158</v>
      </c>
      <c r="C290" s="461" t="s">
        <v>288</v>
      </c>
      <c r="D290" s="462" t="s">
        <v>291</v>
      </c>
      <c r="E290" s="504" t="s">
        <v>597</v>
      </c>
      <c r="F290" s="464">
        <v>86100</v>
      </c>
      <c r="G290" s="461" t="str">
        <f t="shared" si="8"/>
        <v>Av. Paseo Usumacinta 1107 Prolongación Av. De Los Ríos y calle las Américas Colonia Atasta Villahermosa Centro TabascoTABASCOVILLAHERMOSA86100</v>
      </c>
      <c r="H290" s="480">
        <v>0</v>
      </c>
      <c r="I290" s="480">
        <v>2879008.2750000004</v>
      </c>
      <c r="J290" s="502">
        <v>2407897.83</v>
      </c>
      <c r="K290" s="480">
        <v>358138.55</v>
      </c>
      <c r="L290" s="463"/>
    </row>
    <row r="291" spans="1:12" ht="23.25" customHeight="1" thickBot="1" x14ac:dyDescent="0.3">
      <c r="A291" s="503">
        <f t="shared" si="9"/>
        <v>290</v>
      </c>
      <c r="B291" s="461" t="s">
        <v>158</v>
      </c>
      <c r="C291" s="461" t="s">
        <v>321</v>
      </c>
      <c r="D291" s="462" t="s">
        <v>598</v>
      </c>
      <c r="E291" s="504" t="s">
        <v>599</v>
      </c>
      <c r="F291" s="464">
        <v>98400</v>
      </c>
      <c r="G291" s="461" t="str">
        <f t="shared" si="8"/>
        <v>Prolongación Ignacio Zaragoza 3 Centro, Río Grande ZacatecasZACATECASCENTRO RIO GRANDE98400</v>
      </c>
      <c r="H291" s="480">
        <v>0</v>
      </c>
      <c r="I291" s="480">
        <v>1318759.3375000001</v>
      </c>
      <c r="J291" s="502">
        <v>1102962.355</v>
      </c>
      <c r="K291" s="480">
        <v>179069.27499999999</v>
      </c>
      <c r="L291" s="463"/>
    </row>
    <row r="292" spans="1:12" ht="23.25" customHeight="1" thickBot="1" x14ac:dyDescent="0.3">
      <c r="A292" s="503">
        <f t="shared" si="9"/>
        <v>291</v>
      </c>
      <c r="B292" s="461" t="s">
        <v>112</v>
      </c>
      <c r="C292" s="461" t="s">
        <v>540</v>
      </c>
      <c r="D292" s="462" t="s">
        <v>472</v>
      </c>
      <c r="E292" s="504" t="s">
        <v>600</v>
      </c>
      <c r="F292" s="464">
        <v>97000</v>
      </c>
      <c r="G292" s="461" t="str">
        <f t="shared" si="8"/>
        <v>Manzana #242 Cuartel octavo #544 Calle ochenta y seis B Col. Centro C.P. 97000 Mérida YucatánYUCATÁNMérida97000</v>
      </c>
      <c r="H292" s="480">
        <v>0</v>
      </c>
      <c r="I292" s="480">
        <v>1846263.0725000002</v>
      </c>
      <c r="J292" s="502">
        <v>1544147.297</v>
      </c>
      <c r="K292" s="480">
        <v>286510.83999999997</v>
      </c>
      <c r="L292" s="463"/>
    </row>
    <row r="293" spans="1:12" ht="23.25" customHeight="1" thickBot="1" x14ac:dyDescent="0.3">
      <c r="A293" s="503">
        <f t="shared" si="9"/>
        <v>292</v>
      </c>
      <c r="B293" s="461" t="s">
        <v>112</v>
      </c>
      <c r="C293" s="461" t="s">
        <v>288</v>
      </c>
      <c r="D293" s="462" t="s">
        <v>291</v>
      </c>
      <c r="E293" s="504" t="s">
        <v>601</v>
      </c>
      <c r="F293" s="464">
        <v>86100</v>
      </c>
      <c r="G293" s="461" t="str">
        <f t="shared" si="8"/>
        <v>Av. Heroico Colegio Militar S/N Esq. Quintin Arauz Atasta de Sierra, 861000 Villahermosa TabascoTABASCOVILLAHERMOSA86100</v>
      </c>
      <c r="H293" s="480">
        <v>0</v>
      </c>
      <c r="I293" s="480">
        <v>1318759.3375000001</v>
      </c>
      <c r="J293" s="502">
        <v>1102962.355</v>
      </c>
      <c r="K293" s="480">
        <v>179069.27499999999</v>
      </c>
      <c r="L293" s="463"/>
    </row>
    <row r="294" spans="1:12" ht="23.25" customHeight="1" thickBot="1" x14ac:dyDescent="0.3">
      <c r="A294" s="503">
        <f t="shared" si="9"/>
        <v>293</v>
      </c>
      <c r="B294" s="461" t="s">
        <v>112</v>
      </c>
      <c r="C294" s="461" t="s">
        <v>265</v>
      </c>
      <c r="D294" s="462" t="s">
        <v>266</v>
      </c>
      <c r="E294" s="504" t="s">
        <v>602</v>
      </c>
      <c r="F294" s="464">
        <v>77723</v>
      </c>
      <c r="G294" s="461" t="str">
        <f t="shared" si="8"/>
        <v>Supermanzana 078 Manzana 002 Lote 001 de la Av. Pentempich y Av. Universidades Municipio de Solidaridad Playa del Carmen Quintana RooQUINTANA ROOCANCUN77723</v>
      </c>
      <c r="H294" s="480">
        <v>0</v>
      </c>
      <c r="I294" s="480">
        <v>1846263.0725000002</v>
      </c>
      <c r="J294" s="502">
        <v>1544147.297</v>
      </c>
      <c r="K294" s="480">
        <v>250696.98500000002</v>
      </c>
      <c r="L294" s="463"/>
    </row>
    <row r="295" spans="1:12" ht="23.25" customHeight="1" thickBot="1" x14ac:dyDescent="0.3">
      <c r="A295" s="503">
        <f t="shared" si="9"/>
        <v>294</v>
      </c>
      <c r="B295" s="461" t="s">
        <v>158</v>
      </c>
      <c r="C295" s="461" t="s">
        <v>207</v>
      </c>
      <c r="D295" s="462" t="s">
        <v>603</v>
      </c>
      <c r="E295" s="504" t="s">
        <v>604</v>
      </c>
      <c r="F295" s="464">
        <v>42000</v>
      </c>
      <c r="G295" s="461" t="str">
        <f t="shared" si="8"/>
        <v>Av. Fernando de Alva Ixtlixochitl No. 2 Col. Centro, C.P. 42000 Ciudad de Fray Bernardino de Sahagún, HidalgoHIDALGOCIUDAD SAHAGUN42000</v>
      </c>
      <c r="H295" s="480">
        <v>0</v>
      </c>
      <c r="I295" s="480">
        <v>1846263.0725000002</v>
      </c>
      <c r="J295" s="502">
        <v>1544147.297</v>
      </c>
      <c r="K295" s="480">
        <v>250696.98500000002</v>
      </c>
      <c r="L295" s="463"/>
    </row>
    <row r="296" spans="1:12" ht="23.25" customHeight="1" thickBot="1" x14ac:dyDescent="0.3">
      <c r="A296" s="503">
        <f t="shared" si="9"/>
        <v>295</v>
      </c>
      <c r="B296" s="461" t="s">
        <v>128</v>
      </c>
      <c r="C296" s="461" t="s">
        <v>180</v>
      </c>
      <c r="D296" s="462" t="s">
        <v>605</v>
      </c>
      <c r="E296" s="504" t="s">
        <v>606</v>
      </c>
      <c r="F296" s="464">
        <v>54680</v>
      </c>
      <c r="G296" s="461" t="str">
        <f t="shared" si="8"/>
        <v>Blvd. Huehuetoca - Jorobas S/N, Puente Grande , 54680 Huehuetoca Estado de MéxicoESTADO DE MEXICOHUEHUETOCA54680</v>
      </c>
      <c r="H296" s="480">
        <v>0</v>
      </c>
      <c r="I296" s="480">
        <v>1846263.0725000002</v>
      </c>
      <c r="J296" s="502">
        <v>1544147.297</v>
      </c>
      <c r="K296" s="480">
        <v>250696.98500000002</v>
      </c>
      <c r="L296" s="463"/>
    </row>
    <row r="297" spans="1:12" ht="23.25" customHeight="1" thickBot="1" x14ac:dyDescent="0.3">
      <c r="A297" s="503">
        <f t="shared" si="9"/>
        <v>296</v>
      </c>
      <c r="B297" s="461" t="s">
        <v>119</v>
      </c>
      <c r="C297" s="461" t="s">
        <v>259</v>
      </c>
      <c r="D297" s="462" t="s">
        <v>259</v>
      </c>
      <c r="E297" s="504" t="s">
        <v>607</v>
      </c>
      <c r="F297" s="464">
        <v>72310</v>
      </c>
      <c r="G297" s="461" t="str">
        <f t="shared" si="8"/>
        <v>Boulevard Apulco #292 Col. Las PlazasAmalucan Cerro C.P. 72310 Puebla , PueblaPUEBLAPUEBLA72310</v>
      </c>
      <c r="H297" s="480">
        <v>0</v>
      </c>
      <c r="I297" s="480">
        <v>2637518.6750000003</v>
      </c>
      <c r="J297" s="502">
        <v>2205924.71</v>
      </c>
      <c r="K297" s="480">
        <v>358138.55</v>
      </c>
      <c r="L297" s="463"/>
    </row>
    <row r="298" spans="1:12" ht="23.25" customHeight="1" thickBot="1" x14ac:dyDescent="0.3">
      <c r="A298" s="503">
        <f t="shared" si="9"/>
        <v>297</v>
      </c>
      <c r="B298" s="461" t="s">
        <v>112</v>
      </c>
      <c r="C298" s="461" t="s">
        <v>416</v>
      </c>
      <c r="D298" s="462" t="s">
        <v>416</v>
      </c>
      <c r="E298" s="504" t="s">
        <v>608</v>
      </c>
      <c r="F298" s="464">
        <v>34114</v>
      </c>
      <c r="G298" s="461" t="str">
        <f t="shared" si="8"/>
        <v>Av. De la Juventud s/n Desarrollo el Saucito Chihuahua , ChihuahuaChihuahuaChihuahua34114</v>
      </c>
      <c r="H298" s="480">
        <v>0</v>
      </c>
      <c r="I298" s="480">
        <v>3560136.47</v>
      </c>
      <c r="J298" s="502">
        <v>2977568.6839999999</v>
      </c>
      <c r="K298" s="480">
        <v>358138.55</v>
      </c>
      <c r="L298" s="463"/>
    </row>
    <row r="299" spans="1:12" ht="23.25" customHeight="1" thickBot="1" x14ac:dyDescent="0.3">
      <c r="A299" s="503">
        <f t="shared" si="9"/>
        <v>298</v>
      </c>
      <c r="B299" s="461" t="s">
        <v>119</v>
      </c>
      <c r="C299" s="461" t="s">
        <v>147</v>
      </c>
      <c r="D299" s="462" t="s">
        <v>459</v>
      </c>
      <c r="E299" s="504" t="s">
        <v>609</v>
      </c>
      <c r="F299" s="464">
        <v>7320</v>
      </c>
      <c r="G299" s="461" t="str">
        <f t="shared" si="8"/>
        <v>Miguel Bernard 1187-3 Col la Escalera Gustavo A. Madero México D.F.CDMXGustavo A. Madero7320</v>
      </c>
      <c r="H299" s="480">
        <v>0</v>
      </c>
      <c r="I299" s="480">
        <v>3454809.9300000006</v>
      </c>
      <c r="J299" s="502">
        <v>2889477.3960000002</v>
      </c>
      <c r="K299" s="480">
        <v>358138.55</v>
      </c>
      <c r="L299" s="463"/>
    </row>
    <row r="300" spans="1:12" ht="23.25" customHeight="1" thickBot="1" x14ac:dyDescent="0.3">
      <c r="A300" s="503">
        <f t="shared" si="9"/>
        <v>299</v>
      </c>
      <c r="B300" s="461" t="s">
        <v>128</v>
      </c>
      <c r="C300" s="461" t="s">
        <v>273</v>
      </c>
      <c r="D300" s="462" t="s">
        <v>274</v>
      </c>
      <c r="E300" s="461" t="s">
        <v>610</v>
      </c>
      <c r="F300" s="464">
        <v>80104</v>
      </c>
      <c r="G300" s="461" t="str">
        <f t="shared" si="8"/>
        <v>Lote de terreno urbano localizado en el poblado El Diez, Municipio de Culiacán Sinaloa, las floresSINALOACULIACAN80104</v>
      </c>
      <c r="H300" s="480">
        <v>0</v>
      </c>
      <c r="I300" s="480">
        <v>2879008.2750000004</v>
      </c>
      <c r="J300" s="502">
        <v>2407897.83</v>
      </c>
      <c r="K300" s="480">
        <v>358138.55</v>
      </c>
      <c r="L300" s="463"/>
    </row>
    <row r="301" spans="1:12" ht="23.25" customHeight="1" thickBot="1" x14ac:dyDescent="0.3">
      <c r="A301" s="503">
        <f t="shared" si="9"/>
        <v>300</v>
      </c>
      <c r="B301" s="461" t="s">
        <v>128</v>
      </c>
      <c r="C301" s="461" t="s">
        <v>207</v>
      </c>
      <c r="D301" s="462" t="s">
        <v>611</v>
      </c>
      <c r="E301" s="461" t="s">
        <v>612</v>
      </c>
      <c r="F301" s="464">
        <v>43800</v>
      </c>
      <c r="G301" s="461" t="str">
        <f t="shared" si="8"/>
        <v>Avenida Juárez Sur No.33, Colonia Atempa, Tizayuca HidalgoHIDALGOTizayuca43800</v>
      </c>
      <c r="H301" s="480">
        <v>0</v>
      </c>
      <c r="I301" s="480">
        <v>1846263.0725000002</v>
      </c>
      <c r="J301" s="502">
        <v>1544147.297</v>
      </c>
      <c r="K301" s="480">
        <v>250696.98500000002</v>
      </c>
      <c r="L301" s="463"/>
    </row>
    <row r="302" spans="1:12" ht="23.25" customHeight="1" thickBot="1" x14ac:dyDescent="0.3">
      <c r="A302" s="503">
        <f t="shared" si="9"/>
        <v>301</v>
      </c>
      <c r="B302" s="461" t="s">
        <v>128</v>
      </c>
      <c r="C302" s="461" t="s">
        <v>307</v>
      </c>
      <c r="D302" s="462" t="s">
        <v>613</v>
      </c>
      <c r="E302" s="461" t="s">
        <v>614</v>
      </c>
      <c r="F302" s="465">
        <v>91016</v>
      </c>
      <c r="G302" s="461" t="str">
        <f t="shared" si="8"/>
        <v>Avenida Lázaro Cárdenas No. 521 Colonia Independencia Xalapa VeracruzVERACRUZXALAPA91016</v>
      </c>
      <c r="H302" s="480">
        <v>0</v>
      </c>
      <c r="I302" s="480">
        <v>2637518.6750000003</v>
      </c>
      <c r="J302" s="502">
        <v>2205924.71</v>
      </c>
      <c r="K302" s="480">
        <v>358138.55</v>
      </c>
      <c r="L302" s="463"/>
    </row>
    <row r="303" spans="1:12" ht="23.25" customHeight="1" thickBot="1" x14ac:dyDescent="0.3">
      <c r="A303" s="503">
        <f t="shared" si="9"/>
        <v>302</v>
      </c>
      <c r="B303" s="461" t="s">
        <v>112</v>
      </c>
      <c r="C303" s="461" t="s">
        <v>201</v>
      </c>
      <c r="D303" s="462" t="s">
        <v>205</v>
      </c>
      <c r="E303" s="461" t="s">
        <v>615</v>
      </c>
      <c r="F303" s="465">
        <v>37700</v>
      </c>
      <c r="G303" s="461" t="str">
        <f t="shared" si="8"/>
        <v>Calle de las Palmas Zona Centro San Miguel Allende GuanajuatoGUANAJUATOSAN MIGUEL ALLENDE37700</v>
      </c>
      <c r="H303" s="480">
        <v>0</v>
      </c>
      <c r="I303" s="480">
        <v>1846263.0725000002</v>
      </c>
      <c r="J303" s="502">
        <v>1544147.297</v>
      </c>
      <c r="K303" s="480">
        <v>250696.98500000002</v>
      </c>
      <c r="L303" s="463"/>
    </row>
    <row r="304" spans="1:12" ht="23.25" customHeight="1" thickBot="1" x14ac:dyDescent="0.3">
      <c r="A304" s="503">
        <f t="shared" si="9"/>
        <v>303</v>
      </c>
      <c r="B304" s="461" t="s">
        <v>351</v>
      </c>
      <c r="C304" s="461" t="s">
        <v>259</v>
      </c>
      <c r="D304" s="462" t="s">
        <v>566</v>
      </c>
      <c r="E304" s="461" t="s">
        <v>616</v>
      </c>
      <c r="F304" s="465">
        <v>72774</v>
      </c>
      <c r="G304" s="461" t="str">
        <f t="shared" si="8"/>
        <v>Blvd America #304 Colonia Junta Auxiliar San Antonio Cacalotepec San Andres Cholula Puebla, Alvaro Obregón, 72774 Cholula, PuePUEBLACHOLULA72774</v>
      </c>
      <c r="H304" s="480">
        <v>0</v>
      </c>
      <c r="I304" s="480">
        <v>4095529.7350000003</v>
      </c>
      <c r="J304" s="502">
        <v>3425352.142</v>
      </c>
      <c r="K304" s="480">
        <v>537207.82499999995</v>
      </c>
      <c r="L304" s="463"/>
    </row>
    <row r="305" spans="1:12" ht="23.25" customHeight="1" thickBot="1" x14ac:dyDescent="0.3">
      <c r="A305" s="503">
        <f t="shared" si="9"/>
        <v>304</v>
      </c>
      <c r="B305" s="461" t="s">
        <v>128</v>
      </c>
      <c r="C305" s="461" t="s">
        <v>273</v>
      </c>
      <c r="D305" s="462" t="s">
        <v>274</v>
      </c>
      <c r="E305" s="461" t="s">
        <v>617</v>
      </c>
      <c r="F305" s="465">
        <v>80000</v>
      </c>
      <c r="G305" s="461" t="str">
        <f t="shared" si="8"/>
        <v>Culiacán Sinaloa Lote 1 de la Manzana III del area comercial Mixta del desarrollo urbano tres ríosSINALOACULIACAN80000</v>
      </c>
      <c r="H305" s="480">
        <v>0</v>
      </c>
      <c r="I305" s="480">
        <v>2879008.2750000004</v>
      </c>
      <c r="J305" s="502">
        <v>2407897.83</v>
      </c>
      <c r="K305" s="480">
        <v>358138.55</v>
      </c>
      <c r="L305" s="463"/>
    </row>
    <row r="306" spans="1:12" ht="23.25" customHeight="1" thickBot="1" x14ac:dyDescent="0.3">
      <c r="A306" s="503">
        <f t="shared" si="9"/>
        <v>305</v>
      </c>
      <c r="B306" s="461" t="s">
        <v>112</v>
      </c>
      <c r="C306" s="461" t="s">
        <v>356</v>
      </c>
      <c r="D306" s="462" t="s">
        <v>117</v>
      </c>
      <c r="E306" s="461" t="s">
        <v>618</v>
      </c>
      <c r="F306" s="464">
        <v>22110</v>
      </c>
      <c r="G306" s="461" t="str">
        <f t="shared" si="8"/>
        <v>Vía rapida oriente numero 15000 en la colonia Chapultepec Alamar Tijuana Baja CaliforniaBAJA CALIFORNIATIJUANA22110</v>
      </c>
      <c r="H306" s="480">
        <v>0</v>
      </c>
      <c r="I306" s="480">
        <v>4019598.55</v>
      </c>
      <c r="J306" s="502">
        <v>3361846.06</v>
      </c>
      <c r="K306" s="480">
        <v>537207.82499999995</v>
      </c>
      <c r="L306" s="463"/>
    </row>
    <row r="307" spans="1:12" ht="23.25" customHeight="1" thickBot="1" x14ac:dyDescent="0.3">
      <c r="A307" s="503">
        <f t="shared" si="9"/>
        <v>306</v>
      </c>
      <c r="B307" s="461" t="s">
        <v>158</v>
      </c>
      <c r="C307" s="461" t="s">
        <v>147</v>
      </c>
      <c r="D307" s="462" t="s">
        <v>160</v>
      </c>
      <c r="E307" s="461" t="s">
        <v>619</v>
      </c>
      <c r="F307" s="464">
        <v>4040</v>
      </c>
      <c r="G307" s="461" t="str">
        <f t="shared" si="8"/>
        <v>Miguel Angel de Quevedo 1144 Coyoacán CDMX, PARQUE SAN ANDRECDMXCOYOACAN4040</v>
      </c>
      <c r="H307" s="480">
        <v>0</v>
      </c>
      <c r="I307" s="480">
        <v>2303206.62</v>
      </c>
      <c r="J307" s="502">
        <v>1926318.264</v>
      </c>
      <c r="K307" s="480">
        <v>286510.83999999997</v>
      </c>
      <c r="L307" s="463"/>
    </row>
    <row r="308" spans="1:12" ht="23.25" customHeight="1" thickBot="1" x14ac:dyDescent="0.3">
      <c r="A308" s="503">
        <f t="shared" si="9"/>
        <v>307</v>
      </c>
      <c r="B308" s="461" t="s">
        <v>112</v>
      </c>
      <c r="C308" s="461" t="s">
        <v>176</v>
      </c>
      <c r="D308" s="462" t="s">
        <v>178</v>
      </c>
      <c r="E308" s="461" t="s">
        <v>620</v>
      </c>
      <c r="F308" s="464">
        <v>35019</v>
      </c>
      <c r="G308" s="461" t="str">
        <f t="shared" si="8"/>
        <v>Avenida San Ernesto #1100 FR-1 esquina con calle San Gustavo Col. Fracc Residencial , Hamburgo,  Gómez Palacio DurangoDURANGOGOMEZ PALACIO35019</v>
      </c>
      <c r="H308" s="480">
        <v>0</v>
      </c>
      <c r="I308" s="480">
        <v>1846263.0725000002</v>
      </c>
      <c r="J308" s="502">
        <v>1544147.297</v>
      </c>
      <c r="K308" s="480">
        <v>250696.98500000002</v>
      </c>
      <c r="L308" s="463"/>
    </row>
    <row r="309" spans="1:12" ht="23.25" customHeight="1" thickBot="1" x14ac:dyDescent="0.3">
      <c r="A309" s="503">
        <f t="shared" si="9"/>
        <v>308</v>
      </c>
      <c r="B309" s="461" t="s">
        <v>119</v>
      </c>
      <c r="C309" s="461" t="s">
        <v>147</v>
      </c>
      <c r="D309" s="462" t="s">
        <v>154</v>
      </c>
      <c r="E309" s="461" t="s">
        <v>621</v>
      </c>
      <c r="F309" s="464" t="s">
        <v>622</v>
      </c>
      <c r="G309" s="461" t="str">
        <f t="shared" si="8"/>
        <v>Calle oso #51 Col. Actipan, Benito Juarez , Centro Comercial Galerías InsurgentesCDMXBENITO JUAREZ03230</v>
      </c>
      <c r="H309" s="480">
        <v>0</v>
      </c>
      <c r="I309" s="480">
        <v>2591107.4475000002</v>
      </c>
      <c r="J309" s="502">
        <v>2167108.0470000003</v>
      </c>
      <c r="K309" s="480">
        <v>322324.69500000001</v>
      </c>
      <c r="L309" s="463"/>
    </row>
    <row r="310" spans="1:12" ht="23.25" customHeight="1" thickBot="1" x14ac:dyDescent="0.3">
      <c r="A310" s="503">
        <f t="shared" si="9"/>
        <v>309</v>
      </c>
      <c r="B310" s="461" t="s">
        <v>119</v>
      </c>
      <c r="C310" s="461" t="s">
        <v>180</v>
      </c>
      <c r="D310" s="462" t="s">
        <v>191</v>
      </c>
      <c r="E310" s="461" t="s">
        <v>623</v>
      </c>
      <c r="F310" s="464">
        <v>52787</v>
      </c>
      <c r="G310" s="461" t="str">
        <f t="shared" si="8"/>
        <v>Blvd Palmas Hill, Valle de las Palmas , Naucalpan de Juárez MéxicoESTADO DE MEXICONAUCALPAN52787</v>
      </c>
      <c r="H310" s="480">
        <v>0</v>
      </c>
      <c r="I310" s="480">
        <v>3454809.9300000006</v>
      </c>
      <c r="J310" s="502">
        <v>2889477.3960000002</v>
      </c>
      <c r="K310" s="480">
        <v>429766.25999999995</v>
      </c>
      <c r="L310" s="463"/>
    </row>
    <row r="311" spans="1:12" ht="23.25" customHeight="1" thickBot="1" x14ac:dyDescent="0.3">
      <c r="A311" s="503">
        <f t="shared" si="9"/>
        <v>310</v>
      </c>
      <c r="B311" s="461" t="s">
        <v>158</v>
      </c>
      <c r="C311" s="461" t="s">
        <v>147</v>
      </c>
      <c r="D311" s="462" t="s">
        <v>624</v>
      </c>
      <c r="E311" s="461" t="s">
        <v>625</v>
      </c>
      <c r="F311" s="464">
        <v>15530</v>
      </c>
      <c r="G311" s="461" t="str">
        <f t="shared" si="8"/>
        <v>Avenida del Peñón 355 colonia Moctezuma Segunda Sección Delegación Venustiano Carranza CDMXCDMXVENUSTIANO CARRANZA15530</v>
      </c>
      <c r="H311" s="480">
        <v>0</v>
      </c>
      <c r="I311" s="480">
        <v>4318512.4124999996</v>
      </c>
      <c r="J311" s="502">
        <v>3611846.7450000001</v>
      </c>
      <c r="K311" s="480">
        <v>537207.82499999995</v>
      </c>
      <c r="L311" s="463"/>
    </row>
    <row r="312" spans="1:12" ht="23.25" customHeight="1" thickBot="1" x14ac:dyDescent="0.3">
      <c r="A312" s="503">
        <f t="shared" si="9"/>
        <v>311</v>
      </c>
      <c r="B312" s="461" t="s">
        <v>158</v>
      </c>
      <c r="C312" s="461" t="s">
        <v>356</v>
      </c>
      <c r="D312" s="462" t="s">
        <v>121</v>
      </c>
      <c r="E312" s="461" t="s">
        <v>626</v>
      </c>
      <c r="F312" s="464">
        <v>23477</v>
      </c>
      <c r="G312" s="461" t="str">
        <f t="shared" si="8"/>
        <v>Remanente de la fracción B de la parcela 103 Zz  P 1/3 del ejido Cabo San Lucas , Los Cabos BCS, Mi Plaza los Cabos, col. CaribeBAJA CALIFORNIALOS CABOS 23477</v>
      </c>
      <c r="H312" s="480">
        <v>0</v>
      </c>
      <c r="I312" s="480">
        <v>2637518.6750000003</v>
      </c>
      <c r="J312" s="502">
        <v>2205924.71</v>
      </c>
      <c r="K312" s="480">
        <v>358138.55</v>
      </c>
      <c r="L312" s="463"/>
    </row>
    <row r="313" spans="1:12" ht="23.25" customHeight="1" thickBot="1" x14ac:dyDescent="0.3">
      <c r="A313" s="503">
        <f t="shared" si="9"/>
        <v>312</v>
      </c>
      <c r="B313" s="461" t="s">
        <v>112</v>
      </c>
      <c r="C313" s="461" t="s">
        <v>145</v>
      </c>
      <c r="D313" s="462" t="s">
        <v>627</v>
      </c>
      <c r="E313" s="461" t="s">
        <v>628</v>
      </c>
      <c r="F313" s="464">
        <v>28190</v>
      </c>
      <c r="G313" s="461" t="str">
        <f t="shared" si="8"/>
        <v>La Noria Fraccionamiento Mercado Soriana Tecoman Colima , Alameda Central Tecoman , sanjoseCOLIMATECOMAN28190</v>
      </c>
      <c r="H313" s="480">
        <v>0</v>
      </c>
      <c r="I313" s="480">
        <v>1846263.0725000002</v>
      </c>
      <c r="J313" s="502">
        <v>1544147.297</v>
      </c>
      <c r="K313" s="480">
        <v>250696.98500000002</v>
      </c>
      <c r="L313" s="463"/>
    </row>
    <row r="314" spans="1:12" ht="23.25" customHeight="1" thickBot="1" x14ac:dyDescent="0.3">
      <c r="A314" s="503">
        <v>313</v>
      </c>
      <c r="B314" s="461" t="s">
        <v>629</v>
      </c>
      <c r="C314" s="461" t="s">
        <v>418</v>
      </c>
      <c r="D314" s="462" t="s">
        <v>507</v>
      </c>
      <c r="E314" s="504" t="s">
        <v>630</v>
      </c>
      <c r="F314" s="461">
        <v>84340</v>
      </c>
      <c r="G314" s="461" t="str">
        <f t="shared" si="8"/>
        <v>Calle Monte Himalaya S/N Antigua Planta de Luz, Lomas de Nacozari, Nacozari de Garcia, Sonora. C.P. 84340. Local 18SonoraNacozari84340</v>
      </c>
      <c r="H314" s="480">
        <v>0</v>
      </c>
      <c r="I314" s="480">
        <v>164831.1465</v>
      </c>
      <c r="J314" s="502">
        <v>246007.85</v>
      </c>
      <c r="K314" s="480">
        <v>73155.097543103446</v>
      </c>
      <c r="L314" s="463"/>
    </row>
    <row r="315" spans="1:12" ht="23.25" customHeight="1" thickBot="1" x14ac:dyDescent="0.3">
      <c r="A315" s="461">
        <f>+A314+1</f>
        <v>314</v>
      </c>
      <c r="B315" s="461" t="s">
        <v>629</v>
      </c>
      <c r="C315" s="461" t="s">
        <v>631</v>
      </c>
      <c r="D315" s="462" t="s">
        <v>478</v>
      </c>
      <c r="E315" s="504" t="s">
        <v>632</v>
      </c>
      <c r="F315" s="461">
        <v>62290</v>
      </c>
      <c r="G315" s="461" t="str">
        <f t="shared" si="8"/>
        <v>Calle Rio Balsas S/N, Col. Vista Hermosa, Cuernavaca, Morelos, C.P. 62290. Local A - 2MorelosCUERNAVACA62290</v>
      </c>
      <c r="H315" s="480">
        <v>0</v>
      </c>
      <c r="I315" s="480">
        <v>1094521.1484999999</v>
      </c>
      <c r="J315" s="502">
        <v>2071200.9425000001</v>
      </c>
      <c r="K315" s="480">
        <v>854577.67950344807</v>
      </c>
      <c r="L315" s="463"/>
    </row>
    <row r="316" spans="1:12" ht="23.25" customHeight="1" thickBot="1" x14ac:dyDescent="0.3">
      <c r="A316" s="461">
        <f t="shared" ref="A316:A334" si="10">+A315+1</f>
        <v>315</v>
      </c>
      <c r="B316" s="461" t="s">
        <v>629</v>
      </c>
      <c r="C316" s="461" t="s">
        <v>633</v>
      </c>
      <c r="D316" s="462" t="s">
        <v>269</v>
      </c>
      <c r="E316" s="504" t="s">
        <v>634</v>
      </c>
      <c r="F316" s="461">
        <v>78294</v>
      </c>
      <c r="G316" s="461" t="str">
        <f t="shared" si="8"/>
        <v> Av. Salvador Nava Martínez  No. 3125, Col.Colinas del Parque, San Luis Potosí, S.L.P.  C.P. 78294San Luis PotosíSAN LUIS POTOSI78294</v>
      </c>
      <c r="H316" s="480">
        <v>0</v>
      </c>
      <c r="I316" s="480">
        <v>503472.78226549999</v>
      </c>
      <c r="J316" s="502">
        <v>760913.80099999998</v>
      </c>
      <c r="K316" s="480">
        <v>488768.3621551728</v>
      </c>
      <c r="L316" s="463"/>
    </row>
    <row r="317" spans="1:12" ht="23.25" customHeight="1" thickBot="1" x14ac:dyDescent="0.3">
      <c r="A317" s="461">
        <f t="shared" si="10"/>
        <v>316</v>
      </c>
      <c r="B317" s="461" t="s">
        <v>629</v>
      </c>
      <c r="C317" s="461" t="s">
        <v>418</v>
      </c>
      <c r="D317" s="462" t="s">
        <v>511</v>
      </c>
      <c r="E317" s="504" t="s">
        <v>512</v>
      </c>
      <c r="F317" s="461">
        <v>84620</v>
      </c>
      <c r="G317" s="461" t="str">
        <f t="shared" si="8"/>
        <v>Carretera Agua Prieta Km. 2, Col. Cananea Centro, Cananea, Sonora. CP. 84620SonoraCANANEA84620</v>
      </c>
      <c r="H317" s="480">
        <v>0</v>
      </c>
      <c r="I317" s="480">
        <v>359252.70299999998</v>
      </c>
      <c r="J317" s="502">
        <v>339072.64350000001</v>
      </c>
      <c r="K317" s="480">
        <v>117397.4903017241</v>
      </c>
      <c r="L317" s="463"/>
    </row>
    <row r="318" spans="1:12" ht="23.25" customHeight="1" thickBot="1" x14ac:dyDescent="0.3">
      <c r="A318" s="461">
        <f t="shared" si="10"/>
        <v>317</v>
      </c>
      <c r="B318" s="461" t="s">
        <v>629</v>
      </c>
      <c r="C318" s="461" t="s">
        <v>147</v>
      </c>
      <c r="D318" s="462" t="s">
        <v>327</v>
      </c>
      <c r="E318" s="504" t="s">
        <v>635</v>
      </c>
      <c r="F318" s="464" t="s">
        <v>636</v>
      </c>
      <c r="G318" s="461" t="str">
        <f t="shared" si="8"/>
        <v>Vía Santa Fe / Av. Vasco de Quiroga No. 3850, Piso 4, Col. Antigua Mina La Totolapa, Delegación Cuajimalpa, México, D.F. C.P. 05109CDMXCUAJIMALPA05109</v>
      </c>
      <c r="H318" s="480">
        <v>0</v>
      </c>
      <c r="I318" s="480">
        <v>5551674.4045000002</v>
      </c>
      <c r="J318" s="502">
        <v>4142439.0965000005</v>
      </c>
      <c r="K318" s="480">
        <v>2966444.65</v>
      </c>
      <c r="L318" s="463"/>
    </row>
    <row r="319" spans="1:12" ht="23.25" customHeight="1" thickBot="1" x14ac:dyDescent="0.3">
      <c r="A319" s="461">
        <f t="shared" si="10"/>
        <v>318</v>
      </c>
      <c r="B319" s="461" t="s">
        <v>629</v>
      </c>
      <c r="C319" s="461" t="s">
        <v>426</v>
      </c>
      <c r="D319" s="462" t="s">
        <v>359</v>
      </c>
      <c r="E319" s="504" t="s">
        <v>637</v>
      </c>
      <c r="F319" s="461">
        <v>37150</v>
      </c>
      <c r="G319" s="461" t="str">
        <f t="shared" si="8"/>
        <v>Blvd. Juan Alonso de Torres No. 2002, Col. Valle del Campestre, León, Guanajuato. C.P. 37150. Local 41 - BGuanajuatoLEON GUANAJUATO37150</v>
      </c>
      <c r="H319" s="480">
        <v>0</v>
      </c>
      <c r="I319" s="480">
        <v>595828.48921324988</v>
      </c>
      <c r="J319" s="502">
        <v>888130.68350000004</v>
      </c>
      <c r="K319" s="480">
        <v>439598.68591551733</v>
      </c>
      <c r="L319" s="463"/>
    </row>
    <row r="320" spans="1:12" ht="23.25" customHeight="1" thickBot="1" x14ac:dyDescent="0.3">
      <c r="A320" s="461">
        <f t="shared" si="10"/>
        <v>319</v>
      </c>
      <c r="B320" s="461" t="s">
        <v>629</v>
      </c>
      <c r="C320" s="461" t="s">
        <v>638</v>
      </c>
      <c r="D320" s="462" t="s">
        <v>639</v>
      </c>
      <c r="E320" s="504" t="s">
        <v>640</v>
      </c>
      <c r="F320" s="461">
        <v>94298</v>
      </c>
      <c r="G320" s="461" t="str">
        <f t="shared" si="8"/>
        <v>Blvd. Adolfo Ruíz Cortines No. 4300, Col. Playa de Oro, Mocambo, Boca del Río, Veracruz. C.P. 94298. Local SA 300Veracruz BOCA DEL RÍO 94298</v>
      </c>
      <c r="H320" s="480">
        <v>0</v>
      </c>
      <c r="I320" s="480">
        <v>1474848.7914999998</v>
      </c>
      <c r="J320" s="502">
        <v>1420595.659</v>
      </c>
      <c r="K320" s="480">
        <v>461132.45661379385</v>
      </c>
      <c r="L320" s="463"/>
    </row>
    <row r="321" spans="1:12" ht="23.25" customHeight="1" thickBot="1" x14ac:dyDescent="0.3">
      <c r="A321" s="461">
        <f t="shared" si="10"/>
        <v>320</v>
      </c>
      <c r="B321" s="461" t="s">
        <v>629</v>
      </c>
      <c r="C321" s="461" t="s">
        <v>147</v>
      </c>
      <c r="D321" s="462" t="s">
        <v>154</v>
      </c>
      <c r="E321" s="504" t="s">
        <v>641</v>
      </c>
      <c r="F321" s="464" t="s">
        <v>642</v>
      </c>
      <c r="G321" s="461" t="str">
        <f t="shared" si="8"/>
        <v>Av. Patriotismo No. 229, Col. San Pedro de los Pinos, Del. Benito Juárez, México, D.F., C.P. 03800. CDMXBENITO JUAREZ03800</v>
      </c>
      <c r="H321" s="480">
        <v>0</v>
      </c>
      <c r="I321" s="480">
        <v>1690479.3840000001</v>
      </c>
      <c r="J321" s="502">
        <v>2130014.4219999998</v>
      </c>
      <c r="K321" s="480">
        <v>1990048.3826434501</v>
      </c>
      <c r="L321" s="463"/>
    </row>
    <row r="322" spans="1:12" ht="23.25" customHeight="1" thickBot="1" x14ac:dyDescent="0.3">
      <c r="A322" s="461">
        <f t="shared" si="10"/>
        <v>321</v>
      </c>
      <c r="B322" s="461" t="s">
        <v>629</v>
      </c>
      <c r="C322" s="461" t="s">
        <v>238</v>
      </c>
      <c r="D322" s="462" t="s">
        <v>235</v>
      </c>
      <c r="E322" s="504" t="s">
        <v>538</v>
      </c>
      <c r="F322" s="461">
        <v>66260</v>
      </c>
      <c r="G322" s="461" t="str">
        <f t="shared" si="8"/>
        <v>Av. Batallón de San Patricio #1000 Colonia Residencial San Agustin San Pedro Garza García Nuevo Leon MéxicoMONTERREYNUEVO LEON66260</v>
      </c>
      <c r="H322" s="480">
        <v>0</v>
      </c>
      <c r="I322" s="480">
        <v>1031220.666</v>
      </c>
      <c r="J322" s="502">
        <v>1249258.4669999999</v>
      </c>
      <c r="K322" s="480">
        <v>829186.82610143756</v>
      </c>
      <c r="L322" s="463"/>
    </row>
    <row r="323" spans="1:12" ht="23.25" customHeight="1" thickBot="1" x14ac:dyDescent="0.3">
      <c r="A323" s="461">
        <f t="shared" si="10"/>
        <v>322</v>
      </c>
      <c r="B323" s="461" t="s">
        <v>629</v>
      </c>
      <c r="C323" s="461" t="s">
        <v>468</v>
      </c>
      <c r="D323" s="462" t="s">
        <v>468</v>
      </c>
      <c r="E323" s="503" t="s">
        <v>196</v>
      </c>
      <c r="F323" s="461">
        <v>54055</v>
      </c>
      <c r="G323" s="461" t="str">
        <f t="shared" ref="G323:G367" si="11">CONCATENATE(E323,C323,D323,F323)</f>
        <v>BLVD. MANUEL AVILA CAMACHO NO. 1007, COL. SAN LUCAS TEPETLACALCO, TLANEPANTLA, EDO. DE MEXICOEstado de MéxicoEstado de México54055</v>
      </c>
      <c r="H323" s="480">
        <v>0</v>
      </c>
      <c r="I323" s="480">
        <v>2112313.2925</v>
      </c>
      <c r="J323" s="502">
        <v>1814451.936</v>
      </c>
      <c r="K323" s="480">
        <v>1704279.3434735269</v>
      </c>
      <c r="L323" s="463"/>
    </row>
    <row r="324" spans="1:12" ht="23.25" customHeight="1" thickBot="1" x14ac:dyDescent="0.3">
      <c r="A324" s="461">
        <f t="shared" si="10"/>
        <v>323</v>
      </c>
      <c r="B324" s="461" t="s">
        <v>629</v>
      </c>
      <c r="C324" s="461" t="s">
        <v>147</v>
      </c>
      <c r="D324" s="462" t="s">
        <v>643</v>
      </c>
      <c r="E324" s="504" t="s">
        <v>644</v>
      </c>
      <c r="F324" s="461">
        <v>1900</v>
      </c>
      <c r="G324" s="461" t="str">
        <f t="shared" si="11"/>
        <v>Blvd. Adolfo Ruiz Cortines 3270 Col. Jardines del Pedregal Delegación Álvaro Obregón CDMX N3 S/NCDMXALVARO OBREGÓN1900</v>
      </c>
      <c r="H324" s="480">
        <v>0</v>
      </c>
      <c r="I324" s="480">
        <v>1327430.0155</v>
      </c>
      <c r="J324" s="502">
        <v>1672569.9845</v>
      </c>
      <c r="K324" s="480">
        <v>459913.75</v>
      </c>
      <c r="L324" s="463"/>
    </row>
    <row r="325" spans="1:12" ht="23.25" customHeight="1" thickBot="1" x14ac:dyDescent="0.3">
      <c r="A325" s="461">
        <f t="shared" si="10"/>
        <v>324</v>
      </c>
      <c r="B325" s="461" t="s">
        <v>629</v>
      </c>
      <c r="C325" s="461" t="s">
        <v>449</v>
      </c>
      <c r="D325" s="462" t="s">
        <v>566</v>
      </c>
      <c r="E325" s="504" t="s">
        <v>645</v>
      </c>
      <c r="F325" s="461">
        <v>72197</v>
      </c>
      <c r="G325" s="461" t="str">
        <f t="shared" si="11"/>
        <v>Vía Atlizcayotl #4931 unidad territorial Atlizcayotl C.P. 72197 San Andres Cholula PueblaPueblaCHOLULA72197</v>
      </c>
      <c r="H325" s="480">
        <v>0</v>
      </c>
      <c r="I325" s="480">
        <v>1452430.0155</v>
      </c>
      <c r="J325" s="502">
        <v>1797569.9844999998</v>
      </c>
      <c r="K325" s="480">
        <v>459913.75</v>
      </c>
      <c r="L325" s="463"/>
    </row>
    <row r="326" spans="1:12" ht="23.25" customHeight="1" thickBot="1" x14ac:dyDescent="0.3">
      <c r="A326" s="461">
        <f t="shared" si="10"/>
        <v>325</v>
      </c>
      <c r="B326" s="461" t="s">
        <v>629</v>
      </c>
      <c r="C326" s="461" t="s">
        <v>201</v>
      </c>
      <c r="D326" s="462" t="s">
        <v>201</v>
      </c>
      <c r="E326" s="504" t="s">
        <v>646</v>
      </c>
      <c r="F326" s="461">
        <v>36000</v>
      </c>
      <c r="G326" s="461" t="str">
        <f t="shared" si="11"/>
        <v>Carretera Guanajuato - Juventino Rosas #139 C.P. 36000 Gto. Gto.GUANAJUATOGUANAJUATO36000</v>
      </c>
      <c r="H326" s="480">
        <v>0</v>
      </c>
      <c r="I326" s="480">
        <v>1327430.0155</v>
      </c>
      <c r="J326" s="502">
        <v>1672569.9845</v>
      </c>
      <c r="K326" s="480">
        <v>770549.3</v>
      </c>
      <c r="L326" s="463"/>
    </row>
    <row r="327" spans="1:12" ht="23.25" customHeight="1" thickBot="1" x14ac:dyDescent="0.3">
      <c r="A327" s="461">
        <f t="shared" si="10"/>
        <v>326</v>
      </c>
      <c r="B327" s="461" t="s">
        <v>629</v>
      </c>
      <c r="C327" s="461" t="s">
        <v>446</v>
      </c>
      <c r="D327" s="462" t="s">
        <v>542</v>
      </c>
      <c r="E327" s="504" t="s">
        <v>647</v>
      </c>
      <c r="F327" s="461">
        <v>45116</v>
      </c>
      <c r="G327" s="461" t="str">
        <f t="shared" si="11"/>
        <v>45116 Av. Patria 188 Puerta de Hierro Zapopan JaliscoJaliscoZapopan45116</v>
      </c>
      <c r="H327" s="480">
        <v>0</v>
      </c>
      <c r="I327" s="480">
        <v>1327430.0155</v>
      </c>
      <c r="J327" s="502">
        <v>1672569.9845</v>
      </c>
      <c r="K327" s="480">
        <v>459913.75</v>
      </c>
      <c r="L327" s="463"/>
    </row>
    <row r="328" spans="1:12" ht="23.25" customHeight="1" thickBot="1" x14ac:dyDescent="0.3">
      <c r="A328" s="461">
        <f t="shared" si="10"/>
        <v>327</v>
      </c>
      <c r="B328" s="461" t="s">
        <v>629</v>
      </c>
      <c r="C328" s="461" t="s">
        <v>468</v>
      </c>
      <c r="D328" s="462" t="s">
        <v>403</v>
      </c>
      <c r="E328" s="504" t="s">
        <v>648</v>
      </c>
      <c r="F328" s="461">
        <v>52177</v>
      </c>
      <c r="G328" s="461" t="str">
        <f t="shared" si="11"/>
        <v>Calle Miguel Hidalgo 682 Residencial, la Providencia , 52177 Providencia MéxicoEstado de MéxicoMETEPEC52177</v>
      </c>
      <c r="H328" s="480">
        <v>0</v>
      </c>
      <c r="I328" s="480">
        <v>1327430.0155</v>
      </c>
      <c r="J328" s="502">
        <v>1672569.9845</v>
      </c>
      <c r="K328" s="480">
        <v>459913.75</v>
      </c>
      <c r="L328" s="463"/>
    </row>
    <row r="329" spans="1:12" ht="23.25" customHeight="1" thickBot="1" x14ac:dyDescent="0.3">
      <c r="A329" s="461">
        <f t="shared" si="10"/>
        <v>328</v>
      </c>
      <c r="B329" s="461" t="s">
        <v>629</v>
      </c>
      <c r="C329" s="461" t="s">
        <v>263</v>
      </c>
      <c r="D329" s="462" t="s">
        <v>263</v>
      </c>
      <c r="E329" s="504" t="s">
        <v>649</v>
      </c>
      <c r="F329" s="461">
        <v>76146</v>
      </c>
      <c r="G329" s="461" t="str">
        <f t="shared" si="11"/>
        <v>Anillo vial Fray Junípero Serra 7901 La Purisima 76146 Santiago de Querétaro , Qro.QUERETAROQUERETARO76146</v>
      </c>
      <c r="H329" s="480">
        <v>0</v>
      </c>
      <c r="I329" s="480">
        <v>1577430.0155</v>
      </c>
      <c r="J329" s="502">
        <v>1922569.9844999998</v>
      </c>
      <c r="K329" s="480">
        <v>1001714.0900000001</v>
      </c>
      <c r="L329" s="463"/>
    </row>
    <row r="330" spans="1:12" ht="23.25" customHeight="1" thickBot="1" x14ac:dyDescent="0.3">
      <c r="A330" s="461">
        <f t="shared" si="10"/>
        <v>329</v>
      </c>
      <c r="B330" s="461" t="s">
        <v>629</v>
      </c>
      <c r="C330" s="461" t="s">
        <v>570</v>
      </c>
      <c r="D330" s="462" t="s">
        <v>441</v>
      </c>
      <c r="E330" s="504" t="s">
        <v>650</v>
      </c>
      <c r="F330" s="461">
        <v>29045</v>
      </c>
      <c r="G330" s="461" t="str">
        <f t="shared" si="11"/>
        <v>Carretera Tuxtla Chiapa de Corzo # 651 Esquina Blvd Salomón Gonzalez Blanco Tuxtla Gutierrez ChiapasCHIAPASTuxtla Gutierrez29045</v>
      </c>
      <c r="H330" s="480">
        <v>0</v>
      </c>
      <c r="I330" s="480">
        <v>1327430.0155</v>
      </c>
      <c r="J330" s="502">
        <v>1672569.9845</v>
      </c>
      <c r="K330" s="480">
        <v>820690.1</v>
      </c>
      <c r="L330" s="463"/>
    </row>
    <row r="331" spans="1:12" ht="23.25" customHeight="1" thickBot="1" x14ac:dyDescent="0.3">
      <c r="A331" s="461">
        <f t="shared" si="10"/>
        <v>330</v>
      </c>
      <c r="B331" s="461" t="s">
        <v>629</v>
      </c>
      <c r="C331" s="461" t="s">
        <v>213</v>
      </c>
      <c r="D331" s="462" t="s">
        <v>216</v>
      </c>
      <c r="E331" s="504" t="s">
        <v>651</v>
      </c>
      <c r="F331" s="461">
        <v>44648</v>
      </c>
      <c r="G331" s="461" t="str">
        <f t="shared" si="11"/>
        <v>Avenida Adolfo López Mateos Norte  No 2405 esquina calle Colomos , Colonia Italia Providencia Zona 2 Minerva Guadalajara JALISCOGUADALAJARA44648</v>
      </c>
      <c r="H331" s="480">
        <v>0</v>
      </c>
      <c r="I331" s="480">
        <v>2023605.1</v>
      </c>
      <c r="J331" s="502">
        <v>1819755.1</v>
      </c>
      <c r="K331" s="480">
        <v>300000</v>
      </c>
      <c r="L331" s="463"/>
    </row>
    <row r="332" spans="1:12" ht="23.25" customHeight="1" thickBot="1" x14ac:dyDescent="0.3">
      <c r="A332" s="461">
        <f t="shared" si="10"/>
        <v>331</v>
      </c>
      <c r="B332" s="461" t="s">
        <v>629</v>
      </c>
      <c r="C332" s="461" t="s">
        <v>147</v>
      </c>
      <c r="D332" s="462" t="s">
        <v>154</v>
      </c>
      <c r="E332" s="504" t="s">
        <v>652</v>
      </c>
      <c r="F332" s="461">
        <v>3339</v>
      </c>
      <c r="G332" s="461" t="str">
        <f t="shared" si="11"/>
        <v>Avenida Real Mayorazgo No 130 Colonia Xoco Alcaldía Benito Juárez CDMXCDMXBENITO JUAREZ3339</v>
      </c>
      <c r="H332" s="480">
        <v>0</v>
      </c>
      <c r="I332" s="480">
        <v>2198694.6</v>
      </c>
      <c r="J332" s="502">
        <v>1744008.95</v>
      </c>
      <c r="K332" s="480">
        <v>300000</v>
      </c>
      <c r="L332" s="463"/>
    </row>
    <row r="333" spans="1:12" ht="23.25" customHeight="1" thickBot="1" x14ac:dyDescent="0.3">
      <c r="A333" s="461">
        <f t="shared" si="10"/>
        <v>332</v>
      </c>
      <c r="B333" s="461" t="s">
        <v>629</v>
      </c>
      <c r="C333" s="461" t="s">
        <v>633</v>
      </c>
      <c r="D333" s="462" t="s">
        <v>269</v>
      </c>
      <c r="E333" s="504" t="s">
        <v>653</v>
      </c>
      <c r="F333" s="461">
        <v>78295</v>
      </c>
      <c r="G333" s="461" t="str">
        <f t="shared" si="11"/>
        <v>Blvd Antonio Rocha 157 Fraccionamiento desarrollo del Pedregal San Luis Potosí SLPSan Luis PotosíSAN LUIS POTOSI78295</v>
      </c>
      <c r="H333" s="480">
        <v>0</v>
      </c>
      <c r="I333" s="480">
        <v>2178867.2999999998</v>
      </c>
      <c r="J333" s="502">
        <v>1762572.5</v>
      </c>
      <c r="K333" s="480">
        <v>300000</v>
      </c>
      <c r="L333" s="463"/>
    </row>
    <row r="334" spans="1:12" ht="23.25" customHeight="1" thickBot="1" x14ac:dyDescent="0.3">
      <c r="A334" s="461">
        <f t="shared" si="10"/>
        <v>333</v>
      </c>
      <c r="B334" s="461" t="s">
        <v>629</v>
      </c>
      <c r="C334" s="461" t="s">
        <v>356</v>
      </c>
      <c r="D334" s="462" t="s">
        <v>117</v>
      </c>
      <c r="E334" s="504" t="s">
        <v>654</v>
      </c>
      <c r="F334" s="461">
        <v>22110</v>
      </c>
      <c r="G334" s="461" t="str">
        <f t="shared" si="11"/>
        <v>Vía Rápida Oriente Número 15000 en la colonia Chapultepec Alamar Tijuana Baja CaliforniaBAJA CALIFORNIATIJUANA22110</v>
      </c>
      <c r="H334" s="480">
        <v>0</v>
      </c>
      <c r="I334" s="480">
        <v>2098545.4500000002</v>
      </c>
      <c r="J334" s="502">
        <v>1522265</v>
      </c>
      <c r="K334" s="480">
        <v>300000</v>
      </c>
      <c r="L334" s="463"/>
    </row>
    <row r="335" spans="1:12" ht="21.6" thickBot="1" x14ac:dyDescent="0.3">
      <c r="A335" s="461">
        <v>334</v>
      </c>
      <c r="B335" s="461" t="s">
        <v>655</v>
      </c>
      <c r="C335" s="461" t="s">
        <v>228</v>
      </c>
      <c r="D335" s="462" t="s">
        <v>478</v>
      </c>
      <c r="E335" s="504" t="s">
        <v>479</v>
      </c>
      <c r="F335" s="461">
        <v>62270</v>
      </c>
      <c r="G335" s="461" t="str">
        <f t="shared" si="11"/>
        <v>Av. Rio Balsas S/N Calzada Leandro Valle y Vicente Guerrero Colonia Lomas de la Selva Cuernavaca MorelosMORELOSCUERNAVACA62270</v>
      </c>
      <c r="H335" s="480">
        <v>0</v>
      </c>
      <c r="I335" s="480">
        <v>576603.57993500005</v>
      </c>
      <c r="J335" s="502">
        <v>352936.56400000001</v>
      </c>
      <c r="K335" s="480">
        <v>373357.46880000003</v>
      </c>
      <c r="L335" s="463"/>
    </row>
    <row r="336" spans="1:12" ht="21.6" thickBot="1" x14ac:dyDescent="0.3">
      <c r="A336" s="503">
        <f>+A335+1</f>
        <v>335</v>
      </c>
      <c r="B336" s="461" t="s">
        <v>655</v>
      </c>
      <c r="C336" s="461" t="s">
        <v>147</v>
      </c>
      <c r="D336" s="462" t="s">
        <v>643</v>
      </c>
      <c r="E336" s="504" t="s">
        <v>656</v>
      </c>
      <c r="F336" s="464" t="s">
        <v>347</v>
      </c>
      <c r="G336" s="461" t="str">
        <f t="shared" si="11"/>
        <v>Avenida Javier Barros Sierra 540 Torre 2 Colonia Santa Fe Delegacion Álvaro Obregón Ciudad de MéxicoCDMXALVARO OBREGÓN01210</v>
      </c>
      <c r="H336" s="480">
        <v>0</v>
      </c>
      <c r="I336" s="480">
        <v>2676499.7803224996</v>
      </c>
      <c r="J336" s="502">
        <v>751248.0706775001</v>
      </c>
      <c r="K336" s="480">
        <v>0</v>
      </c>
      <c r="L336" s="463"/>
    </row>
    <row r="337" spans="1:12" ht="21.6" thickBot="1" x14ac:dyDescent="0.3">
      <c r="A337" s="503">
        <v>336</v>
      </c>
      <c r="B337" s="461" t="s">
        <v>657</v>
      </c>
      <c r="C337" s="461" t="s">
        <v>228</v>
      </c>
      <c r="D337" s="462" t="s">
        <v>478</v>
      </c>
      <c r="E337" s="504" t="s">
        <v>658</v>
      </c>
      <c r="F337" s="461">
        <v>62290</v>
      </c>
      <c r="G337" s="461" t="str">
        <f t="shared" si="11"/>
        <v>Río Balsas s/n, Col. Vista Hermosa C.P. 62290 Cuernavaca, Morelos. Piso 1MORELOSCUERNAVACA62290</v>
      </c>
      <c r="H337" s="480">
        <v>0</v>
      </c>
      <c r="I337" s="480">
        <v>29366.265000000003</v>
      </c>
      <c r="J337" s="502">
        <v>0</v>
      </c>
      <c r="K337" s="480">
        <v>15945.420499999998</v>
      </c>
      <c r="L337" s="463"/>
    </row>
    <row r="338" spans="1:12" ht="21.6" thickBot="1" x14ac:dyDescent="0.3">
      <c r="A338" s="461">
        <f>+A337+1</f>
        <v>337</v>
      </c>
      <c r="B338" s="461" t="s">
        <v>657</v>
      </c>
      <c r="C338" s="461" t="s">
        <v>228</v>
      </c>
      <c r="D338" s="462" t="s">
        <v>478</v>
      </c>
      <c r="E338" s="504" t="s">
        <v>659</v>
      </c>
      <c r="F338" s="461">
        <v>62290</v>
      </c>
      <c r="G338" s="461" t="str">
        <f t="shared" si="11"/>
        <v>Río Balsas s/n, Col. Vista Hermosa C.P. 62290 Cuernavaca, Morelos. Piso 2MORELOSCUERNAVACA62290</v>
      </c>
      <c r="H338" s="480">
        <v>0</v>
      </c>
      <c r="I338" s="480">
        <v>30913.863499999999</v>
      </c>
      <c r="J338" s="502">
        <v>0</v>
      </c>
      <c r="K338" s="480">
        <v>105011.41250000001</v>
      </c>
      <c r="L338" s="463"/>
    </row>
    <row r="339" spans="1:12" ht="21.6" thickBot="1" x14ac:dyDescent="0.3">
      <c r="A339" s="461">
        <f>+A338+1</f>
        <v>338</v>
      </c>
      <c r="B339" s="461" t="s">
        <v>657</v>
      </c>
      <c r="C339" s="461" t="s">
        <v>228</v>
      </c>
      <c r="D339" s="462" t="s">
        <v>478</v>
      </c>
      <c r="E339" s="504" t="s">
        <v>660</v>
      </c>
      <c r="F339" s="461">
        <v>62290</v>
      </c>
      <c r="G339" s="461" t="str">
        <f t="shared" si="11"/>
        <v>Río Balsas s/n, Col. Vista Hermosa C.P. 62290 Cuernavaca, Morelos. Planta BajaMORELOSCUERNAVACA62290</v>
      </c>
      <c r="H339" s="480">
        <v>0</v>
      </c>
      <c r="I339" s="480">
        <v>30913.863499999999</v>
      </c>
      <c r="J339" s="502">
        <v>0</v>
      </c>
      <c r="K339" s="480">
        <v>147644.04250000001</v>
      </c>
      <c r="L339" s="463"/>
    </row>
    <row r="340" spans="1:12" ht="21.6" thickBot="1" x14ac:dyDescent="0.3">
      <c r="A340" s="461">
        <f>+A339+1</f>
        <v>339</v>
      </c>
      <c r="B340" s="461" t="s">
        <v>657</v>
      </c>
      <c r="C340" s="461" t="s">
        <v>147</v>
      </c>
      <c r="D340" s="462" t="s">
        <v>152</v>
      </c>
      <c r="E340" s="504" t="s">
        <v>661</v>
      </c>
      <c r="F340" s="461">
        <v>11700</v>
      </c>
      <c r="G340" s="461" t="str">
        <f t="shared" si="11"/>
        <v>Bosques de Ciruelos 99. Bosques de las Lomas, Miguel Hidalgo 11700. México D.F.CDMXMIGUEL HIDALGO11700</v>
      </c>
      <c r="H340" s="480">
        <v>0</v>
      </c>
      <c r="I340" s="480">
        <v>25968.145</v>
      </c>
      <c r="J340" s="502">
        <v>0</v>
      </c>
      <c r="K340" s="480">
        <v>42748.721999999994</v>
      </c>
      <c r="L340" s="463"/>
    </row>
    <row r="341" spans="1:12" ht="21.6" thickBot="1" x14ac:dyDescent="0.3">
      <c r="A341" s="461">
        <f>+A340+1</f>
        <v>340</v>
      </c>
      <c r="B341" s="461" t="s">
        <v>657</v>
      </c>
      <c r="C341" s="461" t="s">
        <v>147</v>
      </c>
      <c r="D341" s="462" t="s">
        <v>152</v>
      </c>
      <c r="E341" s="504" t="s">
        <v>662</v>
      </c>
      <c r="F341" s="461">
        <v>11000</v>
      </c>
      <c r="G341" s="461" t="str">
        <f t="shared" si="11"/>
        <v>Campos Elíseos 400. Col. Lomas de Chapultepec. C.P. 11000. Miguel Hidalgo, México D.F.CDMXMIGUEL HIDALGO11000</v>
      </c>
      <c r="H341" s="480">
        <v>0</v>
      </c>
      <c r="I341" s="480">
        <v>25968.145</v>
      </c>
      <c r="J341" s="502">
        <v>0</v>
      </c>
      <c r="K341" s="480">
        <v>84927.670499999993</v>
      </c>
      <c r="L341" s="463"/>
    </row>
    <row r="342" spans="1:12" ht="21.6" thickBot="1" x14ac:dyDescent="0.3">
      <c r="A342" s="461">
        <f>+A341+1</f>
        <v>341</v>
      </c>
      <c r="B342" s="461" t="s">
        <v>657</v>
      </c>
      <c r="C342" s="461" t="s">
        <v>147</v>
      </c>
      <c r="D342" s="462" t="s">
        <v>663</v>
      </c>
      <c r="E342" s="504" t="s">
        <v>664</v>
      </c>
      <c r="F342" s="464">
        <v>1210</v>
      </c>
      <c r="G342" s="461" t="str">
        <f t="shared" si="11"/>
        <v>Av. Prol Paseo de la Reforma 400. Col Peña Blanca Santa Fe. CC Patio Santa Fe. México D.F.CDMXÁLVARO OBREGÓN1210</v>
      </c>
      <c r="H342" s="480">
        <v>0</v>
      </c>
      <c r="I342" s="480">
        <v>25000</v>
      </c>
      <c r="J342" s="502">
        <v>0</v>
      </c>
      <c r="K342" s="480">
        <v>5661.0385000000006</v>
      </c>
      <c r="L342" s="463"/>
    </row>
    <row r="343" spans="1:12" ht="21.6" thickBot="1" x14ac:dyDescent="0.3">
      <c r="A343" s="503">
        <v>342</v>
      </c>
      <c r="B343" s="461" t="s">
        <v>665</v>
      </c>
      <c r="C343" s="461" t="s">
        <v>147</v>
      </c>
      <c r="D343" s="462" t="s">
        <v>327</v>
      </c>
      <c r="E343" s="504" t="s">
        <v>666</v>
      </c>
      <c r="F343" s="461">
        <v>5500</v>
      </c>
      <c r="G343" s="461" t="str">
        <f t="shared" si="11"/>
        <v>Av. Vasco de Quiroga 3850, Contadero Ciudad de México, CDMX Interior CC Sta FE (Lobby Cinemex)CDMXCUAJIMALPA5500</v>
      </c>
      <c r="H343" s="480">
        <v>0</v>
      </c>
      <c r="I343" s="480">
        <v>117087.7</v>
      </c>
      <c r="J343" s="502">
        <v>112168.25</v>
      </c>
      <c r="K343" s="480">
        <v>162000</v>
      </c>
      <c r="L343" s="463"/>
    </row>
    <row r="344" spans="1:12" ht="21.6" thickBot="1" x14ac:dyDescent="0.3">
      <c r="A344" s="461">
        <f>+A343+1</f>
        <v>343</v>
      </c>
      <c r="B344" s="461" t="s">
        <v>665</v>
      </c>
      <c r="C344" s="461" t="s">
        <v>228</v>
      </c>
      <c r="D344" s="462" t="s">
        <v>478</v>
      </c>
      <c r="E344" s="504" t="s">
        <v>667</v>
      </c>
      <c r="F344" s="461">
        <v>62290</v>
      </c>
      <c r="G344" s="461" t="str">
        <f t="shared" si="11"/>
        <v>Río Balsas 102, Vista Hermosa, 62290 Cuernavaca, Mor. “PLAZA BUGAMBILIAMORELOSCUERNAVACA62290</v>
      </c>
      <c r="H344" s="480">
        <v>0</v>
      </c>
      <c r="I344" s="480">
        <v>112500</v>
      </c>
      <c r="J344" s="502">
        <v>109500</v>
      </c>
      <c r="K344" s="480">
        <v>108000</v>
      </c>
      <c r="L344" s="463"/>
    </row>
    <row r="345" spans="1:12" ht="21" thickBot="1" x14ac:dyDescent="0.3">
      <c r="A345" s="461">
        <f t="shared" ref="A345:A364" si="12">+A344+1</f>
        <v>344</v>
      </c>
      <c r="B345" s="461" t="s">
        <v>665</v>
      </c>
      <c r="C345" s="461" t="s">
        <v>147</v>
      </c>
      <c r="D345" s="462" t="s">
        <v>152</v>
      </c>
      <c r="E345" s="503" t="s">
        <v>668</v>
      </c>
      <c r="F345" s="461">
        <v>11520</v>
      </c>
      <c r="G345" s="461" t="str">
        <f t="shared" si="11"/>
        <v>Av. Ejército Nacional # 843-B piso 3, Interior Antara Fashion Hall (Lobby Cinemex), Granada, 11520 Miguel Hidalgo, CDMXCDMXMIGUEL HIDALGO11520</v>
      </c>
      <c r="H345" s="480">
        <v>0</v>
      </c>
      <c r="I345" s="480">
        <v>102720.8</v>
      </c>
      <c r="J345" s="502">
        <v>126356.4</v>
      </c>
      <c r="K345" s="480">
        <v>132000</v>
      </c>
      <c r="L345" s="463"/>
    </row>
    <row r="346" spans="1:12" ht="21.6" thickBot="1" x14ac:dyDescent="0.3">
      <c r="A346" s="461">
        <f t="shared" si="12"/>
        <v>345</v>
      </c>
      <c r="B346" s="461" t="s">
        <v>665</v>
      </c>
      <c r="C346" s="461" t="s">
        <v>238</v>
      </c>
      <c r="D346" s="462" t="s">
        <v>235</v>
      </c>
      <c r="E346" s="504" t="s">
        <v>669</v>
      </c>
      <c r="F346" s="461">
        <v>66266</v>
      </c>
      <c r="G346" s="461" t="str">
        <f t="shared" si="11"/>
        <v>Av. Diego Rivera 1000, Zona Loma Larga Oriente, 66266  Monterrey, N.L. Nivel 3, A un costado de CINEMEXMONTERREYNUEVO LEON66266</v>
      </c>
      <c r="H346" s="480">
        <v>0</v>
      </c>
      <c r="I346" s="480">
        <v>167298.04999999999</v>
      </c>
      <c r="J346" s="502">
        <v>248513.6</v>
      </c>
      <c r="K346" s="480">
        <v>228000</v>
      </c>
      <c r="L346" s="463"/>
    </row>
    <row r="347" spans="1:12" ht="21.6" thickBot="1" x14ac:dyDescent="0.3">
      <c r="A347" s="461">
        <f t="shared" si="12"/>
        <v>346</v>
      </c>
      <c r="B347" s="461" t="s">
        <v>665</v>
      </c>
      <c r="C347" s="461" t="s">
        <v>180</v>
      </c>
      <c r="D347" s="462" t="s">
        <v>195</v>
      </c>
      <c r="E347" s="504" t="s">
        <v>670</v>
      </c>
      <c r="F347" s="461">
        <v>54050</v>
      </c>
      <c r="G347" s="461" t="str">
        <f t="shared" si="11"/>
        <v>Hab. Jardines de Santa Monica, 54050 Tlalnepantla de Baz, Estado de México, Interior centro comercial (Lobby Cinemex)ESTADO DE MEXICOTLALNEPANTLA54050</v>
      </c>
      <c r="H347" s="480">
        <v>0</v>
      </c>
      <c r="I347" s="480">
        <v>216260</v>
      </c>
      <c r="J347" s="502">
        <v>281790.34999999998</v>
      </c>
      <c r="K347" s="480">
        <v>240000</v>
      </c>
      <c r="L347" s="463"/>
    </row>
    <row r="348" spans="1:12" ht="21.6" thickBot="1" x14ac:dyDescent="0.3">
      <c r="A348" s="461">
        <f t="shared" si="12"/>
        <v>347</v>
      </c>
      <c r="B348" s="461" t="s">
        <v>665</v>
      </c>
      <c r="C348" s="461" t="s">
        <v>147</v>
      </c>
      <c r="D348" s="462" t="s">
        <v>643</v>
      </c>
      <c r="E348" s="504" t="s">
        <v>644</v>
      </c>
      <c r="F348" s="504">
        <v>1900</v>
      </c>
      <c r="G348" s="461" t="str">
        <f t="shared" si="11"/>
        <v>Blvd. Adolfo Ruiz Cortines 3270 Col. Jardines del Pedregal Delegación Álvaro Obregón CDMX N3 S/NCDMXALVARO OBREGÓN1900</v>
      </c>
      <c r="H348" s="480">
        <v>0</v>
      </c>
      <c r="I348" s="480">
        <v>625111.82850000006</v>
      </c>
      <c r="J348" s="502">
        <v>669142.77949999995</v>
      </c>
      <c r="K348" s="480">
        <v>244458.1</v>
      </c>
      <c r="L348" s="463"/>
    </row>
    <row r="349" spans="1:12" ht="21.6" thickBot="1" x14ac:dyDescent="0.3">
      <c r="A349" s="461">
        <f t="shared" si="12"/>
        <v>348</v>
      </c>
      <c r="B349" s="461" t="s">
        <v>665</v>
      </c>
      <c r="C349" s="461" t="s">
        <v>231</v>
      </c>
      <c r="D349" s="462" t="s">
        <v>232</v>
      </c>
      <c r="E349" s="504" t="s">
        <v>671</v>
      </c>
      <c r="F349" s="504">
        <v>63175</v>
      </c>
      <c r="G349" s="461" t="str">
        <f t="shared" si="11"/>
        <v>Blvd. Luis Donaldo Colosio 680, Benito Juarez Oriente, 63175 Tepic NayaritNAYARITTEPIC63175</v>
      </c>
      <c r="H349" s="480">
        <v>0</v>
      </c>
      <c r="I349" s="480">
        <v>416587.5</v>
      </c>
      <c r="J349" s="502">
        <v>300706.09999999998</v>
      </c>
      <c r="K349" s="480">
        <v>207485.45</v>
      </c>
      <c r="L349" s="463"/>
    </row>
    <row r="350" spans="1:12" ht="21.6" thickBot="1" x14ac:dyDescent="0.3">
      <c r="A350" s="461">
        <f t="shared" si="12"/>
        <v>349</v>
      </c>
      <c r="B350" s="461" t="s">
        <v>665</v>
      </c>
      <c r="C350" s="461" t="s">
        <v>129</v>
      </c>
      <c r="D350" s="462" t="s">
        <v>129</v>
      </c>
      <c r="E350" s="504" t="s">
        <v>672</v>
      </c>
      <c r="F350" s="504" t="s">
        <v>673</v>
      </c>
      <c r="G350" s="461" t="str">
        <f t="shared" si="11"/>
        <v>Periférico de la Juventud 5700 , PASEOS DE CHIHUAHUA, Chihuahua , ChihuahuaCHIHUAHUACHIHUAHUA 31119</v>
      </c>
      <c r="H350" s="480">
        <v>0</v>
      </c>
      <c r="I350" s="480">
        <v>425000</v>
      </c>
      <c r="J350" s="502">
        <v>294802.25</v>
      </c>
      <c r="K350" s="480">
        <v>227080.55</v>
      </c>
      <c r="L350" s="463"/>
    </row>
    <row r="351" spans="1:12" ht="31.2" thickBot="1" x14ac:dyDescent="0.3">
      <c r="A351" s="461">
        <f t="shared" si="12"/>
        <v>350</v>
      </c>
      <c r="B351" s="461" t="s">
        <v>665</v>
      </c>
      <c r="C351" s="461" t="s">
        <v>180</v>
      </c>
      <c r="D351" s="462" t="s">
        <v>195</v>
      </c>
      <c r="E351" s="504" t="s">
        <v>674</v>
      </c>
      <c r="F351" s="504">
        <v>54033</v>
      </c>
      <c r="G351" s="461" t="str">
        <f t="shared" si="11"/>
        <v>Sor Juana Inés de la Cruz  No. 280 Esquina Vía Dr. Gustavo Baz Tlalnepantla Estado de México, SAN LORENZO INDUSTRIAL C.P. 54033ESTADO DE MEXICOTLALNEPANTLA54033</v>
      </c>
      <c r="H351" s="480">
        <v>0</v>
      </c>
      <c r="I351" s="480">
        <v>639212.4</v>
      </c>
      <c r="J351" s="502">
        <v>316490</v>
      </c>
      <c r="K351" s="480">
        <v>158746.70000000001</v>
      </c>
      <c r="L351" s="463"/>
    </row>
    <row r="352" spans="1:12" ht="21.6" thickBot="1" x14ac:dyDescent="0.3">
      <c r="A352" s="461">
        <f t="shared" si="12"/>
        <v>351</v>
      </c>
      <c r="B352" s="461" t="s">
        <v>665</v>
      </c>
      <c r="C352" s="461" t="s">
        <v>147</v>
      </c>
      <c r="D352" s="462" t="s">
        <v>459</v>
      </c>
      <c r="E352" s="504" t="s">
        <v>675</v>
      </c>
      <c r="F352" s="504">
        <v>7320</v>
      </c>
      <c r="G352" s="461" t="str">
        <f t="shared" si="11"/>
        <v>Avenida Miguel Bernard 1187 Delegación Gustavo A. Madero CDMX, LA PURISIMA TICOMANCDMXGustavo A. Madero7320</v>
      </c>
      <c r="H352" s="480">
        <v>0</v>
      </c>
      <c r="I352" s="480">
        <v>428750</v>
      </c>
      <c r="J352" s="502">
        <v>270728.05</v>
      </c>
      <c r="K352" s="480">
        <v>189264.15</v>
      </c>
      <c r="L352" s="463"/>
    </row>
    <row r="353" spans="1:12" ht="21.6" thickBot="1" x14ac:dyDescent="0.3">
      <c r="A353" s="461">
        <f t="shared" si="12"/>
        <v>352</v>
      </c>
      <c r="B353" s="461" t="s">
        <v>665</v>
      </c>
      <c r="C353" s="461" t="s">
        <v>180</v>
      </c>
      <c r="D353" s="462" t="s">
        <v>676</v>
      </c>
      <c r="E353" s="504" t="s">
        <v>677</v>
      </c>
      <c r="F353" s="504">
        <v>52787</v>
      </c>
      <c r="G353" s="461" t="str">
        <f t="shared" si="11"/>
        <v>Vialidad de la Barranca Numero 6 Ex hacienda Jesús del Monte, Bosque de las Palmas 52787 Huixquilucan MéxicoESTADO DE MEXICOHUIXQUILUCAN52787</v>
      </c>
      <c r="H353" s="480">
        <v>0</v>
      </c>
      <c r="I353" s="480">
        <v>539200</v>
      </c>
      <c r="J353" s="502">
        <v>350199.55</v>
      </c>
      <c r="K353" s="480">
        <v>299718.90000000002</v>
      </c>
      <c r="L353" s="463"/>
    </row>
    <row r="354" spans="1:12" ht="21" thickBot="1" x14ac:dyDescent="0.3">
      <c r="A354" s="461">
        <f t="shared" si="12"/>
        <v>353</v>
      </c>
      <c r="B354" s="461" t="s">
        <v>665</v>
      </c>
      <c r="C354" s="461" t="s">
        <v>201</v>
      </c>
      <c r="D354" s="462" t="s">
        <v>201</v>
      </c>
      <c r="E354" s="504" t="s">
        <v>678</v>
      </c>
      <c r="F354" s="504">
        <v>36056</v>
      </c>
      <c r="G354" s="461" t="str">
        <f t="shared" si="11"/>
        <v>Carretera Puentecillas S/N, Ppzuelos, Guanajuato GuanajuatoGUANAJUATOGUANAJUATO36056</v>
      </c>
      <c r="H354" s="480">
        <v>0</v>
      </c>
      <c r="I354" s="480">
        <v>430000</v>
      </c>
      <c r="J354" s="502">
        <v>321611.34999999998</v>
      </c>
      <c r="K354" s="480">
        <v>206270.1</v>
      </c>
      <c r="L354" s="463"/>
    </row>
    <row r="355" spans="1:12" ht="21.6" thickBot="1" x14ac:dyDescent="0.3">
      <c r="A355" s="461">
        <f t="shared" si="12"/>
        <v>354</v>
      </c>
      <c r="B355" s="461" t="s">
        <v>665</v>
      </c>
      <c r="C355" s="461" t="s">
        <v>207</v>
      </c>
      <c r="D355" s="462" t="s">
        <v>208</v>
      </c>
      <c r="E355" s="504" t="s">
        <v>679</v>
      </c>
      <c r="F355" s="504">
        <v>42119</v>
      </c>
      <c r="G355" s="461" t="str">
        <f t="shared" si="11"/>
        <v>Carretera México-Pachuca 200  santa Matilde Pachuca de Soto HidalgoHIDALGOPACHUCA42119</v>
      </c>
      <c r="H355" s="480">
        <v>0</v>
      </c>
      <c r="I355" s="480">
        <v>479409.3</v>
      </c>
      <c r="J355" s="502">
        <v>237018.5</v>
      </c>
      <c r="K355" s="480">
        <v>189264.15</v>
      </c>
      <c r="L355" s="463"/>
    </row>
    <row r="356" spans="1:12" ht="21.6" thickBot="1" x14ac:dyDescent="0.3">
      <c r="A356" s="461">
        <f t="shared" si="12"/>
        <v>355</v>
      </c>
      <c r="B356" s="461" t="s">
        <v>665</v>
      </c>
      <c r="C356" s="461" t="s">
        <v>570</v>
      </c>
      <c r="D356" s="462" t="s">
        <v>441</v>
      </c>
      <c r="E356" s="504" t="s">
        <v>680</v>
      </c>
      <c r="F356" s="504">
        <v>29040</v>
      </c>
      <c r="G356" s="461" t="str">
        <f t="shared" si="11"/>
        <v>Carretera Tuxtla-Chiapa de Corso No. 651 esq. Boulevard Salomón Gonzalez Blanco , Tuxtla Gutierrez Chiapas, Col. El RetiroCHIAPASTuxtla Gutierrez29040</v>
      </c>
      <c r="H356" s="480">
        <v>0</v>
      </c>
      <c r="I356" s="480">
        <v>468426.4</v>
      </c>
      <c r="J356" s="502">
        <v>255611.8</v>
      </c>
      <c r="K356" s="480">
        <v>189264.15</v>
      </c>
      <c r="L356" s="463"/>
    </row>
    <row r="357" spans="1:12" ht="21.6" thickBot="1" x14ac:dyDescent="0.3">
      <c r="A357" s="461">
        <f t="shared" si="12"/>
        <v>356</v>
      </c>
      <c r="B357" s="461" t="s">
        <v>665</v>
      </c>
      <c r="C357" s="461" t="s">
        <v>180</v>
      </c>
      <c r="D357" s="462" t="s">
        <v>403</v>
      </c>
      <c r="E357" s="504" t="s">
        <v>681</v>
      </c>
      <c r="F357" s="504">
        <v>52177</v>
      </c>
      <c r="G357" s="461" t="str">
        <f t="shared" si="11"/>
        <v>Avenida Ignacio Comonfort #1100 Lote 1 Manzana 1 Metepec, LA PROVIDENCIAESTADO DE MEXICOMETEPEC52177</v>
      </c>
      <c r="H357" s="480">
        <v>0</v>
      </c>
      <c r="I357" s="480">
        <v>413317.4</v>
      </c>
      <c r="J357" s="502">
        <v>213067.1</v>
      </c>
      <c r="K357" s="480">
        <v>154627.45000000001</v>
      </c>
      <c r="L357" s="463"/>
    </row>
    <row r="358" spans="1:12" ht="21" thickBot="1" x14ac:dyDescent="0.3">
      <c r="A358" s="461">
        <f t="shared" si="12"/>
        <v>357</v>
      </c>
      <c r="B358" s="461" t="s">
        <v>665</v>
      </c>
      <c r="C358" s="461" t="s">
        <v>446</v>
      </c>
      <c r="D358" s="462" t="s">
        <v>542</v>
      </c>
      <c r="E358" s="504" t="s">
        <v>682</v>
      </c>
      <c r="F358" s="504">
        <v>45116</v>
      </c>
      <c r="G358" s="461" t="str">
        <f t="shared" si="11"/>
        <v>Paseo de los Virreyes 65 Zapopan Jalisco México, PUERTA DE HIERROJaliscoZapopan45116</v>
      </c>
      <c r="H358" s="480">
        <v>0</v>
      </c>
      <c r="I358" s="480">
        <v>462915.5</v>
      </c>
      <c r="J358" s="502">
        <v>250796.95</v>
      </c>
      <c r="K358" s="480">
        <v>160410</v>
      </c>
      <c r="L358" s="463"/>
    </row>
    <row r="359" spans="1:12" ht="21" thickBot="1" x14ac:dyDescent="0.3">
      <c r="A359" s="461">
        <f t="shared" si="12"/>
        <v>358</v>
      </c>
      <c r="B359" s="461" t="s">
        <v>665</v>
      </c>
      <c r="C359" s="461" t="s">
        <v>446</v>
      </c>
      <c r="D359" s="462" t="s">
        <v>542</v>
      </c>
      <c r="E359" s="504" t="s">
        <v>683</v>
      </c>
      <c r="F359" s="504">
        <v>45160</v>
      </c>
      <c r="G359" s="461" t="str">
        <f t="shared" si="11"/>
        <v>Av. De las Americas No. 1950 Colonia Jacarandas Zapopan JaliscoJaliscoZapopan45160</v>
      </c>
      <c r="H359" s="480">
        <v>0</v>
      </c>
      <c r="I359" s="480">
        <v>617976.6</v>
      </c>
      <c r="J359" s="502">
        <v>267511</v>
      </c>
      <c r="K359" s="480">
        <v>299718.90000000002</v>
      </c>
      <c r="L359" s="463"/>
    </row>
    <row r="360" spans="1:12" ht="21" thickBot="1" x14ac:dyDescent="0.3">
      <c r="A360" s="461">
        <f t="shared" si="12"/>
        <v>359</v>
      </c>
      <c r="B360" s="461" t="s">
        <v>665</v>
      </c>
      <c r="C360" s="461" t="s">
        <v>449</v>
      </c>
      <c r="D360" s="462" t="s">
        <v>259</v>
      </c>
      <c r="E360" s="504" t="s">
        <v>684</v>
      </c>
      <c r="F360" s="504">
        <v>72450</v>
      </c>
      <c r="G360" s="461" t="str">
        <f t="shared" si="11"/>
        <v>Vía Atlicayotl 4931 Unidad Territorial C.P. 72450 Puebla PueblaPueblaPUEBLA72450</v>
      </c>
      <c r="H360" s="480">
        <v>0</v>
      </c>
      <c r="I360" s="480">
        <v>388000</v>
      </c>
      <c r="J360" s="502">
        <v>213838.1</v>
      </c>
      <c r="K360" s="480">
        <v>154627.45000000001</v>
      </c>
      <c r="L360" s="463"/>
    </row>
    <row r="361" spans="1:12" ht="21.6" thickBot="1" x14ac:dyDescent="0.3">
      <c r="A361" s="461">
        <f t="shared" si="12"/>
        <v>360</v>
      </c>
      <c r="B361" s="461" t="s">
        <v>665</v>
      </c>
      <c r="C361" s="461" t="s">
        <v>449</v>
      </c>
      <c r="D361" s="462" t="s">
        <v>566</v>
      </c>
      <c r="E361" s="504" t="s">
        <v>685</v>
      </c>
      <c r="F361" s="504">
        <v>72760</v>
      </c>
      <c r="G361" s="461" t="str">
        <f t="shared" si="11"/>
        <v>Calle Alejandra S/N Junta Aux , Santiago Momoxpan San Pedro Cholula PueblaPueblaCHOLULA72760</v>
      </c>
      <c r="H361" s="480">
        <v>0</v>
      </c>
      <c r="I361" s="480">
        <v>418317.4</v>
      </c>
      <c r="J361" s="502">
        <v>211616</v>
      </c>
      <c r="K361" s="480">
        <v>160410</v>
      </c>
      <c r="L361" s="463"/>
    </row>
    <row r="362" spans="1:12" ht="21.6" thickBot="1" x14ac:dyDescent="0.3">
      <c r="A362" s="461">
        <f t="shared" si="12"/>
        <v>361</v>
      </c>
      <c r="B362" s="461" t="s">
        <v>665</v>
      </c>
      <c r="C362" s="461" t="s">
        <v>273</v>
      </c>
      <c r="D362" s="462" t="s">
        <v>274</v>
      </c>
      <c r="E362" s="504" t="s">
        <v>686</v>
      </c>
      <c r="F362" s="504">
        <v>80260</v>
      </c>
      <c r="G362" s="461" t="str">
        <f t="shared" si="11"/>
        <v>Lote de terreno urbano localizado en el poblado El Diez , Municipio de Culiacán Sinaloa , Explanada CuliacánSINALOACULIACAN80260</v>
      </c>
      <c r="H362" s="480">
        <v>0</v>
      </c>
      <c r="I362" s="480">
        <v>243442.45</v>
      </c>
      <c r="J362" s="502">
        <v>680286.7</v>
      </c>
      <c r="K362" s="480">
        <v>192545.85</v>
      </c>
      <c r="L362" s="463"/>
    </row>
    <row r="363" spans="1:12" ht="23.25" customHeight="1" thickBot="1" x14ac:dyDescent="0.3">
      <c r="A363" s="461">
        <f t="shared" si="12"/>
        <v>362</v>
      </c>
      <c r="B363" s="461" t="s">
        <v>665</v>
      </c>
      <c r="C363" s="461" t="s">
        <v>263</v>
      </c>
      <c r="D363" s="462" t="s">
        <v>263</v>
      </c>
      <c r="E363" s="461" t="s">
        <v>687</v>
      </c>
      <c r="F363" s="504">
        <v>76146</v>
      </c>
      <c r="G363" s="461" t="str">
        <f t="shared" si="11"/>
        <v>Anillo vía Fray Junípero Serra 7901, Col. La Purísima, Del. Epigmenio González, Santiago de Querétaro, QuerétaroQUERETAROQUERETARO76146</v>
      </c>
      <c r="H363" s="480">
        <v>0</v>
      </c>
      <c r="I363" s="480">
        <v>200648.25</v>
      </c>
      <c r="J363" s="502">
        <v>395145.2</v>
      </c>
      <c r="K363" s="480">
        <v>9834.1539278727996</v>
      </c>
      <c r="L363" s="463"/>
    </row>
    <row r="364" spans="1:12" ht="23.25" customHeight="1" thickBot="1" x14ac:dyDescent="0.3">
      <c r="A364" s="461">
        <f t="shared" si="12"/>
        <v>363</v>
      </c>
      <c r="B364" s="461" t="s">
        <v>665</v>
      </c>
      <c r="C364" s="461" t="s">
        <v>147</v>
      </c>
      <c r="D364" s="462" t="s">
        <v>688</v>
      </c>
      <c r="E364" s="461" t="s">
        <v>689</v>
      </c>
      <c r="F364" s="512" t="s">
        <v>401</v>
      </c>
      <c r="G364" s="461" t="str">
        <f t="shared" si="11"/>
        <v>Parroquia 194 Colonia del Valle Benito Juárez CDMXCDMXBENITO JUÁREZ03100</v>
      </c>
      <c r="H364" s="480">
        <v>0</v>
      </c>
      <c r="I364" s="480">
        <v>300000</v>
      </c>
      <c r="J364" s="502">
        <v>2200000</v>
      </c>
      <c r="K364" s="480">
        <v>500000</v>
      </c>
      <c r="L364" s="463"/>
    </row>
    <row r="365" spans="1:12" ht="23.25" customHeight="1" thickBot="1" x14ac:dyDescent="0.3">
      <c r="A365" s="461">
        <v>364</v>
      </c>
      <c r="B365" s="461" t="s">
        <v>119</v>
      </c>
      <c r="C365" s="461"/>
      <c r="D365" s="462"/>
      <c r="E365" s="461" t="s">
        <v>690</v>
      </c>
      <c r="F365" s="512">
        <v>34940</v>
      </c>
      <c r="G365" s="461" t="str">
        <f t="shared" si="11"/>
        <v>Lote Rustico ubicado en el ejido "El Brillante" del pueblo nuevo "El Salto" estado de Durango con numero oficial KM-99-500 Carretera Libre Durango-Mazatlán,EL SALTO CENTRO, CP 34940.34940</v>
      </c>
      <c r="H365" s="480">
        <v>0</v>
      </c>
      <c r="I365" s="480">
        <v>1533408.37</v>
      </c>
      <c r="J365" s="502">
        <v>751043.59</v>
      </c>
      <c r="K365" s="480">
        <v>207996.37</v>
      </c>
      <c r="L365" s="463"/>
    </row>
    <row r="366" spans="1:12" thickBot="1" x14ac:dyDescent="0.3">
      <c r="A366" s="457">
        <f>COUNT(A2:A365)</f>
        <v>364</v>
      </c>
      <c r="G366" s="461" t="str">
        <f t="shared" si="11"/>
        <v/>
      </c>
      <c r="H366" s="466">
        <f>SUM(H2:H365)</f>
        <v>155549.70000000001</v>
      </c>
      <c r="I366" s="466">
        <f>SUM(I2:I365)</f>
        <v>869216450.12531984</v>
      </c>
      <c r="J366" s="466">
        <f t="shared" ref="J366:K366" si="13">SUM(J2:J365)</f>
        <v>737211443.05809546</v>
      </c>
      <c r="K366" s="466">
        <f t="shared" si="13"/>
        <v>324299019.92821944</v>
      </c>
    </row>
    <row r="367" spans="1:12" ht="13.8" hidden="1" thickBot="1" x14ac:dyDescent="0.3">
      <c r="G367" s="461" t="str">
        <f t="shared" si="11"/>
        <v/>
      </c>
      <c r="H367" s="467">
        <f>H366/20</f>
        <v>7777.4850000000006</v>
      </c>
      <c r="I367" s="467"/>
      <c r="J367" s="502" t="e">
        <f>#REF!/20</f>
        <v>#REF!</v>
      </c>
      <c r="K367" s="480" t="e">
        <f>#REF!/20</f>
        <v>#REF!</v>
      </c>
    </row>
  </sheetData>
  <autoFilter ref="A1:J362" xr:uid="{00000000-0009-0000-0000-000001000000}"/>
  <pageMargins left="0.74803149606299213" right="0.74803149606299213" top="0.98425196850393704" bottom="0.47244094488188981" header="0.51181102362204722" footer="0.51181102362204722"/>
  <pageSetup scale="50" orientation="landscape"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B1:IU768"/>
  <sheetViews>
    <sheetView zoomScale="120" zoomScaleNormal="120" zoomScaleSheetLayoutView="100" workbookViewId="0">
      <pane xSplit="1" ySplit="6" topLeftCell="B96" activePane="bottomRight" state="frozen"/>
      <selection pane="topRight" activeCell="B1" sqref="B1"/>
      <selection pane="bottomLeft" activeCell="A7" sqref="A7"/>
      <selection pane="bottomRight" activeCell="E68" sqref="E68"/>
    </sheetView>
  </sheetViews>
  <sheetFormatPr baseColWidth="10" defaultColWidth="0" defaultRowHeight="12.75" customHeight="1" zeroHeight="1" x14ac:dyDescent="0.25"/>
  <cols>
    <col min="1" max="1" width="2.6640625" style="212" customWidth="1"/>
    <col min="2" max="2" width="31" style="335" customWidth="1"/>
    <col min="3" max="3" width="26.5546875" style="335" customWidth="1"/>
    <col min="4" max="4" width="25.33203125" style="335" customWidth="1"/>
    <col min="5" max="5" width="16.44140625" style="335" customWidth="1"/>
    <col min="6" max="6" width="25.33203125" style="335" customWidth="1"/>
    <col min="7" max="7" width="11.88671875" style="335" bestFit="1" customWidth="1"/>
    <col min="8" max="8" width="13.5546875" style="212" customWidth="1"/>
    <col min="9" max="9" width="5" style="212" hidden="1" customWidth="1"/>
    <col min="10" max="10" width="12.44140625" style="212" hidden="1" customWidth="1"/>
    <col min="11" max="11" width="9.6640625" style="212" hidden="1" customWidth="1"/>
    <col min="12" max="12" width="13.109375" style="212" hidden="1" customWidth="1"/>
    <col min="13" max="13" width="5" style="212" hidden="1" customWidth="1"/>
    <col min="14" max="14" width="12.88671875" style="212" bestFit="1" customWidth="1"/>
    <col min="15" max="15" width="7.88671875" style="212" bestFit="1" customWidth="1"/>
    <col min="16" max="254" width="0" style="212" hidden="1" customWidth="1"/>
    <col min="255" max="255" width="13.5546875" style="212" hidden="1" customWidth="1"/>
    <col min="256" max="256" width="0" style="212" hidden="1"/>
    <col min="257" max="257" width="2.6640625" style="212" customWidth="1"/>
    <col min="258" max="258" width="31" style="212" customWidth="1"/>
    <col min="259" max="259" width="26.5546875" style="212" customWidth="1"/>
    <col min="260" max="260" width="25.33203125" style="212" customWidth="1"/>
    <col min="261" max="261" width="16.44140625" style="212" customWidth="1"/>
    <col min="262" max="262" width="25.33203125" style="212" customWidth="1"/>
    <col min="263" max="263" width="11.44140625" style="212" bestFit="1" customWidth="1"/>
    <col min="264" max="264" width="5.6640625" style="212" bestFit="1" customWidth="1"/>
    <col min="265" max="269" width="0" style="212" hidden="1" customWidth="1"/>
    <col min="270" max="270" width="8.44140625" style="212" bestFit="1" customWidth="1"/>
    <col min="271" max="271" width="7.33203125" style="212" customWidth="1"/>
    <col min="272" max="511" width="0" style="212" hidden="1" customWidth="1"/>
    <col min="512" max="512" width="0" style="212" hidden="1"/>
    <col min="513" max="513" width="2.6640625" style="212" customWidth="1"/>
    <col min="514" max="514" width="31" style="212" customWidth="1"/>
    <col min="515" max="515" width="26.5546875" style="212" customWidth="1"/>
    <col min="516" max="516" width="25.33203125" style="212" customWidth="1"/>
    <col min="517" max="517" width="16.44140625" style="212" customWidth="1"/>
    <col min="518" max="518" width="25.33203125" style="212" customWidth="1"/>
    <col min="519" max="519" width="11.44140625" style="212" bestFit="1" customWidth="1"/>
    <col min="520" max="520" width="5.6640625" style="212" bestFit="1" customWidth="1"/>
    <col min="521" max="525" width="0" style="212" hidden="1" customWidth="1"/>
    <col min="526" max="526" width="8.44140625" style="212" bestFit="1" customWidth="1"/>
    <col min="527" max="527" width="7.33203125" style="212" customWidth="1"/>
    <col min="528" max="767" width="0" style="212" hidden="1" customWidth="1"/>
    <col min="768" max="768" width="0" style="212" hidden="1"/>
    <col min="769" max="769" width="2.6640625" style="212" customWidth="1"/>
    <col min="770" max="770" width="31" style="212" customWidth="1"/>
    <col min="771" max="771" width="26.5546875" style="212" customWidth="1"/>
    <col min="772" max="772" width="25.33203125" style="212" customWidth="1"/>
    <col min="773" max="773" width="16.44140625" style="212" customWidth="1"/>
    <col min="774" max="774" width="25.33203125" style="212" customWidth="1"/>
    <col min="775" max="775" width="11.44140625" style="212" bestFit="1" customWidth="1"/>
    <col min="776" max="776" width="5.6640625" style="212" bestFit="1" customWidth="1"/>
    <col min="777" max="781" width="0" style="212" hidden="1" customWidth="1"/>
    <col min="782" max="782" width="8.44140625" style="212" bestFit="1" customWidth="1"/>
    <col min="783" max="783" width="7.33203125" style="212" customWidth="1"/>
    <col min="784" max="1023" width="0" style="212" hidden="1" customWidth="1"/>
    <col min="1024" max="1024" width="0" style="212" hidden="1"/>
    <col min="1025" max="1025" width="2.6640625" style="212" customWidth="1"/>
    <col min="1026" max="1026" width="31" style="212" customWidth="1"/>
    <col min="1027" max="1027" width="26.5546875" style="212" customWidth="1"/>
    <col min="1028" max="1028" width="25.33203125" style="212" customWidth="1"/>
    <col min="1029" max="1029" width="16.44140625" style="212" customWidth="1"/>
    <col min="1030" max="1030" width="25.33203125" style="212" customWidth="1"/>
    <col min="1031" max="1031" width="11.44140625" style="212" bestFit="1" customWidth="1"/>
    <col min="1032" max="1032" width="5.6640625" style="212" bestFit="1" customWidth="1"/>
    <col min="1033" max="1037" width="0" style="212" hidden="1" customWidth="1"/>
    <col min="1038" max="1038" width="8.44140625" style="212" bestFit="1" customWidth="1"/>
    <col min="1039" max="1039" width="7.33203125" style="212" customWidth="1"/>
    <col min="1040" max="1279" width="0" style="212" hidden="1" customWidth="1"/>
    <col min="1280" max="1280" width="0" style="212" hidden="1"/>
    <col min="1281" max="1281" width="2.6640625" style="212" customWidth="1"/>
    <col min="1282" max="1282" width="31" style="212" customWidth="1"/>
    <col min="1283" max="1283" width="26.5546875" style="212" customWidth="1"/>
    <col min="1284" max="1284" width="25.33203125" style="212" customWidth="1"/>
    <col min="1285" max="1285" width="16.44140625" style="212" customWidth="1"/>
    <col min="1286" max="1286" width="25.33203125" style="212" customWidth="1"/>
    <col min="1287" max="1287" width="11.44140625" style="212" bestFit="1" customWidth="1"/>
    <col min="1288" max="1288" width="5.6640625" style="212" bestFit="1" customWidth="1"/>
    <col min="1289" max="1293" width="0" style="212" hidden="1" customWidth="1"/>
    <col min="1294" max="1294" width="8.44140625" style="212" bestFit="1" customWidth="1"/>
    <col min="1295" max="1295" width="7.33203125" style="212" customWidth="1"/>
    <col min="1296" max="1535" width="0" style="212" hidden="1" customWidth="1"/>
    <col min="1536" max="1536" width="0" style="212" hidden="1"/>
    <col min="1537" max="1537" width="2.6640625" style="212" customWidth="1"/>
    <col min="1538" max="1538" width="31" style="212" customWidth="1"/>
    <col min="1539" max="1539" width="26.5546875" style="212" customWidth="1"/>
    <col min="1540" max="1540" width="25.33203125" style="212" customWidth="1"/>
    <col min="1541" max="1541" width="16.44140625" style="212" customWidth="1"/>
    <col min="1542" max="1542" width="25.33203125" style="212" customWidth="1"/>
    <col min="1543" max="1543" width="11.44140625" style="212" bestFit="1" customWidth="1"/>
    <col min="1544" max="1544" width="5.6640625" style="212" bestFit="1" customWidth="1"/>
    <col min="1545" max="1549" width="0" style="212" hidden="1" customWidth="1"/>
    <col min="1550" max="1550" width="8.44140625" style="212" bestFit="1" customWidth="1"/>
    <col min="1551" max="1551" width="7.33203125" style="212" customWidth="1"/>
    <col min="1552" max="1791" width="0" style="212" hidden="1" customWidth="1"/>
    <col min="1792" max="1792" width="0" style="212" hidden="1"/>
    <col min="1793" max="1793" width="2.6640625" style="212" customWidth="1"/>
    <col min="1794" max="1794" width="31" style="212" customWidth="1"/>
    <col min="1795" max="1795" width="26.5546875" style="212" customWidth="1"/>
    <col min="1796" max="1796" width="25.33203125" style="212" customWidth="1"/>
    <col min="1797" max="1797" width="16.44140625" style="212" customWidth="1"/>
    <col min="1798" max="1798" width="25.33203125" style="212" customWidth="1"/>
    <col min="1799" max="1799" width="11.44140625" style="212" bestFit="1" customWidth="1"/>
    <col min="1800" max="1800" width="5.6640625" style="212" bestFit="1" customWidth="1"/>
    <col min="1801" max="1805" width="0" style="212" hidden="1" customWidth="1"/>
    <col min="1806" max="1806" width="8.44140625" style="212" bestFit="1" customWidth="1"/>
    <col min="1807" max="1807" width="7.33203125" style="212" customWidth="1"/>
    <col min="1808" max="2047" width="0" style="212" hidden="1" customWidth="1"/>
    <col min="2048" max="2048" width="0" style="212" hidden="1"/>
    <col min="2049" max="2049" width="2.6640625" style="212" customWidth="1"/>
    <col min="2050" max="2050" width="31" style="212" customWidth="1"/>
    <col min="2051" max="2051" width="26.5546875" style="212" customWidth="1"/>
    <col min="2052" max="2052" width="25.33203125" style="212" customWidth="1"/>
    <col min="2053" max="2053" width="16.44140625" style="212" customWidth="1"/>
    <col min="2054" max="2054" width="25.33203125" style="212" customWidth="1"/>
    <col min="2055" max="2055" width="11.44140625" style="212" bestFit="1" customWidth="1"/>
    <col min="2056" max="2056" width="5.6640625" style="212" bestFit="1" customWidth="1"/>
    <col min="2057" max="2061" width="0" style="212" hidden="1" customWidth="1"/>
    <col min="2062" max="2062" width="8.44140625" style="212" bestFit="1" customWidth="1"/>
    <col min="2063" max="2063" width="7.33203125" style="212" customWidth="1"/>
    <col min="2064" max="2303" width="0" style="212" hidden="1" customWidth="1"/>
    <col min="2304" max="2304" width="0" style="212" hidden="1"/>
    <col min="2305" max="2305" width="2.6640625" style="212" customWidth="1"/>
    <col min="2306" max="2306" width="31" style="212" customWidth="1"/>
    <col min="2307" max="2307" width="26.5546875" style="212" customWidth="1"/>
    <col min="2308" max="2308" width="25.33203125" style="212" customWidth="1"/>
    <col min="2309" max="2309" width="16.44140625" style="212" customWidth="1"/>
    <col min="2310" max="2310" width="25.33203125" style="212" customWidth="1"/>
    <col min="2311" max="2311" width="11.44140625" style="212" bestFit="1" customWidth="1"/>
    <col min="2312" max="2312" width="5.6640625" style="212" bestFit="1" customWidth="1"/>
    <col min="2313" max="2317" width="0" style="212" hidden="1" customWidth="1"/>
    <col min="2318" max="2318" width="8.44140625" style="212" bestFit="1" customWidth="1"/>
    <col min="2319" max="2319" width="7.33203125" style="212" customWidth="1"/>
    <col min="2320" max="2559" width="0" style="212" hidden="1" customWidth="1"/>
    <col min="2560" max="2560" width="0" style="212" hidden="1"/>
    <col min="2561" max="2561" width="2.6640625" style="212" customWidth="1"/>
    <col min="2562" max="2562" width="31" style="212" customWidth="1"/>
    <col min="2563" max="2563" width="26.5546875" style="212" customWidth="1"/>
    <col min="2564" max="2564" width="25.33203125" style="212" customWidth="1"/>
    <col min="2565" max="2565" width="16.44140625" style="212" customWidth="1"/>
    <col min="2566" max="2566" width="25.33203125" style="212" customWidth="1"/>
    <col min="2567" max="2567" width="11.44140625" style="212" bestFit="1" customWidth="1"/>
    <col min="2568" max="2568" width="5.6640625" style="212" bestFit="1" customWidth="1"/>
    <col min="2569" max="2573" width="0" style="212" hidden="1" customWidth="1"/>
    <col min="2574" max="2574" width="8.44140625" style="212" bestFit="1" customWidth="1"/>
    <col min="2575" max="2575" width="7.33203125" style="212" customWidth="1"/>
    <col min="2576" max="2815" width="0" style="212" hidden="1" customWidth="1"/>
    <col min="2816" max="2816" width="0" style="212" hidden="1"/>
    <col min="2817" max="2817" width="2.6640625" style="212" customWidth="1"/>
    <col min="2818" max="2818" width="31" style="212" customWidth="1"/>
    <col min="2819" max="2819" width="26.5546875" style="212" customWidth="1"/>
    <col min="2820" max="2820" width="25.33203125" style="212" customWidth="1"/>
    <col min="2821" max="2821" width="16.44140625" style="212" customWidth="1"/>
    <col min="2822" max="2822" width="25.33203125" style="212" customWidth="1"/>
    <col min="2823" max="2823" width="11.44140625" style="212" bestFit="1" customWidth="1"/>
    <col min="2824" max="2824" width="5.6640625" style="212" bestFit="1" customWidth="1"/>
    <col min="2825" max="2829" width="0" style="212" hidden="1" customWidth="1"/>
    <col min="2830" max="2830" width="8.44140625" style="212" bestFit="1" customWidth="1"/>
    <col min="2831" max="2831" width="7.33203125" style="212" customWidth="1"/>
    <col min="2832" max="3071" width="0" style="212" hidden="1" customWidth="1"/>
    <col min="3072" max="3072" width="0" style="212" hidden="1"/>
    <col min="3073" max="3073" width="2.6640625" style="212" customWidth="1"/>
    <col min="3074" max="3074" width="31" style="212" customWidth="1"/>
    <col min="3075" max="3075" width="26.5546875" style="212" customWidth="1"/>
    <col min="3076" max="3076" width="25.33203125" style="212" customWidth="1"/>
    <col min="3077" max="3077" width="16.44140625" style="212" customWidth="1"/>
    <col min="3078" max="3078" width="25.33203125" style="212" customWidth="1"/>
    <col min="3079" max="3079" width="11.44140625" style="212" bestFit="1" customWidth="1"/>
    <col min="3080" max="3080" width="5.6640625" style="212" bestFit="1" customWidth="1"/>
    <col min="3081" max="3085" width="0" style="212" hidden="1" customWidth="1"/>
    <col min="3086" max="3086" width="8.44140625" style="212" bestFit="1" customWidth="1"/>
    <col min="3087" max="3087" width="7.33203125" style="212" customWidth="1"/>
    <col min="3088" max="3327" width="0" style="212" hidden="1" customWidth="1"/>
    <col min="3328" max="3328" width="0" style="212" hidden="1"/>
    <col min="3329" max="3329" width="2.6640625" style="212" customWidth="1"/>
    <col min="3330" max="3330" width="31" style="212" customWidth="1"/>
    <col min="3331" max="3331" width="26.5546875" style="212" customWidth="1"/>
    <col min="3332" max="3332" width="25.33203125" style="212" customWidth="1"/>
    <col min="3333" max="3333" width="16.44140625" style="212" customWidth="1"/>
    <col min="3334" max="3334" width="25.33203125" style="212" customWidth="1"/>
    <col min="3335" max="3335" width="11.44140625" style="212" bestFit="1" customWidth="1"/>
    <col min="3336" max="3336" width="5.6640625" style="212" bestFit="1" customWidth="1"/>
    <col min="3337" max="3341" width="0" style="212" hidden="1" customWidth="1"/>
    <col min="3342" max="3342" width="8.44140625" style="212" bestFit="1" customWidth="1"/>
    <col min="3343" max="3343" width="7.33203125" style="212" customWidth="1"/>
    <col min="3344" max="3583" width="0" style="212" hidden="1" customWidth="1"/>
    <col min="3584" max="3584" width="0" style="212" hidden="1"/>
    <col min="3585" max="3585" width="2.6640625" style="212" customWidth="1"/>
    <col min="3586" max="3586" width="31" style="212" customWidth="1"/>
    <col min="3587" max="3587" width="26.5546875" style="212" customWidth="1"/>
    <col min="3588" max="3588" width="25.33203125" style="212" customWidth="1"/>
    <col min="3589" max="3589" width="16.44140625" style="212" customWidth="1"/>
    <col min="3590" max="3590" width="25.33203125" style="212" customWidth="1"/>
    <col min="3591" max="3591" width="11.44140625" style="212" bestFit="1" customWidth="1"/>
    <col min="3592" max="3592" width="5.6640625" style="212" bestFit="1" customWidth="1"/>
    <col min="3593" max="3597" width="0" style="212" hidden="1" customWidth="1"/>
    <col min="3598" max="3598" width="8.44140625" style="212" bestFit="1" customWidth="1"/>
    <col min="3599" max="3599" width="7.33203125" style="212" customWidth="1"/>
    <col min="3600" max="3839" width="0" style="212" hidden="1" customWidth="1"/>
    <col min="3840" max="3840" width="0" style="212" hidden="1"/>
    <col min="3841" max="3841" width="2.6640625" style="212" customWidth="1"/>
    <col min="3842" max="3842" width="31" style="212" customWidth="1"/>
    <col min="3843" max="3843" width="26.5546875" style="212" customWidth="1"/>
    <col min="3844" max="3844" width="25.33203125" style="212" customWidth="1"/>
    <col min="3845" max="3845" width="16.44140625" style="212" customWidth="1"/>
    <col min="3846" max="3846" width="25.33203125" style="212" customWidth="1"/>
    <col min="3847" max="3847" width="11.44140625" style="212" bestFit="1" customWidth="1"/>
    <col min="3848" max="3848" width="5.6640625" style="212" bestFit="1" customWidth="1"/>
    <col min="3849" max="3853" width="0" style="212" hidden="1" customWidth="1"/>
    <col min="3854" max="3854" width="8.44140625" style="212" bestFit="1" customWidth="1"/>
    <col min="3855" max="3855" width="7.33203125" style="212" customWidth="1"/>
    <col min="3856" max="4095" width="0" style="212" hidden="1" customWidth="1"/>
    <col min="4096" max="4096" width="0" style="212" hidden="1"/>
    <col min="4097" max="4097" width="2.6640625" style="212" customWidth="1"/>
    <col min="4098" max="4098" width="31" style="212" customWidth="1"/>
    <col min="4099" max="4099" width="26.5546875" style="212" customWidth="1"/>
    <col min="4100" max="4100" width="25.33203125" style="212" customWidth="1"/>
    <col min="4101" max="4101" width="16.44140625" style="212" customWidth="1"/>
    <col min="4102" max="4102" width="25.33203125" style="212" customWidth="1"/>
    <col min="4103" max="4103" width="11.44140625" style="212" bestFit="1" customWidth="1"/>
    <col min="4104" max="4104" width="5.6640625" style="212" bestFit="1" customWidth="1"/>
    <col min="4105" max="4109" width="0" style="212" hidden="1" customWidth="1"/>
    <col min="4110" max="4110" width="8.44140625" style="212" bestFit="1" customWidth="1"/>
    <col min="4111" max="4111" width="7.33203125" style="212" customWidth="1"/>
    <col min="4112" max="4351" width="0" style="212" hidden="1" customWidth="1"/>
    <col min="4352" max="4352" width="0" style="212" hidden="1"/>
    <col min="4353" max="4353" width="2.6640625" style="212" customWidth="1"/>
    <col min="4354" max="4354" width="31" style="212" customWidth="1"/>
    <col min="4355" max="4355" width="26.5546875" style="212" customWidth="1"/>
    <col min="4356" max="4356" width="25.33203125" style="212" customWidth="1"/>
    <col min="4357" max="4357" width="16.44140625" style="212" customWidth="1"/>
    <col min="4358" max="4358" width="25.33203125" style="212" customWidth="1"/>
    <col min="4359" max="4359" width="11.44140625" style="212" bestFit="1" customWidth="1"/>
    <col min="4360" max="4360" width="5.6640625" style="212" bestFit="1" customWidth="1"/>
    <col min="4361" max="4365" width="0" style="212" hidden="1" customWidth="1"/>
    <col min="4366" max="4366" width="8.44140625" style="212" bestFit="1" customWidth="1"/>
    <col min="4367" max="4367" width="7.33203125" style="212" customWidth="1"/>
    <col min="4368" max="4607" width="0" style="212" hidden="1" customWidth="1"/>
    <col min="4608" max="4608" width="0" style="212" hidden="1"/>
    <col min="4609" max="4609" width="2.6640625" style="212" customWidth="1"/>
    <col min="4610" max="4610" width="31" style="212" customWidth="1"/>
    <col min="4611" max="4611" width="26.5546875" style="212" customWidth="1"/>
    <col min="4612" max="4612" width="25.33203125" style="212" customWidth="1"/>
    <col min="4613" max="4613" width="16.44140625" style="212" customWidth="1"/>
    <col min="4614" max="4614" width="25.33203125" style="212" customWidth="1"/>
    <col min="4615" max="4615" width="11.44140625" style="212" bestFit="1" customWidth="1"/>
    <col min="4616" max="4616" width="5.6640625" style="212" bestFit="1" customWidth="1"/>
    <col min="4617" max="4621" width="0" style="212" hidden="1" customWidth="1"/>
    <col min="4622" max="4622" width="8.44140625" style="212" bestFit="1" customWidth="1"/>
    <col min="4623" max="4623" width="7.33203125" style="212" customWidth="1"/>
    <col min="4624" max="4863" width="0" style="212" hidden="1" customWidth="1"/>
    <col min="4864" max="4864" width="0" style="212" hidden="1"/>
    <col min="4865" max="4865" width="2.6640625" style="212" customWidth="1"/>
    <col min="4866" max="4866" width="31" style="212" customWidth="1"/>
    <col min="4867" max="4867" width="26.5546875" style="212" customWidth="1"/>
    <col min="4868" max="4868" width="25.33203125" style="212" customWidth="1"/>
    <col min="4869" max="4869" width="16.44140625" style="212" customWidth="1"/>
    <col min="4870" max="4870" width="25.33203125" style="212" customWidth="1"/>
    <col min="4871" max="4871" width="11.44140625" style="212" bestFit="1" customWidth="1"/>
    <col min="4872" max="4872" width="5.6640625" style="212" bestFit="1" customWidth="1"/>
    <col min="4873" max="4877" width="0" style="212" hidden="1" customWidth="1"/>
    <col min="4878" max="4878" width="8.44140625" style="212" bestFit="1" customWidth="1"/>
    <col min="4879" max="4879" width="7.33203125" style="212" customWidth="1"/>
    <col min="4880" max="5119" width="0" style="212" hidden="1" customWidth="1"/>
    <col min="5120" max="5120" width="0" style="212" hidden="1"/>
    <col min="5121" max="5121" width="2.6640625" style="212" customWidth="1"/>
    <col min="5122" max="5122" width="31" style="212" customWidth="1"/>
    <col min="5123" max="5123" width="26.5546875" style="212" customWidth="1"/>
    <col min="5124" max="5124" width="25.33203125" style="212" customWidth="1"/>
    <col min="5125" max="5125" width="16.44140625" style="212" customWidth="1"/>
    <col min="5126" max="5126" width="25.33203125" style="212" customWidth="1"/>
    <col min="5127" max="5127" width="11.44140625" style="212" bestFit="1" customWidth="1"/>
    <col min="5128" max="5128" width="5.6640625" style="212" bestFit="1" customWidth="1"/>
    <col min="5129" max="5133" width="0" style="212" hidden="1" customWidth="1"/>
    <col min="5134" max="5134" width="8.44140625" style="212" bestFit="1" customWidth="1"/>
    <col min="5135" max="5135" width="7.33203125" style="212" customWidth="1"/>
    <col min="5136" max="5375" width="0" style="212" hidden="1" customWidth="1"/>
    <col min="5376" max="5376" width="0" style="212" hidden="1"/>
    <col min="5377" max="5377" width="2.6640625" style="212" customWidth="1"/>
    <col min="5378" max="5378" width="31" style="212" customWidth="1"/>
    <col min="5379" max="5379" width="26.5546875" style="212" customWidth="1"/>
    <col min="5380" max="5380" width="25.33203125" style="212" customWidth="1"/>
    <col min="5381" max="5381" width="16.44140625" style="212" customWidth="1"/>
    <col min="5382" max="5382" width="25.33203125" style="212" customWidth="1"/>
    <col min="5383" max="5383" width="11.44140625" style="212" bestFit="1" customWidth="1"/>
    <col min="5384" max="5384" width="5.6640625" style="212" bestFit="1" customWidth="1"/>
    <col min="5385" max="5389" width="0" style="212" hidden="1" customWidth="1"/>
    <col min="5390" max="5390" width="8.44140625" style="212" bestFit="1" customWidth="1"/>
    <col min="5391" max="5391" width="7.33203125" style="212" customWidth="1"/>
    <col min="5392" max="5631" width="0" style="212" hidden="1" customWidth="1"/>
    <col min="5632" max="5632" width="0" style="212" hidden="1"/>
    <col min="5633" max="5633" width="2.6640625" style="212" customWidth="1"/>
    <col min="5634" max="5634" width="31" style="212" customWidth="1"/>
    <col min="5635" max="5635" width="26.5546875" style="212" customWidth="1"/>
    <col min="5636" max="5636" width="25.33203125" style="212" customWidth="1"/>
    <col min="5637" max="5637" width="16.44140625" style="212" customWidth="1"/>
    <col min="5638" max="5638" width="25.33203125" style="212" customWidth="1"/>
    <col min="5639" max="5639" width="11.44140625" style="212" bestFit="1" customWidth="1"/>
    <col min="5640" max="5640" width="5.6640625" style="212" bestFit="1" customWidth="1"/>
    <col min="5641" max="5645" width="0" style="212" hidden="1" customWidth="1"/>
    <col min="5646" max="5646" width="8.44140625" style="212" bestFit="1" customWidth="1"/>
    <col min="5647" max="5647" width="7.33203125" style="212" customWidth="1"/>
    <col min="5648" max="5887" width="0" style="212" hidden="1" customWidth="1"/>
    <col min="5888" max="5888" width="0" style="212" hidden="1"/>
    <col min="5889" max="5889" width="2.6640625" style="212" customWidth="1"/>
    <col min="5890" max="5890" width="31" style="212" customWidth="1"/>
    <col min="5891" max="5891" width="26.5546875" style="212" customWidth="1"/>
    <col min="5892" max="5892" width="25.33203125" style="212" customWidth="1"/>
    <col min="5893" max="5893" width="16.44140625" style="212" customWidth="1"/>
    <col min="5894" max="5894" width="25.33203125" style="212" customWidth="1"/>
    <col min="5895" max="5895" width="11.44140625" style="212" bestFit="1" customWidth="1"/>
    <col min="5896" max="5896" width="5.6640625" style="212" bestFit="1" customWidth="1"/>
    <col min="5897" max="5901" width="0" style="212" hidden="1" customWidth="1"/>
    <col min="5902" max="5902" width="8.44140625" style="212" bestFit="1" customWidth="1"/>
    <col min="5903" max="5903" width="7.33203125" style="212" customWidth="1"/>
    <col min="5904" max="6143" width="0" style="212" hidden="1" customWidth="1"/>
    <col min="6144" max="6144" width="0" style="212" hidden="1"/>
    <col min="6145" max="6145" width="2.6640625" style="212" customWidth="1"/>
    <col min="6146" max="6146" width="31" style="212" customWidth="1"/>
    <col min="6147" max="6147" width="26.5546875" style="212" customWidth="1"/>
    <col min="6148" max="6148" width="25.33203125" style="212" customWidth="1"/>
    <col min="6149" max="6149" width="16.44140625" style="212" customWidth="1"/>
    <col min="6150" max="6150" width="25.33203125" style="212" customWidth="1"/>
    <col min="6151" max="6151" width="11.44140625" style="212" bestFit="1" customWidth="1"/>
    <col min="6152" max="6152" width="5.6640625" style="212" bestFit="1" customWidth="1"/>
    <col min="6153" max="6157" width="0" style="212" hidden="1" customWidth="1"/>
    <col min="6158" max="6158" width="8.44140625" style="212" bestFit="1" customWidth="1"/>
    <col min="6159" max="6159" width="7.33203125" style="212" customWidth="1"/>
    <col min="6160" max="6399" width="0" style="212" hidden="1" customWidth="1"/>
    <col min="6400" max="6400" width="0" style="212" hidden="1"/>
    <col min="6401" max="6401" width="2.6640625" style="212" customWidth="1"/>
    <col min="6402" max="6402" width="31" style="212" customWidth="1"/>
    <col min="6403" max="6403" width="26.5546875" style="212" customWidth="1"/>
    <col min="6404" max="6404" width="25.33203125" style="212" customWidth="1"/>
    <col min="6405" max="6405" width="16.44140625" style="212" customWidth="1"/>
    <col min="6406" max="6406" width="25.33203125" style="212" customWidth="1"/>
    <col min="6407" max="6407" width="11.44140625" style="212" bestFit="1" customWidth="1"/>
    <col min="6408" max="6408" width="5.6640625" style="212" bestFit="1" customWidth="1"/>
    <col min="6409" max="6413" width="0" style="212" hidden="1" customWidth="1"/>
    <col min="6414" max="6414" width="8.44140625" style="212" bestFit="1" customWidth="1"/>
    <col min="6415" max="6415" width="7.33203125" style="212" customWidth="1"/>
    <col min="6416" max="6655" width="0" style="212" hidden="1" customWidth="1"/>
    <col min="6656" max="6656" width="0" style="212" hidden="1"/>
    <col min="6657" max="6657" width="2.6640625" style="212" customWidth="1"/>
    <col min="6658" max="6658" width="31" style="212" customWidth="1"/>
    <col min="6659" max="6659" width="26.5546875" style="212" customWidth="1"/>
    <col min="6660" max="6660" width="25.33203125" style="212" customWidth="1"/>
    <col min="6661" max="6661" width="16.44140625" style="212" customWidth="1"/>
    <col min="6662" max="6662" width="25.33203125" style="212" customWidth="1"/>
    <col min="6663" max="6663" width="11.44140625" style="212" bestFit="1" customWidth="1"/>
    <col min="6664" max="6664" width="5.6640625" style="212" bestFit="1" customWidth="1"/>
    <col min="6665" max="6669" width="0" style="212" hidden="1" customWidth="1"/>
    <col min="6670" max="6670" width="8.44140625" style="212" bestFit="1" customWidth="1"/>
    <col min="6671" max="6671" width="7.33203125" style="212" customWidth="1"/>
    <col min="6672" max="6911" width="0" style="212" hidden="1" customWidth="1"/>
    <col min="6912" max="6912" width="0" style="212" hidden="1"/>
    <col min="6913" max="6913" width="2.6640625" style="212" customWidth="1"/>
    <col min="6914" max="6914" width="31" style="212" customWidth="1"/>
    <col min="6915" max="6915" width="26.5546875" style="212" customWidth="1"/>
    <col min="6916" max="6916" width="25.33203125" style="212" customWidth="1"/>
    <col min="6917" max="6917" width="16.44140625" style="212" customWidth="1"/>
    <col min="6918" max="6918" width="25.33203125" style="212" customWidth="1"/>
    <col min="6919" max="6919" width="11.44140625" style="212" bestFit="1" customWidth="1"/>
    <col min="6920" max="6920" width="5.6640625" style="212" bestFit="1" customWidth="1"/>
    <col min="6921" max="6925" width="0" style="212" hidden="1" customWidth="1"/>
    <col min="6926" max="6926" width="8.44140625" style="212" bestFit="1" customWidth="1"/>
    <col min="6927" max="6927" width="7.33203125" style="212" customWidth="1"/>
    <col min="6928" max="7167" width="0" style="212" hidden="1" customWidth="1"/>
    <col min="7168" max="7168" width="0" style="212" hidden="1"/>
    <col min="7169" max="7169" width="2.6640625" style="212" customWidth="1"/>
    <col min="7170" max="7170" width="31" style="212" customWidth="1"/>
    <col min="7171" max="7171" width="26.5546875" style="212" customWidth="1"/>
    <col min="7172" max="7172" width="25.33203125" style="212" customWidth="1"/>
    <col min="7173" max="7173" width="16.44140625" style="212" customWidth="1"/>
    <col min="7174" max="7174" width="25.33203125" style="212" customWidth="1"/>
    <col min="7175" max="7175" width="11.44140625" style="212" bestFit="1" customWidth="1"/>
    <col min="7176" max="7176" width="5.6640625" style="212" bestFit="1" customWidth="1"/>
    <col min="7177" max="7181" width="0" style="212" hidden="1" customWidth="1"/>
    <col min="7182" max="7182" width="8.44140625" style="212" bestFit="1" customWidth="1"/>
    <col min="7183" max="7183" width="7.33203125" style="212" customWidth="1"/>
    <col min="7184" max="7423" width="0" style="212" hidden="1" customWidth="1"/>
    <col min="7424" max="7424" width="0" style="212" hidden="1"/>
    <col min="7425" max="7425" width="2.6640625" style="212" customWidth="1"/>
    <col min="7426" max="7426" width="31" style="212" customWidth="1"/>
    <col min="7427" max="7427" width="26.5546875" style="212" customWidth="1"/>
    <col min="7428" max="7428" width="25.33203125" style="212" customWidth="1"/>
    <col min="7429" max="7429" width="16.44140625" style="212" customWidth="1"/>
    <col min="7430" max="7430" width="25.33203125" style="212" customWidth="1"/>
    <col min="7431" max="7431" width="11.44140625" style="212" bestFit="1" customWidth="1"/>
    <col min="7432" max="7432" width="5.6640625" style="212" bestFit="1" customWidth="1"/>
    <col min="7433" max="7437" width="0" style="212" hidden="1" customWidth="1"/>
    <col min="7438" max="7438" width="8.44140625" style="212" bestFit="1" customWidth="1"/>
    <col min="7439" max="7439" width="7.33203125" style="212" customWidth="1"/>
    <col min="7440" max="7679" width="0" style="212" hidden="1" customWidth="1"/>
    <col min="7680" max="7680" width="0" style="212" hidden="1"/>
    <col min="7681" max="7681" width="2.6640625" style="212" customWidth="1"/>
    <col min="7682" max="7682" width="31" style="212" customWidth="1"/>
    <col min="7683" max="7683" width="26.5546875" style="212" customWidth="1"/>
    <col min="7684" max="7684" width="25.33203125" style="212" customWidth="1"/>
    <col min="7685" max="7685" width="16.44140625" style="212" customWidth="1"/>
    <col min="7686" max="7686" width="25.33203125" style="212" customWidth="1"/>
    <col min="7687" max="7687" width="11.44140625" style="212" bestFit="1" customWidth="1"/>
    <col min="7688" max="7688" width="5.6640625" style="212" bestFit="1" customWidth="1"/>
    <col min="7689" max="7693" width="0" style="212" hidden="1" customWidth="1"/>
    <col min="7694" max="7694" width="8.44140625" style="212" bestFit="1" customWidth="1"/>
    <col min="7695" max="7695" width="7.33203125" style="212" customWidth="1"/>
    <col min="7696" max="7935" width="0" style="212" hidden="1" customWidth="1"/>
    <col min="7936" max="7936" width="0" style="212" hidden="1"/>
    <col min="7937" max="7937" width="2.6640625" style="212" customWidth="1"/>
    <col min="7938" max="7938" width="31" style="212" customWidth="1"/>
    <col min="7939" max="7939" width="26.5546875" style="212" customWidth="1"/>
    <col min="7940" max="7940" width="25.33203125" style="212" customWidth="1"/>
    <col min="7941" max="7941" width="16.44140625" style="212" customWidth="1"/>
    <col min="7942" max="7942" width="25.33203125" style="212" customWidth="1"/>
    <col min="7943" max="7943" width="11.44140625" style="212" bestFit="1" customWidth="1"/>
    <col min="7944" max="7944" width="5.6640625" style="212" bestFit="1" customWidth="1"/>
    <col min="7945" max="7949" width="0" style="212" hidden="1" customWidth="1"/>
    <col min="7950" max="7950" width="8.44140625" style="212" bestFit="1" customWidth="1"/>
    <col min="7951" max="7951" width="7.33203125" style="212" customWidth="1"/>
    <col min="7952" max="8191" width="0" style="212" hidden="1" customWidth="1"/>
    <col min="8192" max="8192" width="0" style="212" hidden="1"/>
    <col min="8193" max="8193" width="2.6640625" style="212" customWidth="1"/>
    <col min="8194" max="8194" width="31" style="212" customWidth="1"/>
    <col min="8195" max="8195" width="26.5546875" style="212" customWidth="1"/>
    <col min="8196" max="8196" width="25.33203125" style="212" customWidth="1"/>
    <col min="8197" max="8197" width="16.44140625" style="212" customWidth="1"/>
    <col min="8198" max="8198" width="25.33203125" style="212" customWidth="1"/>
    <col min="8199" max="8199" width="11.44140625" style="212" bestFit="1" customWidth="1"/>
    <col min="8200" max="8200" width="5.6640625" style="212" bestFit="1" customWidth="1"/>
    <col min="8201" max="8205" width="0" style="212" hidden="1" customWidth="1"/>
    <col min="8206" max="8206" width="8.44140625" style="212" bestFit="1" customWidth="1"/>
    <col min="8207" max="8207" width="7.33203125" style="212" customWidth="1"/>
    <col min="8208" max="8447" width="0" style="212" hidden="1" customWidth="1"/>
    <col min="8448" max="8448" width="0" style="212" hidden="1"/>
    <col min="8449" max="8449" width="2.6640625" style="212" customWidth="1"/>
    <col min="8450" max="8450" width="31" style="212" customWidth="1"/>
    <col min="8451" max="8451" width="26.5546875" style="212" customWidth="1"/>
    <col min="8452" max="8452" width="25.33203125" style="212" customWidth="1"/>
    <col min="8453" max="8453" width="16.44140625" style="212" customWidth="1"/>
    <col min="8454" max="8454" width="25.33203125" style="212" customWidth="1"/>
    <col min="8455" max="8455" width="11.44140625" style="212" bestFit="1" customWidth="1"/>
    <col min="8456" max="8456" width="5.6640625" style="212" bestFit="1" customWidth="1"/>
    <col min="8457" max="8461" width="0" style="212" hidden="1" customWidth="1"/>
    <col min="8462" max="8462" width="8.44140625" style="212" bestFit="1" customWidth="1"/>
    <col min="8463" max="8463" width="7.33203125" style="212" customWidth="1"/>
    <col min="8464" max="8703" width="0" style="212" hidden="1" customWidth="1"/>
    <col min="8704" max="8704" width="0" style="212" hidden="1"/>
    <col min="8705" max="8705" width="2.6640625" style="212" customWidth="1"/>
    <col min="8706" max="8706" width="31" style="212" customWidth="1"/>
    <col min="8707" max="8707" width="26.5546875" style="212" customWidth="1"/>
    <col min="8708" max="8708" width="25.33203125" style="212" customWidth="1"/>
    <col min="8709" max="8709" width="16.44140625" style="212" customWidth="1"/>
    <col min="8710" max="8710" width="25.33203125" style="212" customWidth="1"/>
    <col min="8711" max="8711" width="11.44140625" style="212" bestFit="1" customWidth="1"/>
    <col min="8712" max="8712" width="5.6640625" style="212" bestFit="1" customWidth="1"/>
    <col min="8713" max="8717" width="0" style="212" hidden="1" customWidth="1"/>
    <col min="8718" max="8718" width="8.44140625" style="212" bestFit="1" customWidth="1"/>
    <col min="8719" max="8719" width="7.33203125" style="212" customWidth="1"/>
    <col min="8720" max="8959" width="0" style="212" hidden="1" customWidth="1"/>
    <col min="8960" max="8960" width="0" style="212" hidden="1"/>
    <col min="8961" max="8961" width="2.6640625" style="212" customWidth="1"/>
    <col min="8962" max="8962" width="31" style="212" customWidth="1"/>
    <col min="8963" max="8963" width="26.5546875" style="212" customWidth="1"/>
    <col min="8964" max="8964" width="25.33203125" style="212" customWidth="1"/>
    <col min="8965" max="8965" width="16.44140625" style="212" customWidth="1"/>
    <col min="8966" max="8966" width="25.33203125" style="212" customWidth="1"/>
    <col min="8967" max="8967" width="11.44140625" style="212" bestFit="1" customWidth="1"/>
    <col min="8968" max="8968" width="5.6640625" style="212" bestFit="1" customWidth="1"/>
    <col min="8969" max="8973" width="0" style="212" hidden="1" customWidth="1"/>
    <col min="8974" max="8974" width="8.44140625" style="212" bestFit="1" customWidth="1"/>
    <col min="8975" max="8975" width="7.33203125" style="212" customWidth="1"/>
    <col min="8976" max="9215" width="0" style="212" hidden="1" customWidth="1"/>
    <col min="9216" max="9216" width="0" style="212" hidden="1"/>
    <col min="9217" max="9217" width="2.6640625" style="212" customWidth="1"/>
    <col min="9218" max="9218" width="31" style="212" customWidth="1"/>
    <col min="9219" max="9219" width="26.5546875" style="212" customWidth="1"/>
    <col min="9220" max="9220" width="25.33203125" style="212" customWidth="1"/>
    <col min="9221" max="9221" width="16.44140625" style="212" customWidth="1"/>
    <col min="9222" max="9222" width="25.33203125" style="212" customWidth="1"/>
    <col min="9223" max="9223" width="11.44140625" style="212" bestFit="1" customWidth="1"/>
    <col min="9224" max="9224" width="5.6640625" style="212" bestFit="1" customWidth="1"/>
    <col min="9225" max="9229" width="0" style="212" hidden="1" customWidth="1"/>
    <col min="9230" max="9230" width="8.44140625" style="212" bestFit="1" customWidth="1"/>
    <col min="9231" max="9231" width="7.33203125" style="212" customWidth="1"/>
    <col min="9232" max="9471" width="0" style="212" hidden="1" customWidth="1"/>
    <col min="9472" max="9472" width="0" style="212" hidden="1"/>
    <col min="9473" max="9473" width="2.6640625" style="212" customWidth="1"/>
    <col min="9474" max="9474" width="31" style="212" customWidth="1"/>
    <col min="9475" max="9475" width="26.5546875" style="212" customWidth="1"/>
    <col min="9476" max="9476" width="25.33203125" style="212" customWidth="1"/>
    <col min="9477" max="9477" width="16.44140625" style="212" customWidth="1"/>
    <col min="9478" max="9478" width="25.33203125" style="212" customWidth="1"/>
    <col min="9479" max="9479" width="11.44140625" style="212" bestFit="1" customWidth="1"/>
    <col min="9480" max="9480" width="5.6640625" style="212" bestFit="1" customWidth="1"/>
    <col min="9481" max="9485" width="0" style="212" hidden="1" customWidth="1"/>
    <col min="9486" max="9486" width="8.44140625" style="212" bestFit="1" customWidth="1"/>
    <col min="9487" max="9487" width="7.33203125" style="212" customWidth="1"/>
    <col min="9488" max="9727" width="0" style="212" hidden="1" customWidth="1"/>
    <col min="9728" max="9728" width="0" style="212" hidden="1"/>
    <col min="9729" max="9729" width="2.6640625" style="212" customWidth="1"/>
    <col min="9730" max="9730" width="31" style="212" customWidth="1"/>
    <col min="9731" max="9731" width="26.5546875" style="212" customWidth="1"/>
    <col min="9732" max="9732" width="25.33203125" style="212" customWidth="1"/>
    <col min="9733" max="9733" width="16.44140625" style="212" customWidth="1"/>
    <col min="9734" max="9734" width="25.33203125" style="212" customWidth="1"/>
    <col min="9735" max="9735" width="11.44140625" style="212" bestFit="1" customWidth="1"/>
    <col min="9736" max="9736" width="5.6640625" style="212" bestFit="1" customWidth="1"/>
    <col min="9737" max="9741" width="0" style="212" hidden="1" customWidth="1"/>
    <col min="9742" max="9742" width="8.44140625" style="212" bestFit="1" customWidth="1"/>
    <col min="9743" max="9743" width="7.33203125" style="212" customWidth="1"/>
    <col min="9744" max="9983" width="0" style="212" hidden="1" customWidth="1"/>
    <col min="9984" max="9984" width="0" style="212" hidden="1"/>
    <col min="9985" max="9985" width="2.6640625" style="212" customWidth="1"/>
    <col min="9986" max="9986" width="31" style="212" customWidth="1"/>
    <col min="9987" max="9987" width="26.5546875" style="212" customWidth="1"/>
    <col min="9988" max="9988" width="25.33203125" style="212" customWidth="1"/>
    <col min="9989" max="9989" width="16.44140625" style="212" customWidth="1"/>
    <col min="9990" max="9990" width="25.33203125" style="212" customWidth="1"/>
    <col min="9991" max="9991" width="11.44140625" style="212" bestFit="1" customWidth="1"/>
    <col min="9992" max="9992" width="5.6640625" style="212" bestFit="1" customWidth="1"/>
    <col min="9993" max="9997" width="0" style="212" hidden="1" customWidth="1"/>
    <col min="9998" max="9998" width="8.44140625" style="212" bestFit="1" customWidth="1"/>
    <col min="9999" max="9999" width="7.33203125" style="212" customWidth="1"/>
    <col min="10000" max="10239" width="0" style="212" hidden="1" customWidth="1"/>
    <col min="10240" max="10240" width="0" style="212" hidden="1"/>
    <col min="10241" max="10241" width="2.6640625" style="212" customWidth="1"/>
    <col min="10242" max="10242" width="31" style="212" customWidth="1"/>
    <col min="10243" max="10243" width="26.5546875" style="212" customWidth="1"/>
    <col min="10244" max="10244" width="25.33203125" style="212" customWidth="1"/>
    <col min="10245" max="10245" width="16.44140625" style="212" customWidth="1"/>
    <col min="10246" max="10246" width="25.33203125" style="212" customWidth="1"/>
    <col min="10247" max="10247" width="11.44140625" style="212" bestFit="1" customWidth="1"/>
    <col min="10248" max="10248" width="5.6640625" style="212" bestFit="1" customWidth="1"/>
    <col min="10249" max="10253" width="0" style="212" hidden="1" customWidth="1"/>
    <col min="10254" max="10254" width="8.44140625" style="212" bestFit="1" customWidth="1"/>
    <col min="10255" max="10255" width="7.33203125" style="212" customWidth="1"/>
    <col min="10256" max="10495" width="0" style="212" hidden="1" customWidth="1"/>
    <col min="10496" max="10496" width="0" style="212" hidden="1"/>
    <col min="10497" max="10497" width="2.6640625" style="212" customWidth="1"/>
    <col min="10498" max="10498" width="31" style="212" customWidth="1"/>
    <col min="10499" max="10499" width="26.5546875" style="212" customWidth="1"/>
    <col min="10500" max="10500" width="25.33203125" style="212" customWidth="1"/>
    <col min="10501" max="10501" width="16.44140625" style="212" customWidth="1"/>
    <col min="10502" max="10502" width="25.33203125" style="212" customWidth="1"/>
    <col min="10503" max="10503" width="11.44140625" style="212" bestFit="1" customWidth="1"/>
    <col min="10504" max="10504" width="5.6640625" style="212" bestFit="1" customWidth="1"/>
    <col min="10505" max="10509" width="0" style="212" hidden="1" customWidth="1"/>
    <col min="10510" max="10510" width="8.44140625" style="212" bestFit="1" customWidth="1"/>
    <col min="10511" max="10511" width="7.33203125" style="212" customWidth="1"/>
    <col min="10512" max="10751" width="0" style="212" hidden="1" customWidth="1"/>
    <col min="10752" max="10752" width="0" style="212" hidden="1"/>
    <col min="10753" max="10753" width="2.6640625" style="212" customWidth="1"/>
    <col min="10754" max="10754" width="31" style="212" customWidth="1"/>
    <col min="10755" max="10755" width="26.5546875" style="212" customWidth="1"/>
    <col min="10756" max="10756" width="25.33203125" style="212" customWidth="1"/>
    <col min="10757" max="10757" width="16.44140625" style="212" customWidth="1"/>
    <col min="10758" max="10758" width="25.33203125" style="212" customWidth="1"/>
    <col min="10759" max="10759" width="11.44140625" style="212" bestFit="1" customWidth="1"/>
    <col min="10760" max="10760" width="5.6640625" style="212" bestFit="1" customWidth="1"/>
    <col min="10761" max="10765" width="0" style="212" hidden="1" customWidth="1"/>
    <col min="10766" max="10766" width="8.44140625" style="212" bestFit="1" customWidth="1"/>
    <col min="10767" max="10767" width="7.33203125" style="212" customWidth="1"/>
    <col min="10768" max="11007" width="0" style="212" hidden="1" customWidth="1"/>
    <col min="11008" max="11008" width="0" style="212" hidden="1"/>
    <col min="11009" max="11009" width="2.6640625" style="212" customWidth="1"/>
    <col min="11010" max="11010" width="31" style="212" customWidth="1"/>
    <col min="11011" max="11011" width="26.5546875" style="212" customWidth="1"/>
    <col min="11012" max="11012" width="25.33203125" style="212" customWidth="1"/>
    <col min="11013" max="11013" width="16.44140625" style="212" customWidth="1"/>
    <col min="11014" max="11014" width="25.33203125" style="212" customWidth="1"/>
    <col min="11015" max="11015" width="11.44140625" style="212" bestFit="1" customWidth="1"/>
    <col min="11016" max="11016" width="5.6640625" style="212" bestFit="1" customWidth="1"/>
    <col min="11017" max="11021" width="0" style="212" hidden="1" customWidth="1"/>
    <col min="11022" max="11022" width="8.44140625" style="212" bestFit="1" customWidth="1"/>
    <col min="11023" max="11023" width="7.33203125" style="212" customWidth="1"/>
    <col min="11024" max="11263" width="0" style="212" hidden="1" customWidth="1"/>
    <col min="11264" max="11264" width="0" style="212" hidden="1"/>
    <col min="11265" max="11265" width="2.6640625" style="212" customWidth="1"/>
    <col min="11266" max="11266" width="31" style="212" customWidth="1"/>
    <col min="11267" max="11267" width="26.5546875" style="212" customWidth="1"/>
    <col min="11268" max="11268" width="25.33203125" style="212" customWidth="1"/>
    <col min="11269" max="11269" width="16.44140625" style="212" customWidth="1"/>
    <col min="11270" max="11270" width="25.33203125" style="212" customWidth="1"/>
    <col min="11271" max="11271" width="11.44140625" style="212" bestFit="1" customWidth="1"/>
    <col min="11272" max="11272" width="5.6640625" style="212" bestFit="1" customWidth="1"/>
    <col min="11273" max="11277" width="0" style="212" hidden="1" customWidth="1"/>
    <col min="11278" max="11278" width="8.44140625" style="212" bestFit="1" customWidth="1"/>
    <col min="11279" max="11279" width="7.33203125" style="212" customWidth="1"/>
    <col min="11280" max="11519" width="0" style="212" hidden="1" customWidth="1"/>
    <col min="11520" max="11520" width="0" style="212" hidden="1"/>
    <col min="11521" max="11521" width="2.6640625" style="212" customWidth="1"/>
    <col min="11522" max="11522" width="31" style="212" customWidth="1"/>
    <col min="11523" max="11523" width="26.5546875" style="212" customWidth="1"/>
    <col min="11524" max="11524" width="25.33203125" style="212" customWidth="1"/>
    <col min="11525" max="11525" width="16.44140625" style="212" customWidth="1"/>
    <col min="11526" max="11526" width="25.33203125" style="212" customWidth="1"/>
    <col min="11527" max="11527" width="11.44140625" style="212" bestFit="1" customWidth="1"/>
    <col min="11528" max="11528" width="5.6640625" style="212" bestFit="1" customWidth="1"/>
    <col min="11529" max="11533" width="0" style="212" hidden="1" customWidth="1"/>
    <col min="11534" max="11534" width="8.44140625" style="212" bestFit="1" customWidth="1"/>
    <col min="11535" max="11535" width="7.33203125" style="212" customWidth="1"/>
    <col min="11536" max="11775" width="0" style="212" hidden="1" customWidth="1"/>
    <col min="11776" max="11776" width="0" style="212" hidden="1"/>
    <col min="11777" max="11777" width="2.6640625" style="212" customWidth="1"/>
    <col min="11778" max="11778" width="31" style="212" customWidth="1"/>
    <col min="11779" max="11779" width="26.5546875" style="212" customWidth="1"/>
    <col min="11780" max="11780" width="25.33203125" style="212" customWidth="1"/>
    <col min="11781" max="11781" width="16.44140625" style="212" customWidth="1"/>
    <col min="11782" max="11782" width="25.33203125" style="212" customWidth="1"/>
    <col min="11783" max="11783" width="11.44140625" style="212" bestFit="1" customWidth="1"/>
    <col min="11784" max="11784" width="5.6640625" style="212" bestFit="1" customWidth="1"/>
    <col min="11785" max="11789" width="0" style="212" hidden="1" customWidth="1"/>
    <col min="11790" max="11790" width="8.44140625" style="212" bestFit="1" customWidth="1"/>
    <col min="11791" max="11791" width="7.33203125" style="212" customWidth="1"/>
    <col min="11792" max="12031" width="0" style="212" hidden="1" customWidth="1"/>
    <col min="12032" max="12032" width="0" style="212" hidden="1"/>
    <col min="12033" max="12033" width="2.6640625" style="212" customWidth="1"/>
    <col min="12034" max="12034" width="31" style="212" customWidth="1"/>
    <col min="12035" max="12035" width="26.5546875" style="212" customWidth="1"/>
    <col min="12036" max="12036" width="25.33203125" style="212" customWidth="1"/>
    <col min="12037" max="12037" width="16.44140625" style="212" customWidth="1"/>
    <col min="12038" max="12038" width="25.33203125" style="212" customWidth="1"/>
    <col min="12039" max="12039" width="11.44140625" style="212" bestFit="1" customWidth="1"/>
    <col min="12040" max="12040" width="5.6640625" style="212" bestFit="1" customWidth="1"/>
    <col min="12041" max="12045" width="0" style="212" hidden="1" customWidth="1"/>
    <col min="12046" max="12046" width="8.44140625" style="212" bestFit="1" customWidth="1"/>
    <col min="12047" max="12047" width="7.33203125" style="212" customWidth="1"/>
    <col min="12048" max="12287" width="0" style="212" hidden="1" customWidth="1"/>
    <col min="12288" max="12288" width="0" style="212" hidden="1"/>
    <col min="12289" max="12289" width="2.6640625" style="212" customWidth="1"/>
    <col min="12290" max="12290" width="31" style="212" customWidth="1"/>
    <col min="12291" max="12291" width="26.5546875" style="212" customWidth="1"/>
    <col min="12292" max="12292" width="25.33203125" style="212" customWidth="1"/>
    <col min="12293" max="12293" width="16.44140625" style="212" customWidth="1"/>
    <col min="12294" max="12294" width="25.33203125" style="212" customWidth="1"/>
    <col min="12295" max="12295" width="11.44140625" style="212" bestFit="1" customWidth="1"/>
    <col min="12296" max="12296" width="5.6640625" style="212" bestFit="1" customWidth="1"/>
    <col min="12297" max="12301" width="0" style="212" hidden="1" customWidth="1"/>
    <col min="12302" max="12302" width="8.44140625" style="212" bestFit="1" customWidth="1"/>
    <col min="12303" max="12303" width="7.33203125" style="212" customWidth="1"/>
    <col min="12304" max="12543" width="0" style="212" hidden="1" customWidth="1"/>
    <col min="12544" max="12544" width="0" style="212" hidden="1"/>
    <col min="12545" max="12545" width="2.6640625" style="212" customWidth="1"/>
    <col min="12546" max="12546" width="31" style="212" customWidth="1"/>
    <col min="12547" max="12547" width="26.5546875" style="212" customWidth="1"/>
    <col min="12548" max="12548" width="25.33203125" style="212" customWidth="1"/>
    <col min="12549" max="12549" width="16.44140625" style="212" customWidth="1"/>
    <col min="12550" max="12550" width="25.33203125" style="212" customWidth="1"/>
    <col min="12551" max="12551" width="11.44140625" style="212" bestFit="1" customWidth="1"/>
    <col min="12552" max="12552" width="5.6640625" style="212" bestFit="1" customWidth="1"/>
    <col min="12553" max="12557" width="0" style="212" hidden="1" customWidth="1"/>
    <col min="12558" max="12558" width="8.44140625" style="212" bestFit="1" customWidth="1"/>
    <col min="12559" max="12559" width="7.33203125" style="212" customWidth="1"/>
    <col min="12560" max="12799" width="0" style="212" hidden="1" customWidth="1"/>
    <col min="12800" max="12800" width="0" style="212" hidden="1"/>
    <col min="12801" max="12801" width="2.6640625" style="212" customWidth="1"/>
    <col min="12802" max="12802" width="31" style="212" customWidth="1"/>
    <col min="12803" max="12803" width="26.5546875" style="212" customWidth="1"/>
    <col min="12804" max="12804" width="25.33203125" style="212" customWidth="1"/>
    <col min="12805" max="12805" width="16.44140625" style="212" customWidth="1"/>
    <col min="12806" max="12806" width="25.33203125" style="212" customWidth="1"/>
    <col min="12807" max="12807" width="11.44140625" style="212" bestFit="1" customWidth="1"/>
    <col min="12808" max="12808" width="5.6640625" style="212" bestFit="1" customWidth="1"/>
    <col min="12809" max="12813" width="0" style="212" hidden="1" customWidth="1"/>
    <col min="12814" max="12814" width="8.44140625" style="212" bestFit="1" customWidth="1"/>
    <col min="12815" max="12815" width="7.33203125" style="212" customWidth="1"/>
    <col min="12816" max="13055" width="0" style="212" hidden="1" customWidth="1"/>
    <col min="13056" max="13056" width="0" style="212" hidden="1"/>
    <col min="13057" max="13057" width="2.6640625" style="212" customWidth="1"/>
    <col min="13058" max="13058" width="31" style="212" customWidth="1"/>
    <col min="13059" max="13059" width="26.5546875" style="212" customWidth="1"/>
    <col min="13060" max="13060" width="25.33203125" style="212" customWidth="1"/>
    <col min="13061" max="13061" width="16.44140625" style="212" customWidth="1"/>
    <col min="13062" max="13062" width="25.33203125" style="212" customWidth="1"/>
    <col min="13063" max="13063" width="11.44140625" style="212" bestFit="1" customWidth="1"/>
    <col min="13064" max="13064" width="5.6640625" style="212" bestFit="1" customWidth="1"/>
    <col min="13065" max="13069" width="0" style="212" hidden="1" customWidth="1"/>
    <col min="13070" max="13070" width="8.44140625" style="212" bestFit="1" customWidth="1"/>
    <col min="13071" max="13071" width="7.33203125" style="212" customWidth="1"/>
    <col min="13072" max="13311" width="0" style="212" hidden="1" customWidth="1"/>
    <col min="13312" max="13312" width="0" style="212" hidden="1"/>
    <col min="13313" max="13313" width="2.6640625" style="212" customWidth="1"/>
    <col min="13314" max="13314" width="31" style="212" customWidth="1"/>
    <col min="13315" max="13315" width="26.5546875" style="212" customWidth="1"/>
    <col min="13316" max="13316" width="25.33203125" style="212" customWidth="1"/>
    <col min="13317" max="13317" width="16.44140625" style="212" customWidth="1"/>
    <col min="13318" max="13318" width="25.33203125" style="212" customWidth="1"/>
    <col min="13319" max="13319" width="11.44140625" style="212" bestFit="1" customWidth="1"/>
    <col min="13320" max="13320" width="5.6640625" style="212" bestFit="1" customWidth="1"/>
    <col min="13321" max="13325" width="0" style="212" hidden="1" customWidth="1"/>
    <col min="13326" max="13326" width="8.44140625" style="212" bestFit="1" customWidth="1"/>
    <col min="13327" max="13327" width="7.33203125" style="212" customWidth="1"/>
    <col min="13328" max="13567" width="0" style="212" hidden="1" customWidth="1"/>
    <col min="13568" max="13568" width="0" style="212" hidden="1"/>
    <col min="13569" max="13569" width="2.6640625" style="212" customWidth="1"/>
    <col min="13570" max="13570" width="31" style="212" customWidth="1"/>
    <col min="13571" max="13571" width="26.5546875" style="212" customWidth="1"/>
    <col min="13572" max="13572" width="25.33203125" style="212" customWidth="1"/>
    <col min="13573" max="13573" width="16.44140625" style="212" customWidth="1"/>
    <col min="13574" max="13574" width="25.33203125" style="212" customWidth="1"/>
    <col min="13575" max="13575" width="11.44140625" style="212" bestFit="1" customWidth="1"/>
    <col min="13576" max="13576" width="5.6640625" style="212" bestFit="1" customWidth="1"/>
    <col min="13577" max="13581" width="0" style="212" hidden="1" customWidth="1"/>
    <col min="13582" max="13582" width="8.44140625" style="212" bestFit="1" customWidth="1"/>
    <col min="13583" max="13583" width="7.33203125" style="212" customWidth="1"/>
    <col min="13584" max="13823" width="0" style="212" hidden="1" customWidth="1"/>
    <col min="13824" max="13824" width="0" style="212" hidden="1"/>
    <col min="13825" max="13825" width="2.6640625" style="212" customWidth="1"/>
    <col min="13826" max="13826" width="31" style="212" customWidth="1"/>
    <col min="13827" max="13827" width="26.5546875" style="212" customWidth="1"/>
    <col min="13828" max="13828" width="25.33203125" style="212" customWidth="1"/>
    <col min="13829" max="13829" width="16.44140625" style="212" customWidth="1"/>
    <col min="13830" max="13830" width="25.33203125" style="212" customWidth="1"/>
    <col min="13831" max="13831" width="11.44140625" style="212" bestFit="1" customWidth="1"/>
    <col min="13832" max="13832" width="5.6640625" style="212" bestFit="1" customWidth="1"/>
    <col min="13833" max="13837" width="0" style="212" hidden="1" customWidth="1"/>
    <col min="13838" max="13838" width="8.44140625" style="212" bestFit="1" customWidth="1"/>
    <col min="13839" max="13839" width="7.33203125" style="212" customWidth="1"/>
    <col min="13840" max="14079" width="0" style="212" hidden="1" customWidth="1"/>
    <col min="14080" max="14080" width="0" style="212" hidden="1"/>
    <col min="14081" max="14081" width="2.6640625" style="212" customWidth="1"/>
    <col min="14082" max="14082" width="31" style="212" customWidth="1"/>
    <col min="14083" max="14083" width="26.5546875" style="212" customWidth="1"/>
    <col min="14084" max="14084" width="25.33203125" style="212" customWidth="1"/>
    <col min="14085" max="14085" width="16.44140625" style="212" customWidth="1"/>
    <col min="14086" max="14086" width="25.33203125" style="212" customWidth="1"/>
    <col min="14087" max="14087" width="11.44140625" style="212" bestFit="1" customWidth="1"/>
    <col min="14088" max="14088" width="5.6640625" style="212" bestFit="1" customWidth="1"/>
    <col min="14089" max="14093" width="0" style="212" hidden="1" customWidth="1"/>
    <col min="14094" max="14094" width="8.44140625" style="212" bestFit="1" customWidth="1"/>
    <col min="14095" max="14095" width="7.33203125" style="212" customWidth="1"/>
    <col min="14096" max="14335" width="0" style="212" hidden="1" customWidth="1"/>
    <col min="14336" max="14336" width="0" style="212" hidden="1"/>
    <col min="14337" max="14337" width="2.6640625" style="212" customWidth="1"/>
    <col min="14338" max="14338" width="31" style="212" customWidth="1"/>
    <col min="14339" max="14339" width="26.5546875" style="212" customWidth="1"/>
    <col min="14340" max="14340" width="25.33203125" style="212" customWidth="1"/>
    <col min="14341" max="14341" width="16.44140625" style="212" customWidth="1"/>
    <col min="14342" max="14342" width="25.33203125" style="212" customWidth="1"/>
    <col min="14343" max="14343" width="11.44140625" style="212" bestFit="1" customWidth="1"/>
    <col min="14344" max="14344" width="5.6640625" style="212" bestFit="1" customWidth="1"/>
    <col min="14345" max="14349" width="0" style="212" hidden="1" customWidth="1"/>
    <col min="14350" max="14350" width="8.44140625" style="212" bestFit="1" customWidth="1"/>
    <col min="14351" max="14351" width="7.33203125" style="212" customWidth="1"/>
    <col min="14352" max="14591" width="0" style="212" hidden="1" customWidth="1"/>
    <col min="14592" max="14592" width="0" style="212" hidden="1"/>
    <col min="14593" max="14593" width="2.6640625" style="212" customWidth="1"/>
    <col min="14594" max="14594" width="31" style="212" customWidth="1"/>
    <col min="14595" max="14595" width="26.5546875" style="212" customWidth="1"/>
    <col min="14596" max="14596" width="25.33203125" style="212" customWidth="1"/>
    <col min="14597" max="14597" width="16.44140625" style="212" customWidth="1"/>
    <col min="14598" max="14598" width="25.33203125" style="212" customWidth="1"/>
    <col min="14599" max="14599" width="11.44140625" style="212" bestFit="1" customWidth="1"/>
    <col min="14600" max="14600" width="5.6640625" style="212" bestFit="1" customWidth="1"/>
    <col min="14601" max="14605" width="0" style="212" hidden="1" customWidth="1"/>
    <col min="14606" max="14606" width="8.44140625" style="212" bestFit="1" customWidth="1"/>
    <col min="14607" max="14607" width="7.33203125" style="212" customWidth="1"/>
    <col min="14608" max="14847" width="0" style="212" hidden="1" customWidth="1"/>
    <col min="14848" max="14848" width="0" style="212" hidden="1"/>
    <col min="14849" max="14849" width="2.6640625" style="212" customWidth="1"/>
    <col min="14850" max="14850" width="31" style="212" customWidth="1"/>
    <col min="14851" max="14851" width="26.5546875" style="212" customWidth="1"/>
    <col min="14852" max="14852" width="25.33203125" style="212" customWidth="1"/>
    <col min="14853" max="14853" width="16.44140625" style="212" customWidth="1"/>
    <col min="14854" max="14854" width="25.33203125" style="212" customWidth="1"/>
    <col min="14855" max="14855" width="11.44140625" style="212" bestFit="1" customWidth="1"/>
    <col min="14856" max="14856" width="5.6640625" style="212" bestFit="1" customWidth="1"/>
    <col min="14857" max="14861" width="0" style="212" hidden="1" customWidth="1"/>
    <col min="14862" max="14862" width="8.44140625" style="212" bestFit="1" customWidth="1"/>
    <col min="14863" max="14863" width="7.33203125" style="212" customWidth="1"/>
    <col min="14864" max="15103" width="0" style="212" hidden="1" customWidth="1"/>
    <col min="15104" max="15104" width="0" style="212" hidden="1"/>
    <col min="15105" max="15105" width="2.6640625" style="212" customWidth="1"/>
    <col min="15106" max="15106" width="31" style="212" customWidth="1"/>
    <col min="15107" max="15107" width="26.5546875" style="212" customWidth="1"/>
    <col min="15108" max="15108" width="25.33203125" style="212" customWidth="1"/>
    <col min="15109" max="15109" width="16.44140625" style="212" customWidth="1"/>
    <col min="15110" max="15110" width="25.33203125" style="212" customWidth="1"/>
    <col min="15111" max="15111" width="11.44140625" style="212" bestFit="1" customWidth="1"/>
    <col min="15112" max="15112" width="5.6640625" style="212" bestFit="1" customWidth="1"/>
    <col min="15113" max="15117" width="0" style="212" hidden="1" customWidth="1"/>
    <col min="15118" max="15118" width="8.44140625" style="212" bestFit="1" customWidth="1"/>
    <col min="15119" max="15119" width="7.33203125" style="212" customWidth="1"/>
    <col min="15120" max="15359" width="0" style="212" hidden="1" customWidth="1"/>
    <col min="15360" max="15360" width="0" style="212" hidden="1"/>
    <col min="15361" max="15361" width="2.6640625" style="212" customWidth="1"/>
    <col min="15362" max="15362" width="31" style="212" customWidth="1"/>
    <col min="15363" max="15363" width="26.5546875" style="212" customWidth="1"/>
    <col min="15364" max="15364" width="25.33203125" style="212" customWidth="1"/>
    <col min="15365" max="15365" width="16.44140625" style="212" customWidth="1"/>
    <col min="15366" max="15366" width="25.33203125" style="212" customWidth="1"/>
    <col min="15367" max="15367" width="11.44140625" style="212" bestFit="1" customWidth="1"/>
    <col min="15368" max="15368" width="5.6640625" style="212" bestFit="1" customWidth="1"/>
    <col min="15369" max="15373" width="0" style="212" hidden="1" customWidth="1"/>
    <col min="15374" max="15374" width="8.44140625" style="212" bestFit="1" customWidth="1"/>
    <col min="15375" max="15375" width="7.33203125" style="212" customWidth="1"/>
    <col min="15376" max="15615" width="0" style="212" hidden="1" customWidth="1"/>
    <col min="15616" max="15616" width="0" style="212" hidden="1"/>
    <col min="15617" max="15617" width="2.6640625" style="212" customWidth="1"/>
    <col min="15618" max="15618" width="31" style="212" customWidth="1"/>
    <col min="15619" max="15619" width="26.5546875" style="212" customWidth="1"/>
    <col min="15620" max="15620" width="25.33203125" style="212" customWidth="1"/>
    <col min="15621" max="15621" width="16.44140625" style="212" customWidth="1"/>
    <col min="15622" max="15622" width="25.33203125" style="212" customWidth="1"/>
    <col min="15623" max="15623" width="11.44140625" style="212" bestFit="1" customWidth="1"/>
    <col min="15624" max="15624" width="5.6640625" style="212" bestFit="1" customWidth="1"/>
    <col min="15625" max="15629" width="0" style="212" hidden="1" customWidth="1"/>
    <col min="15630" max="15630" width="8.44140625" style="212" bestFit="1" customWidth="1"/>
    <col min="15631" max="15631" width="7.33203125" style="212" customWidth="1"/>
    <col min="15632" max="15871" width="0" style="212" hidden="1" customWidth="1"/>
    <col min="15872" max="15872" width="0" style="212" hidden="1"/>
    <col min="15873" max="15873" width="2.6640625" style="212" customWidth="1"/>
    <col min="15874" max="15874" width="31" style="212" customWidth="1"/>
    <col min="15875" max="15875" width="26.5546875" style="212" customWidth="1"/>
    <col min="15876" max="15876" width="25.33203125" style="212" customWidth="1"/>
    <col min="15877" max="15877" width="16.44140625" style="212" customWidth="1"/>
    <col min="15878" max="15878" width="25.33203125" style="212" customWidth="1"/>
    <col min="15879" max="15879" width="11.44140625" style="212" bestFit="1" customWidth="1"/>
    <col min="15880" max="15880" width="5.6640625" style="212" bestFit="1" customWidth="1"/>
    <col min="15881" max="15885" width="0" style="212" hidden="1" customWidth="1"/>
    <col min="15886" max="15886" width="8.44140625" style="212" bestFit="1" customWidth="1"/>
    <col min="15887" max="15887" width="7.33203125" style="212" customWidth="1"/>
    <col min="15888" max="16127" width="0" style="212" hidden="1" customWidth="1"/>
    <col min="16128" max="16128" width="0" style="212" hidden="1"/>
    <col min="16129" max="16129" width="2.6640625" style="212" customWidth="1"/>
    <col min="16130" max="16130" width="31" style="212" customWidth="1"/>
    <col min="16131" max="16131" width="26.5546875" style="212" customWidth="1"/>
    <col min="16132" max="16132" width="25.33203125" style="212" customWidth="1"/>
    <col min="16133" max="16133" width="16.44140625" style="212" customWidth="1"/>
    <col min="16134" max="16134" width="25.33203125" style="212" customWidth="1"/>
    <col min="16135" max="16135" width="11.44140625" style="212" bestFit="1" customWidth="1"/>
    <col min="16136" max="16136" width="5.6640625" style="212" bestFit="1" customWidth="1"/>
    <col min="16137" max="16141" width="0" style="212" hidden="1" customWidth="1"/>
    <col min="16142" max="16142" width="8.44140625" style="212" bestFit="1" customWidth="1"/>
    <col min="16143" max="16143" width="7.33203125" style="212" customWidth="1"/>
    <col min="16144" max="16383" width="0" style="212" hidden="1" customWidth="1"/>
    <col min="16384" max="16384" width="0" style="212" hidden="1"/>
  </cols>
  <sheetData>
    <row r="1" spans="2:8" ht="13.2" x14ac:dyDescent="0.25">
      <c r="B1" s="212"/>
      <c r="C1" s="212"/>
      <c r="D1" s="212"/>
      <c r="E1" s="212"/>
      <c r="F1" s="212"/>
      <c r="G1" s="212"/>
    </row>
    <row r="2" spans="2:8" ht="13.2" x14ac:dyDescent="0.25">
      <c r="B2" s="212"/>
      <c r="C2" s="212"/>
      <c r="D2" s="212"/>
      <c r="E2" s="212"/>
      <c r="F2" s="212"/>
      <c r="G2" s="212"/>
    </row>
    <row r="3" spans="2:8" ht="13.2" x14ac:dyDescent="0.25">
      <c r="B3" s="212"/>
      <c r="C3" s="212"/>
      <c r="D3" s="212"/>
      <c r="E3" s="212"/>
      <c r="F3" s="212"/>
      <c r="G3" s="212"/>
    </row>
    <row r="4" spans="2:8" ht="22.8" x14ac:dyDescent="0.4">
      <c r="B4" s="523" t="s">
        <v>691</v>
      </c>
      <c r="C4" s="523"/>
      <c r="D4" s="523"/>
      <c r="E4" s="523"/>
      <c r="F4" s="523"/>
      <c r="G4" s="523"/>
    </row>
    <row r="5" spans="2:8" ht="25.5" customHeight="1" x14ac:dyDescent="0.25">
      <c r="B5" s="524" t="s">
        <v>692</v>
      </c>
      <c r="C5" s="524"/>
      <c r="D5" s="524"/>
      <c r="E5" s="524"/>
      <c r="F5" s="524"/>
      <c r="G5" s="524"/>
    </row>
    <row r="6" spans="2:8" ht="13.8" thickBot="1" x14ac:dyDescent="0.3">
      <c r="B6" s="212"/>
      <c r="C6" s="212"/>
      <c r="D6" s="212"/>
      <c r="E6" s="212"/>
      <c r="F6" s="212"/>
      <c r="G6" s="212"/>
    </row>
    <row r="7" spans="2:8" ht="30" customHeight="1" thickTop="1" thickBot="1" x14ac:dyDescent="0.35">
      <c r="B7" s="525" t="s">
        <v>693</v>
      </c>
      <c r="C7" s="526"/>
      <c r="D7" s="526"/>
      <c r="E7" s="526"/>
      <c r="F7" s="526"/>
      <c r="G7" s="527"/>
    </row>
    <row r="8" spans="2:8" ht="33" customHeight="1" thickTop="1" x14ac:dyDescent="0.25">
      <c r="B8" s="213" t="s">
        <v>694</v>
      </c>
      <c r="C8" s="528" t="s">
        <v>695</v>
      </c>
      <c r="D8" s="529"/>
      <c r="E8" s="529"/>
      <c r="F8" s="529"/>
      <c r="G8" s="530"/>
      <c r="H8" s="214"/>
    </row>
    <row r="9" spans="2:8" ht="18.75" customHeight="1" x14ac:dyDescent="0.25">
      <c r="B9" s="215" t="s">
        <v>696</v>
      </c>
      <c r="C9" s="531" t="s">
        <v>697</v>
      </c>
      <c r="D9" s="532"/>
      <c r="E9" s="216"/>
      <c r="F9" s="216"/>
      <c r="G9" s="217"/>
    </row>
    <row r="10" spans="2:8" ht="30" customHeight="1" x14ac:dyDescent="0.25">
      <c r="B10" s="215" t="s">
        <v>698</v>
      </c>
      <c r="C10" s="533"/>
      <c r="D10" s="533"/>
      <c r="E10" s="533"/>
      <c r="F10" s="533"/>
      <c r="G10" s="534"/>
    </row>
    <row r="11" spans="2:8" ht="38.25" customHeight="1" thickBot="1" x14ac:dyDescent="0.3">
      <c r="B11" s="215" t="s">
        <v>699</v>
      </c>
      <c r="C11" s="545">
        <f>C10</f>
        <v>0</v>
      </c>
      <c r="D11" s="533"/>
      <c r="E11" s="533"/>
      <c r="F11" s="218" t="s">
        <v>700</v>
      </c>
      <c r="G11" s="219" t="s">
        <v>701</v>
      </c>
    </row>
    <row r="12" spans="2:8" ht="15.75" customHeight="1" thickTop="1" x14ac:dyDescent="0.25">
      <c r="B12" s="546" t="s">
        <v>702</v>
      </c>
      <c r="C12" s="548" t="s">
        <v>703</v>
      </c>
      <c r="D12" s="549"/>
      <c r="E12" s="550"/>
      <c r="F12" s="220" t="s">
        <v>704</v>
      </c>
      <c r="G12" s="221">
        <f>D16-C16</f>
        <v>366</v>
      </c>
    </row>
    <row r="13" spans="2:8" ht="15" customHeight="1" x14ac:dyDescent="0.25">
      <c r="B13" s="547"/>
      <c r="C13" s="551"/>
      <c r="D13" s="552"/>
      <c r="E13" s="553"/>
      <c r="F13" s="222" t="s">
        <v>705</v>
      </c>
      <c r="G13" s="223" t="s">
        <v>706</v>
      </c>
    </row>
    <row r="14" spans="2:8" ht="59.25" customHeight="1" x14ac:dyDescent="0.25">
      <c r="B14" s="215" t="s">
        <v>707</v>
      </c>
      <c r="C14" s="545" t="s">
        <v>708</v>
      </c>
      <c r="D14" s="533"/>
      <c r="E14" s="534"/>
      <c r="F14" s="222" t="s">
        <v>709</v>
      </c>
      <c r="G14" s="224">
        <v>0</v>
      </c>
    </row>
    <row r="15" spans="2:8" ht="88.5" customHeight="1" x14ac:dyDescent="0.25">
      <c r="B15" s="215" t="s">
        <v>710</v>
      </c>
      <c r="C15" s="533" t="s">
        <v>711</v>
      </c>
      <c r="D15" s="533"/>
      <c r="E15" s="533"/>
      <c r="F15" s="222" t="s">
        <v>712</v>
      </c>
      <c r="G15" s="224">
        <v>0.2</v>
      </c>
    </row>
    <row r="16" spans="2:8" ht="13.2" x14ac:dyDescent="0.25">
      <c r="B16" s="215" t="s">
        <v>713</v>
      </c>
      <c r="C16" s="225">
        <v>45107</v>
      </c>
      <c r="D16" s="554">
        <v>45473</v>
      </c>
      <c r="E16" s="555"/>
      <c r="F16" s="222" t="s">
        <v>714</v>
      </c>
      <c r="G16" s="224">
        <v>0</v>
      </c>
    </row>
    <row r="17" spans="2:14" ht="25.5" customHeight="1" x14ac:dyDescent="0.25">
      <c r="B17" s="215" t="s">
        <v>715</v>
      </c>
      <c r="C17" s="533" t="s">
        <v>716</v>
      </c>
      <c r="D17" s="533"/>
      <c r="E17" s="533"/>
      <c r="F17" s="222" t="s">
        <v>717</v>
      </c>
      <c r="G17" s="226" t="s">
        <v>718</v>
      </c>
    </row>
    <row r="18" spans="2:14" ht="13.2" x14ac:dyDescent="0.25">
      <c r="B18" s="215" t="s">
        <v>719</v>
      </c>
      <c r="C18" s="227" t="s">
        <v>720</v>
      </c>
      <c r="D18" s="228" t="s">
        <v>721</v>
      </c>
      <c r="E18" s="229"/>
      <c r="F18" s="222" t="s">
        <v>722</v>
      </c>
      <c r="G18" s="224">
        <v>0</v>
      </c>
    </row>
    <row r="19" spans="2:14" ht="27" thickBot="1" x14ac:dyDescent="0.3">
      <c r="B19" s="230" t="s">
        <v>723</v>
      </c>
      <c r="C19" s="535" t="s">
        <v>724</v>
      </c>
      <c r="D19" s="536"/>
      <c r="E19" s="537"/>
      <c r="F19" s="231" t="s">
        <v>725</v>
      </c>
      <c r="G19" s="232">
        <v>1</v>
      </c>
    </row>
    <row r="20" spans="2:14" ht="14.4" thickTop="1" thickBot="1" x14ac:dyDescent="0.3">
      <c r="B20" s="233"/>
      <c r="C20" s="234"/>
      <c r="D20" s="234"/>
      <c r="E20" s="234"/>
      <c r="F20" s="235">
        <f>F97</f>
        <v>1088395.2422050645</v>
      </c>
      <c r="G20" s="433"/>
      <c r="H20" s="243">
        <v>1088395</v>
      </c>
      <c r="N20" s="470">
        <f>'Hoja Contable'!N413</f>
        <v>8.0011672195165834E-2</v>
      </c>
    </row>
    <row r="21" spans="2:14" ht="30" customHeight="1" thickTop="1" thickBot="1" x14ac:dyDescent="0.3">
      <c r="B21" s="538" t="s">
        <v>726</v>
      </c>
      <c r="C21" s="539"/>
      <c r="D21" s="539"/>
      <c r="E21" s="539"/>
      <c r="F21" s="539"/>
      <c r="G21" s="540"/>
      <c r="H21" s="236"/>
      <c r="I21" s="236"/>
    </row>
    <row r="22" spans="2:14" ht="27" customHeight="1" thickTop="1" thickBot="1" x14ac:dyDescent="0.3">
      <c r="B22" s="237" t="s">
        <v>727</v>
      </c>
      <c r="C22" s="237" t="s">
        <v>728</v>
      </c>
      <c r="D22" s="237" t="s">
        <v>729</v>
      </c>
      <c r="E22" s="237" t="s">
        <v>730</v>
      </c>
      <c r="F22" s="237" t="s">
        <v>731</v>
      </c>
      <c r="G22" s="238" t="s">
        <v>732</v>
      </c>
      <c r="H22" s="239"/>
      <c r="I22" s="239"/>
    </row>
    <row r="23" spans="2:14" ht="13.8" thickTop="1" x14ac:dyDescent="0.25">
      <c r="B23" s="240"/>
      <c r="C23" s="241"/>
      <c r="D23" s="241"/>
      <c r="E23" s="241"/>
      <c r="F23" s="241"/>
      <c r="G23" s="242"/>
      <c r="H23" s="243"/>
      <c r="I23" s="243"/>
    </row>
    <row r="24" spans="2:14" ht="13.2" x14ac:dyDescent="0.25">
      <c r="B24" s="244" t="s">
        <v>733</v>
      </c>
      <c r="C24" s="245" t="s">
        <v>734</v>
      </c>
      <c r="D24" s="246">
        <f>'Ubicaciones total (2)'!H366</f>
        <v>155549.70000000001</v>
      </c>
      <c r="E24" s="247">
        <v>0.23678099999999999</v>
      </c>
      <c r="F24" s="248">
        <f>(D24*E24/1000)/365*$G$12</f>
        <v>36.932120949989589</v>
      </c>
      <c r="G24" s="249">
        <v>0.25</v>
      </c>
      <c r="H24" s="243">
        <f>G24*F24</f>
        <v>9.2330302374973972</v>
      </c>
      <c r="I24" s="243"/>
    </row>
    <row r="25" spans="2:14" ht="13.2" x14ac:dyDescent="0.25">
      <c r="B25" s="250"/>
      <c r="C25" s="245" t="s">
        <v>735</v>
      </c>
      <c r="D25" s="251">
        <f>D24</f>
        <v>155549.70000000001</v>
      </c>
      <c r="E25" s="247">
        <f>+E24*10%</f>
        <v>2.3678100000000001E-2</v>
      </c>
      <c r="F25" s="248">
        <f t="shared" ref="F25:F31" si="0">(D25*E25/1000)/365*$G$12</f>
        <v>3.6932120949989597</v>
      </c>
      <c r="G25" s="252">
        <f>$G$24</f>
        <v>0.25</v>
      </c>
      <c r="H25" s="243">
        <f t="shared" ref="H25:H88" si="1">G25*F25</f>
        <v>0.92330302374973994</v>
      </c>
      <c r="I25" s="243"/>
    </row>
    <row r="26" spans="2:14" ht="13.2" x14ac:dyDescent="0.25">
      <c r="B26" s="253">
        <v>1</v>
      </c>
      <c r="C26" s="245" t="s">
        <v>736</v>
      </c>
      <c r="D26" s="251">
        <f>D24*B26</f>
        <v>155549.70000000001</v>
      </c>
      <c r="E26" s="254">
        <f>(E24*20%)*B26</f>
        <v>4.7356200000000001E-2</v>
      </c>
      <c r="F26" s="248">
        <f t="shared" si="0"/>
        <v>7.3864241899979195</v>
      </c>
      <c r="G26" s="252">
        <f>$G$24</f>
        <v>0.25</v>
      </c>
      <c r="H26" s="243">
        <f t="shared" si="1"/>
        <v>1.8466060474994799</v>
      </c>
      <c r="I26" s="243"/>
    </row>
    <row r="27" spans="2:14" ht="13.2" hidden="1" x14ac:dyDescent="0.25">
      <c r="B27" s="255">
        <f>G16</f>
        <v>0</v>
      </c>
      <c r="C27" s="256" t="s">
        <v>714</v>
      </c>
      <c r="D27" s="251">
        <f>D24*B27</f>
        <v>0</v>
      </c>
      <c r="E27" s="254">
        <f>(E24+E25+E26)*35%</f>
        <v>0.107735355</v>
      </c>
      <c r="F27" s="248">
        <f t="shared" si="0"/>
        <v>0</v>
      </c>
      <c r="G27" s="252">
        <f>G24</f>
        <v>0.25</v>
      </c>
      <c r="H27" s="243">
        <f t="shared" si="1"/>
        <v>0</v>
      </c>
      <c r="I27" s="243"/>
    </row>
    <row r="28" spans="2:14" ht="13.2" x14ac:dyDescent="0.25">
      <c r="B28" s="257">
        <f>100%-G18</f>
        <v>1</v>
      </c>
      <c r="C28" s="245" t="s">
        <v>737</v>
      </c>
      <c r="D28" s="251">
        <f>(D24/G19)*B28</f>
        <v>155549.70000000001</v>
      </c>
      <c r="E28" s="247">
        <v>0.25</v>
      </c>
      <c r="F28" s="248">
        <f>(D24*E28/1000)/365*$G$12</f>
        <v>38.993965890410962</v>
      </c>
      <c r="G28" s="249">
        <v>0.05</v>
      </c>
      <c r="H28" s="243">
        <f t="shared" si="1"/>
        <v>1.9496982945205481</v>
      </c>
      <c r="I28" s="243"/>
    </row>
    <row r="29" spans="2:14" ht="13.2" hidden="1" x14ac:dyDescent="0.25">
      <c r="B29" s="257">
        <f>B27</f>
        <v>0</v>
      </c>
      <c r="C29" s="256" t="s">
        <v>714</v>
      </c>
      <c r="D29" s="251">
        <f>(D28)*B27</f>
        <v>0</v>
      </c>
      <c r="E29" s="254">
        <f>E28*35%</f>
        <v>8.7499999999999994E-2</v>
      </c>
      <c r="F29" s="248">
        <f t="shared" si="0"/>
        <v>0</v>
      </c>
      <c r="G29" s="252">
        <f>+G28</f>
        <v>0.05</v>
      </c>
      <c r="H29" s="243">
        <f t="shared" si="1"/>
        <v>0</v>
      </c>
      <c r="I29" s="243"/>
    </row>
    <row r="30" spans="2:14" ht="13.2" x14ac:dyDescent="0.25">
      <c r="B30" s="257">
        <f>100%-G14</f>
        <v>1</v>
      </c>
      <c r="C30" s="245" t="s">
        <v>738</v>
      </c>
      <c r="D30" s="251">
        <f>(D24/G19)*B30</f>
        <v>155549.70000000001</v>
      </c>
      <c r="E30" s="247">
        <v>0.4</v>
      </c>
      <c r="F30" s="248">
        <f t="shared" si="0"/>
        <v>62.390345424657539</v>
      </c>
      <c r="G30" s="252">
        <f>G28</f>
        <v>0.05</v>
      </c>
      <c r="H30" s="243">
        <f t="shared" si="1"/>
        <v>3.1195172712328771</v>
      </c>
      <c r="I30" s="243"/>
    </row>
    <row r="31" spans="2:14" ht="13.2" hidden="1" x14ac:dyDescent="0.25">
      <c r="B31" s="257">
        <f>B27</f>
        <v>0</v>
      </c>
      <c r="C31" s="256" t="str">
        <f>C29</f>
        <v>Inflación</v>
      </c>
      <c r="D31" s="251">
        <f>D30*B27</f>
        <v>0</v>
      </c>
      <c r="E31" s="254">
        <f>E30*35%</f>
        <v>0.13999999999999999</v>
      </c>
      <c r="F31" s="248">
        <f t="shared" si="0"/>
        <v>0</v>
      </c>
      <c r="G31" s="252">
        <f>G28</f>
        <v>0.05</v>
      </c>
      <c r="H31" s="243">
        <f t="shared" si="1"/>
        <v>0</v>
      </c>
      <c r="I31" s="243"/>
    </row>
    <row r="32" spans="2:14" ht="13.2" x14ac:dyDescent="0.25">
      <c r="B32" s="250"/>
      <c r="C32" s="258"/>
      <c r="D32" s="248"/>
      <c r="E32" s="259"/>
      <c r="F32" s="248"/>
      <c r="G32" s="260"/>
      <c r="H32" s="243"/>
      <c r="I32" s="243"/>
    </row>
    <row r="33" spans="2:13" ht="13.2" x14ac:dyDescent="0.25">
      <c r="B33" s="244" t="s">
        <v>739</v>
      </c>
      <c r="C33" s="245" t="s">
        <v>740</v>
      </c>
      <c r="D33" s="246">
        <f>'Ubicaciones total (2)'!I366</f>
        <v>869216450.12531984</v>
      </c>
      <c r="E33" s="254">
        <f>E24</f>
        <v>0.23678099999999999</v>
      </c>
      <c r="F33" s="248">
        <f>(D33*E33/1000)/365*$G$12</f>
        <v>206377.81408610177</v>
      </c>
      <c r="G33" s="252">
        <f>$G$24</f>
        <v>0.25</v>
      </c>
      <c r="H33" s="243">
        <f t="shared" si="1"/>
        <v>51594.453521525444</v>
      </c>
      <c r="I33" s="243"/>
    </row>
    <row r="34" spans="2:13" ht="13.2" x14ac:dyDescent="0.25">
      <c r="B34" s="250"/>
      <c r="C34" s="245" t="str">
        <f>C25</f>
        <v>Extensión de Cubierta</v>
      </c>
      <c r="D34" s="251">
        <f>D33</f>
        <v>869216450.12531984</v>
      </c>
      <c r="E34" s="254">
        <f>E25</f>
        <v>2.3678100000000001E-2</v>
      </c>
      <c r="F34" s="248">
        <f t="shared" ref="F34:F40" si="2">(D34*E34/1000)/365*$G$12</f>
        <v>20637.781408610179</v>
      </c>
      <c r="G34" s="252">
        <f>$G$24</f>
        <v>0.25</v>
      </c>
      <c r="H34" s="243">
        <f t="shared" si="1"/>
        <v>5159.4453521525447</v>
      </c>
      <c r="I34" s="243"/>
    </row>
    <row r="35" spans="2:13" ht="13.2" x14ac:dyDescent="0.25">
      <c r="B35" s="250"/>
      <c r="C35" s="245" t="s">
        <v>736</v>
      </c>
      <c r="D35" s="251">
        <f>D33*B26</f>
        <v>869216450.12531984</v>
      </c>
      <c r="E35" s="254">
        <f>+E26</f>
        <v>4.7356200000000001E-2</v>
      </c>
      <c r="F35" s="248">
        <f t="shared" si="2"/>
        <v>41275.562817220358</v>
      </c>
      <c r="G35" s="252">
        <f>$G$24</f>
        <v>0.25</v>
      </c>
      <c r="H35" s="243">
        <f t="shared" si="1"/>
        <v>10318.890704305089</v>
      </c>
      <c r="I35" s="243"/>
    </row>
    <row r="36" spans="2:13" ht="13.2" hidden="1" x14ac:dyDescent="0.25">
      <c r="B36" s="255">
        <f>G16</f>
        <v>0</v>
      </c>
      <c r="C36" s="256" t="str">
        <f>C27</f>
        <v>Inflación</v>
      </c>
      <c r="D36" s="251">
        <f>D33*B36</f>
        <v>0</v>
      </c>
      <c r="E36" s="254">
        <f>(E33+E34+E35)*35%</f>
        <v>0.107735355</v>
      </c>
      <c r="F36" s="248">
        <f t="shared" si="2"/>
        <v>0</v>
      </c>
      <c r="G36" s="252">
        <f>G24</f>
        <v>0.25</v>
      </c>
      <c r="H36" s="243">
        <f t="shared" si="1"/>
        <v>0</v>
      </c>
      <c r="I36" s="243"/>
    </row>
    <row r="37" spans="2:13" ht="13.2" x14ac:dyDescent="0.25">
      <c r="B37" s="257">
        <f>100%-G18</f>
        <v>1</v>
      </c>
      <c r="C37" s="245" t="str">
        <f>C28</f>
        <v>F.H.M.</v>
      </c>
      <c r="D37" s="251">
        <f>(D33/G19)*B37</f>
        <v>869216450.12531984</v>
      </c>
      <c r="E37" s="254">
        <f>E28</f>
        <v>0.25</v>
      </c>
      <c r="F37" s="248">
        <f>(D33*E37/1000)/365*$G$12</f>
        <v>217899.46626429251</v>
      </c>
      <c r="G37" s="252">
        <f>$G$28</f>
        <v>0.05</v>
      </c>
      <c r="H37" s="243">
        <f t="shared" si="1"/>
        <v>10894.973313214627</v>
      </c>
      <c r="I37" s="243"/>
    </row>
    <row r="38" spans="2:13" ht="13.2" hidden="1" x14ac:dyDescent="0.25">
      <c r="B38" s="255">
        <f>B36</f>
        <v>0</v>
      </c>
      <c r="C38" s="256" t="str">
        <f>C29</f>
        <v>Inflación</v>
      </c>
      <c r="D38" s="251">
        <f>(D33/G19)*B36</f>
        <v>0</v>
      </c>
      <c r="E38" s="254">
        <f>E37*35%</f>
        <v>8.7499999999999994E-2</v>
      </c>
      <c r="F38" s="248">
        <f t="shared" si="2"/>
        <v>0</v>
      </c>
      <c r="G38" s="252">
        <f>G28</f>
        <v>0.05</v>
      </c>
      <c r="H38" s="243">
        <f t="shared" si="1"/>
        <v>0</v>
      </c>
      <c r="I38" s="243"/>
    </row>
    <row r="39" spans="2:13" ht="13.2" x14ac:dyDescent="0.25">
      <c r="B39" s="261">
        <f>B30</f>
        <v>1</v>
      </c>
      <c r="C39" s="245" t="str">
        <f>C30</f>
        <v>T.E.V.</v>
      </c>
      <c r="D39" s="251">
        <f>(D33/G19)*B30</f>
        <v>869216450.12531984</v>
      </c>
      <c r="E39" s="254">
        <f>E30*0.5</f>
        <v>0.2</v>
      </c>
      <c r="F39" s="248">
        <f t="shared" si="2"/>
        <v>174319.57301143403</v>
      </c>
      <c r="G39" s="252">
        <f>$G$28</f>
        <v>0.05</v>
      </c>
      <c r="H39" s="243">
        <f t="shared" si="1"/>
        <v>8715.978650571702</v>
      </c>
      <c r="I39" s="243"/>
    </row>
    <row r="40" spans="2:13" ht="13.2" hidden="1" x14ac:dyDescent="0.25">
      <c r="B40" s="255">
        <f>B36</f>
        <v>0</v>
      </c>
      <c r="C40" s="256" t="str">
        <f>C29</f>
        <v>Inflación</v>
      </c>
      <c r="D40" s="251">
        <f>D39*B36</f>
        <v>0</v>
      </c>
      <c r="E40" s="254">
        <f>E39*35%</f>
        <v>6.9999999999999993E-2</v>
      </c>
      <c r="F40" s="248">
        <f t="shared" si="2"/>
        <v>0</v>
      </c>
      <c r="G40" s="252">
        <f>$G$28</f>
        <v>0.05</v>
      </c>
      <c r="H40" s="243">
        <f t="shared" si="1"/>
        <v>0</v>
      </c>
      <c r="I40" s="243"/>
    </row>
    <row r="41" spans="2:13" ht="13.2" x14ac:dyDescent="0.25">
      <c r="B41" s="250"/>
      <c r="C41" s="262"/>
      <c r="D41" s="263"/>
      <c r="E41" s="264"/>
      <c r="F41" s="263"/>
      <c r="G41" s="265"/>
      <c r="H41" s="243"/>
      <c r="I41" s="243"/>
    </row>
    <row r="42" spans="2:13" ht="13.2" x14ac:dyDescent="0.25">
      <c r="B42" s="541" t="s">
        <v>741</v>
      </c>
      <c r="C42" s="542"/>
      <c r="D42" s="246">
        <f>'Ubicaciones total (2)'!K366</f>
        <v>324299019.92821944</v>
      </c>
      <c r="E42" s="247">
        <f>(E24+E25+E26)*80%</f>
        <v>0.24625224000000001</v>
      </c>
      <c r="F42" s="248">
        <f>(D42*E42/1000)/365*$G$12</f>
        <v>80078.152854490691</v>
      </c>
      <c r="G42" s="252">
        <f>G24</f>
        <v>0.25</v>
      </c>
      <c r="H42" s="243">
        <f t="shared" si="1"/>
        <v>20019.538213622673</v>
      </c>
      <c r="I42" s="243"/>
      <c r="J42" s="243"/>
    </row>
    <row r="43" spans="2:13" s="414" customFormat="1" ht="13.2" x14ac:dyDescent="0.25">
      <c r="B43" s="556" t="s">
        <v>742</v>
      </c>
      <c r="C43" s="557"/>
      <c r="D43" s="246">
        <f>D42</f>
        <v>324299019.92821944</v>
      </c>
      <c r="E43" s="415">
        <f>E28*80%</f>
        <v>0.2</v>
      </c>
      <c r="F43" s="248">
        <f>(D43*E43/1000)/365*$G$12</f>
        <v>65037.502078755249</v>
      </c>
      <c r="G43" s="252">
        <f>$G$28</f>
        <v>0.05</v>
      </c>
      <c r="H43" s="243">
        <f t="shared" si="1"/>
        <v>3251.8751039377626</v>
      </c>
      <c r="K43" s="416">
        <v>0.8</v>
      </c>
      <c r="M43" s="416">
        <v>0.7</v>
      </c>
    </row>
    <row r="44" spans="2:13" s="414" customFormat="1" ht="13.2" x14ac:dyDescent="0.25">
      <c r="B44" s="556" t="s">
        <v>743</v>
      </c>
      <c r="C44" s="557"/>
      <c r="D44" s="246">
        <f>+D43</f>
        <v>324299019.92821944</v>
      </c>
      <c r="E44" s="415">
        <f>(E30*B39)*80%</f>
        <v>0.32000000000000006</v>
      </c>
      <c r="F44" s="248">
        <f>(D44*E44/1000)/365*$G$12</f>
        <v>104060.0033260084</v>
      </c>
      <c r="G44" s="252">
        <f>$G$28</f>
        <v>0.05</v>
      </c>
      <c r="H44" s="243">
        <f t="shared" si="1"/>
        <v>5203.0001663004205</v>
      </c>
      <c r="K44" s="416">
        <v>1</v>
      </c>
      <c r="M44" s="416">
        <v>0.64</v>
      </c>
    </row>
    <row r="45" spans="2:13" ht="13.2" x14ac:dyDescent="0.25">
      <c r="B45" s="266"/>
      <c r="C45" s="267"/>
      <c r="D45" s="268"/>
      <c r="E45" s="269"/>
      <c r="F45" s="263"/>
      <c r="G45" s="270"/>
      <c r="H45" s="243"/>
      <c r="I45" s="243"/>
    </row>
    <row r="46" spans="2:13" ht="17.399999999999999" x14ac:dyDescent="0.3">
      <c r="B46" s="543" t="s">
        <v>744</v>
      </c>
      <c r="C46" s="544"/>
      <c r="D46" s="271">
        <f>SUM(D24+D33+D42+D27+D36)</f>
        <v>1193671019.7535393</v>
      </c>
      <c r="E46" s="264"/>
      <c r="F46" s="264"/>
      <c r="G46" s="265"/>
      <c r="H46" s="243"/>
      <c r="I46" s="243"/>
    </row>
    <row r="47" spans="2:13" ht="17.399999999999999" x14ac:dyDescent="0.3">
      <c r="B47" s="543" t="s">
        <v>745</v>
      </c>
      <c r="C47" s="544"/>
      <c r="D47" s="272">
        <v>20000000</v>
      </c>
      <c r="E47" s="264"/>
      <c r="F47" s="264"/>
      <c r="G47" s="265"/>
      <c r="H47" s="243"/>
      <c r="I47" s="243"/>
    </row>
    <row r="48" spans="2:13" ht="16.2" thickBot="1" x14ac:dyDescent="0.35">
      <c r="B48" s="273"/>
      <c r="C48" s="274"/>
      <c r="D48" s="275"/>
      <c r="E48" s="264"/>
      <c r="F48" s="264"/>
      <c r="G48" s="265"/>
      <c r="H48" s="243"/>
      <c r="I48" s="243"/>
    </row>
    <row r="49" spans="2:14" ht="13.2" x14ac:dyDescent="0.25">
      <c r="B49" s="250"/>
      <c r="C49" s="262"/>
      <c r="D49" s="564" t="s">
        <v>746</v>
      </c>
      <c r="E49" s="565"/>
      <c r="F49" s="566"/>
      <c r="G49" s="265"/>
      <c r="H49" s="243"/>
      <c r="I49" s="243"/>
    </row>
    <row r="50" spans="2:14" ht="13.2" x14ac:dyDescent="0.25">
      <c r="B50" s="250"/>
      <c r="C50" s="262"/>
      <c r="D50" s="276" t="s">
        <v>747</v>
      </c>
      <c r="E50" s="277" t="s">
        <v>748</v>
      </c>
      <c r="F50" s="278">
        <f>+F24+F33+F25+F34+F27+F36</f>
        <v>227056.22082775694</v>
      </c>
      <c r="G50" s="265"/>
      <c r="H50" s="243"/>
      <c r="I50" s="279"/>
    </row>
    <row r="51" spans="2:14" ht="13.2" x14ac:dyDescent="0.25">
      <c r="B51" s="250"/>
      <c r="C51" s="262"/>
      <c r="D51" s="276" t="s">
        <v>747</v>
      </c>
      <c r="E51" s="277" t="s">
        <v>749</v>
      </c>
      <c r="F51" s="278">
        <f>+F28+F37+F29+F38</f>
        <v>217938.46023018291</v>
      </c>
      <c r="G51" s="265"/>
      <c r="H51" s="243"/>
      <c r="I51" s="279"/>
    </row>
    <row r="52" spans="2:14" ht="13.2" x14ac:dyDescent="0.25">
      <c r="B52" s="250"/>
      <c r="C52" s="262"/>
      <c r="D52" s="276" t="s">
        <v>747</v>
      </c>
      <c r="E52" s="277" t="s">
        <v>736</v>
      </c>
      <c r="F52" s="278">
        <f>SUM(F26+F35)</f>
        <v>41282.949241410359</v>
      </c>
      <c r="G52" s="265"/>
      <c r="H52" s="243"/>
      <c r="I52" s="279"/>
    </row>
    <row r="53" spans="2:14" ht="13.2" x14ac:dyDescent="0.25">
      <c r="B53" s="250"/>
      <c r="C53" s="262"/>
      <c r="D53" s="276" t="s">
        <v>747</v>
      </c>
      <c r="E53" s="277" t="s">
        <v>738</v>
      </c>
      <c r="F53" s="278">
        <f>+F30+F31+F39+F40</f>
        <v>174381.96335685867</v>
      </c>
      <c r="G53" s="280"/>
      <c r="H53" s="243"/>
      <c r="I53" s="279"/>
    </row>
    <row r="54" spans="2:14" ht="13.2" x14ac:dyDescent="0.25">
      <c r="B54" s="250"/>
      <c r="C54" s="262"/>
      <c r="D54" s="567" t="s">
        <v>750</v>
      </c>
      <c r="E54" s="568"/>
      <c r="F54" s="278">
        <f>F42+F43+F44</f>
        <v>249175.65825925436</v>
      </c>
      <c r="G54" s="280"/>
      <c r="H54" s="243"/>
      <c r="I54" s="279"/>
      <c r="N54" s="435">
        <v>517864.19</v>
      </c>
    </row>
    <row r="55" spans="2:14" ht="13.8" thickBot="1" x14ac:dyDescent="0.3">
      <c r="B55" s="250"/>
      <c r="C55" s="262"/>
      <c r="D55" s="569" t="s">
        <v>751</v>
      </c>
      <c r="E55" s="570"/>
      <c r="F55" s="281">
        <f>SUM(F50:F54)</f>
        <v>909835.25191546325</v>
      </c>
      <c r="G55" s="280"/>
      <c r="H55" s="243"/>
      <c r="I55" s="282"/>
    </row>
    <row r="56" spans="2:14" ht="13.2" x14ac:dyDescent="0.25">
      <c r="B56" s="558"/>
      <c r="C56" s="559"/>
      <c r="D56" s="283"/>
      <c r="E56" s="284"/>
      <c r="F56" s="264"/>
      <c r="G56" s="280"/>
      <c r="H56" s="243"/>
      <c r="I56" s="243"/>
      <c r="N56" s="434">
        <f>F97</f>
        <v>1088395.2422050645</v>
      </c>
    </row>
    <row r="57" spans="2:14" ht="13.2" x14ac:dyDescent="0.25">
      <c r="B57" s="266" t="s">
        <v>752</v>
      </c>
      <c r="C57" s="285"/>
      <c r="D57" s="283"/>
      <c r="E57" s="284"/>
      <c r="F57" s="264"/>
      <c r="G57" s="280"/>
      <c r="H57" s="243"/>
      <c r="I57" s="243"/>
    </row>
    <row r="58" spans="2:14" ht="13.2" x14ac:dyDescent="0.25">
      <c r="B58" s="250" t="s">
        <v>753</v>
      </c>
      <c r="C58" s="286">
        <v>0.1</v>
      </c>
      <c r="D58" s="246">
        <f>(D24+D33)*C58</f>
        <v>86937199.982531995</v>
      </c>
      <c r="E58" s="287">
        <f>((F24+F25+F26+F27+F33+F34+F35+F36)/D46)*500</f>
        <v>0.11240080626426369</v>
      </c>
      <c r="F58" s="248">
        <f>(D58*E58/1000)/365*$G$12</f>
        <v>9798.5834583458927</v>
      </c>
      <c r="G58" s="252">
        <f>$G$24</f>
        <v>0.25</v>
      </c>
      <c r="H58" s="243">
        <f t="shared" si="1"/>
        <v>2449.6458645864732</v>
      </c>
    </row>
    <row r="59" spans="2:14" ht="13.2" x14ac:dyDescent="0.25">
      <c r="B59" s="250" t="s">
        <v>754</v>
      </c>
      <c r="C59" s="288">
        <f>C58</f>
        <v>0.1</v>
      </c>
      <c r="D59" s="289">
        <f>D58*B28</f>
        <v>86937199.982531995</v>
      </c>
      <c r="E59" s="287">
        <f>((F28+F29+F37+F38)/D46)*500</f>
        <v>9.1289164528423131E-2</v>
      </c>
      <c r="F59" s="248">
        <f>(D59*E59/1000)/365*$G$12</f>
        <v>7958.16798120975</v>
      </c>
      <c r="G59" s="252">
        <v>0.05</v>
      </c>
      <c r="H59" s="243">
        <f t="shared" si="1"/>
        <v>397.90839906048751</v>
      </c>
    </row>
    <row r="60" spans="2:14" ht="13.2" x14ac:dyDescent="0.25">
      <c r="B60" s="250" t="s">
        <v>755</v>
      </c>
      <c r="C60" s="288">
        <f>C58</f>
        <v>0.1</v>
      </c>
      <c r="D60" s="289">
        <f>D58*B30</f>
        <v>86937199.982531995</v>
      </c>
      <c r="E60" s="287">
        <f>((F30+F31+F39+F40)/D46)*500</f>
        <v>7.304439852819071E-2</v>
      </c>
      <c r="F60" s="248">
        <f>(D60*E60/1000)/365*$G$12</f>
        <v>6367.67349746949</v>
      </c>
      <c r="G60" s="252">
        <v>0.05</v>
      </c>
      <c r="H60" s="243">
        <f t="shared" si="1"/>
        <v>318.38367487347455</v>
      </c>
    </row>
    <row r="61" spans="2:14" ht="13.2" x14ac:dyDescent="0.25">
      <c r="B61" s="250" t="s">
        <v>756</v>
      </c>
      <c r="C61" s="288">
        <f>+$G$15</f>
        <v>0.2</v>
      </c>
      <c r="D61" s="290">
        <f>SUM(D24*C61)</f>
        <v>31109.940000000002</v>
      </c>
      <c r="E61" s="291">
        <f>((E24+E25+E26+E28)*0.1)</f>
        <v>5.5781530000000003E-2</v>
      </c>
      <c r="F61" s="248">
        <f t="shared" ref="F61:F69" si="3">(D61*E61/1000)/365*$G$12</f>
        <v>1.7401144625079485</v>
      </c>
      <c r="G61" s="252">
        <f>$G$24</f>
        <v>0.25</v>
      </c>
      <c r="H61" s="243">
        <f t="shared" si="1"/>
        <v>0.43502861562698714</v>
      </c>
      <c r="I61" s="243"/>
    </row>
    <row r="62" spans="2:14" ht="13.2" x14ac:dyDescent="0.25">
      <c r="B62" s="250" t="s">
        <v>757</v>
      </c>
      <c r="C62" s="288">
        <f>+$G$15</f>
        <v>0.2</v>
      </c>
      <c r="D62" s="290">
        <f>SUM(D30*C62)</f>
        <v>31109.940000000002</v>
      </c>
      <c r="E62" s="291">
        <f>((E30)*0.1)</f>
        <v>4.0000000000000008E-2</v>
      </c>
      <c r="F62" s="248">
        <f>(D62*E62/1000)/365*$G$12</f>
        <v>1.2478069084931511</v>
      </c>
      <c r="G62" s="252">
        <f>G28</f>
        <v>0.05</v>
      </c>
      <c r="H62" s="243">
        <f t="shared" si="1"/>
        <v>6.2390345424657559E-2</v>
      </c>
      <c r="I62" s="243"/>
    </row>
    <row r="63" spans="2:14" ht="13.2" x14ac:dyDescent="0.25">
      <c r="B63" s="250" t="s">
        <v>758</v>
      </c>
      <c r="C63" s="288">
        <f>+$G$15</f>
        <v>0.2</v>
      </c>
      <c r="D63" s="290">
        <f>SUM(D33*C63)</f>
        <v>173843290.02506399</v>
      </c>
      <c r="E63" s="291">
        <f>((E33+E34+E35+E37)*0.1)</f>
        <v>5.5781530000000003E-2</v>
      </c>
      <c r="F63" s="248">
        <f t="shared" si="3"/>
        <v>9723.8124915244971</v>
      </c>
      <c r="G63" s="252">
        <f>$G$24</f>
        <v>0.25</v>
      </c>
      <c r="H63" s="243">
        <f t="shared" si="1"/>
        <v>2430.9531228811243</v>
      </c>
      <c r="I63" s="243"/>
    </row>
    <row r="64" spans="2:14" ht="13.2" x14ac:dyDescent="0.25">
      <c r="B64" s="250" t="s">
        <v>759</v>
      </c>
      <c r="C64" s="288">
        <f>+$G$15</f>
        <v>0.2</v>
      </c>
      <c r="D64" s="290">
        <f>SUM(D39*C64)</f>
        <v>173843290.02506399</v>
      </c>
      <c r="E64" s="291">
        <f>((E39)*0.1)</f>
        <v>2.0000000000000004E-2</v>
      </c>
      <c r="F64" s="248">
        <f>(D64*E64/1000)/365*$G$12</f>
        <v>3486.3914602286814</v>
      </c>
      <c r="G64" s="252">
        <f>$G$28</f>
        <v>0.05</v>
      </c>
      <c r="H64" s="243">
        <f t="shared" si="1"/>
        <v>174.31957301143407</v>
      </c>
      <c r="I64" s="243"/>
    </row>
    <row r="65" spans="2:15" ht="13.2" x14ac:dyDescent="0.25">
      <c r="B65" s="558" t="s">
        <v>760</v>
      </c>
      <c r="C65" s="559"/>
      <c r="D65" s="246">
        <v>3000000</v>
      </c>
      <c r="E65" s="254">
        <f>E28*1</f>
        <v>0.25</v>
      </c>
      <c r="F65" s="248">
        <f t="shared" si="3"/>
        <v>752.05479452054806</v>
      </c>
      <c r="G65" s="252">
        <f>$G$28</f>
        <v>0.05</v>
      </c>
      <c r="H65" s="243">
        <f t="shared" si="1"/>
        <v>37.602739726027401</v>
      </c>
      <c r="I65" s="243"/>
    </row>
    <row r="66" spans="2:15" ht="13.2" x14ac:dyDescent="0.25">
      <c r="B66" s="558" t="s">
        <v>761</v>
      </c>
      <c r="C66" s="559"/>
      <c r="D66" s="246">
        <v>150000</v>
      </c>
      <c r="E66" s="254">
        <v>0.2</v>
      </c>
      <c r="F66" s="248">
        <f t="shared" si="3"/>
        <v>30.082191780821915</v>
      </c>
      <c r="G66" s="252">
        <f>$G$24</f>
        <v>0.25</v>
      </c>
      <c r="H66" s="243">
        <f t="shared" si="1"/>
        <v>7.5205479452054789</v>
      </c>
      <c r="I66" s="243"/>
    </row>
    <row r="67" spans="2:15" ht="13.2" x14ac:dyDescent="0.25">
      <c r="B67" s="558" t="s">
        <v>762</v>
      </c>
      <c r="C67" s="559"/>
      <c r="D67" s="246">
        <v>5000000</v>
      </c>
      <c r="E67" s="247">
        <v>2.2000000000000001E-3</v>
      </c>
      <c r="F67" s="248">
        <f t="shared" si="3"/>
        <v>11.03013698630137</v>
      </c>
      <c r="G67" s="252">
        <f>$G$24</f>
        <v>0.25</v>
      </c>
      <c r="H67" s="243">
        <f t="shared" si="1"/>
        <v>2.7575342465753425</v>
      </c>
      <c r="I67" s="243"/>
      <c r="N67" s="212">
        <v>11.03</v>
      </c>
    </row>
    <row r="68" spans="2:15" ht="13.2" x14ac:dyDescent="0.25">
      <c r="B68" s="558" t="s">
        <v>763</v>
      </c>
      <c r="C68" s="559"/>
      <c r="D68" s="246">
        <v>5000000</v>
      </c>
      <c r="E68" s="254">
        <f>E67</f>
        <v>2.2000000000000001E-3</v>
      </c>
      <c r="F68" s="248">
        <f t="shared" si="3"/>
        <v>11.03013698630137</v>
      </c>
      <c r="G68" s="252">
        <f>$G$24</f>
        <v>0.25</v>
      </c>
      <c r="H68" s="243">
        <f t="shared" si="1"/>
        <v>2.7575342465753425</v>
      </c>
      <c r="I68" s="243"/>
      <c r="N68" s="212">
        <v>11.03</v>
      </c>
    </row>
    <row r="69" spans="2:15" ht="13.2" x14ac:dyDescent="0.25">
      <c r="B69" s="292" t="s">
        <v>764</v>
      </c>
      <c r="C69" s="285" t="s">
        <v>765</v>
      </c>
      <c r="D69" s="246">
        <v>0</v>
      </c>
      <c r="E69" s="254">
        <f>SUM(E32+E33+E34+E36+E38)*1.2</f>
        <v>0.546833346</v>
      </c>
      <c r="F69" s="248">
        <f t="shared" si="3"/>
        <v>0</v>
      </c>
      <c r="G69" s="252">
        <f>$G$24</f>
        <v>0.25</v>
      </c>
      <c r="H69" s="243">
        <f t="shared" si="1"/>
        <v>0</v>
      </c>
      <c r="I69" s="243"/>
    </row>
    <row r="70" spans="2:15" ht="13.8" thickBot="1" x14ac:dyDescent="0.3">
      <c r="B70" s="292"/>
      <c r="C70" s="285"/>
      <c r="D70" s="293"/>
      <c r="E70" s="284"/>
      <c r="F70" s="264"/>
      <c r="G70" s="265"/>
      <c r="H70" s="243"/>
      <c r="I70" s="243"/>
    </row>
    <row r="71" spans="2:15" ht="14.4" thickTop="1" thickBot="1" x14ac:dyDescent="0.3">
      <c r="B71" s="292"/>
      <c r="C71" s="560" t="s">
        <v>766</v>
      </c>
      <c r="D71" s="561"/>
      <c r="E71" s="561"/>
      <c r="F71" s="294">
        <f>SUM(F55+F58+F59+F60+F61+F62+F63+F64+F65+F66+F67+F68+F69)</f>
        <v>947977.0659858865</v>
      </c>
      <c r="G71" s="265"/>
      <c r="H71" s="243"/>
      <c r="I71" s="243"/>
    </row>
    <row r="72" spans="2:15" ht="13.8" thickTop="1" x14ac:dyDescent="0.25">
      <c r="B72" s="295"/>
      <c r="C72" s="296"/>
      <c r="D72" s="283"/>
      <c r="E72" s="284"/>
      <c r="F72" s="264"/>
      <c r="G72" s="265"/>
      <c r="H72" s="243"/>
      <c r="I72" s="243"/>
    </row>
    <row r="73" spans="2:15" ht="13.2" x14ac:dyDescent="0.25">
      <c r="B73" s="562" t="s">
        <v>767</v>
      </c>
      <c r="C73" s="563"/>
      <c r="D73" s="297">
        <v>250000</v>
      </c>
      <c r="E73" s="247">
        <v>5</v>
      </c>
      <c r="F73" s="248">
        <f>(D73*E73/1000)/365*$G$12</f>
        <v>1253.4246575342465</v>
      </c>
      <c r="G73" s="249">
        <v>0.15</v>
      </c>
      <c r="H73" s="243">
        <f t="shared" si="1"/>
        <v>188.01369863013699</v>
      </c>
      <c r="I73" s="243"/>
    </row>
    <row r="74" spans="2:15" ht="13.2" hidden="1" x14ac:dyDescent="0.25">
      <c r="B74" s="298" t="s">
        <v>714</v>
      </c>
      <c r="C74" s="299">
        <f>+$G$16</f>
        <v>0</v>
      </c>
      <c r="D74" s="300">
        <f>D73*C74</f>
        <v>0</v>
      </c>
      <c r="E74" s="254">
        <f>(E73*35%)</f>
        <v>1.75</v>
      </c>
      <c r="F74" s="248">
        <f t="shared" ref="F74:F84" si="4">(D74*E74/1000)/365*$G$12</f>
        <v>0</v>
      </c>
      <c r="G74" s="252">
        <f>$G$73</f>
        <v>0.15</v>
      </c>
      <c r="H74" s="243">
        <f t="shared" si="1"/>
        <v>0</v>
      </c>
      <c r="I74" s="243"/>
    </row>
    <row r="75" spans="2:15" ht="13.2" hidden="1" x14ac:dyDescent="0.25">
      <c r="B75" s="541" t="s">
        <v>768</v>
      </c>
      <c r="C75" s="542"/>
      <c r="D75" s="297">
        <v>0</v>
      </c>
      <c r="E75" s="247">
        <v>1.6</v>
      </c>
      <c r="F75" s="248">
        <f t="shared" si="4"/>
        <v>0</v>
      </c>
      <c r="G75" s="252">
        <f>$G$73</f>
        <v>0.15</v>
      </c>
      <c r="H75" s="243">
        <f t="shared" si="1"/>
        <v>0</v>
      </c>
      <c r="I75" s="243"/>
    </row>
    <row r="76" spans="2:15" ht="13.2" hidden="1" x14ac:dyDescent="0.25">
      <c r="B76" s="298" t="str">
        <f>B74</f>
        <v>Inflación</v>
      </c>
      <c r="C76" s="299">
        <f>+$G$16</f>
        <v>0</v>
      </c>
      <c r="D76" s="300"/>
      <c r="E76" s="254">
        <f>(E75*35%)</f>
        <v>0.55999999999999994</v>
      </c>
      <c r="F76" s="248">
        <f t="shared" si="4"/>
        <v>0</v>
      </c>
      <c r="G76" s="252">
        <f>G73</f>
        <v>0.15</v>
      </c>
      <c r="H76" s="243">
        <f t="shared" si="1"/>
        <v>0</v>
      </c>
      <c r="I76" s="243"/>
    </row>
    <row r="77" spans="2:15" ht="13.2" hidden="1" x14ac:dyDescent="0.25">
      <c r="B77" s="541" t="s">
        <v>769</v>
      </c>
      <c r="C77" s="542"/>
      <c r="D77" s="297">
        <v>0</v>
      </c>
      <c r="E77" s="247">
        <v>0</v>
      </c>
      <c r="F77" s="248">
        <f>(D77*E77/100)/365*$G$12</f>
        <v>0</v>
      </c>
      <c r="G77" s="252">
        <f>$G$73</f>
        <v>0.15</v>
      </c>
      <c r="H77" s="243">
        <f t="shared" si="1"/>
        <v>0</v>
      </c>
      <c r="I77" s="243"/>
    </row>
    <row r="78" spans="2:15" ht="13.2" hidden="1" x14ac:dyDescent="0.25">
      <c r="B78" s="298" t="str">
        <f>B74</f>
        <v>Inflación</v>
      </c>
      <c r="C78" s="299">
        <f>+$G$16</f>
        <v>0</v>
      </c>
      <c r="D78" s="300"/>
      <c r="E78" s="254">
        <f>(E77*0.35)</f>
        <v>0</v>
      </c>
      <c r="F78" s="248">
        <f>(D78*E78/100)/365*$G$12</f>
        <v>0</v>
      </c>
      <c r="G78" s="252">
        <f>G73</f>
        <v>0.15</v>
      </c>
      <c r="H78" s="243">
        <f t="shared" si="1"/>
        <v>0</v>
      </c>
      <c r="I78" s="243"/>
    </row>
    <row r="79" spans="2:15" ht="13.2" hidden="1" x14ac:dyDescent="0.25">
      <c r="B79" s="541" t="s">
        <v>770</v>
      </c>
      <c r="C79" s="542"/>
      <c r="D79" s="297"/>
      <c r="E79" s="247">
        <v>0</v>
      </c>
      <c r="F79" s="248">
        <f t="shared" si="4"/>
        <v>0</v>
      </c>
      <c r="G79" s="252">
        <f>G73</f>
        <v>0.15</v>
      </c>
      <c r="H79" s="243">
        <f t="shared" si="1"/>
        <v>0</v>
      </c>
      <c r="I79" s="243"/>
    </row>
    <row r="80" spans="2:15" ht="13.2" x14ac:dyDescent="0.25">
      <c r="B80" s="541" t="s">
        <v>771</v>
      </c>
      <c r="C80" s="542"/>
      <c r="D80" s="297">
        <v>6500000</v>
      </c>
      <c r="E80" s="247">
        <v>18</v>
      </c>
      <c r="F80" s="248">
        <f t="shared" si="4"/>
        <v>117320.54794520547</v>
      </c>
      <c r="G80" s="252">
        <f>$G$73</f>
        <v>0.15</v>
      </c>
      <c r="H80" s="243">
        <f t="shared" si="1"/>
        <v>17598.082191780821</v>
      </c>
      <c r="I80" s="243"/>
      <c r="N80" s="212">
        <v>117240</v>
      </c>
      <c r="O80" s="434">
        <f>F80-N80</f>
        <v>80.547945205471478</v>
      </c>
    </row>
    <row r="81" spans="2:9" ht="13.2" x14ac:dyDescent="0.25">
      <c r="B81" s="558" t="s">
        <v>772</v>
      </c>
      <c r="C81" s="559"/>
      <c r="D81" s="297">
        <v>785000</v>
      </c>
      <c r="E81" s="247">
        <v>10</v>
      </c>
      <c r="F81" s="248">
        <f t="shared" si="4"/>
        <v>7871.5068493150684</v>
      </c>
      <c r="G81" s="252">
        <f>$G$73</f>
        <v>0.15</v>
      </c>
      <c r="H81" s="243">
        <f t="shared" si="1"/>
        <v>1180.7260273972602</v>
      </c>
      <c r="I81" s="243"/>
    </row>
    <row r="82" spans="2:9" ht="13.2" hidden="1" x14ac:dyDescent="0.25">
      <c r="B82" s="292" t="s">
        <v>773</v>
      </c>
      <c r="C82" s="285"/>
      <c r="D82" s="297"/>
      <c r="E82" s="247">
        <v>0</v>
      </c>
      <c r="F82" s="248">
        <f t="shared" si="4"/>
        <v>0</v>
      </c>
      <c r="G82" s="252">
        <f>G73</f>
        <v>0.15</v>
      </c>
      <c r="H82" s="243">
        <f t="shared" si="1"/>
        <v>0</v>
      </c>
      <c r="I82" s="243"/>
    </row>
    <row r="83" spans="2:9" ht="13.2" hidden="1" x14ac:dyDescent="0.25">
      <c r="B83" s="558" t="s">
        <v>774</v>
      </c>
      <c r="C83" s="559"/>
      <c r="D83" s="297"/>
      <c r="E83" s="247">
        <v>0</v>
      </c>
      <c r="F83" s="248">
        <f t="shared" si="4"/>
        <v>0</v>
      </c>
      <c r="G83" s="252">
        <f>G73</f>
        <v>0.15</v>
      </c>
      <c r="H83" s="243">
        <f t="shared" si="1"/>
        <v>0</v>
      </c>
      <c r="I83" s="243"/>
    </row>
    <row r="84" spans="2:9" ht="13.2" hidden="1" x14ac:dyDescent="0.25">
      <c r="B84" s="250" t="str">
        <f>B74</f>
        <v>Inflación</v>
      </c>
      <c r="C84" s="299">
        <f>C74</f>
        <v>0</v>
      </c>
      <c r="D84" s="300">
        <f>(D80+D81+D82+D83)*C84</f>
        <v>0</v>
      </c>
      <c r="E84" s="254">
        <f>(E80+E81+E82+E83)*35%</f>
        <v>9.7999999999999989</v>
      </c>
      <c r="F84" s="248">
        <f t="shared" si="4"/>
        <v>0</v>
      </c>
      <c r="G84" s="252">
        <f>$G$73</f>
        <v>0.15</v>
      </c>
      <c r="H84" s="243">
        <f t="shared" si="1"/>
        <v>0</v>
      </c>
      <c r="I84" s="243"/>
    </row>
    <row r="85" spans="2:9" ht="13.2" x14ac:dyDescent="0.25">
      <c r="B85" s="541" t="s">
        <v>775</v>
      </c>
      <c r="C85" s="542"/>
      <c r="D85" s="297">
        <v>270000</v>
      </c>
      <c r="E85" s="247">
        <v>2.3275999999999999</v>
      </c>
      <c r="F85" s="248">
        <f t="shared" ref="F85:F90" si="5">(D85*E85/100)/365*$G$12</f>
        <v>6301.7378630137</v>
      </c>
      <c r="G85" s="249">
        <v>0.15</v>
      </c>
      <c r="H85" s="243">
        <f t="shared" si="1"/>
        <v>945.260679452055</v>
      </c>
      <c r="I85" s="243"/>
    </row>
    <row r="86" spans="2:9" ht="13.2" x14ac:dyDescent="0.25">
      <c r="B86" s="541" t="s">
        <v>776</v>
      </c>
      <c r="C86" s="542"/>
      <c r="D86" s="297">
        <v>13000</v>
      </c>
      <c r="E86" s="247">
        <v>5</v>
      </c>
      <c r="F86" s="248">
        <f t="shared" si="5"/>
        <v>651.78082191780823</v>
      </c>
      <c r="G86" s="252">
        <f>$G$85</f>
        <v>0.15</v>
      </c>
      <c r="H86" s="243">
        <f t="shared" si="1"/>
        <v>97.767123287671225</v>
      </c>
      <c r="I86" s="243"/>
    </row>
    <row r="87" spans="2:9" ht="13.2" hidden="1" x14ac:dyDescent="0.25">
      <c r="B87" s="298" t="str">
        <f>B74</f>
        <v>Inflación</v>
      </c>
      <c r="C87" s="299">
        <f>+$G$16</f>
        <v>0</v>
      </c>
      <c r="D87" s="300"/>
      <c r="E87" s="254">
        <f>(E86*35%)</f>
        <v>1.75</v>
      </c>
      <c r="F87" s="248">
        <f t="shared" si="5"/>
        <v>0</v>
      </c>
      <c r="G87" s="252">
        <f>$G$85</f>
        <v>0.15</v>
      </c>
      <c r="H87" s="243">
        <f t="shared" si="1"/>
        <v>0</v>
      </c>
      <c r="I87" s="243"/>
    </row>
    <row r="88" spans="2:9" ht="13.2" x14ac:dyDescent="0.25">
      <c r="B88" s="541" t="s">
        <v>777</v>
      </c>
      <c r="C88" s="542"/>
      <c r="D88" s="297">
        <v>54000</v>
      </c>
      <c r="E88" s="247">
        <v>12</v>
      </c>
      <c r="F88" s="248">
        <f t="shared" si="5"/>
        <v>6497.7534246575342</v>
      </c>
      <c r="G88" s="252">
        <f>$G$85</f>
        <v>0.15</v>
      </c>
      <c r="H88" s="243">
        <f t="shared" si="1"/>
        <v>974.66301369863004</v>
      </c>
      <c r="I88" s="243"/>
    </row>
    <row r="89" spans="2:9" ht="13.2" x14ac:dyDescent="0.25">
      <c r="B89" s="541" t="s">
        <v>778</v>
      </c>
      <c r="C89" s="542"/>
      <c r="D89" s="297">
        <v>13000</v>
      </c>
      <c r="E89" s="247">
        <v>4</v>
      </c>
      <c r="F89" s="248">
        <f t="shared" si="5"/>
        <v>521.42465753424653</v>
      </c>
      <c r="G89" s="252">
        <f>$G$85</f>
        <v>0.15</v>
      </c>
      <c r="H89" s="243">
        <f t="shared" ref="H89:H93" si="6">G89*F89</f>
        <v>78.213698630136975</v>
      </c>
      <c r="I89" s="243"/>
    </row>
    <row r="90" spans="2:9" ht="13.2" hidden="1" x14ac:dyDescent="0.25">
      <c r="B90" s="298" t="str">
        <f>B74</f>
        <v>Inflación</v>
      </c>
      <c r="C90" s="299">
        <f>+$G$16</f>
        <v>0</v>
      </c>
      <c r="D90" s="300"/>
      <c r="E90" s="254">
        <f>(E89*35%)</f>
        <v>1.4</v>
      </c>
      <c r="F90" s="248">
        <f t="shared" si="5"/>
        <v>0</v>
      </c>
      <c r="G90" s="252">
        <f>$G$85</f>
        <v>0.15</v>
      </c>
      <c r="H90" s="243">
        <f t="shared" si="6"/>
        <v>0</v>
      </c>
      <c r="I90" s="243"/>
    </row>
    <row r="91" spans="2:9" ht="13.2" hidden="1" x14ac:dyDescent="0.25">
      <c r="B91" s="266" t="s">
        <v>779</v>
      </c>
      <c r="C91" s="285"/>
      <c r="D91" s="297">
        <v>0</v>
      </c>
      <c r="E91" s="247">
        <v>1.8959999999999999</v>
      </c>
      <c r="F91" s="248">
        <f>SUM(D91*E91/1000)/365*G12</f>
        <v>0</v>
      </c>
      <c r="G91" s="249">
        <v>0.1</v>
      </c>
      <c r="H91" s="243">
        <f t="shared" si="6"/>
        <v>0</v>
      </c>
      <c r="I91" s="243"/>
    </row>
    <row r="92" spans="2:9" ht="13.2" hidden="1" x14ac:dyDescent="0.25">
      <c r="B92" s="558" t="s">
        <v>780</v>
      </c>
      <c r="C92" s="559"/>
      <c r="D92" s="297">
        <v>0</v>
      </c>
      <c r="E92" s="254">
        <f>E33*35%</f>
        <v>8.2873349999999998E-2</v>
      </c>
      <c r="F92" s="248">
        <f>(D92*E92/1000)/365*$G$12</f>
        <v>0</v>
      </c>
      <c r="G92" s="252">
        <f>G91</f>
        <v>0.1</v>
      </c>
      <c r="H92" s="243">
        <f t="shared" si="6"/>
        <v>0</v>
      </c>
      <c r="I92" s="243"/>
    </row>
    <row r="93" spans="2:9" ht="13.2" hidden="1" x14ac:dyDescent="0.25">
      <c r="B93" s="541" t="s">
        <v>781</v>
      </c>
      <c r="C93" s="542"/>
      <c r="D93" s="297">
        <v>0</v>
      </c>
      <c r="E93" s="247">
        <v>0</v>
      </c>
      <c r="F93" s="248">
        <f>(D93*E93/100)/365*$G$12</f>
        <v>0</v>
      </c>
      <c r="G93" s="249">
        <v>0.15</v>
      </c>
      <c r="H93" s="243">
        <f t="shared" si="6"/>
        <v>0</v>
      </c>
      <c r="I93" s="243"/>
    </row>
    <row r="94" spans="2:9" ht="13.8" thickBot="1" x14ac:dyDescent="0.3">
      <c r="B94" s="292"/>
      <c r="C94" s="285"/>
      <c r="D94" s="283"/>
      <c r="E94" s="284"/>
      <c r="F94" s="264"/>
      <c r="G94" s="265"/>
      <c r="H94" s="243"/>
      <c r="I94" s="243"/>
    </row>
    <row r="95" spans="2:9" ht="14.4" thickTop="1" thickBot="1" x14ac:dyDescent="0.3">
      <c r="B95" s="301"/>
      <c r="C95" s="571" t="s">
        <v>782</v>
      </c>
      <c r="D95" s="572"/>
      <c r="E95" s="572"/>
      <c r="F95" s="294">
        <f>SUM(F73:F94)</f>
        <v>140418.17621917807</v>
      </c>
      <c r="G95" s="302"/>
      <c r="H95" s="282">
        <f>SUM(H24:H89)</f>
        <v>142060.30002291992</v>
      </c>
      <c r="I95" s="282"/>
    </row>
    <row r="96" spans="2:9" ht="14.4" thickTop="1" thickBot="1" x14ac:dyDescent="0.3">
      <c r="B96" s="234"/>
      <c r="C96" s="234"/>
      <c r="D96" s="303"/>
      <c r="E96" s="303"/>
      <c r="F96" s="303"/>
      <c r="G96" s="419">
        <f>H95/F97</f>
        <v>0.13052271317826503</v>
      </c>
    </row>
    <row r="97" spans="2:13" ht="14.4" thickTop="1" thickBot="1" x14ac:dyDescent="0.3">
      <c r="B97" s="304"/>
      <c r="C97" s="305"/>
      <c r="D97" s="586" t="s">
        <v>783</v>
      </c>
      <c r="E97" s="587"/>
      <c r="F97" s="306">
        <f>+F95+F71</f>
        <v>1088395.2422050645</v>
      </c>
      <c r="G97" s="307"/>
      <c r="H97" s="212">
        <v>518887.31</v>
      </c>
    </row>
    <row r="98" spans="2:13" ht="13.8" thickBot="1" x14ac:dyDescent="0.3">
      <c r="B98" s="308" t="s">
        <v>784</v>
      </c>
      <c r="C98" s="309" t="s">
        <v>785</v>
      </c>
      <c r="D98" s="588" t="s">
        <v>786</v>
      </c>
      <c r="E98" s="589"/>
      <c r="F98" s="310">
        <v>0</v>
      </c>
      <c r="G98" s="311"/>
    </row>
    <row r="99" spans="2:13" ht="13.8" thickBot="1" x14ac:dyDescent="0.3">
      <c r="B99" s="312" t="s">
        <v>787</v>
      </c>
      <c r="C99" s="313">
        <v>0</v>
      </c>
      <c r="D99" s="588" t="s">
        <v>788</v>
      </c>
      <c r="E99" s="589"/>
      <c r="F99" s="314">
        <f>(F97-(F97*F98))</f>
        <v>1088395.2422050645</v>
      </c>
      <c r="G99" s="311"/>
      <c r="I99" s="315">
        <v>0</v>
      </c>
      <c r="J99" s="212" t="s">
        <v>789</v>
      </c>
      <c r="L99" s="212" t="s">
        <v>790</v>
      </c>
      <c r="M99" s="212">
        <v>350</v>
      </c>
    </row>
    <row r="100" spans="2:13" ht="13.8" thickBot="1" x14ac:dyDescent="0.3">
      <c r="B100" s="312" t="s">
        <v>791</v>
      </c>
      <c r="C100" s="316" t="str">
        <f>IF(C99=0,J99,IF(C99=1,J100,IF(C99=2,J101,IF(C99=3,J102))))</f>
        <v>CONTADO</v>
      </c>
      <c r="D100" s="590" t="s">
        <v>792</v>
      </c>
      <c r="E100" s="591"/>
      <c r="F100" s="317">
        <f>(F99*G100)</f>
        <v>0</v>
      </c>
      <c r="G100" s="318">
        <v>0</v>
      </c>
      <c r="I100" s="319">
        <v>4.2</v>
      </c>
      <c r="J100" s="212" t="s">
        <v>793</v>
      </c>
      <c r="L100" s="212" t="s">
        <v>794</v>
      </c>
      <c r="M100" s="212">
        <v>500</v>
      </c>
    </row>
    <row r="101" spans="2:13" ht="13.2" x14ac:dyDescent="0.25">
      <c r="B101" s="312" t="s">
        <v>795</v>
      </c>
      <c r="C101" s="320"/>
      <c r="D101" s="590" t="s">
        <v>796</v>
      </c>
      <c r="E101" s="591"/>
      <c r="F101" s="317">
        <v>100</v>
      </c>
      <c r="G101" s="321"/>
      <c r="I101" s="319">
        <v>6.4</v>
      </c>
      <c r="J101" s="212" t="s">
        <v>797</v>
      </c>
      <c r="L101" s="212" t="s">
        <v>798</v>
      </c>
      <c r="M101" s="212">
        <v>750</v>
      </c>
    </row>
    <row r="102" spans="2:13" ht="13.2" x14ac:dyDescent="0.25">
      <c r="B102" s="312" t="s">
        <v>799</v>
      </c>
      <c r="C102" s="320"/>
      <c r="D102" s="592" t="s">
        <v>800</v>
      </c>
      <c r="E102" s="593"/>
      <c r="F102" s="314">
        <f>(F99+F100+F101)*G102</f>
        <v>174159.23875281031</v>
      </c>
      <c r="G102" s="322">
        <v>0.16</v>
      </c>
      <c r="I102" s="319">
        <v>7.7</v>
      </c>
      <c r="J102" s="212" t="s">
        <v>801</v>
      </c>
      <c r="L102" s="212" t="s">
        <v>802</v>
      </c>
      <c r="M102" s="212">
        <v>1000</v>
      </c>
    </row>
    <row r="103" spans="2:13" ht="13.8" thickBot="1" x14ac:dyDescent="0.3">
      <c r="B103" s="323"/>
      <c r="C103" s="324"/>
      <c r="D103" s="573" t="s">
        <v>803</v>
      </c>
      <c r="E103" s="574"/>
      <c r="F103" s="325">
        <f>F99+F100+F101+F102</f>
        <v>1262654.4809578748</v>
      </c>
      <c r="G103" s="326" t="str">
        <f>D18</f>
        <v>USD</v>
      </c>
    </row>
    <row r="104" spans="2:13" ht="14.4" thickTop="1" thickBot="1" x14ac:dyDescent="0.3">
      <c r="B104" s="262"/>
      <c r="C104" s="262"/>
      <c r="D104" s="264"/>
      <c r="E104" s="327"/>
      <c r="F104" s="327"/>
      <c r="G104" s="264"/>
    </row>
    <row r="105" spans="2:13" ht="13.8" hidden="1" thickBot="1" x14ac:dyDescent="0.3">
      <c r="B105" s="262"/>
      <c r="C105" s="262"/>
      <c r="D105" s="264"/>
      <c r="E105" s="327"/>
      <c r="F105" s="327"/>
      <c r="G105" s="264"/>
    </row>
    <row r="106" spans="2:13" ht="27" hidden="1" customHeight="1" thickTop="1" x14ac:dyDescent="0.25">
      <c r="B106" s="575" t="s">
        <v>804</v>
      </c>
      <c r="C106" s="576"/>
      <c r="D106" s="576"/>
      <c r="E106" s="576"/>
      <c r="F106" s="576"/>
      <c r="G106" s="577"/>
    </row>
    <row r="107" spans="2:13" ht="17.399999999999999" hidden="1" thickBot="1" x14ac:dyDescent="0.35">
      <c r="B107" s="578" t="s">
        <v>805</v>
      </c>
      <c r="C107" s="579"/>
      <c r="D107" s="579"/>
      <c r="E107" s="579"/>
      <c r="F107" s="579"/>
      <c r="G107" s="580"/>
    </row>
    <row r="108" spans="2:13" ht="13.8" hidden="1" thickBot="1" x14ac:dyDescent="0.3">
      <c r="B108" s="244"/>
      <c r="C108" s="262"/>
      <c r="D108" s="264"/>
      <c r="E108" s="264"/>
      <c r="F108" s="264"/>
      <c r="G108" s="328"/>
    </row>
    <row r="109" spans="2:13" ht="13.8" hidden="1" thickBot="1" x14ac:dyDescent="0.3">
      <c r="B109" s="244" t="s">
        <v>806</v>
      </c>
      <c r="C109" s="581" t="str">
        <f>C8</f>
        <v xml:space="preserve">OPERADORA DE CINEMAS SA DE CV </v>
      </c>
      <c r="D109" s="581"/>
      <c r="E109" s="581"/>
      <c r="F109" s="581"/>
      <c r="G109" s="582"/>
    </row>
    <row r="110" spans="2:13" ht="13.8" hidden="1" thickBot="1" x14ac:dyDescent="0.3">
      <c r="B110" s="244"/>
      <c r="C110" s="285"/>
      <c r="D110" s="285"/>
      <c r="E110" s="285"/>
      <c r="F110" s="285"/>
      <c r="G110" s="329"/>
    </row>
    <row r="111" spans="2:13" ht="13.8" hidden="1" thickBot="1" x14ac:dyDescent="0.3">
      <c r="B111" s="244" t="s">
        <v>807</v>
      </c>
      <c r="C111" s="583" t="s">
        <v>808</v>
      </c>
      <c r="D111" s="583"/>
      <c r="E111" s="583"/>
      <c r="F111" s="583"/>
      <c r="G111" s="584"/>
    </row>
    <row r="112" spans="2:13" ht="13.8" hidden="1" thickBot="1" x14ac:dyDescent="0.3">
      <c r="B112" s="244"/>
      <c r="C112" s="583"/>
      <c r="D112" s="583"/>
      <c r="E112" s="583"/>
      <c r="F112" s="583"/>
      <c r="G112" s="584"/>
    </row>
    <row r="113" spans="2:7" ht="13.8" hidden="1" thickBot="1" x14ac:dyDescent="0.3">
      <c r="B113" s="244"/>
      <c r="C113" s="285"/>
      <c r="D113" s="285"/>
      <c r="E113" s="285"/>
      <c r="F113" s="285"/>
      <c r="G113" s="329"/>
    </row>
    <row r="114" spans="2:7" ht="13.8" hidden="1" thickBot="1" x14ac:dyDescent="0.3">
      <c r="B114" s="244" t="s">
        <v>809</v>
      </c>
      <c r="C114" s="559">
        <f>C11</f>
        <v>0</v>
      </c>
      <c r="D114" s="559"/>
      <c r="E114" s="559"/>
      <c r="F114" s="559"/>
      <c r="G114" s="585"/>
    </row>
    <row r="115" spans="2:7" ht="13.8" hidden="1" thickBot="1" x14ac:dyDescent="0.3">
      <c r="B115" s="244"/>
      <c r="C115" s="285"/>
      <c r="D115" s="285"/>
      <c r="E115" s="285"/>
      <c r="F115" s="285"/>
      <c r="G115" s="329"/>
    </row>
    <row r="116" spans="2:7" ht="13.8" hidden="1" thickBot="1" x14ac:dyDescent="0.3">
      <c r="B116" s="244" t="s">
        <v>702</v>
      </c>
      <c r="C116" s="594" t="str">
        <f>C12</f>
        <v>HOTEL CON ESTACIONAMIENTO, LOCALES COMERCIALES, SERVICIOS RECREATIVOS Y LO RELACIONADO AL GIRO DEL ASEGURADO</v>
      </c>
      <c r="D116" s="594"/>
      <c r="E116" s="594"/>
      <c r="F116" s="594"/>
      <c r="G116" s="595"/>
    </row>
    <row r="117" spans="2:7" ht="13.8" hidden="1" thickBot="1" x14ac:dyDescent="0.3">
      <c r="B117" s="244"/>
      <c r="C117" s="594"/>
      <c r="D117" s="594"/>
      <c r="E117" s="594"/>
      <c r="F117" s="594"/>
      <c r="G117" s="595"/>
    </row>
    <row r="118" spans="2:7" ht="13.8" hidden="1" thickBot="1" x14ac:dyDescent="0.3">
      <c r="B118" s="244"/>
      <c r="C118" s="285"/>
      <c r="D118" s="285"/>
      <c r="E118" s="285"/>
      <c r="F118" s="285"/>
      <c r="G118" s="329"/>
    </row>
    <row r="119" spans="2:7" ht="37.5" hidden="1" customHeight="1" x14ac:dyDescent="0.25">
      <c r="B119" s="330" t="s">
        <v>810</v>
      </c>
      <c r="C119" s="594" t="s">
        <v>811</v>
      </c>
      <c r="D119" s="594"/>
      <c r="E119" s="594"/>
      <c r="F119" s="594"/>
      <c r="G119" s="595"/>
    </row>
    <row r="120" spans="2:7" ht="30" hidden="1" customHeight="1" x14ac:dyDescent="0.25">
      <c r="B120" s="244"/>
      <c r="C120" s="594"/>
      <c r="D120" s="594"/>
      <c r="E120" s="594"/>
      <c r="F120" s="594"/>
      <c r="G120" s="595"/>
    </row>
    <row r="121" spans="2:7" ht="13.8" hidden="1" thickBot="1" x14ac:dyDescent="0.3">
      <c r="B121" s="244" t="s">
        <v>812</v>
      </c>
      <c r="C121" s="331" t="s">
        <v>813</v>
      </c>
      <c r="D121" s="332">
        <f>C16</f>
        <v>45107</v>
      </c>
      <c r="E121" s="331" t="s">
        <v>814</v>
      </c>
      <c r="F121" s="332">
        <f>D16</f>
        <v>45473</v>
      </c>
      <c r="G121" s="333">
        <f>G12</f>
        <v>366</v>
      </c>
    </row>
    <row r="122" spans="2:7" ht="13.8" hidden="1" thickBot="1" x14ac:dyDescent="0.3">
      <c r="B122" s="244"/>
      <c r="C122" s="285"/>
      <c r="D122" s="285"/>
      <c r="E122" s="285"/>
      <c r="F122" s="285"/>
      <c r="G122" s="329"/>
    </row>
    <row r="123" spans="2:7" ht="13.8" hidden="1" thickBot="1" x14ac:dyDescent="0.3">
      <c r="B123" s="244" t="s">
        <v>719</v>
      </c>
      <c r="C123" s="334" t="str">
        <f>C18</f>
        <v>DOLARES</v>
      </c>
      <c r="D123" s="334" t="str">
        <f>D18</f>
        <v>USD</v>
      </c>
      <c r="E123" s="285"/>
      <c r="F123" s="285"/>
      <c r="G123" s="329"/>
    </row>
    <row r="124" spans="2:7" ht="13.8" hidden="1" thickBot="1" x14ac:dyDescent="0.3">
      <c r="B124" s="244"/>
      <c r="C124" s="285"/>
      <c r="D124" s="285"/>
      <c r="E124" s="285"/>
      <c r="F124" s="285"/>
      <c r="G124" s="329"/>
    </row>
    <row r="125" spans="2:7" ht="15" hidden="1" customHeight="1" x14ac:dyDescent="0.25">
      <c r="B125" s="596" t="s">
        <v>815</v>
      </c>
      <c r="C125" s="600" t="str">
        <f>C14</f>
        <v>CONSTRUCCION MACIZA, MUROS, TECHOS Y ENTREPISOS DE CONCRETO, CONSTA DE P.B. Y 12 PISOS ALTOS</v>
      </c>
      <c r="D125" s="600"/>
      <c r="E125" s="600"/>
      <c r="F125" s="600"/>
      <c r="G125" s="601"/>
    </row>
    <row r="126" spans="2:7" ht="15" hidden="1" customHeight="1" x14ac:dyDescent="0.25">
      <c r="B126" s="596"/>
      <c r="C126" s="600"/>
      <c r="D126" s="600"/>
      <c r="E126" s="600"/>
      <c r="F126" s="600"/>
      <c r="G126" s="601"/>
    </row>
    <row r="127" spans="2:7" ht="13.8" hidden="1" thickBot="1" x14ac:dyDescent="0.3">
      <c r="B127" s="244"/>
      <c r="C127" s="285"/>
      <c r="D127" s="285"/>
      <c r="E127" s="285"/>
      <c r="F127" s="285"/>
      <c r="G127" s="329"/>
    </row>
    <row r="128" spans="2:7" ht="13.8" hidden="1" thickBot="1" x14ac:dyDescent="0.3">
      <c r="B128" s="244" t="s">
        <v>710</v>
      </c>
      <c r="C128" s="600" t="str">
        <f>C15</f>
        <v>Minimo debera tener extintores suficientes uno cada 15 Mts. Del otro, con recarga vigente, libres de obstaculos de acuerdo a la Norma Oficial Mexicana, vigilancia las 24 Hrs. Y los 365 días al año, en caso de que algunas de las medidas anteriores, no exista y/o se encuentre fuera de servicio, GMX Seguros quedara liberada de cualquier Responsabilidad en caso de siniestro Indemnizable.</v>
      </c>
      <c r="D128" s="600"/>
      <c r="E128" s="600"/>
      <c r="F128" s="600"/>
      <c r="G128" s="601"/>
    </row>
    <row r="129" spans="2:7" ht="13.8" hidden="1" thickBot="1" x14ac:dyDescent="0.3">
      <c r="B129" s="244"/>
      <c r="C129" s="600"/>
      <c r="D129" s="600"/>
      <c r="E129" s="600"/>
      <c r="F129" s="600"/>
      <c r="G129" s="601"/>
    </row>
    <row r="130" spans="2:7" ht="13.8" hidden="1" thickBot="1" x14ac:dyDescent="0.3">
      <c r="B130" s="244"/>
      <c r="C130" s="285"/>
      <c r="D130" s="285"/>
      <c r="E130" s="285"/>
      <c r="F130" s="285"/>
      <c r="G130" s="329"/>
    </row>
    <row r="131" spans="2:7" ht="12.75" hidden="1" customHeight="1" x14ac:dyDescent="0.25">
      <c r="B131" s="244" t="s">
        <v>816</v>
      </c>
      <c r="D131" s="285"/>
      <c r="E131" s="285"/>
      <c r="F131" s="285"/>
      <c r="G131" s="329"/>
    </row>
    <row r="132" spans="2:7" ht="19.5" hidden="1" customHeight="1" x14ac:dyDescent="0.25">
      <c r="B132" s="244"/>
      <c r="C132" s="594" t="s">
        <v>817</v>
      </c>
      <c r="D132" s="594"/>
      <c r="E132" s="594"/>
      <c r="F132" s="594"/>
      <c r="G132" s="595"/>
    </row>
    <row r="133" spans="2:7" ht="19.5" hidden="1" customHeight="1" x14ac:dyDescent="0.25">
      <c r="B133" s="244"/>
      <c r="C133" s="594"/>
      <c r="D133" s="594"/>
      <c r="E133" s="594"/>
      <c r="F133" s="594"/>
      <c r="G133" s="595"/>
    </row>
    <row r="134" spans="2:7" ht="19.5" hidden="1" customHeight="1" x14ac:dyDescent="0.25">
      <c r="B134" s="244"/>
      <c r="C134" s="594"/>
      <c r="D134" s="594"/>
      <c r="E134" s="594"/>
      <c r="F134" s="594"/>
      <c r="G134" s="595"/>
    </row>
    <row r="135" spans="2:7" ht="13.8" hidden="1" thickBot="1" x14ac:dyDescent="0.3">
      <c r="B135" s="244"/>
      <c r="C135" s="285"/>
      <c r="D135" s="285"/>
      <c r="E135" s="285"/>
      <c r="F135" s="285"/>
      <c r="G135" s="329"/>
    </row>
    <row r="136" spans="2:7" ht="13.8" hidden="1" thickBot="1" x14ac:dyDescent="0.3">
      <c r="B136" s="244"/>
      <c r="C136" s="594" t="s">
        <v>818</v>
      </c>
      <c r="D136" s="594"/>
      <c r="E136" s="594"/>
      <c r="F136" s="594"/>
      <c r="G136" s="595"/>
    </row>
    <row r="137" spans="2:7" ht="13.8" hidden="1" thickBot="1" x14ac:dyDescent="0.3">
      <c r="B137" s="244"/>
      <c r="C137" s="594"/>
      <c r="D137" s="594"/>
      <c r="E137" s="594"/>
      <c r="F137" s="594"/>
      <c r="G137" s="595"/>
    </row>
    <row r="138" spans="2:7" ht="13.8" hidden="1" thickBot="1" x14ac:dyDescent="0.3">
      <c r="B138" s="244"/>
      <c r="C138" s="594"/>
      <c r="D138" s="594"/>
      <c r="E138" s="594"/>
      <c r="F138" s="594"/>
      <c r="G138" s="595"/>
    </row>
    <row r="139" spans="2:7" ht="13.8" hidden="1" thickBot="1" x14ac:dyDescent="0.3">
      <c r="B139" s="244"/>
      <c r="C139" s="594"/>
      <c r="D139" s="594"/>
      <c r="E139" s="594"/>
      <c r="F139" s="594"/>
      <c r="G139" s="595"/>
    </row>
    <row r="140" spans="2:7" ht="13.8" hidden="1" thickBot="1" x14ac:dyDescent="0.3">
      <c r="B140" s="244"/>
      <c r="C140" s="285"/>
      <c r="D140" s="285"/>
      <c r="E140" s="285"/>
      <c r="F140" s="285"/>
      <c r="G140" s="329"/>
    </row>
    <row r="141" spans="2:7" ht="12.75" hidden="1" customHeight="1" x14ac:dyDescent="0.25">
      <c r="B141" s="596" t="s">
        <v>819</v>
      </c>
      <c r="C141" s="594" t="s">
        <v>820</v>
      </c>
      <c r="D141" s="594"/>
      <c r="E141" s="594"/>
      <c r="F141" s="594"/>
      <c r="G141" s="595"/>
    </row>
    <row r="142" spans="2:7" ht="13.8" hidden="1" thickBot="1" x14ac:dyDescent="0.3">
      <c r="B142" s="596"/>
      <c r="C142" s="594"/>
      <c r="D142" s="594"/>
      <c r="E142" s="594"/>
      <c r="F142" s="594"/>
      <c r="G142" s="595"/>
    </row>
    <row r="143" spans="2:7" ht="13.8" hidden="1" thickBot="1" x14ac:dyDescent="0.3">
      <c r="B143" s="596"/>
      <c r="C143" s="594"/>
      <c r="D143" s="594"/>
      <c r="E143" s="594"/>
      <c r="F143" s="594"/>
      <c r="G143" s="595"/>
    </row>
    <row r="144" spans="2:7" ht="13.8" hidden="1" thickBot="1" x14ac:dyDescent="0.3">
      <c r="B144" s="244"/>
      <c r="C144" s="336"/>
      <c r="D144" s="336"/>
      <c r="E144" s="336"/>
      <c r="F144" s="336"/>
      <c r="G144" s="337"/>
    </row>
    <row r="145" spans="2:12" ht="26.25" hidden="1" customHeight="1" x14ac:dyDescent="0.25">
      <c r="B145" s="244"/>
      <c r="C145" s="594" t="s">
        <v>821</v>
      </c>
      <c r="D145" s="594"/>
      <c r="E145" s="594"/>
      <c r="F145" s="594"/>
      <c r="G145" s="595"/>
    </row>
    <row r="146" spans="2:12" ht="26.25" hidden="1" customHeight="1" x14ac:dyDescent="0.25">
      <c r="B146" s="244"/>
      <c r="C146" s="594"/>
      <c r="D146" s="594"/>
      <c r="E146" s="594"/>
      <c r="F146" s="594"/>
      <c r="G146" s="595"/>
    </row>
    <row r="147" spans="2:12" ht="26.25" hidden="1" customHeight="1" x14ac:dyDescent="0.25">
      <c r="B147" s="244"/>
      <c r="C147" s="594"/>
      <c r="D147" s="594"/>
      <c r="E147" s="594"/>
      <c r="F147" s="594"/>
      <c r="G147" s="595"/>
    </row>
    <row r="148" spans="2:12" ht="26.25" hidden="1" customHeight="1" x14ac:dyDescent="0.25">
      <c r="B148" s="244"/>
      <c r="C148" s="594"/>
      <c r="D148" s="594"/>
      <c r="E148" s="594"/>
      <c r="F148" s="594"/>
      <c r="G148" s="595"/>
    </row>
    <row r="149" spans="2:12" ht="17.399999999999999" hidden="1" thickBot="1" x14ac:dyDescent="0.35">
      <c r="B149" s="578" t="s">
        <v>805</v>
      </c>
      <c r="C149" s="579"/>
      <c r="D149" s="579"/>
      <c r="E149" s="579"/>
      <c r="F149" s="579"/>
      <c r="G149" s="580"/>
    </row>
    <row r="150" spans="2:12" ht="27" hidden="1" customHeight="1" thickTop="1" thickBot="1" x14ac:dyDescent="0.3">
      <c r="B150" s="597" t="s">
        <v>822</v>
      </c>
      <c r="C150" s="598"/>
      <c r="D150" s="598"/>
      <c r="E150" s="598"/>
      <c r="F150" s="598"/>
      <c r="G150" s="599"/>
    </row>
    <row r="151" spans="2:12" ht="13.8" hidden="1" thickBot="1" x14ac:dyDescent="0.3">
      <c r="B151" s="244"/>
      <c r="C151" s="262"/>
      <c r="D151" s="264"/>
      <c r="E151" s="264"/>
      <c r="F151" s="264"/>
      <c r="G151" s="328"/>
    </row>
    <row r="152" spans="2:12" ht="28.5" hidden="1" customHeight="1" x14ac:dyDescent="0.25">
      <c r="B152" s="611" t="s">
        <v>823</v>
      </c>
      <c r="C152" s="612"/>
      <c r="D152" s="612"/>
      <c r="E152" s="612"/>
      <c r="F152" s="612"/>
      <c r="G152" s="613"/>
      <c r="L152" s="212" t="s">
        <v>824</v>
      </c>
    </row>
    <row r="153" spans="2:12" ht="13.8" hidden="1" thickBot="1" x14ac:dyDescent="0.3">
      <c r="B153" s="244"/>
      <c r="C153" s="262"/>
      <c r="D153" s="264"/>
      <c r="E153" s="264"/>
      <c r="F153" s="264"/>
      <c r="G153" s="328"/>
    </row>
    <row r="154" spans="2:12" ht="28.5" hidden="1" customHeight="1" x14ac:dyDescent="0.25">
      <c r="B154" s="611"/>
      <c r="C154" s="612"/>
      <c r="D154" s="612"/>
      <c r="E154" s="612"/>
      <c r="F154" s="612"/>
      <c r="G154" s="613"/>
      <c r="L154" s="212" t="s">
        <v>824</v>
      </c>
    </row>
    <row r="155" spans="2:12" ht="13.8" hidden="1" thickBot="1" x14ac:dyDescent="0.3">
      <c r="B155" s="244"/>
      <c r="C155" s="262"/>
      <c r="D155" s="264"/>
      <c r="E155" s="264"/>
      <c r="F155" s="264"/>
      <c r="G155" s="328"/>
    </row>
    <row r="156" spans="2:12" ht="14.4" hidden="1" thickTop="1" thickBot="1" x14ac:dyDescent="0.3">
      <c r="B156" s="338" t="s">
        <v>825</v>
      </c>
      <c r="C156" s="614" t="s">
        <v>826</v>
      </c>
      <c r="D156" s="614"/>
      <c r="E156" s="614"/>
      <c r="F156" s="614"/>
      <c r="G156" s="615"/>
    </row>
    <row r="157" spans="2:12" ht="13.8" hidden="1" thickBot="1" x14ac:dyDescent="0.3">
      <c r="B157" s="250"/>
      <c r="C157" s="262"/>
      <c r="D157" s="264"/>
      <c r="E157" s="264"/>
      <c r="F157" s="264"/>
      <c r="G157" s="328"/>
    </row>
    <row r="158" spans="2:12" ht="14.4" hidden="1" thickTop="1" thickBot="1" x14ac:dyDescent="0.3">
      <c r="B158" s="339" t="s">
        <v>827</v>
      </c>
      <c r="C158" s="616" t="s">
        <v>828</v>
      </c>
      <c r="D158" s="617"/>
      <c r="E158" s="617"/>
      <c r="F158" s="617"/>
      <c r="G158" s="618"/>
    </row>
    <row r="159" spans="2:12" ht="27" hidden="1" thickBot="1" x14ac:dyDescent="0.3">
      <c r="B159" s="340" t="s">
        <v>829</v>
      </c>
      <c r="C159" s="619" t="s">
        <v>830</v>
      </c>
      <c r="D159" s="620"/>
      <c r="E159" s="620"/>
      <c r="F159" s="620"/>
      <c r="G159" s="621"/>
    </row>
    <row r="160" spans="2:12" ht="20.25" hidden="1" customHeight="1" thickBot="1" x14ac:dyDescent="0.3">
      <c r="B160" s="340" t="s">
        <v>735</v>
      </c>
      <c r="C160" s="619" t="s">
        <v>831</v>
      </c>
      <c r="D160" s="620"/>
      <c r="E160" s="620"/>
      <c r="F160" s="620"/>
      <c r="G160" s="621"/>
    </row>
    <row r="161" spans="2:7" ht="100.5" hidden="1" customHeight="1" thickBot="1" x14ac:dyDescent="0.3">
      <c r="B161" s="340" t="s">
        <v>832</v>
      </c>
      <c r="C161" s="341" t="s">
        <v>833</v>
      </c>
      <c r="D161" s="602" t="s">
        <v>834</v>
      </c>
      <c r="E161" s="603"/>
      <c r="F161" s="603"/>
      <c r="G161" s="604"/>
    </row>
    <row r="162" spans="2:7" ht="50.25" hidden="1" customHeight="1" thickBot="1" x14ac:dyDescent="0.3">
      <c r="B162" s="605" t="s">
        <v>835</v>
      </c>
      <c r="C162" s="606"/>
      <c r="D162" s="606"/>
      <c r="E162" s="606"/>
      <c r="F162" s="606"/>
      <c r="G162" s="607"/>
    </row>
    <row r="163" spans="2:7" ht="79.8" hidden="1" thickBot="1" x14ac:dyDescent="0.3">
      <c r="B163" s="342" t="s">
        <v>836</v>
      </c>
      <c r="C163" s="602" t="s">
        <v>837</v>
      </c>
      <c r="D163" s="603"/>
      <c r="E163" s="603"/>
      <c r="F163" s="603"/>
      <c r="G163" s="604"/>
    </row>
    <row r="164" spans="2:7" ht="26.25" hidden="1" customHeight="1" thickBot="1" x14ac:dyDescent="0.3">
      <c r="B164" s="343" t="s">
        <v>838</v>
      </c>
      <c r="C164" s="344" t="s">
        <v>839</v>
      </c>
      <c r="D164" s="608" t="s">
        <v>840</v>
      </c>
      <c r="E164" s="609"/>
      <c r="F164" s="609"/>
      <c r="G164" s="610"/>
    </row>
    <row r="165" spans="2:7" ht="26.25" hidden="1" customHeight="1" thickBot="1" x14ac:dyDescent="0.3">
      <c r="B165" s="343" t="s">
        <v>838</v>
      </c>
      <c r="C165" s="344" t="s">
        <v>841</v>
      </c>
      <c r="D165" s="608" t="s">
        <v>840</v>
      </c>
      <c r="E165" s="609"/>
      <c r="F165" s="609"/>
      <c r="G165" s="610"/>
    </row>
    <row r="166" spans="2:7" ht="26.25" hidden="1" customHeight="1" thickBot="1" x14ac:dyDescent="0.3">
      <c r="B166" s="343" t="s">
        <v>838</v>
      </c>
      <c r="C166" s="344" t="s">
        <v>842</v>
      </c>
      <c r="D166" s="608" t="s">
        <v>843</v>
      </c>
      <c r="E166" s="609"/>
      <c r="F166" s="609"/>
      <c r="G166" s="610"/>
    </row>
    <row r="167" spans="2:7" ht="26.25" hidden="1" customHeight="1" thickBot="1" x14ac:dyDescent="0.3">
      <c r="B167" s="343" t="s">
        <v>838</v>
      </c>
      <c r="C167" s="344" t="s">
        <v>844</v>
      </c>
      <c r="D167" s="608" t="s">
        <v>840</v>
      </c>
      <c r="E167" s="609"/>
      <c r="F167" s="609"/>
      <c r="G167" s="610"/>
    </row>
    <row r="168" spans="2:7" ht="26.25" hidden="1" customHeight="1" thickBot="1" x14ac:dyDescent="0.3">
      <c r="B168" s="343" t="s">
        <v>838</v>
      </c>
      <c r="C168" s="344" t="s">
        <v>845</v>
      </c>
      <c r="D168" s="608" t="s">
        <v>840</v>
      </c>
      <c r="E168" s="609"/>
      <c r="F168" s="609"/>
      <c r="G168" s="610"/>
    </row>
    <row r="169" spans="2:7" ht="26.25" hidden="1" customHeight="1" thickBot="1" x14ac:dyDescent="0.3">
      <c r="B169" s="343" t="s">
        <v>838</v>
      </c>
      <c r="C169" s="344" t="s">
        <v>846</v>
      </c>
      <c r="D169" s="608" t="s">
        <v>843</v>
      </c>
      <c r="E169" s="609"/>
      <c r="F169" s="609"/>
      <c r="G169" s="610"/>
    </row>
    <row r="170" spans="2:7" ht="26.25" hidden="1" customHeight="1" thickBot="1" x14ac:dyDescent="0.3">
      <c r="B170" s="343" t="s">
        <v>838</v>
      </c>
      <c r="C170" s="344" t="s">
        <v>847</v>
      </c>
      <c r="D170" s="608" t="s">
        <v>843</v>
      </c>
      <c r="E170" s="609"/>
      <c r="F170" s="609"/>
      <c r="G170" s="610"/>
    </row>
    <row r="171" spans="2:7" ht="26.25" hidden="1" customHeight="1" thickBot="1" x14ac:dyDescent="0.3">
      <c r="B171" s="343" t="s">
        <v>838</v>
      </c>
      <c r="C171" s="344" t="s">
        <v>848</v>
      </c>
      <c r="D171" s="608" t="s">
        <v>849</v>
      </c>
      <c r="E171" s="609"/>
      <c r="F171" s="609"/>
      <c r="G171" s="610"/>
    </row>
    <row r="172" spans="2:7" ht="26.25" hidden="1" customHeight="1" thickBot="1" x14ac:dyDescent="0.3">
      <c r="B172" s="343" t="s">
        <v>838</v>
      </c>
      <c r="C172" s="344"/>
      <c r="D172" s="625" t="s">
        <v>850</v>
      </c>
      <c r="E172" s="626"/>
      <c r="F172" s="626"/>
      <c r="G172" s="627"/>
    </row>
    <row r="173" spans="2:7" ht="26.25" hidden="1" customHeight="1" thickBot="1" x14ac:dyDescent="0.3">
      <c r="B173" s="343" t="s">
        <v>838</v>
      </c>
      <c r="C173" s="344" t="s">
        <v>851</v>
      </c>
      <c r="D173" s="608" t="s">
        <v>852</v>
      </c>
      <c r="E173" s="609"/>
      <c r="F173" s="609"/>
      <c r="G173" s="610"/>
    </row>
    <row r="174" spans="2:7" ht="26.25" hidden="1" customHeight="1" thickBot="1" x14ac:dyDescent="0.3">
      <c r="B174" s="343" t="s">
        <v>838</v>
      </c>
      <c r="C174" s="344" t="s">
        <v>853</v>
      </c>
      <c r="D174" s="608" t="s">
        <v>854</v>
      </c>
      <c r="E174" s="609"/>
      <c r="F174" s="609"/>
      <c r="G174" s="610"/>
    </row>
    <row r="175" spans="2:7" ht="26.25" hidden="1" customHeight="1" thickBot="1" x14ac:dyDescent="0.3">
      <c r="B175" s="343" t="s">
        <v>838</v>
      </c>
      <c r="C175" s="344" t="s">
        <v>855</v>
      </c>
      <c r="D175" s="608" t="s">
        <v>856</v>
      </c>
      <c r="E175" s="609"/>
      <c r="F175" s="609"/>
      <c r="G175" s="610"/>
    </row>
    <row r="176" spans="2:7" ht="13.8" hidden="1" thickBot="1" x14ac:dyDescent="0.3">
      <c r="B176" s="345" t="s">
        <v>857</v>
      </c>
      <c r="C176" s="622" t="s">
        <v>828</v>
      </c>
      <c r="D176" s="623"/>
      <c r="E176" s="623"/>
      <c r="F176" s="623"/>
      <c r="G176" s="624"/>
    </row>
    <row r="177" spans="2:7" ht="13.8" hidden="1" thickBot="1" x14ac:dyDescent="0.3">
      <c r="B177" s="346"/>
      <c r="C177" s="262"/>
      <c r="D177" s="264"/>
      <c r="E177" s="264"/>
      <c r="F177" s="264"/>
      <c r="G177" s="328"/>
    </row>
    <row r="178" spans="2:7" ht="36.75" hidden="1" customHeight="1" x14ac:dyDescent="0.25">
      <c r="B178" s="611" t="s">
        <v>858</v>
      </c>
      <c r="C178" s="612"/>
      <c r="D178" s="612"/>
      <c r="E178" s="612"/>
      <c r="F178" s="612"/>
      <c r="G178" s="613"/>
    </row>
    <row r="179" spans="2:7" ht="13.8" hidden="1" thickBot="1" x14ac:dyDescent="0.3">
      <c r="B179" s="346"/>
      <c r="C179" s="262"/>
      <c r="D179" s="264"/>
      <c r="E179" s="264"/>
      <c r="F179" s="264"/>
      <c r="G179" s="328"/>
    </row>
    <row r="180" spans="2:7" ht="27" hidden="1" customHeight="1" thickTop="1" thickBot="1" x14ac:dyDescent="0.3">
      <c r="B180" s="597" t="s">
        <v>859</v>
      </c>
      <c r="C180" s="598"/>
      <c r="D180" s="598"/>
      <c r="E180" s="598"/>
      <c r="F180" s="598"/>
      <c r="G180" s="599"/>
    </row>
    <row r="181" spans="2:7" ht="13.8" hidden="1" thickBot="1" x14ac:dyDescent="0.3">
      <c r="B181" s="347"/>
      <c r="C181" s="348"/>
      <c r="D181" s="348"/>
      <c r="E181" s="348"/>
      <c r="F181" s="348"/>
      <c r="G181" s="349"/>
    </row>
    <row r="182" spans="2:7" ht="27.6" hidden="1" thickTop="1" thickBot="1" x14ac:dyDescent="0.3">
      <c r="B182" s="350" t="s">
        <v>860</v>
      </c>
      <c r="C182" s="636" t="s">
        <v>861</v>
      </c>
      <c r="D182" s="636"/>
      <c r="E182" s="636" t="s">
        <v>862</v>
      </c>
      <c r="F182" s="636"/>
      <c r="G182" s="637"/>
    </row>
    <row r="183" spans="2:7" ht="53.25" hidden="1" customHeight="1" thickBot="1" x14ac:dyDescent="0.3">
      <c r="B183" s="351" t="s">
        <v>863</v>
      </c>
      <c r="C183" s="628" t="s">
        <v>864</v>
      </c>
      <c r="D183" s="629"/>
      <c r="E183" s="628" t="s">
        <v>865</v>
      </c>
      <c r="F183" s="606"/>
      <c r="G183" s="607"/>
    </row>
    <row r="184" spans="2:7" ht="53.25" hidden="1" customHeight="1" thickBot="1" x14ac:dyDescent="0.3">
      <c r="B184" s="351" t="s">
        <v>866</v>
      </c>
      <c r="C184" s="628" t="s">
        <v>867</v>
      </c>
      <c r="D184" s="629"/>
      <c r="E184" s="628" t="s">
        <v>868</v>
      </c>
      <c r="F184" s="606"/>
      <c r="G184" s="607"/>
    </row>
    <row r="185" spans="2:7" ht="26.25" hidden="1" customHeight="1" thickBot="1" x14ac:dyDescent="0.3">
      <c r="B185" s="351" t="s">
        <v>753</v>
      </c>
      <c r="C185" s="628"/>
      <c r="D185" s="629"/>
      <c r="E185" s="628" t="s">
        <v>869</v>
      </c>
      <c r="F185" s="606"/>
      <c r="G185" s="607"/>
    </row>
    <row r="186" spans="2:7" ht="12.75" hidden="1" customHeight="1" x14ac:dyDescent="0.25">
      <c r="B186" s="630" t="s">
        <v>870</v>
      </c>
      <c r="C186" s="631"/>
      <c r="D186" s="631"/>
      <c r="E186" s="631"/>
      <c r="F186" s="631"/>
      <c r="G186" s="632"/>
    </row>
    <row r="187" spans="2:7" ht="13.8" hidden="1" thickBot="1" x14ac:dyDescent="0.3">
      <c r="B187" s="633"/>
      <c r="C187" s="634"/>
      <c r="D187" s="634"/>
      <c r="E187" s="634"/>
      <c r="F187" s="634"/>
      <c r="G187" s="635"/>
    </row>
    <row r="188" spans="2:7" ht="13.8" hidden="1" thickBot="1" x14ac:dyDescent="0.3">
      <c r="B188" s="346"/>
      <c r="C188" s="352"/>
      <c r="D188" s="352"/>
      <c r="E188" s="352"/>
      <c r="F188" s="352"/>
      <c r="G188" s="353"/>
    </row>
    <row r="189" spans="2:7" ht="13.8" hidden="1" thickBot="1" x14ac:dyDescent="0.3">
      <c r="B189" s="596"/>
      <c r="C189" s="583"/>
      <c r="D189" s="583"/>
      <c r="E189" s="583"/>
      <c r="F189" s="583"/>
      <c r="G189" s="584"/>
    </row>
    <row r="190" spans="2:7" ht="13.8" hidden="1" thickBot="1" x14ac:dyDescent="0.3">
      <c r="B190" s="596"/>
      <c r="C190" s="583"/>
      <c r="D190" s="583"/>
      <c r="E190" s="583"/>
      <c r="F190" s="583"/>
      <c r="G190" s="584"/>
    </row>
    <row r="191" spans="2:7" ht="13.8" hidden="1" thickBot="1" x14ac:dyDescent="0.3">
      <c r="B191" s="346"/>
      <c r="C191" s="352"/>
      <c r="D191" s="352"/>
      <c r="E191" s="352"/>
      <c r="F191" s="352"/>
      <c r="G191" s="353"/>
    </row>
    <row r="192" spans="2:7" ht="13.8" hidden="1" thickBot="1" x14ac:dyDescent="0.3">
      <c r="B192" s="541" t="str">
        <f>B57</f>
        <v>SUBLIMITES:</v>
      </c>
      <c r="C192" s="542"/>
      <c r="D192" s="352"/>
      <c r="E192" s="352"/>
      <c r="F192" s="352"/>
      <c r="G192" s="353"/>
    </row>
    <row r="193" spans="2:7" ht="13.8" hidden="1" thickBot="1" x14ac:dyDescent="0.3">
      <c r="B193" s="346"/>
      <c r="C193" s="354" t="s">
        <v>871</v>
      </c>
      <c r="D193" s="352"/>
      <c r="E193" s="352"/>
      <c r="F193" s="352"/>
      <c r="G193" s="353"/>
    </row>
    <row r="194" spans="2:7" ht="13.8" hidden="1" thickBot="1" x14ac:dyDescent="0.3">
      <c r="B194" s="346" t="str">
        <f>B58</f>
        <v>Gastos Extraordinarios</v>
      </c>
      <c r="C194" s="355">
        <f>D58</f>
        <v>86937199.982531995</v>
      </c>
      <c r="D194" s="600"/>
      <c r="E194" s="600"/>
      <c r="F194" s="600"/>
      <c r="G194" s="601"/>
    </row>
    <row r="195" spans="2:7" ht="13.8" hidden="1" thickBot="1" x14ac:dyDescent="0.3">
      <c r="B195" s="346" t="s">
        <v>872</v>
      </c>
      <c r="C195" s="355">
        <f>D61+D63</f>
        <v>173874399.96506399</v>
      </c>
      <c r="D195" s="600"/>
      <c r="E195" s="600"/>
      <c r="F195" s="600"/>
      <c r="G195" s="601"/>
    </row>
    <row r="196" spans="2:7" ht="24.75" hidden="1" customHeight="1" x14ac:dyDescent="0.25">
      <c r="B196" s="346" t="str">
        <f>B65</f>
        <v>Bienes a intemperie (incluye jardines, áreas verdes)</v>
      </c>
      <c r="C196" s="355">
        <f>D65</f>
        <v>3000000</v>
      </c>
      <c r="D196" s="641" t="s">
        <v>873</v>
      </c>
      <c r="E196" s="641"/>
      <c r="F196" s="641"/>
      <c r="G196" s="642"/>
    </row>
    <row r="197" spans="2:7" ht="13.8" hidden="1" thickBot="1" x14ac:dyDescent="0.3">
      <c r="B197" s="346" t="str">
        <f>B66</f>
        <v>Cámaras Refrigeradoras</v>
      </c>
      <c r="C197" s="355">
        <f>D66</f>
        <v>150000</v>
      </c>
      <c r="D197" s="600"/>
      <c r="E197" s="600"/>
      <c r="F197" s="600"/>
      <c r="G197" s="601"/>
    </row>
    <row r="198" spans="2:7" ht="13.8" hidden="1" thickBot="1" x14ac:dyDescent="0.3">
      <c r="B198" s="346" t="str">
        <f>B67</f>
        <v>Incisos Conocidos</v>
      </c>
      <c r="C198" s="355">
        <f>D67</f>
        <v>5000000</v>
      </c>
      <c r="D198" s="600" t="s">
        <v>874</v>
      </c>
      <c r="E198" s="600"/>
      <c r="F198" s="600"/>
      <c r="G198" s="601"/>
    </row>
    <row r="199" spans="2:7" ht="13.8" hidden="1" thickBot="1" x14ac:dyDescent="0.3">
      <c r="B199" s="346" t="str">
        <f>B68</f>
        <v>Incisos Nuevos o no Conocidos</v>
      </c>
      <c r="C199" s="355">
        <f>D68</f>
        <v>5000000</v>
      </c>
      <c r="D199" s="600" t="s">
        <v>874</v>
      </c>
      <c r="E199" s="600"/>
      <c r="F199" s="600"/>
      <c r="G199" s="601"/>
    </row>
    <row r="200" spans="2:7" ht="13.8" hidden="1" thickBot="1" x14ac:dyDescent="0.3">
      <c r="B200" s="346" t="str">
        <f>B69</f>
        <v>Flotante</v>
      </c>
      <c r="C200" s="355">
        <f>D69</f>
        <v>0</v>
      </c>
      <c r="D200" s="600"/>
      <c r="E200" s="600"/>
      <c r="F200" s="600"/>
      <c r="G200" s="601"/>
    </row>
    <row r="201" spans="2:7" ht="13.8" hidden="1" thickBot="1" x14ac:dyDescent="0.3">
      <c r="B201" s="346"/>
      <c r="C201" s="355"/>
      <c r="D201" s="352"/>
      <c r="E201" s="352"/>
      <c r="F201" s="352"/>
      <c r="G201" s="353"/>
    </row>
    <row r="202" spans="2:7" ht="13.8" hidden="1" thickBot="1" x14ac:dyDescent="0.3">
      <c r="B202" s="347" t="s">
        <v>875</v>
      </c>
      <c r="C202" s="262"/>
      <c r="D202" s="264"/>
      <c r="E202" s="264"/>
      <c r="F202" s="264"/>
      <c r="G202" s="328"/>
    </row>
    <row r="203" spans="2:7" ht="13.8" hidden="1" thickBot="1" x14ac:dyDescent="0.3">
      <c r="B203" s="347"/>
      <c r="C203" s="262"/>
      <c r="D203" s="264"/>
      <c r="E203" s="264"/>
      <c r="F203" s="264"/>
      <c r="G203" s="328"/>
    </row>
    <row r="204" spans="2:7" ht="12.75" hidden="1" customHeight="1" x14ac:dyDescent="0.25">
      <c r="B204" s="638" t="s">
        <v>876</v>
      </c>
      <c r="C204" s="639"/>
      <c r="D204" s="639"/>
      <c r="E204" s="639"/>
      <c r="F204" s="639"/>
      <c r="G204" s="640"/>
    </row>
    <row r="205" spans="2:7" ht="13.8" hidden="1" thickBot="1" x14ac:dyDescent="0.3">
      <c r="B205" s="638" t="s">
        <v>877</v>
      </c>
      <c r="C205" s="639"/>
      <c r="D205" s="639"/>
      <c r="E205" s="639"/>
      <c r="F205" s="639"/>
      <c r="G205" s="640"/>
    </row>
    <row r="206" spans="2:7" ht="12.75" hidden="1" customHeight="1" x14ac:dyDescent="0.25">
      <c r="B206" s="638" t="s">
        <v>878</v>
      </c>
      <c r="C206" s="639"/>
      <c r="D206" s="639"/>
      <c r="E206" s="639"/>
      <c r="F206" s="639"/>
      <c r="G206" s="640"/>
    </row>
    <row r="207" spans="2:7" ht="12.75" hidden="1" customHeight="1" x14ac:dyDescent="0.25">
      <c r="B207" s="638" t="s">
        <v>879</v>
      </c>
      <c r="C207" s="639"/>
      <c r="D207" s="639"/>
      <c r="E207" s="639"/>
      <c r="F207" s="639"/>
      <c r="G207" s="640"/>
    </row>
    <row r="208" spans="2:7" ht="12.75" hidden="1" customHeight="1" x14ac:dyDescent="0.25">
      <c r="B208" s="638" t="s">
        <v>880</v>
      </c>
      <c r="C208" s="639"/>
      <c r="D208" s="639"/>
      <c r="E208" s="639"/>
      <c r="F208" s="639"/>
      <c r="G208" s="640"/>
    </row>
    <row r="209" spans="2:7" ht="12.75" hidden="1" customHeight="1" x14ac:dyDescent="0.25">
      <c r="B209" s="638" t="s">
        <v>881</v>
      </c>
      <c r="C209" s="639"/>
      <c r="D209" s="639"/>
      <c r="E209" s="639"/>
      <c r="F209" s="639"/>
      <c r="G209" s="640"/>
    </row>
    <row r="210" spans="2:7" ht="13.8" hidden="1" thickBot="1" x14ac:dyDescent="0.3">
      <c r="B210" s="638" t="s">
        <v>882</v>
      </c>
      <c r="C210" s="639"/>
      <c r="D210" s="639"/>
      <c r="E210" s="639"/>
      <c r="F210" s="639"/>
      <c r="G210" s="640"/>
    </row>
    <row r="211" spans="2:7" ht="12.75" hidden="1" customHeight="1" x14ac:dyDescent="0.25">
      <c r="B211" s="638" t="s">
        <v>883</v>
      </c>
      <c r="C211" s="639"/>
      <c r="D211" s="639"/>
      <c r="E211" s="639"/>
      <c r="F211" s="639"/>
      <c r="G211" s="640"/>
    </row>
    <row r="212" spans="2:7" ht="13.8" hidden="1" thickBot="1" x14ac:dyDescent="0.3">
      <c r="B212" s="638" t="s">
        <v>884</v>
      </c>
      <c r="C212" s="639"/>
      <c r="D212" s="639"/>
      <c r="E212" s="639"/>
      <c r="F212" s="639"/>
      <c r="G212" s="640"/>
    </row>
    <row r="213" spans="2:7" ht="12.75" hidden="1" customHeight="1" x14ac:dyDescent="0.25">
      <c r="B213" s="638" t="s">
        <v>885</v>
      </c>
      <c r="C213" s="639"/>
      <c r="D213" s="639"/>
      <c r="E213" s="639"/>
      <c r="F213" s="639"/>
      <c r="G213" s="640"/>
    </row>
    <row r="214" spans="2:7" ht="12.75" hidden="1" customHeight="1" x14ac:dyDescent="0.25">
      <c r="B214" s="638" t="s">
        <v>886</v>
      </c>
      <c r="C214" s="639"/>
      <c r="D214" s="639"/>
      <c r="E214" s="639"/>
      <c r="F214" s="639"/>
      <c r="G214" s="640"/>
    </row>
    <row r="215" spans="2:7" ht="12.75" hidden="1" customHeight="1" x14ac:dyDescent="0.25">
      <c r="B215" s="638" t="s">
        <v>887</v>
      </c>
      <c r="C215" s="639"/>
      <c r="D215" s="639"/>
      <c r="E215" s="639"/>
      <c r="F215" s="639"/>
      <c r="G215" s="640"/>
    </row>
    <row r="216" spans="2:7" ht="12.75" hidden="1" customHeight="1" x14ac:dyDescent="0.25">
      <c r="B216" s="638" t="s">
        <v>888</v>
      </c>
      <c r="C216" s="639"/>
      <c r="D216" s="639"/>
      <c r="E216" s="639"/>
      <c r="F216" s="639"/>
      <c r="G216" s="640"/>
    </row>
    <row r="217" spans="2:7" ht="13.8" hidden="1" thickBot="1" x14ac:dyDescent="0.3">
      <c r="B217" s="638" t="s">
        <v>889</v>
      </c>
      <c r="C217" s="639"/>
      <c r="D217" s="639"/>
      <c r="E217" s="639"/>
      <c r="F217" s="639"/>
      <c r="G217" s="640"/>
    </row>
    <row r="218" spans="2:7" ht="13.8" hidden="1" thickBot="1" x14ac:dyDescent="0.3">
      <c r="B218" s="638" t="s">
        <v>890</v>
      </c>
      <c r="C218" s="639"/>
      <c r="D218" s="639"/>
      <c r="E218" s="639"/>
      <c r="F218" s="639"/>
      <c r="G218" s="640"/>
    </row>
    <row r="219" spans="2:7" ht="12.75" hidden="1" customHeight="1" x14ac:dyDescent="0.25">
      <c r="B219" s="643" t="s">
        <v>891</v>
      </c>
      <c r="C219" s="644"/>
      <c r="D219" s="644"/>
      <c r="E219" s="644"/>
      <c r="F219" s="644"/>
      <c r="G219" s="645"/>
    </row>
    <row r="220" spans="2:7" ht="13.8" hidden="1" thickBot="1" x14ac:dyDescent="0.3">
      <c r="B220" s="643"/>
      <c r="C220" s="644"/>
      <c r="D220" s="644"/>
      <c r="E220" s="644"/>
      <c r="F220" s="644"/>
      <c r="G220" s="645"/>
    </row>
    <row r="221" spans="2:7" ht="13.8" hidden="1" thickBot="1" x14ac:dyDescent="0.3">
      <c r="B221" s="638" t="s">
        <v>892</v>
      </c>
      <c r="C221" s="646"/>
      <c r="D221" s="646"/>
      <c r="E221" s="646"/>
      <c r="F221" s="646"/>
      <c r="G221" s="647"/>
    </row>
    <row r="222" spans="2:7" ht="13.8" hidden="1" thickBot="1" x14ac:dyDescent="0.3">
      <c r="B222" s="638" t="s">
        <v>893</v>
      </c>
      <c r="C222" s="639"/>
      <c r="D222" s="639"/>
      <c r="E222" s="639"/>
      <c r="F222" s="639"/>
      <c r="G222" s="640"/>
    </row>
    <row r="223" spans="2:7" ht="12.75" hidden="1" customHeight="1" x14ac:dyDescent="0.25">
      <c r="B223" s="638" t="s">
        <v>894</v>
      </c>
      <c r="C223" s="639"/>
      <c r="D223" s="639"/>
      <c r="E223" s="639"/>
      <c r="F223" s="639"/>
      <c r="G223" s="640"/>
    </row>
    <row r="224" spans="2:7" ht="12.75" hidden="1" customHeight="1" x14ac:dyDescent="0.25">
      <c r="B224" s="638" t="s">
        <v>895</v>
      </c>
      <c r="C224" s="639"/>
      <c r="D224" s="639"/>
      <c r="E224" s="639"/>
      <c r="F224" s="639"/>
      <c r="G224" s="640"/>
    </row>
    <row r="225" spans="2:7" ht="13.8" hidden="1" thickBot="1" x14ac:dyDescent="0.3">
      <c r="B225" s="638" t="s">
        <v>885</v>
      </c>
      <c r="C225" s="639"/>
      <c r="D225" s="639"/>
      <c r="E225" s="639"/>
      <c r="F225" s="639"/>
      <c r="G225" s="640"/>
    </row>
    <row r="226" spans="2:7" ht="12.75" hidden="1" customHeight="1" x14ac:dyDescent="0.25">
      <c r="B226" s="638"/>
      <c r="C226" s="639"/>
      <c r="D226" s="639"/>
      <c r="E226" s="639"/>
      <c r="F226" s="639"/>
      <c r="G226" s="640"/>
    </row>
    <row r="227" spans="2:7" ht="17.399999999999999" hidden="1" thickBot="1" x14ac:dyDescent="0.35">
      <c r="B227" s="578"/>
      <c r="C227" s="579"/>
      <c r="D227" s="579"/>
      <c r="E227" s="579"/>
      <c r="F227" s="579"/>
      <c r="G227" s="580"/>
    </row>
    <row r="228" spans="2:7" ht="27" hidden="1" customHeight="1" thickTop="1" thickBot="1" x14ac:dyDescent="0.3">
      <c r="B228" s="597" t="s">
        <v>896</v>
      </c>
      <c r="C228" s="598"/>
      <c r="D228" s="598"/>
      <c r="E228" s="598"/>
      <c r="F228" s="598"/>
      <c r="G228" s="599"/>
    </row>
    <row r="229" spans="2:7" ht="13.8" hidden="1" thickBot="1" x14ac:dyDescent="0.3">
      <c r="B229" s="347"/>
      <c r="C229" s="348"/>
      <c r="D229" s="348"/>
      <c r="E229" s="348"/>
      <c r="F229" s="348"/>
      <c r="G229" s="349"/>
    </row>
    <row r="230" spans="2:7" ht="50.25" hidden="1" customHeight="1" x14ac:dyDescent="0.25">
      <c r="B230" s="346" t="s">
        <v>897</v>
      </c>
      <c r="C230" s="641" t="s">
        <v>898</v>
      </c>
      <c r="D230" s="641"/>
      <c r="E230" s="641"/>
      <c r="F230" s="641"/>
      <c r="G230" s="642"/>
    </row>
    <row r="231" spans="2:7" ht="13.8" hidden="1" thickBot="1" x14ac:dyDescent="0.3">
      <c r="B231" s="346"/>
      <c r="C231" s="352"/>
      <c r="D231" s="352"/>
      <c r="E231" s="352"/>
      <c r="F231" s="352"/>
      <c r="G231" s="353"/>
    </row>
    <row r="232" spans="2:7" ht="66.75" hidden="1" customHeight="1" x14ac:dyDescent="0.25">
      <c r="B232" s="356" t="s">
        <v>899</v>
      </c>
      <c r="C232" s="641" t="s">
        <v>900</v>
      </c>
      <c r="D232" s="641"/>
      <c r="E232" s="641"/>
      <c r="F232" s="641"/>
      <c r="G232" s="642"/>
    </row>
    <row r="233" spans="2:7" ht="13.8" hidden="1" thickBot="1" x14ac:dyDescent="0.3">
      <c r="B233" s="356"/>
      <c r="C233" s="357"/>
      <c r="D233" s="357"/>
      <c r="E233" s="357"/>
      <c r="F233" s="357"/>
      <c r="G233" s="358"/>
    </row>
    <row r="234" spans="2:7" ht="13.8" hidden="1" thickBot="1" x14ac:dyDescent="0.3">
      <c r="B234" s="356" t="s">
        <v>901</v>
      </c>
      <c r="C234" s="359">
        <f>D73</f>
        <v>250000</v>
      </c>
      <c r="D234" s="648"/>
      <c r="E234" s="648"/>
      <c r="F234" s="648"/>
      <c r="G234" s="649"/>
    </row>
    <row r="235" spans="2:7" ht="13.8" hidden="1" thickBot="1" x14ac:dyDescent="0.3">
      <c r="B235" s="346"/>
      <c r="C235" s="262"/>
      <c r="D235" s="264"/>
      <c r="E235" s="264"/>
      <c r="F235" s="264"/>
      <c r="G235" s="328"/>
    </row>
    <row r="236" spans="2:7" ht="13.8" hidden="1" thickBot="1" x14ac:dyDescent="0.3">
      <c r="B236" s="347" t="s">
        <v>902</v>
      </c>
      <c r="C236" s="650"/>
      <c r="D236" s="650"/>
      <c r="E236" s="650"/>
      <c r="F236" s="650"/>
      <c r="G236" s="360"/>
    </row>
    <row r="237" spans="2:7" ht="13.8" hidden="1" thickBot="1" x14ac:dyDescent="0.3">
      <c r="B237" s="346"/>
      <c r="C237" s="650" t="s">
        <v>903</v>
      </c>
      <c r="D237" s="650"/>
      <c r="E237" s="650"/>
      <c r="F237" s="650"/>
      <c r="G237" s="360"/>
    </row>
    <row r="238" spans="2:7" ht="13.8" hidden="1" thickBot="1" x14ac:dyDescent="0.3">
      <c r="B238" s="346"/>
      <c r="C238" s="262"/>
      <c r="D238" s="264"/>
      <c r="E238" s="264"/>
      <c r="F238" s="264"/>
      <c r="G238" s="328"/>
    </row>
    <row r="239" spans="2:7" ht="13.8" hidden="1" thickBot="1" x14ac:dyDescent="0.3">
      <c r="B239" s="356" t="s">
        <v>904</v>
      </c>
      <c r="C239" s="581" t="s">
        <v>905</v>
      </c>
      <c r="D239" s="581"/>
      <c r="E239" s="581"/>
      <c r="F239" s="581"/>
      <c r="G239" s="582"/>
    </row>
    <row r="240" spans="2:7" ht="13.8" hidden="1" thickBot="1" x14ac:dyDescent="0.3">
      <c r="B240" s="356"/>
      <c r="C240" s="352"/>
      <c r="D240" s="352"/>
      <c r="E240" s="352"/>
      <c r="F240" s="352"/>
      <c r="G240" s="353"/>
    </row>
    <row r="241" spans="2:7" ht="13.8" hidden="1" thickBot="1" x14ac:dyDescent="0.3">
      <c r="B241" s="346"/>
      <c r="C241" s="361"/>
      <c r="D241" s="361"/>
      <c r="E241" s="361"/>
      <c r="F241" s="361"/>
      <c r="G241" s="360"/>
    </row>
    <row r="242" spans="2:7" ht="121.5" hidden="1" customHeight="1" x14ac:dyDescent="0.25">
      <c r="B242" s="347" t="s">
        <v>906</v>
      </c>
      <c r="C242" s="612" t="s">
        <v>907</v>
      </c>
      <c r="D242" s="612"/>
      <c r="E242" s="612"/>
      <c r="F242" s="612"/>
      <c r="G242" s="362"/>
    </row>
    <row r="243" spans="2:7" ht="13.8" hidden="1" thickBot="1" x14ac:dyDescent="0.3">
      <c r="B243" s="346"/>
      <c r="C243" s="363"/>
      <c r="D243" s="363"/>
      <c r="E243" s="363"/>
      <c r="F243" s="364"/>
      <c r="G243" s="365"/>
    </row>
    <row r="244" spans="2:7" ht="13.8" hidden="1" thickBot="1" x14ac:dyDescent="0.3">
      <c r="B244" s="346"/>
      <c r="C244" s="262"/>
      <c r="D244" s="366"/>
      <c r="E244" s="264"/>
      <c r="F244" s="264"/>
      <c r="G244" s="328"/>
    </row>
    <row r="245" spans="2:7" ht="27" hidden="1" customHeight="1" thickTop="1" thickBot="1" x14ac:dyDescent="0.3">
      <c r="B245" s="597" t="s">
        <v>908</v>
      </c>
      <c r="C245" s="598"/>
      <c r="D245" s="598"/>
      <c r="E245" s="598"/>
      <c r="F245" s="598"/>
      <c r="G245" s="599"/>
    </row>
    <row r="246" spans="2:7" ht="13.8" hidden="1" thickBot="1" x14ac:dyDescent="0.3">
      <c r="B246" s="347"/>
      <c r="C246" s="367"/>
      <c r="D246" s="264"/>
      <c r="E246" s="264"/>
      <c r="F246" s="264"/>
      <c r="G246" s="328"/>
    </row>
    <row r="247" spans="2:7" ht="27" hidden="1" customHeight="1" x14ac:dyDescent="0.25">
      <c r="B247" s="346" t="s">
        <v>897</v>
      </c>
      <c r="C247" s="641" t="s">
        <v>909</v>
      </c>
      <c r="D247" s="641"/>
      <c r="E247" s="641"/>
      <c r="F247" s="641"/>
      <c r="G247" s="642"/>
    </row>
    <row r="248" spans="2:7" ht="13.8" hidden="1" thickBot="1" x14ac:dyDescent="0.3">
      <c r="B248" s="346"/>
      <c r="C248" s="357"/>
      <c r="D248" s="357"/>
      <c r="E248" s="357"/>
      <c r="F248" s="357"/>
      <c r="G248" s="358"/>
    </row>
    <row r="249" spans="2:7" ht="13.8" hidden="1" thickBot="1" x14ac:dyDescent="0.3">
      <c r="B249" s="651" t="s">
        <v>899</v>
      </c>
      <c r="C249" s="600" t="s">
        <v>910</v>
      </c>
      <c r="D249" s="600"/>
      <c r="E249" s="600"/>
      <c r="F249" s="600"/>
      <c r="G249" s="601"/>
    </row>
    <row r="250" spans="2:7" ht="13.8" hidden="1" thickBot="1" x14ac:dyDescent="0.3">
      <c r="B250" s="651"/>
      <c r="C250" s="600" t="s">
        <v>911</v>
      </c>
      <c r="D250" s="600"/>
      <c r="E250" s="600"/>
      <c r="F250" s="600"/>
      <c r="G250" s="601"/>
    </row>
    <row r="251" spans="2:7" ht="13.8" hidden="1" thickBot="1" x14ac:dyDescent="0.3">
      <c r="B251" s="651"/>
      <c r="C251" s="600" t="s">
        <v>912</v>
      </c>
      <c r="D251" s="600"/>
      <c r="E251" s="600"/>
      <c r="F251" s="600"/>
      <c r="G251" s="601"/>
    </row>
    <row r="252" spans="2:7" ht="13.8" hidden="1" thickBot="1" x14ac:dyDescent="0.3">
      <c r="B252" s="651"/>
      <c r="C252" s="600" t="s">
        <v>913</v>
      </c>
      <c r="D252" s="600"/>
      <c r="E252" s="600"/>
      <c r="F252" s="600"/>
      <c r="G252" s="601"/>
    </row>
    <row r="253" spans="2:7" ht="13.8" hidden="1" thickBot="1" x14ac:dyDescent="0.3">
      <c r="B253" s="651"/>
      <c r="C253" s="600" t="s">
        <v>914</v>
      </c>
      <c r="D253" s="600"/>
      <c r="E253" s="600"/>
      <c r="F253" s="600"/>
      <c r="G253" s="601"/>
    </row>
    <row r="254" spans="2:7" ht="13.8" hidden="1" thickBot="1" x14ac:dyDescent="0.3">
      <c r="B254" s="346"/>
      <c r="C254" s="352"/>
      <c r="D254" s="352"/>
      <c r="E254" s="352"/>
      <c r="F254" s="352"/>
      <c r="G254" s="353"/>
    </row>
    <row r="255" spans="2:7" ht="13.8" hidden="1" thickBot="1" x14ac:dyDescent="0.3">
      <c r="B255" s="356" t="s">
        <v>901</v>
      </c>
      <c r="C255" s="359">
        <f>D75</f>
        <v>0</v>
      </c>
      <c r="D255" s="648"/>
      <c r="E255" s="648"/>
      <c r="F255" s="648"/>
      <c r="G255" s="649"/>
    </row>
    <row r="256" spans="2:7" ht="13.8" hidden="1" thickBot="1" x14ac:dyDescent="0.3">
      <c r="B256" s="346"/>
      <c r="C256" s="262"/>
      <c r="D256" s="264"/>
      <c r="E256" s="264"/>
      <c r="F256" s="264"/>
      <c r="G256" s="328"/>
    </row>
    <row r="257" spans="2:7" ht="13.8" hidden="1" thickBot="1" x14ac:dyDescent="0.3">
      <c r="B257" s="347" t="s">
        <v>902</v>
      </c>
      <c r="C257" s="650"/>
      <c r="D257" s="650"/>
      <c r="E257" s="650"/>
      <c r="F257" s="650"/>
      <c r="G257" s="360"/>
    </row>
    <row r="258" spans="2:7" ht="13.8" hidden="1" thickBot="1" x14ac:dyDescent="0.3">
      <c r="B258" s="346" t="s">
        <v>915</v>
      </c>
      <c r="C258" s="650" t="s">
        <v>916</v>
      </c>
      <c r="D258" s="650"/>
      <c r="E258" s="650"/>
      <c r="F258" s="650"/>
      <c r="G258" s="360"/>
    </row>
    <row r="259" spans="2:7" ht="13.8" hidden="1" thickBot="1" x14ac:dyDescent="0.3">
      <c r="B259" s="346"/>
      <c r="C259" s="262"/>
      <c r="D259" s="264"/>
      <c r="E259" s="264"/>
      <c r="F259" s="264"/>
      <c r="G259" s="328"/>
    </row>
    <row r="260" spans="2:7" ht="13.8" hidden="1" thickBot="1" x14ac:dyDescent="0.3">
      <c r="B260" s="356" t="s">
        <v>904</v>
      </c>
      <c r="C260" s="581" t="s">
        <v>905</v>
      </c>
      <c r="D260" s="581"/>
      <c r="E260" s="581"/>
      <c r="F260" s="581"/>
      <c r="G260" s="582"/>
    </row>
    <row r="261" spans="2:7" ht="13.8" hidden="1" thickBot="1" x14ac:dyDescent="0.3">
      <c r="B261" s="346"/>
      <c r="C261" s="262"/>
      <c r="D261" s="264"/>
      <c r="E261" s="264"/>
      <c r="F261" s="264"/>
      <c r="G261" s="328"/>
    </row>
    <row r="262" spans="2:7" ht="13.8" hidden="1" thickBot="1" x14ac:dyDescent="0.3">
      <c r="B262" s="346"/>
      <c r="C262" s="361"/>
      <c r="D262" s="361"/>
      <c r="E262" s="361"/>
      <c r="F262" s="361"/>
      <c r="G262" s="360"/>
    </row>
    <row r="263" spans="2:7" ht="121.5" hidden="1" customHeight="1" x14ac:dyDescent="0.25">
      <c r="B263" s="347" t="s">
        <v>906</v>
      </c>
      <c r="C263" s="612" t="s">
        <v>907</v>
      </c>
      <c r="D263" s="612"/>
      <c r="E263" s="612"/>
      <c r="F263" s="612"/>
      <c r="G263" s="362"/>
    </row>
    <row r="264" spans="2:7" ht="48.75" hidden="1" customHeight="1" x14ac:dyDescent="0.25">
      <c r="B264" s="346"/>
      <c r="C264" s="612" t="s">
        <v>917</v>
      </c>
      <c r="D264" s="612"/>
      <c r="E264" s="612"/>
      <c r="F264" s="612"/>
      <c r="G264" s="362"/>
    </row>
    <row r="265" spans="2:7" ht="13.8" hidden="1" thickBot="1" x14ac:dyDescent="0.3">
      <c r="B265" s="346"/>
      <c r="C265" s="363"/>
      <c r="D265" s="363"/>
      <c r="E265" s="363"/>
      <c r="F265" s="364"/>
      <c r="G265" s="365"/>
    </row>
    <row r="266" spans="2:7" ht="13.8" hidden="1" thickBot="1" x14ac:dyDescent="0.3">
      <c r="B266" s="346"/>
      <c r="C266" s="262"/>
      <c r="D266" s="264"/>
      <c r="E266" s="264"/>
      <c r="F266" s="264"/>
      <c r="G266" s="328"/>
    </row>
    <row r="267" spans="2:7" ht="13.8" hidden="1" thickBot="1" x14ac:dyDescent="0.3">
      <c r="B267" s="368"/>
      <c r="G267" s="369"/>
    </row>
    <row r="268" spans="2:7" ht="27" hidden="1" customHeight="1" thickTop="1" thickBot="1" x14ac:dyDescent="0.3">
      <c r="B268" s="597" t="s">
        <v>918</v>
      </c>
      <c r="C268" s="598"/>
      <c r="D268" s="598"/>
      <c r="E268" s="598"/>
      <c r="F268" s="598"/>
      <c r="G268" s="599"/>
    </row>
    <row r="269" spans="2:7" ht="13.8" hidden="1" thickBot="1" x14ac:dyDescent="0.3">
      <c r="B269" s="347"/>
      <c r="C269" s="348"/>
      <c r="D269" s="348"/>
      <c r="E269" s="348"/>
      <c r="F269" s="348"/>
      <c r="G269" s="349"/>
    </row>
    <row r="270" spans="2:7" ht="27" hidden="1" customHeight="1" x14ac:dyDescent="0.25">
      <c r="B270" s="346" t="s">
        <v>897</v>
      </c>
      <c r="C270" s="600" t="s">
        <v>919</v>
      </c>
      <c r="D270" s="600"/>
      <c r="E270" s="600"/>
      <c r="F270" s="600"/>
      <c r="G270" s="601"/>
    </row>
    <row r="271" spans="2:7" ht="13.8" hidden="1" thickBot="1" x14ac:dyDescent="0.3">
      <c r="B271" s="347"/>
      <c r="C271" s="348"/>
      <c r="D271" s="348"/>
      <c r="E271" s="348"/>
      <c r="F271" s="348"/>
      <c r="G271" s="349"/>
    </row>
    <row r="272" spans="2:7" ht="13.8" hidden="1" thickBot="1" x14ac:dyDescent="0.3">
      <c r="B272" s="356" t="s">
        <v>899</v>
      </c>
      <c r="C272" s="600" t="s">
        <v>920</v>
      </c>
      <c r="D272" s="600"/>
      <c r="E272" s="600"/>
      <c r="F272" s="600"/>
      <c r="G272" s="601"/>
    </row>
    <row r="273" spans="2:7" ht="27" hidden="1" customHeight="1" x14ac:dyDescent="0.25">
      <c r="B273" s="356"/>
      <c r="C273" s="641" t="s">
        <v>921</v>
      </c>
      <c r="D273" s="641"/>
      <c r="E273" s="641"/>
      <c r="F273" s="641"/>
      <c r="G273" s="642"/>
    </row>
    <row r="274" spans="2:7" ht="13.8" hidden="1" thickBot="1" x14ac:dyDescent="0.3">
      <c r="B274" s="356"/>
      <c r="C274" s="600" t="s">
        <v>922</v>
      </c>
      <c r="D274" s="600"/>
      <c r="E274" s="600"/>
      <c r="F274" s="600"/>
      <c r="G274" s="601"/>
    </row>
    <row r="275" spans="2:7" ht="13.8" hidden="1" thickBot="1" x14ac:dyDescent="0.3">
      <c r="B275" s="356"/>
      <c r="C275" s="600" t="s">
        <v>923</v>
      </c>
      <c r="D275" s="600"/>
      <c r="E275" s="600"/>
      <c r="F275" s="600"/>
      <c r="G275" s="601"/>
    </row>
    <row r="276" spans="2:7" ht="13.8" hidden="1" thickBot="1" x14ac:dyDescent="0.3">
      <c r="B276" s="356"/>
      <c r="C276" s="600" t="s">
        <v>924</v>
      </c>
      <c r="D276" s="600"/>
      <c r="E276" s="600"/>
      <c r="F276" s="600"/>
      <c r="G276" s="601"/>
    </row>
    <row r="277" spans="2:7" ht="13.8" hidden="1" thickBot="1" x14ac:dyDescent="0.3">
      <c r="B277" s="356"/>
      <c r="C277" s="600" t="s">
        <v>925</v>
      </c>
      <c r="D277" s="600"/>
      <c r="E277" s="600"/>
      <c r="F277" s="600"/>
      <c r="G277" s="601"/>
    </row>
    <row r="278" spans="2:7" ht="13.8" hidden="1" thickBot="1" x14ac:dyDescent="0.3">
      <c r="B278" s="356"/>
      <c r="C278" s="600" t="s">
        <v>926</v>
      </c>
      <c r="D278" s="600"/>
      <c r="E278" s="600"/>
      <c r="F278" s="600"/>
      <c r="G278" s="601"/>
    </row>
    <row r="279" spans="2:7" ht="13.8" hidden="1" thickBot="1" x14ac:dyDescent="0.3">
      <c r="B279" s="356"/>
      <c r="C279" s="600" t="s">
        <v>927</v>
      </c>
      <c r="D279" s="600"/>
      <c r="E279" s="600"/>
      <c r="F279" s="600"/>
      <c r="G279" s="601"/>
    </row>
    <row r="280" spans="2:7" ht="39.75" hidden="1" customHeight="1" x14ac:dyDescent="0.25">
      <c r="B280" s="356"/>
      <c r="C280" s="641" t="s">
        <v>928</v>
      </c>
      <c r="D280" s="641"/>
      <c r="E280" s="641"/>
      <c r="F280" s="641"/>
      <c r="G280" s="642"/>
    </row>
    <row r="281" spans="2:7" ht="25.5" hidden="1" customHeight="1" x14ac:dyDescent="0.25">
      <c r="B281" s="356"/>
      <c r="C281" s="641" t="s">
        <v>929</v>
      </c>
      <c r="D281" s="641"/>
      <c r="E281" s="641"/>
      <c r="F281" s="641"/>
      <c r="G281" s="642"/>
    </row>
    <row r="282" spans="2:7" ht="13.8" hidden="1" thickBot="1" x14ac:dyDescent="0.3">
      <c r="B282" s="356"/>
      <c r="C282" s="600" t="s">
        <v>930</v>
      </c>
      <c r="D282" s="600"/>
      <c r="E282" s="600"/>
      <c r="F282" s="600"/>
      <c r="G282" s="601"/>
    </row>
    <row r="283" spans="2:7" ht="13.8" hidden="1" thickBot="1" x14ac:dyDescent="0.3">
      <c r="B283" s="356"/>
      <c r="C283" s="352"/>
      <c r="D283" s="352"/>
      <c r="E283" s="352"/>
      <c r="F283" s="352"/>
      <c r="G283" s="353"/>
    </row>
    <row r="284" spans="2:7" ht="13.8" hidden="1" thickBot="1" x14ac:dyDescent="0.3">
      <c r="B284" s="356" t="s">
        <v>931</v>
      </c>
      <c r="C284" s="359">
        <f>D77</f>
        <v>0</v>
      </c>
      <c r="D284" s="648"/>
      <c r="E284" s="648"/>
      <c r="F284" s="648"/>
      <c r="G284" s="649"/>
    </row>
    <row r="285" spans="2:7" ht="13.8" hidden="1" thickBot="1" x14ac:dyDescent="0.3">
      <c r="B285" s="346"/>
      <c r="C285" s="352"/>
      <c r="D285" s="352"/>
      <c r="E285" s="352"/>
      <c r="F285" s="352"/>
      <c r="G285" s="353"/>
    </row>
    <row r="286" spans="2:7" ht="12.75" hidden="1" customHeight="1" x14ac:dyDescent="0.25">
      <c r="B286" s="356" t="s">
        <v>932</v>
      </c>
      <c r="C286" s="583" t="s">
        <v>933</v>
      </c>
      <c r="D286" s="583"/>
      <c r="E286" s="583"/>
      <c r="F286" s="583"/>
      <c r="G286" s="584"/>
    </row>
    <row r="287" spans="2:7" ht="13.8" hidden="1" thickBot="1" x14ac:dyDescent="0.3">
      <c r="B287" s="356" t="s">
        <v>934</v>
      </c>
      <c r="C287" s="583" t="s">
        <v>935</v>
      </c>
      <c r="D287" s="583"/>
      <c r="E287" s="583"/>
      <c r="F287" s="583"/>
      <c r="G287" s="370"/>
    </row>
    <row r="288" spans="2:7" ht="13.8" hidden="1" thickBot="1" x14ac:dyDescent="0.3">
      <c r="B288" s="356"/>
      <c r="C288" s="352"/>
      <c r="D288" s="352"/>
      <c r="E288" s="352"/>
      <c r="F288" s="352"/>
      <c r="G288" s="353"/>
    </row>
    <row r="289" spans="2:7" ht="13.8" hidden="1" thickBot="1" x14ac:dyDescent="0.3">
      <c r="B289" s="356"/>
      <c r="C289" s="371"/>
      <c r="D289" s="371"/>
      <c r="E289" s="371"/>
      <c r="F289" s="371"/>
      <c r="G289" s="370" t="s">
        <v>936</v>
      </c>
    </row>
    <row r="290" spans="2:7" ht="51.75" hidden="1" customHeight="1" x14ac:dyDescent="0.25">
      <c r="B290" s="346"/>
      <c r="C290" s="612" t="s">
        <v>917</v>
      </c>
      <c r="D290" s="612"/>
      <c r="E290" s="612"/>
      <c r="F290" s="612"/>
      <c r="G290" s="362">
        <v>0</v>
      </c>
    </row>
    <row r="291" spans="2:7" ht="13.8" hidden="1" thickBot="1" x14ac:dyDescent="0.3">
      <c r="B291" s="346"/>
      <c r="C291" s="363"/>
      <c r="D291" s="363"/>
      <c r="E291" s="363"/>
      <c r="F291" s="364" t="s">
        <v>79</v>
      </c>
      <c r="G291" s="365">
        <f>SUM(G290)</f>
        <v>0</v>
      </c>
    </row>
    <row r="292" spans="2:7" ht="13.8" hidden="1" thickBot="1" x14ac:dyDescent="0.3">
      <c r="B292" s="356"/>
      <c r="C292" s="372"/>
      <c r="D292" s="372"/>
      <c r="E292" s="372"/>
      <c r="F292" s="372"/>
      <c r="G292" s="373"/>
    </row>
    <row r="293" spans="2:7" ht="29.25" hidden="1" customHeight="1" x14ac:dyDescent="0.25">
      <c r="B293" s="356" t="s">
        <v>904</v>
      </c>
      <c r="C293" s="600" t="s">
        <v>937</v>
      </c>
      <c r="D293" s="600"/>
      <c r="E293" s="600"/>
      <c r="F293" s="600"/>
      <c r="G293" s="601"/>
    </row>
    <row r="294" spans="2:7" ht="13.8" hidden="1" thickBot="1" x14ac:dyDescent="0.3">
      <c r="B294" s="356"/>
      <c r="C294" s="372"/>
      <c r="D294" s="372"/>
      <c r="E294" s="372"/>
      <c r="F294" s="372"/>
      <c r="G294" s="373"/>
    </row>
    <row r="295" spans="2:7" ht="13.8" hidden="1" thickBot="1" x14ac:dyDescent="0.3">
      <c r="B295" s="596" t="s">
        <v>938</v>
      </c>
      <c r="C295" s="581"/>
      <c r="D295" s="581"/>
      <c r="E295" s="581"/>
      <c r="F295" s="581"/>
      <c r="G295" s="582"/>
    </row>
    <row r="296" spans="2:7" ht="13.8" hidden="1" thickBot="1" x14ac:dyDescent="0.3">
      <c r="B296" s="346"/>
      <c r="C296" s="262"/>
      <c r="D296" s="264"/>
      <c r="E296" s="264"/>
      <c r="F296" s="264"/>
      <c r="G296" s="328"/>
    </row>
    <row r="297" spans="2:7" ht="27" hidden="1" customHeight="1" thickTop="1" thickBot="1" x14ac:dyDescent="0.3">
      <c r="B297" s="597" t="s">
        <v>939</v>
      </c>
      <c r="C297" s="598"/>
      <c r="D297" s="598"/>
      <c r="E297" s="598"/>
      <c r="F297" s="598"/>
      <c r="G297" s="599"/>
    </row>
    <row r="298" spans="2:7" ht="13.8" hidden="1" thickBot="1" x14ac:dyDescent="0.3">
      <c r="B298" s="347"/>
      <c r="C298" s="348"/>
      <c r="D298" s="348"/>
      <c r="E298" s="348"/>
      <c r="F298" s="348"/>
      <c r="G298" s="349"/>
    </row>
    <row r="299" spans="2:7" ht="13.8" hidden="1" thickBot="1" x14ac:dyDescent="0.3">
      <c r="B299" s="347"/>
      <c r="C299" s="348"/>
      <c r="D299" s="348"/>
      <c r="E299" s="348"/>
      <c r="F299" s="348"/>
      <c r="G299" s="349"/>
    </row>
    <row r="300" spans="2:7" ht="13.8" hidden="1" thickBot="1" x14ac:dyDescent="0.3">
      <c r="B300" s="346"/>
      <c r="C300" s="262"/>
      <c r="D300" s="264"/>
      <c r="E300" s="264"/>
      <c r="F300" s="264"/>
      <c r="G300" s="328"/>
    </row>
    <row r="301" spans="2:7" ht="13.8" hidden="1" thickBot="1" x14ac:dyDescent="0.3">
      <c r="B301" s="346"/>
      <c r="C301" s="262"/>
      <c r="D301" s="264"/>
      <c r="E301" s="264"/>
      <c r="F301" s="264"/>
      <c r="G301" s="328"/>
    </row>
    <row r="302" spans="2:7" ht="13.8" hidden="1" thickBot="1" x14ac:dyDescent="0.3">
      <c r="B302" s="346"/>
      <c r="C302" s="262"/>
      <c r="D302" s="264"/>
      <c r="E302" s="264"/>
      <c r="F302" s="264"/>
      <c r="G302" s="328"/>
    </row>
    <row r="303" spans="2:7" ht="13.8" hidden="1" thickBot="1" x14ac:dyDescent="0.3">
      <c r="B303" s="346"/>
      <c r="C303" s="262"/>
      <c r="D303" s="264"/>
      <c r="E303" s="264"/>
      <c r="F303" s="264"/>
      <c r="G303" s="328"/>
    </row>
    <row r="304" spans="2:7" ht="13.8" hidden="1" thickBot="1" x14ac:dyDescent="0.3">
      <c r="B304" s="346"/>
      <c r="C304" s="262"/>
      <c r="D304" s="264"/>
      <c r="E304" s="264"/>
      <c r="F304" s="264"/>
      <c r="G304" s="328"/>
    </row>
    <row r="305" spans="2:7" ht="27" hidden="1" customHeight="1" thickTop="1" thickBot="1" x14ac:dyDescent="0.3">
      <c r="B305" s="597" t="s">
        <v>940</v>
      </c>
      <c r="C305" s="598"/>
      <c r="D305" s="598"/>
      <c r="E305" s="598"/>
      <c r="F305" s="598"/>
      <c r="G305" s="599"/>
    </row>
    <row r="306" spans="2:7" ht="13.8" hidden="1" thickBot="1" x14ac:dyDescent="0.3">
      <c r="B306" s="347"/>
      <c r="C306" s="348"/>
      <c r="D306" s="348"/>
      <c r="E306" s="348"/>
      <c r="F306" s="348"/>
      <c r="G306" s="349"/>
    </row>
    <row r="307" spans="2:7" ht="50.25" hidden="1" customHeight="1" x14ac:dyDescent="0.25">
      <c r="B307" s="346" t="s">
        <v>897</v>
      </c>
      <c r="C307" s="641" t="s">
        <v>941</v>
      </c>
      <c r="D307" s="641"/>
      <c r="E307" s="641"/>
      <c r="F307" s="641"/>
      <c r="G307" s="642"/>
    </row>
    <row r="308" spans="2:7" ht="13.8" hidden="1" thickBot="1" x14ac:dyDescent="0.3">
      <c r="B308" s="347"/>
      <c r="C308" s="348"/>
      <c r="D308" s="348"/>
      <c r="E308" s="348"/>
      <c r="F308" s="348"/>
      <c r="G308" s="349"/>
    </row>
    <row r="309" spans="2:7" ht="13.8" hidden="1" thickBot="1" x14ac:dyDescent="0.3">
      <c r="B309" s="356" t="s">
        <v>901</v>
      </c>
      <c r="C309" s="359" t="str">
        <f>+B80</f>
        <v>Eq, Electrónico fijo</v>
      </c>
      <c r="D309" s="359">
        <f>D80</f>
        <v>6500000</v>
      </c>
      <c r="E309" s="648"/>
      <c r="F309" s="648"/>
      <c r="G309" s="649"/>
    </row>
    <row r="310" spans="2:7" ht="13.8" hidden="1" thickBot="1" x14ac:dyDescent="0.3">
      <c r="B310" s="347"/>
      <c r="C310" s="352" t="s">
        <v>942</v>
      </c>
      <c r="D310" s="374">
        <f>D84</f>
        <v>0</v>
      </c>
      <c r="E310" s="648"/>
      <c r="F310" s="648"/>
      <c r="G310" s="649"/>
    </row>
    <row r="311" spans="2:7" ht="26.25" hidden="1" customHeight="1" x14ac:dyDescent="0.25">
      <c r="B311" s="347"/>
      <c r="C311" s="352" t="str">
        <f>+B82</f>
        <v>* Incremento en el Costo de Operación</v>
      </c>
      <c r="D311" s="374">
        <f>D82</f>
        <v>0</v>
      </c>
      <c r="E311" s="648"/>
      <c r="F311" s="648"/>
      <c r="G311" s="649"/>
    </row>
    <row r="312" spans="2:7" ht="27" hidden="1" thickBot="1" x14ac:dyDescent="0.3">
      <c r="B312" s="347"/>
      <c r="C312" s="352" t="str">
        <f>+B83</f>
        <v>* Portadores Externos de Datos</v>
      </c>
      <c r="D312" s="374">
        <f>D83</f>
        <v>0</v>
      </c>
      <c r="E312" s="648"/>
      <c r="F312" s="648"/>
      <c r="G312" s="649"/>
    </row>
    <row r="313" spans="2:7" ht="13.8" hidden="1" thickBot="1" x14ac:dyDescent="0.3">
      <c r="B313" s="347"/>
      <c r="C313" s="348"/>
      <c r="D313" s="348"/>
      <c r="E313" s="348"/>
      <c r="F313" s="348"/>
      <c r="G313" s="349"/>
    </row>
    <row r="314" spans="2:7" ht="13.8" hidden="1" thickBot="1" x14ac:dyDescent="0.3">
      <c r="B314" s="347" t="s">
        <v>943</v>
      </c>
      <c r="C314" s="653" t="s">
        <v>902</v>
      </c>
      <c r="D314" s="653"/>
      <c r="E314" s="653"/>
      <c r="F314" s="653"/>
      <c r="G314" s="654"/>
    </row>
    <row r="315" spans="2:7" ht="13.8" hidden="1" thickBot="1" x14ac:dyDescent="0.3">
      <c r="B315" s="346" t="s">
        <v>944</v>
      </c>
      <c r="C315" s="650" t="s">
        <v>945</v>
      </c>
      <c r="D315" s="650"/>
      <c r="E315" s="650"/>
      <c r="F315" s="650"/>
      <c r="G315" s="652"/>
    </row>
    <row r="316" spans="2:7" ht="183.75" hidden="1" customHeight="1" x14ac:dyDescent="0.25">
      <c r="B316" s="375" t="s">
        <v>946</v>
      </c>
      <c r="C316" s="583" t="s">
        <v>945</v>
      </c>
      <c r="D316" s="583"/>
      <c r="E316" s="583"/>
      <c r="F316" s="583"/>
      <c r="G316" s="584"/>
    </row>
    <row r="317" spans="2:7" ht="13.8" hidden="1" thickBot="1" x14ac:dyDescent="0.3">
      <c r="B317" s="346" t="s">
        <v>947</v>
      </c>
      <c r="C317" s="650" t="s">
        <v>948</v>
      </c>
      <c r="D317" s="650"/>
      <c r="E317" s="650"/>
      <c r="F317" s="650"/>
      <c r="G317" s="652"/>
    </row>
    <row r="318" spans="2:7" ht="13.8" hidden="1" thickBot="1" x14ac:dyDescent="0.3">
      <c r="B318" s="346" t="s">
        <v>949</v>
      </c>
      <c r="C318" s="650" t="s">
        <v>950</v>
      </c>
      <c r="D318" s="650"/>
      <c r="E318" s="650"/>
      <c r="F318" s="650"/>
      <c r="G318" s="652"/>
    </row>
    <row r="319" spans="2:7" ht="13.8" hidden="1" thickBot="1" x14ac:dyDescent="0.3">
      <c r="B319" s="346" t="s">
        <v>738</v>
      </c>
      <c r="C319" s="650" t="s">
        <v>951</v>
      </c>
      <c r="D319" s="650"/>
      <c r="E319" s="650"/>
      <c r="F319" s="650"/>
      <c r="G319" s="652"/>
    </row>
    <row r="320" spans="2:7" ht="13.8" hidden="1" thickBot="1" x14ac:dyDescent="0.3">
      <c r="B320" s="346" t="s">
        <v>952</v>
      </c>
      <c r="C320" s="650" t="s">
        <v>951</v>
      </c>
      <c r="D320" s="650"/>
      <c r="E320" s="650"/>
      <c r="F320" s="650"/>
      <c r="G320" s="652"/>
    </row>
    <row r="321" spans="2:7" ht="13.8" hidden="1" thickBot="1" x14ac:dyDescent="0.3">
      <c r="B321" s="346" t="s">
        <v>953</v>
      </c>
      <c r="C321" s="650" t="s">
        <v>951</v>
      </c>
      <c r="D321" s="650"/>
      <c r="E321" s="650"/>
      <c r="F321" s="650"/>
      <c r="G321" s="652"/>
    </row>
    <row r="322" spans="2:7" ht="25.5" hidden="1" customHeight="1" x14ac:dyDescent="0.25">
      <c r="B322" s="346" t="s">
        <v>954</v>
      </c>
      <c r="C322" s="650" t="s">
        <v>951</v>
      </c>
      <c r="D322" s="650"/>
      <c r="E322" s="650"/>
      <c r="F322" s="650"/>
      <c r="G322" s="652"/>
    </row>
    <row r="323" spans="2:7" ht="13.8" hidden="1" thickBot="1" x14ac:dyDescent="0.3">
      <c r="B323" s="346"/>
      <c r="C323" s="262"/>
      <c r="D323" s="264"/>
      <c r="E323" s="264"/>
      <c r="F323" s="264"/>
      <c r="G323" s="328"/>
    </row>
    <row r="324" spans="2:7" ht="13.8" hidden="1" thickBot="1" x14ac:dyDescent="0.3">
      <c r="B324" s="356" t="s">
        <v>904</v>
      </c>
      <c r="C324" s="581" t="s">
        <v>955</v>
      </c>
      <c r="D324" s="581"/>
      <c r="E324" s="581"/>
      <c r="F324" s="581"/>
      <c r="G324" s="582"/>
    </row>
    <row r="325" spans="2:7" ht="127.5" hidden="1" customHeight="1" x14ac:dyDescent="0.25">
      <c r="B325" s="347" t="s">
        <v>906</v>
      </c>
      <c r="C325" s="612" t="s">
        <v>907</v>
      </c>
      <c r="D325" s="612"/>
      <c r="E325" s="612"/>
      <c r="F325" s="612"/>
      <c r="G325" s="328"/>
    </row>
    <row r="326" spans="2:7" ht="13.8" hidden="1" thickBot="1" x14ac:dyDescent="0.3">
      <c r="B326" s="346"/>
      <c r="C326" s="363" t="s">
        <v>956</v>
      </c>
      <c r="D326" s="371"/>
      <c r="E326" s="371"/>
      <c r="F326" s="371"/>
      <c r="G326" s="376"/>
    </row>
    <row r="327" spans="2:7" ht="13.8" hidden="1" thickBot="1" x14ac:dyDescent="0.3">
      <c r="B327" s="346"/>
      <c r="C327" s="363"/>
      <c r="D327" s="371"/>
      <c r="E327" s="371"/>
      <c r="F327" s="371"/>
      <c r="G327" s="376"/>
    </row>
    <row r="328" spans="2:7" ht="13.8" hidden="1" thickBot="1" x14ac:dyDescent="0.3">
      <c r="B328" s="346"/>
      <c r="C328" s="371"/>
      <c r="D328" s="371"/>
      <c r="E328" s="371"/>
      <c r="F328" s="371"/>
      <c r="G328" s="370" t="s">
        <v>936</v>
      </c>
    </row>
    <row r="329" spans="2:7" ht="50.25" hidden="1" customHeight="1" x14ac:dyDescent="0.25">
      <c r="B329" s="346"/>
      <c r="C329" s="612" t="s">
        <v>957</v>
      </c>
      <c r="D329" s="612"/>
      <c r="E329" s="612"/>
      <c r="F329" s="612"/>
      <c r="G329" s="362">
        <v>0</v>
      </c>
    </row>
    <row r="330" spans="2:7" ht="13.8" hidden="1" thickBot="1" x14ac:dyDescent="0.3">
      <c r="B330" s="346"/>
      <c r="C330" s="363"/>
      <c r="D330" s="363"/>
      <c r="E330" s="363"/>
      <c r="F330" s="364" t="s">
        <v>79</v>
      </c>
      <c r="G330" s="365">
        <f>SUM(G329)</f>
        <v>0</v>
      </c>
    </row>
    <row r="331" spans="2:7" ht="13.8" hidden="1" thickBot="1" x14ac:dyDescent="0.3">
      <c r="B331" s="346"/>
      <c r="C331" s="262"/>
      <c r="D331" s="264"/>
      <c r="E331" s="264"/>
      <c r="F331" s="264"/>
      <c r="G331" s="328"/>
    </row>
    <row r="332" spans="2:7" ht="27" hidden="1" customHeight="1" thickTop="1" thickBot="1" x14ac:dyDescent="0.3">
      <c r="B332" s="597" t="s">
        <v>958</v>
      </c>
      <c r="C332" s="598"/>
      <c r="D332" s="598"/>
      <c r="E332" s="598"/>
      <c r="F332" s="598"/>
      <c r="G332" s="599"/>
    </row>
    <row r="333" spans="2:7" ht="13.8" hidden="1" thickBot="1" x14ac:dyDescent="0.3">
      <c r="B333" s="347"/>
      <c r="C333" s="262"/>
      <c r="D333" s="264"/>
      <c r="E333" s="264"/>
      <c r="F333" s="264"/>
      <c r="G333" s="328"/>
    </row>
    <row r="334" spans="2:7" ht="13.8" hidden="1" thickBot="1" x14ac:dyDescent="0.3">
      <c r="B334" s="356" t="s">
        <v>899</v>
      </c>
      <c r="C334" s="600" t="s">
        <v>959</v>
      </c>
      <c r="D334" s="600"/>
      <c r="E334" s="600"/>
      <c r="F334" s="600"/>
      <c r="G334" s="601"/>
    </row>
    <row r="335" spans="2:7" ht="13.8" hidden="1" thickBot="1" x14ac:dyDescent="0.3">
      <c r="B335" s="377"/>
      <c r="C335" s="352"/>
      <c r="D335" s="352"/>
      <c r="E335" s="352"/>
      <c r="F335" s="352"/>
      <c r="G335" s="353"/>
    </row>
    <row r="336" spans="2:7" ht="13.8" hidden="1" thickBot="1" x14ac:dyDescent="0.3">
      <c r="B336" s="346" t="s">
        <v>901</v>
      </c>
      <c r="C336" s="378">
        <f>D85</f>
        <v>270000</v>
      </c>
      <c r="D336" s="581" t="s">
        <v>960</v>
      </c>
      <c r="E336" s="581"/>
      <c r="F336" s="581"/>
      <c r="G336" s="582"/>
    </row>
    <row r="337" spans="2:7" ht="13.8" hidden="1" thickBot="1" x14ac:dyDescent="0.3">
      <c r="B337" s="377"/>
      <c r="C337" s="352"/>
      <c r="D337" s="352"/>
      <c r="E337" s="352"/>
      <c r="F337" s="352"/>
      <c r="G337" s="353"/>
    </row>
    <row r="338" spans="2:7" ht="13.8" hidden="1" thickBot="1" x14ac:dyDescent="0.3">
      <c r="B338" s="356" t="s">
        <v>961</v>
      </c>
      <c r="C338" s="583" t="s">
        <v>962</v>
      </c>
      <c r="D338" s="583"/>
      <c r="E338" s="583"/>
      <c r="F338" s="583"/>
      <c r="G338" s="584"/>
    </row>
    <row r="339" spans="2:7" ht="12" hidden="1" customHeight="1" x14ac:dyDescent="0.25">
      <c r="B339" s="346"/>
      <c r="C339" s="262"/>
      <c r="D339" s="264"/>
      <c r="E339" s="264"/>
      <c r="F339" s="264"/>
      <c r="G339" s="328"/>
    </row>
    <row r="340" spans="2:7" ht="12" hidden="1" customHeight="1" x14ac:dyDescent="0.25">
      <c r="B340" s="356" t="s">
        <v>963</v>
      </c>
      <c r="C340" s="583" t="s">
        <v>964</v>
      </c>
      <c r="D340" s="583"/>
      <c r="E340" s="583"/>
      <c r="F340" s="583"/>
      <c r="G340" s="584"/>
    </row>
    <row r="341" spans="2:7" ht="12" hidden="1" customHeight="1" x14ac:dyDescent="0.25">
      <c r="B341" s="356"/>
      <c r="C341" s="262"/>
      <c r="D341" s="264"/>
      <c r="E341" s="264"/>
      <c r="F341" s="264"/>
      <c r="G341" s="328"/>
    </row>
    <row r="342" spans="2:7" ht="57.75" hidden="1" customHeight="1" x14ac:dyDescent="0.25">
      <c r="B342" s="346" t="s">
        <v>897</v>
      </c>
      <c r="C342" s="594" t="s">
        <v>965</v>
      </c>
      <c r="D342" s="594"/>
      <c r="E342" s="594"/>
      <c r="F342" s="594"/>
      <c r="G342" s="595"/>
    </row>
    <row r="343" spans="2:7" ht="12" hidden="1" customHeight="1" thickBot="1" x14ac:dyDescent="0.3">
      <c r="B343" s="346"/>
      <c r="C343" s="262"/>
      <c r="D343" s="264"/>
      <c r="E343" s="264"/>
      <c r="F343" s="264"/>
      <c r="G343" s="328"/>
    </row>
    <row r="344" spans="2:7" ht="27" hidden="1" customHeight="1" thickTop="1" thickBot="1" x14ac:dyDescent="0.3">
      <c r="B344" s="597" t="s">
        <v>966</v>
      </c>
      <c r="C344" s="598"/>
      <c r="D344" s="598"/>
      <c r="E344" s="598"/>
      <c r="F344" s="598"/>
      <c r="G344" s="599"/>
    </row>
    <row r="345" spans="2:7" ht="13.8" hidden="1" thickBot="1" x14ac:dyDescent="0.3">
      <c r="B345" s="347"/>
      <c r="C345" s="262"/>
      <c r="D345" s="264"/>
      <c r="E345" s="264"/>
      <c r="F345" s="264"/>
      <c r="G345" s="328"/>
    </row>
    <row r="346" spans="2:7" ht="26.25" hidden="1" customHeight="1" x14ac:dyDescent="0.25">
      <c r="B346" s="356" t="s">
        <v>899</v>
      </c>
      <c r="C346" s="641" t="s">
        <v>967</v>
      </c>
      <c r="D346" s="641"/>
      <c r="E346" s="641"/>
      <c r="F346" s="641"/>
      <c r="G346" s="642"/>
    </row>
    <row r="347" spans="2:7" ht="13.8" hidden="1" thickBot="1" x14ac:dyDescent="0.3">
      <c r="B347" s="346"/>
      <c r="C347" s="352"/>
      <c r="D347" s="352"/>
      <c r="E347" s="352"/>
      <c r="F347" s="352"/>
      <c r="G347" s="353"/>
    </row>
    <row r="348" spans="2:7" ht="13.8" hidden="1" thickBot="1" x14ac:dyDescent="0.3">
      <c r="B348" s="346" t="s">
        <v>968</v>
      </c>
      <c r="C348" s="378">
        <f>D86</f>
        <v>13000</v>
      </c>
      <c r="D348" s="581" t="s">
        <v>960</v>
      </c>
      <c r="E348" s="581"/>
      <c r="F348" s="581"/>
      <c r="G348" s="582"/>
    </row>
    <row r="349" spans="2:7" ht="13.8" hidden="1" thickBot="1" x14ac:dyDescent="0.3">
      <c r="B349" s="346"/>
      <c r="C349" s="352"/>
      <c r="D349" s="352"/>
      <c r="E349" s="352"/>
      <c r="F349" s="352"/>
      <c r="G349" s="353"/>
    </row>
    <row r="350" spans="2:7" ht="13.8" hidden="1" thickBot="1" x14ac:dyDescent="0.3">
      <c r="B350" s="250" t="s">
        <v>961</v>
      </c>
      <c r="C350" s="583" t="s">
        <v>969</v>
      </c>
      <c r="D350" s="583"/>
      <c r="E350" s="583"/>
      <c r="F350" s="583"/>
      <c r="G350" s="584"/>
    </row>
    <row r="351" spans="2:7" ht="13.8" hidden="1" thickBot="1" x14ac:dyDescent="0.3">
      <c r="B351" s="250"/>
      <c r="C351" s="262"/>
      <c r="D351" s="264"/>
      <c r="E351" s="264"/>
      <c r="F351" s="264"/>
      <c r="G351" s="328"/>
    </row>
    <row r="352" spans="2:7" ht="13.8" hidden="1" thickBot="1" x14ac:dyDescent="0.3">
      <c r="B352" s="356" t="s">
        <v>963</v>
      </c>
      <c r="C352" s="583" t="s">
        <v>964</v>
      </c>
      <c r="D352" s="583"/>
      <c r="E352" s="583"/>
      <c r="F352" s="583"/>
      <c r="G352" s="584"/>
    </row>
    <row r="353" spans="2:7" ht="13.8" hidden="1" thickBot="1" x14ac:dyDescent="0.3">
      <c r="B353" s="356"/>
      <c r="C353" s="583" t="s">
        <v>970</v>
      </c>
      <c r="D353" s="583"/>
      <c r="E353" s="583"/>
      <c r="F353" s="583"/>
      <c r="G353" s="584"/>
    </row>
    <row r="354" spans="2:7" ht="13.8" hidden="1" thickBot="1" x14ac:dyDescent="0.3">
      <c r="B354" s="346"/>
      <c r="C354" s="352"/>
      <c r="D354" s="352"/>
      <c r="E354" s="352"/>
      <c r="F354" s="352"/>
      <c r="G354" s="353"/>
    </row>
    <row r="355" spans="2:7" ht="38.25" hidden="1" customHeight="1" x14ac:dyDescent="0.25">
      <c r="B355" s="356" t="s">
        <v>897</v>
      </c>
      <c r="C355" s="583" t="s">
        <v>971</v>
      </c>
      <c r="D355" s="583"/>
      <c r="E355" s="583"/>
      <c r="F355" s="583"/>
      <c r="G355" s="584"/>
    </row>
    <row r="356" spans="2:7" ht="38.25" hidden="1" customHeight="1" x14ac:dyDescent="0.25">
      <c r="B356" s="356"/>
      <c r="C356" s="594" t="s">
        <v>972</v>
      </c>
      <c r="D356" s="594"/>
      <c r="E356" s="594"/>
      <c r="F356" s="594"/>
      <c r="G356" s="595"/>
    </row>
    <row r="357" spans="2:7" ht="13.8" hidden="1" thickBot="1" x14ac:dyDescent="0.3">
      <c r="B357" s="368"/>
      <c r="G357" s="369"/>
    </row>
    <row r="358" spans="2:7" ht="13.8" hidden="1" thickBot="1" x14ac:dyDescent="0.3">
      <c r="B358" s="346"/>
      <c r="C358" s="262"/>
      <c r="D358" s="264"/>
      <c r="E358" s="264"/>
      <c r="F358" s="264"/>
      <c r="G358" s="328"/>
    </row>
    <row r="359" spans="2:7" ht="27" hidden="1" customHeight="1" thickTop="1" thickBot="1" x14ac:dyDescent="0.3">
      <c r="B359" s="597" t="s">
        <v>973</v>
      </c>
      <c r="C359" s="598"/>
      <c r="D359" s="598"/>
      <c r="E359" s="598"/>
      <c r="F359" s="598"/>
      <c r="G359" s="599"/>
    </row>
    <row r="360" spans="2:7" ht="13.8" hidden="1" thickBot="1" x14ac:dyDescent="0.3">
      <c r="B360" s="347"/>
      <c r="C360" s="262"/>
      <c r="D360" s="264"/>
      <c r="E360" s="264"/>
      <c r="F360" s="264"/>
      <c r="G360" s="328"/>
    </row>
    <row r="361" spans="2:7" ht="13.8" hidden="1" thickBot="1" x14ac:dyDescent="0.3">
      <c r="B361" s="651" t="s">
        <v>899</v>
      </c>
      <c r="C361" s="655" t="s">
        <v>974</v>
      </c>
      <c r="D361" s="655"/>
      <c r="E361" s="655"/>
      <c r="F361" s="655"/>
      <c r="G361" s="656"/>
    </row>
    <row r="362" spans="2:7" ht="13.8" hidden="1" thickBot="1" x14ac:dyDescent="0.3">
      <c r="B362" s="651"/>
      <c r="C362" s="657" t="s">
        <v>975</v>
      </c>
      <c r="D362" s="657"/>
      <c r="E362" s="657"/>
      <c r="F362" s="657"/>
      <c r="G362" s="658"/>
    </row>
    <row r="363" spans="2:7" ht="13.8" hidden="1" thickBot="1" x14ac:dyDescent="0.3">
      <c r="B363" s="651"/>
      <c r="C363" s="657" t="s">
        <v>976</v>
      </c>
      <c r="D363" s="657"/>
      <c r="E363" s="657"/>
      <c r="F363" s="657"/>
      <c r="G363" s="658"/>
    </row>
    <row r="364" spans="2:7" ht="13.8" hidden="1" thickBot="1" x14ac:dyDescent="0.3">
      <c r="B364" s="651"/>
      <c r="C364" s="657" t="s">
        <v>977</v>
      </c>
      <c r="D364" s="657"/>
      <c r="E364" s="657"/>
      <c r="F364" s="657"/>
      <c r="G364" s="658"/>
    </row>
    <row r="365" spans="2:7" ht="13.8" hidden="1" thickBot="1" x14ac:dyDescent="0.3">
      <c r="B365" s="651"/>
      <c r="C365" s="657" t="s">
        <v>978</v>
      </c>
      <c r="D365" s="657"/>
      <c r="E365" s="657"/>
      <c r="F365" s="657"/>
      <c r="G365" s="658"/>
    </row>
    <row r="366" spans="2:7" ht="13.8" hidden="1" thickBot="1" x14ac:dyDescent="0.3">
      <c r="B366" s="651"/>
      <c r="C366" s="655" t="s">
        <v>979</v>
      </c>
      <c r="D366" s="655"/>
      <c r="E366" s="655"/>
      <c r="F366" s="655"/>
      <c r="G366" s="656"/>
    </row>
    <row r="367" spans="2:7" ht="13.8" hidden="1" thickBot="1" x14ac:dyDescent="0.3">
      <c r="B367" s="651"/>
      <c r="C367" s="657" t="s">
        <v>980</v>
      </c>
      <c r="D367" s="657"/>
      <c r="E367" s="657"/>
      <c r="F367" s="657"/>
      <c r="G367" s="658"/>
    </row>
    <row r="368" spans="2:7" ht="13.8" hidden="1" thickBot="1" x14ac:dyDescent="0.3">
      <c r="B368" s="651"/>
      <c r="C368" s="657" t="s">
        <v>981</v>
      </c>
      <c r="D368" s="657"/>
      <c r="E368" s="657"/>
      <c r="F368" s="657"/>
      <c r="G368" s="658"/>
    </row>
    <row r="369" spans="2:7" ht="13.8" hidden="1" thickBot="1" x14ac:dyDescent="0.3">
      <c r="B369" s="651"/>
      <c r="C369" s="657" t="s">
        <v>982</v>
      </c>
      <c r="D369" s="657"/>
      <c r="E369" s="657"/>
      <c r="F369" s="657"/>
      <c r="G369" s="658"/>
    </row>
    <row r="370" spans="2:7" ht="13.8" hidden="1" thickBot="1" x14ac:dyDescent="0.3">
      <c r="B370" s="651"/>
      <c r="C370" s="657" t="s">
        <v>983</v>
      </c>
      <c r="D370" s="657"/>
      <c r="E370" s="657"/>
      <c r="F370" s="657"/>
      <c r="G370" s="658"/>
    </row>
    <row r="371" spans="2:7" ht="13.8" hidden="1" thickBot="1" x14ac:dyDescent="0.3">
      <c r="B371" s="346"/>
      <c r="C371" s="379"/>
      <c r="D371" s="379"/>
      <c r="E371" s="379"/>
      <c r="F371" s="379"/>
      <c r="G371" s="380"/>
    </row>
    <row r="372" spans="2:7" ht="13.8" hidden="1" thickBot="1" x14ac:dyDescent="0.3">
      <c r="B372" s="346" t="s">
        <v>901</v>
      </c>
      <c r="C372" s="381">
        <f>D88</f>
        <v>54000</v>
      </c>
      <c r="D372" s="581" t="s">
        <v>960</v>
      </c>
      <c r="E372" s="581"/>
      <c r="F372" s="581"/>
      <c r="G372" s="582"/>
    </row>
    <row r="373" spans="2:7" ht="24.75" hidden="1" customHeight="1" x14ac:dyDescent="0.25">
      <c r="B373" s="346"/>
      <c r="C373" s="594" t="s">
        <v>984</v>
      </c>
      <c r="D373" s="594"/>
      <c r="E373" s="594"/>
      <c r="F373" s="594"/>
      <c r="G373" s="595"/>
    </row>
    <row r="374" spans="2:7" ht="25.5" hidden="1" customHeight="1" x14ac:dyDescent="0.25">
      <c r="B374" s="346"/>
      <c r="C374" s="594"/>
      <c r="D374" s="594"/>
      <c r="E374" s="594"/>
      <c r="F374" s="594"/>
      <c r="G374" s="595"/>
    </row>
    <row r="375" spans="2:7" ht="13.8" hidden="1" thickBot="1" x14ac:dyDescent="0.3">
      <c r="B375" s="346"/>
      <c r="C375" s="379"/>
      <c r="D375" s="379"/>
      <c r="E375" s="379"/>
      <c r="F375" s="379"/>
      <c r="G375" s="380"/>
    </row>
    <row r="376" spans="2:7" ht="13.8" hidden="1" thickBot="1" x14ac:dyDescent="0.3">
      <c r="B376" s="250" t="s">
        <v>961</v>
      </c>
      <c r="C376" s="583" t="s">
        <v>962</v>
      </c>
      <c r="D376" s="583"/>
      <c r="E376" s="583"/>
      <c r="F376" s="583"/>
      <c r="G376" s="584"/>
    </row>
    <row r="377" spans="2:7" ht="13.8" hidden="1" thickBot="1" x14ac:dyDescent="0.3">
      <c r="B377" s="346"/>
      <c r="C377" s="352"/>
      <c r="D377" s="352"/>
      <c r="E377" s="352"/>
      <c r="F377" s="352"/>
      <c r="G377" s="353"/>
    </row>
    <row r="378" spans="2:7" ht="13.8" hidden="1" thickBot="1" x14ac:dyDescent="0.3">
      <c r="B378" s="356" t="s">
        <v>963</v>
      </c>
      <c r="C378" s="583" t="s">
        <v>964</v>
      </c>
      <c r="D378" s="583"/>
      <c r="E378" s="583"/>
      <c r="F378" s="583"/>
      <c r="G378" s="584"/>
    </row>
    <row r="379" spans="2:7" ht="13.8" hidden="1" thickBot="1" x14ac:dyDescent="0.3">
      <c r="B379" s="356"/>
      <c r="C379" s="352"/>
      <c r="D379" s="352"/>
      <c r="E379" s="352"/>
      <c r="F379" s="352"/>
      <c r="G379" s="353"/>
    </row>
    <row r="380" spans="2:7" ht="52.5" hidden="1" customHeight="1" x14ac:dyDescent="0.25">
      <c r="B380" s="346" t="s">
        <v>897</v>
      </c>
      <c r="C380" s="594" t="s">
        <v>985</v>
      </c>
      <c r="D380" s="594"/>
      <c r="E380" s="594"/>
      <c r="F380" s="594"/>
      <c r="G380" s="595"/>
    </row>
    <row r="381" spans="2:7" ht="13.8" hidden="1" thickBot="1" x14ac:dyDescent="0.3">
      <c r="B381" s="346"/>
      <c r="C381" s="352"/>
      <c r="D381" s="352"/>
      <c r="E381" s="352"/>
      <c r="F381" s="352"/>
      <c r="G381" s="353"/>
    </row>
    <row r="382" spans="2:7" ht="13.8" hidden="1" thickBot="1" x14ac:dyDescent="0.3">
      <c r="B382" s="250"/>
      <c r="C382" s="583" t="s">
        <v>986</v>
      </c>
      <c r="D382" s="583"/>
      <c r="E382" s="583"/>
      <c r="F382" s="583"/>
      <c r="G382" s="584"/>
    </row>
    <row r="383" spans="2:7" ht="13.8" hidden="1" thickBot="1" x14ac:dyDescent="0.3">
      <c r="B383" s="250"/>
      <c r="C383" s="371"/>
      <c r="D383" s="371"/>
      <c r="E383" s="371"/>
      <c r="F383" s="371"/>
      <c r="G383" s="376"/>
    </row>
    <row r="384" spans="2:7" ht="25.5" hidden="1" customHeight="1" x14ac:dyDescent="0.25">
      <c r="B384" s="250"/>
      <c r="C384" s="594" t="s">
        <v>987</v>
      </c>
      <c r="D384" s="594"/>
      <c r="E384" s="594"/>
      <c r="F384" s="594"/>
      <c r="G384" s="595"/>
    </row>
    <row r="385" spans="2:7" ht="13.8" hidden="1" thickBot="1" x14ac:dyDescent="0.3">
      <c r="B385" s="250"/>
      <c r="C385" s="371"/>
      <c r="D385" s="371"/>
      <c r="E385" s="371"/>
      <c r="F385" s="371"/>
      <c r="G385" s="376"/>
    </row>
    <row r="386" spans="2:7" ht="39" hidden="1" customHeight="1" x14ac:dyDescent="0.25">
      <c r="B386" s="250"/>
      <c r="C386" s="594" t="s">
        <v>988</v>
      </c>
      <c r="D386" s="594"/>
      <c r="E386" s="594"/>
      <c r="F386" s="594"/>
      <c r="G386" s="595"/>
    </row>
    <row r="387" spans="2:7" ht="13.8" hidden="1" thickBot="1" x14ac:dyDescent="0.3">
      <c r="B387" s="346"/>
      <c r="C387" s="262"/>
      <c r="D387" s="264"/>
      <c r="E387" s="264"/>
      <c r="F387" s="264"/>
      <c r="G387" s="328"/>
    </row>
    <row r="388" spans="2:7" ht="27" hidden="1" customHeight="1" thickTop="1" thickBot="1" x14ac:dyDescent="0.3">
      <c r="B388" s="597" t="s">
        <v>989</v>
      </c>
      <c r="C388" s="598"/>
      <c r="D388" s="598"/>
      <c r="E388" s="598"/>
      <c r="F388" s="598"/>
      <c r="G388" s="599"/>
    </row>
    <row r="389" spans="2:7" ht="13.8" hidden="1" thickBot="1" x14ac:dyDescent="0.3">
      <c r="B389" s="347"/>
      <c r="C389" s="262"/>
      <c r="D389" s="264"/>
      <c r="E389" s="264"/>
      <c r="F389" s="264"/>
      <c r="G389" s="328"/>
    </row>
    <row r="390" spans="2:7" ht="24" hidden="1" customHeight="1" x14ac:dyDescent="0.25">
      <c r="B390" s="356" t="s">
        <v>899</v>
      </c>
      <c r="C390" s="641" t="s">
        <v>990</v>
      </c>
      <c r="D390" s="641"/>
      <c r="E390" s="641"/>
      <c r="F390" s="641"/>
      <c r="G390" s="642"/>
    </row>
    <row r="391" spans="2:7" ht="13.8" hidden="1" thickBot="1" x14ac:dyDescent="0.3">
      <c r="B391" s="346"/>
      <c r="C391" s="352"/>
      <c r="D391" s="352"/>
      <c r="E391" s="352"/>
      <c r="F391" s="352"/>
      <c r="G391" s="353"/>
    </row>
    <row r="392" spans="2:7" ht="13.8" hidden="1" thickBot="1" x14ac:dyDescent="0.3">
      <c r="B392" s="346" t="s">
        <v>931</v>
      </c>
      <c r="C392" s="378">
        <f>D89</f>
        <v>13000</v>
      </c>
      <c r="D392" s="648"/>
      <c r="E392" s="648"/>
      <c r="F392" s="648"/>
      <c r="G392" s="649"/>
    </row>
    <row r="393" spans="2:7" ht="13.8" hidden="1" thickBot="1" x14ac:dyDescent="0.3">
      <c r="B393" s="346"/>
      <c r="C393" s="352"/>
      <c r="D393" s="352"/>
      <c r="E393" s="352"/>
      <c r="F393" s="352"/>
      <c r="G393" s="353"/>
    </row>
    <row r="394" spans="2:7" ht="13.8" hidden="1" thickBot="1" x14ac:dyDescent="0.3">
      <c r="B394" s="250" t="s">
        <v>991</v>
      </c>
      <c r="C394" s="583" t="s">
        <v>992</v>
      </c>
      <c r="D394" s="583"/>
      <c r="E394" s="583"/>
      <c r="F394" s="583"/>
      <c r="G394" s="584"/>
    </row>
    <row r="395" spans="2:7" ht="13.8" hidden="1" thickBot="1" x14ac:dyDescent="0.3">
      <c r="B395" s="346"/>
      <c r="C395" s="262"/>
      <c r="D395" s="264"/>
      <c r="E395" s="264"/>
      <c r="F395" s="264"/>
      <c r="G395" s="328"/>
    </row>
    <row r="396" spans="2:7" ht="13.8" hidden="1" thickBot="1" x14ac:dyDescent="0.3">
      <c r="B396" s="356" t="s">
        <v>963</v>
      </c>
      <c r="C396" s="583" t="s">
        <v>964</v>
      </c>
      <c r="D396" s="583"/>
      <c r="E396" s="583"/>
      <c r="F396" s="583"/>
      <c r="G396" s="584"/>
    </row>
    <row r="397" spans="2:7" ht="13.8" hidden="1" thickBot="1" x14ac:dyDescent="0.3">
      <c r="B397" s="346"/>
      <c r="C397" s="262"/>
      <c r="D397" s="264"/>
      <c r="E397" s="264"/>
      <c r="F397" s="264"/>
      <c r="G397" s="328"/>
    </row>
    <row r="398" spans="2:7" ht="32.25" hidden="1" customHeight="1" x14ac:dyDescent="0.25">
      <c r="B398" s="346" t="s">
        <v>897</v>
      </c>
      <c r="C398" s="583" t="s">
        <v>993</v>
      </c>
      <c r="D398" s="583"/>
      <c r="E398" s="583"/>
      <c r="F398" s="583"/>
      <c r="G398" s="584"/>
    </row>
    <row r="399" spans="2:7" ht="13.8" hidden="1" thickBot="1" x14ac:dyDescent="0.3">
      <c r="B399" s="346"/>
      <c r="C399" s="262"/>
      <c r="D399" s="264"/>
      <c r="E399" s="264"/>
      <c r="F399" s="264"/>
      <c r="G399" s="328"/>
    </row>
    <row r="400" spans="2:7" ht="27" hidden="1" customHeight="1" thickTop="1" thickBot="1" x14ac:dyDescent="0.3">
      <c r="B400" s="597" t="s">
        <v>994</v>
      </c>
      <c r="C400" s="598"/>
      <c r="D400" s="598"/>
      <c r="E400" s="598"/>
      <c r="F400" s="598"/>
      <c r="G400" s="599"/>
    </row>
    <row r="401" spans="2:7" ht="13.8" hidden="1" thickBot="1" x14ac:dyDescent="0.3">
      <c r="B401" s="347"/>
      <c r="C401" s="382"/>
      <c r="D401" s="264"/>
      <c r="E401" s="264"/>
      <c r="F401" s="264"/>
      <c r="G401" s="328"/>
    </row>
    <row r="402" spans="2:7" ht="13.8" hidden="1" thickBot="1" x14ac:dyDescent="0.3">
      <c r="B402" s="659" t="s">
        <v>995</v>
      </c>
      <c r="C402" s="660"/>
      <c r="D402" s="660"/>
      <c r="E402" s="660"/>
      <c r="F402" s="660"/>
      <c r="G402" s="661"/>
    </row>
    <row r="403" spans="2:7" ht="13.8" hidden="1" thickBot="1" x14ac:dyDescent="0.3">
      <c r="B403" s="662"/>
      <c r="C403" s="663"/>
      <c r="D403" s="663"/>
      <c r="E403" s="663"/>
      <c r="F403" s="663"/>
      <c r="G403" s="664"/>
    </row>
    <row r="404" spans="2:7" ht="13.8" hidden="1" thickBot="1" x14ac:dyDescent="0.3">
      <c r="B404" s="665" t="str">
        <f>C12</f>
        <v>HOTEL CON ESTACIONAMIENTO, LOCALES COMERCIALES, SERVICIOS RECREATIVOS Y LO RELACIONADO AL GIRO DEL ASEGURADO</v>
      </c>
      <c r="C404" s="666"/>
      <c r="D404" s="666"/>
      <c r="E404" s="666"/>
      <c r="F404" s="666"/>
      <c r="G404" s="667"/>
    </row>
    <row r="405" spans="2:7" ht="13.8" hidden="1" thickBot="1" x14ac:dyDescent="0.3">
      <c r="B405" s="347"/>
      <c r="C405" s="382"/>
      <c r="D405" s="264"/>
      <c r="E405" s="264"/>
      <c r="F405" s="264"/>
      <c r="G405" s="328"/>
    </row>
    <row r="406" spans="2:7" ht="13.8" hidden="1" thickBot="1" x14ac:dyDescent="0.3">
      <c r="B406" s="671" t="s">
        <v>996</v>
      </c>
      <c r="C406" s="663"/>
      <c r="D406" s="663"/>
      <c r="E406" s="663"/>
      <c r="F406" s="663"/>
      <c r="G406" s="664"/>
    </row>
    <row r="407" spans="2:7" ht="13.8" hidden="1" thickBot="1" x14ac:dyDescent="0.3">
      <c r="B407" s="662"/>
      <c r="C407" s="663"/>
      <c r="D407" s="663"/>
      <c r="E407" s="663"/>
      <c r="F407" s="663"/>
      <c r="G407" s="664"/>
    </row>
    <row r="408" spans="2:7" ht="13.8" hidden="1" thickBot="1" x14ac:dyDescent="0.3">
      <c r="B408" s="347"/>
      <c r="C408" s="382"/>
      <c r="D408" s="264"/>
      <c r="E408" s="264"/>
      <c r="F408" s="264"/>
      <c r="G408" s="328"/>
    </row>
    <row r="409" spans="2:7" ht="13.8" hidden="1" thickBot="1" x14ac:dyDescent="0.3">
      <c r="B409" s="651" t="s">
        <v>997</v>
      </c>
      <c r="C409" s="600"/>
      <c r="D409" s="600"/>
      <c r="E409" s="600"/>
      <c r="F409" s="600"/>
      <c r="G409" s="601"/>
    </row>
    <row r="410" spans="2:7" ht="12.75" hidden="1" customHeight="1" x14ac:dyDescent="0.25">
      <c r="B410" s="672"/>
      <c r="C410" s="673"/>
      <c r="D410" s="673"/>
      <c r="E410" s="673"/>
      <c r="F410" s="673"/>
      <c r="G410" s="674"/>
    </row>
    <row r="411" spans="2:7" ht="12.75" hidden="1" customHeight="1" x14ac:dyDescent="0.25">
      <c r="B411" s="383"/>
      <c r="C411" s="384"/>
      <c r="D411" s="384"/>
      <c r="E411" s="384"/>
      <c r="F411" s="384"/>
      <c r="G411" s="385"/>
    </row>
    <row r="412" spans="2:7" ht="12.75" hidden="1" customHeight="1" x14ac:dyDescent="0.25">
      <c r="B412" s="596" t="s">
        <v>998</v>
      </c>
      <c r="C412" s="581"/>
      <c r="D412" s="581"/>
      <c r="E412" s="581"/>
      <c r="F412" s="581"/>
      <c r="G412" s="582"/>
    </row>
    <row r="413" spans="2:7" ht="13.8" hidden="1" thickBot="1" x14ac:dyDescent="0.3">
      <c r="B413" s="596"/>
      <c r="C413" s="581"/>
      <c r="D413" s="581"/>
      <c r="E413" s="581"/>
      <c r="F413" s="581"/>
      <c r="G413" s="582"/>
    </row>
    <row r="414" spans="2:7" ht="13.8" hidden="1" thickBot="1" x14ac:dyDescent="0.3">
      <c r="B414" s="346"/>
      <c r="C414" s="262"/>
      <c r="D414" s="264"/>
      <c r="E414" s="264"/>
      <c r="F414" s="264"/>
      <c r="G414" s="328"/>
    </row>
    <row r="415" spans="2:7" ht="13.8" hidden="1" thickBot="1" x14ac:dyDescent="0.3">
      <c r="B415" s="386" t="s">
        <v>999</v>
      </c>
      <c r="C415" s="387"/>
      <c r="D415" s="388"/>
      <c r="E415" s="388"/>
      <c r="F415" s="388"/>
      <c r="G415" s="389"/>
    </row>
    <row r="416" spans="2:7" ht="13.8" hidden="1" thickBot="1" x14ac:dyDescent="0.3">
      <c r="B416" s="668" t="s">
        <v>1000</v>
      </c>
      <c r="C416" s="669"/>
      <c r="D416" s="669"/>
      <c r="E416" s="669"/>
      <c r="F416" s="669"/>
      <c r="G416" s="670"/>
    </row>
    <row r="417" spans="2:7" ht="12.75" hidden="1" customHeight="1" x14ac:dyDescent="0.25">
      <c r="B417" s="668" t="s">
        <v>1001</v>
      </c>
      <c r="C417" s="669"/>
      <c r="D417" s="669"/>
      <c r="E417" s="669"/>
      <c r="F417" s="669"/>
      <c r="G417" s="670"/>
    </row>
    <row r="418" spans="2:7" ht="12.75" hidden="1" customHeight="1" x14ac:dyDescent="0.25">
      <c r="B418" s="668" t="s">
        <v>1002</v>
      </c>
      <c r="C418" s="669"/>
      <c r="D418" s="669"/>
      <c r="E418" s="669"/>
      <c r="F418" s="669"/>
      <c r="G418" s="670"/>
    </row>
    <row r="419" spans="2:7" ht="12.75" hidden="1" customHeight="1" x14ac:dyDescent="0.25">
      <c r="B419" s="668" t="s">
        <v>1003</v>
      </c>
      <c r="C419" s="669"/>
      <c r="D419" s="669"/>
      <c r="E419" s="669"/>
      <c r="F419" s="669"/>
      <c r="G419" s="670"/>
    </row>
    <row r="420" spans="2:7" ht="12.75" hidden="1" customHeight="1" x14ac:dyDescent="0.25">
      <c r="B420" s="668" t="s">
        <v>1004</v>
      </c>
      <c r="C420" s="669"/>
      <c r="D420" s="669"/>
      <c r="E420" s="669"/>
      <c r="F420" s="669"/>
      <c r="G420" s="670"/>
    </row>
    <row r="421" spans="2:7" ht="12.75" hidden="1" customHeight="1" x14ac:dyDescent="0.25">
      <c r="B421" s="668" t="s">
        <v>1005</v>
      </c>
      <c r="C421" s="669"/>
      <c r="D421" s="669"/>
      <c r="E421" s="669"/>
      <c r="F421" s="669"/>
      <c r="G421" s="670"/>
    </row>
    <row r="422" spans="2:7" ht="12.75" hidden="1" customHeight="1" x14ac:dyDescent="0.25">
      <c r="B422" s="668" t="s">
        <v>1006</v>
      </c>
      <c r="C422" s="669"/>
      <c r="D422" s="669"/>
      <c r="E422" s="669"/>
      <c r="F422" s="669"/>
      <c r="G422" s="670"/>
    </row>
    <row r="423" spans="2:7" ht="13.8" hidden="1" thickBot="1" x14ac:dyDescent="0.3">
      <c r="B423" s="651" t="s">
        <v>1007</v>
      </c>
      <c r="C423" s="600"/>
      <c r="D423" s="600"/>
      <c r="E423" s="600"/>
      <c r="F423" s="600"/>
      <c r="G423" s="601"/>
    </row>
    <row r="424" spans="2:7" ht="12.75" hidden="1" customHeight="1" x14ac:dyDescent="0.25">
      <c r="B424" s="671"/>
      <c r="C424" s="641"/>
      <c r="D424" s="641"/>
      <c r="E424" s="641"/>
      <c r="F424" s="641"/>
      <c r="G424" s="642"/>
    </row>
    <row r="425" spans="2:7" ht="12.75" hidden="1" customHeight="1" x14ac:dyDescent="0.25">
      <c r="B425" s="390"/>
      <c r="C425" s="357"/>
      <c r="D425" s="357"/>
      <c r="E425" s="357"/>
      <c r="F425" s="357"/>
      <c r="G425" s="358"/>
    </row>
    <row r="426" spans="2:7" ht="12.75" hidden="1" customHeight="1" x14ac:dyDescent="0.25">
      <c r="B426" s="668"/>
      <c r="C426" s="669"/>
      <c r="D426" s="669"/>
      <c r="E426" s="669"/>
      <c r="F426" s="669"/>
      <c r="G426" s="670"/>
    </row>
    <row r="427" spans="2:7" ht="12.75" hidden="1" customHeight="1" x14ac:dyDescent="0.25">
      <c r="B427" s="391" t="s">
        <v>1008</v>
      </c>
      <c r="C427" s="675" t="s">
        <v>1009</v>
      </c>
      <c r="D427" s="675"/>
      <c r="E427" s="675"/>
      <c r="F427" s="675"/>
      <c r="G427" s="676"/>
    </row>
    <row r="428" spans="2:7" ht="12.75" hidden="1" customHeight="1" x14ac:dyDescent="0.25">
      <c r="B428" s="391" t="s">
        <v>1010</v>
      </c>
      <c r="C428" s="675" t="s">
        <v>1009</v>
      </c>
      <c r="D428" s="675"/>
      <c r="E428" s="675"/>
      <c r="F428" s="675"/>
      <c r="G428" s="676"/>
    </row>
    <row r="429" spans="2:7" ht="40.200000000000003" hidden="1" thickBot="1" x14ac:dyDescent="0.3">
      <c r="B429" s="391" t="s">
        <v>1011</v>
      </c>
      <c r="C429" s="675" t="s">
        <v>1012</v>
      </c>
      <c r="D429" s="675"/>
      <c r="E429" s="675"/>
      <c r="F429" s="675"/>
      <c r="G429" s="676"/>
    </row>
    <row r="430" spans="2:7" ht="25.5" hidden="1" customHeight="1" x14ac:dyDescent="0.25">
      <c r="B430" s="391" t="s">
        <v>1013</v>
      </c>
      <c r="C430" s="675" t="s">
        <v>1012</v>
      </c>
      <c r="D430" s="675"/>
      <c r="E430" s="675"/>
      <c r="F430" s="675"/>
      <c r="G430" s="676"/>
    </row>
    <row r="431" spans="2:7" ht="13.5" hidden="1" customHeight="1" x14ac:dyDescent="0.25">
      <c r="B431" s="391"/>
      <c r="C431" s="675"/>
      <c r="D431" s="675"/>
      <c r="E431" s="675"/>
      <c r="F431" s="675"/>
      <c r="G431" s="676"/>
    </row>
    <row r="432" spans="2:7" ht="12.75" hidden="1" customHeight="1" x14ac:dyDescent="0.25">
      <c r="B432" s="386" t="s">
        <v>1014</v>
      </c>
      <c r="C432" s="675" t="s">
        <v>1015</v>
      </c>
      <c r="D432" s="675"/>
      <c r="E432" s="675"/>
      <c r="F432" s="675"/>
      <c r="G432" s="676"/>
    </row>
    <row r="433" spans="2:7" ht="12.75" hidden="1" customHeight="1" x14ac:dyDescent="0.25">
      <c r="B433" s="386"/>
      <c r="C433" s="392"/>
      <c r="D433" s="392"/>
      <c r="E433" s="392"/>
      <c r="F433" s="392"/>
      <c r="G433" s="393"/>
    </row>
    <row r="434" spans="2:7" ht="12.75" hidden="1" customHeight="1" x14ac:dyDescent="0.25">
      <c r="B434" s="386"/>
      <c r="C434" s="387"/>
      <c r="D434" s="388"/>
      <c r="E434" s="388"/>
      <c r="F434" s="388"/>
      <c r="G434" s="389"/>
    </row>
    <row r="435" spans="2:7" ht="12.75" hidden="1" customHeight="1" x14ac:dyDescent="0.25">
      <c r="B435" s="394" t="s">
        <v>1016</v>
      </c>
      <c r="C435" s="387"/>
      <c r="D435" s="388"/>
      <c r="E435" s="388"/>
      <c r="F435" s="388"/>
      <c r="G435" s="389"/>
    </row>
    <row r="436" spans="2:7" ht="13.8" hidden="1" thickBot="1" x14ac:dyDescent="0.3">
      <c r="B436" s="391" t="s">
        <v>1017</v>
      </c>
      <c r="C436" s="675" t="s">
        <v>1018</v>
      </c>
      <c r="D436" s="675"/>
      <c r="E436" s="675"/>
      <c r="F436" s="675"/>
      <c r="G436" s="676"/>
    </row>
    <row r="437" spans="2:7" ht="13.8" hidden="1" thickBot="1" x14ac:dyDescent="0.3">
      <c r="B437" s="386"/>
      <c r="C437" s="392"/>
      <c r="D437" s="392"/>
      <c r="E437" s="392"/>
      <c r="F437" s="392"/>
      <c r="G437" s="393"/>
    </row>
    <row r="438" spans="2:7" ht="39.75" hidden="1" customHeight="1" x14ac:dyDescent="0.25">
      <c r="B438" s="386" t="s">
        <v>1019</v>
      </c>
      <c r="C438" s="675" t="s">
        <v>1020</v>
      </c>
      <c r="D438" s="675"/>
      <c r="E438" s="675"/>
      <c r="F438" s="675"/>
      <c r="G438" s="676"/>
    </row>
    <row r="439" spans="2:7" ht="13.8" hidden="1" thickBot="1" x14ac:dyDescent="0.3">
      <c r="B439" s="386"/>
      <c r="C439" s="395"/>
      <c r="D439" s="395"/>
      <c r="E439" s="395"/>
      <c r="F439" s="395"/>
      <c r="G439" s="396"/>
    </row>
    <row r="440" spans="2:7" ht="30" hidden="1" customHeight="1" x14ac:dyDescent="0.25">
      <c r="B440" s="386" t="s">
        <v>1006</v>
      </c>
      <c r="C440" s="675" t="s">
        <v>1021</v>
      </c>
      <c r="D440" s="675"/>
      <c r="E440" s="675"/>
      <c r="F440" s="675"/>
      <c r="G440" s="676"/>
    </row>
    <row r="441" spans="2:7" ht="12.75" hidden="1" customHeight="1" x14ac:dyDescent="0.25">
      <c r="B441" s="386"/>
      <c r="C441" s="387"/>
      <c r="D441" s="387"/>
      <c r="E441" s="387"/>
      <c r="F441" s="387"/>
      <c r="G441" s="397"/>
    </row>
    <row r="442" spans="2:7" ht="12.75" hidden="1" customHeight="1" x14ac:dyDescent="0.25">
      <c r="B442" s="386" t="s">
        <v>1022</v>
      </c>
      <c r="C442" s="675" t="s">
        <v>1023</v>
      </c>
      <c r="D442" s="675"/>
      <c r="E442" s="675"/>
      <c r="F442" s="675"/>
      <c r="G442" s="676"/>
    </row>
    <row r="443" spans="2:7" ht="13.8" hidden="1" thickBot="1" x14ac:dyDescent="0.3">
      <c r="B443" s="386"/>
      <c r="C443" s="387"/>
      <c r="D443" s="388"/>
      <c r="E443" s="388"/>
      <c r="F443" s="388"/>
      <c r="G443" s="389"/>
    </row>
    <row r="444" spans="2:7" ht="12.75" hidden="1" customHeight="1" x14ac:dyDescent="0.25">
      <c r="B444" s="386" t="s">
        <v>1024</v>
      </c>
      <c r="C444" s="675" t="s">
        <v>1023</v>
      </c>
      <c r="D444" s="675"/>
      <c r="E444" s="675"/>
      <c r="F444" s="675"/>
      <c r="G444" s="676"/>
    </row>
    <row r="445" spans="2:7" ht="13.8" hidden="1" thickBot="1" x14ac:dyDescent="0.3">
      <c r="B445" s="386"/>
      <c r="C445" s="387"/>
      <c r="D445" s="387"/>
      <c r="E445" s="387"/>
      <c r="F445" s="387"/>
      <c r="G445" s="397"/>
    </row>
    <row r="446" spans="2:7" ht="25.5" hidden="1" customHeight="1" x14ac:dyDescent="0.25">
      <c r="B446" s="386" t="s">
        <v>1025</v>
      </c>
      <c r="C446" s="675" t="s">
        <v>1023</v>
      </c>
      <c r="D446" s="675"/>
      <c r="E446" s="675"/>
      <c r="F446" s="675"/>
      <c r="G446" s="676"/>
    </row>
    <row r="447" spans="2:7" ht="27" hidden="1" thickBot="1" x14ac:dyDescent="0.3">
      <c r="B447" s="391" t="s">
        <v>1013</v>
      </c>
      <c r="C447" s="675" t="s">
        <v>1023</v>
      </c>
      <c r="D447" s="675"/>
      <c r="E447" s="675"/>
      <c r="F447" s="675"/>
      <c r="G447" s="676"/>
    </row>
    <row r="448" spans="2:7" ht="12.75" hidden="1" customHeight="1" x14ac:dyDescent="0.25">
      <c r="B448" s="386"/>
      <c r="C448" s="675"/>
      <c r="D448" s="675"/>
      <c r="E448" s="675"/>
      <c r="F448" s="675"/>
      <c r="G448" s="676"/>
    </row>
    <row r="449" spans="2:7" ht="13.8" hidden="1" thickBot="1" x14ac:dyDescent="0.3">
      <c r="B449" s="386"/>
      <c r="C449" s="387"/>
      <c r="D449" s="387"/>
      <c r="E449" s="387"/>
      <c r="F449" s="387"/>
      <c r="G449" s="397"/>
    </row>
    <row r="450" spans="2:7" ht="13.8" hidden="1" thickBot="1" x14ac:dyDescent="0.3">
      <c r="B450" s="386"/>
      <c r="C450" s="675"/>
      <c r="D450" s="675"/>
      <c r="E450" s="675"/>
      <c r="F450" s="675"/>
      <c r="G450" s="676"/>
    </row>
    <row r="451" spans="2:7" ht="13.8" hidden="1" thickBot="1" x14ac:dyDescent="0.3">
      <c r="B451" s="386"/>
      <c r="C451" s="387"/>
      <c r="D451" s="387"/>
      <c r="E451" s="387"/>
      <c r="F451" s="387"/>
      <c r="G451" s="397"/>
    </row>
    <row r="452" spans="2:7" ht="13.8" hidden="1" thickBot="1" x14ac:dyDescent="0.3">
      <c r="B452" s="386" t="s">
        <v>1026</v>
      </c>
      <c r="C452" s="675" t="s">
        <v>1027</v>
      </c>
      <c r="D452" s="675"/>
      <c r="E452" s="675"/>
      <c r="F452" s="675"/>
      <c r="G452" s="676"/>
    </row>
    <row r="453" spans="2:7" ht="13.8" hidden="1" thickBot="1" x14ac:dyDescent="0.3">
      <c r="B453" s="386"/>
      <c r="C453" s="675" t="s">
        <v>1028</v>
      </c>
      <c r="D453" s="675"/>
      <c r="E453" s="675"/>
      <c r="F453" s="675"/>
      <c r="G453" s="676"/>
    </row>
    <row r="454" spans="2:7" ht="12.75" hidden="1" customHeight="1" x14ac:dyDescent="0.25">
      <c r="B454" s="386"/>
      <c r="C454" s="675" t="s">
        <v>1029</v>
      </c>
      <c r="D454" s="675"/>
      <c r="E454" s="675"/>
      <c r="F454" s="675"/>
      <c r="G454" s="676"/>
    </row>
    <row r="455" spans="2:7" ht="12.75" hidden="1" customHeight="1" x14ac:dyDescent="0.25">
      <c r="B455" s="386"/>
      <c r="C455" s="398"/>
      <c r="D455" s="398"/>
      <c r="E455" s="398"/>
      <c r="F455" s="398"/>
      <c r="G455" s="399"/>
    </row>
    <row r="456" spans="2:7" ht="13.8" hidden="1" thickBot="1" x14ac:dyDescent="0.3">
      <c r="B456" s="394" t="s">
        <v>1030</v>
      </c>
      <c r="C456" s="392"/>
      <c r="D456" s="392"/>
      <c r="E456" s="392"/>
      <c r="F456" s="392"/>
      <c r="G456" s="393"/>
    </row>
    <row r="457" spans="2:7" ht="12.75" hidden="1" customHeight="1" x14ac:dyDescent="0.25">
      <c r="B457" s="668" t="s">
        <v>1031</v>
      </c>
      <c r="C457" s="669"/>
      <c r="D457" s="669"/>
      <c r="E457" s="669"/>
      <c r="F457" s="669"/>
      <c r="G457" s="670"/>
    </row>
    <row r="458" spans="2:7" ht="12.75" hidden="1" customHeight="1" x14ac:dyDescent="0.25">
      <c r="B458" s="668" t="s">
        <v>1032</v>
      </c>
      <c r="C458" s="669"/>
      <c r="D458" s="669"/>
      <c r="E458" s="669"/>
      <c r="F458" s="669"/>
      <c r="G458" s="670"/>
    </row>
    <row r="459" spans="2:7" ht="13.8" hidden="1" thickBot="1" x14ac:dyDescent="0.3">
      <c r="B459" s="668" t="s">
        <v>1033</v>
      </c>
      <c r="C459" s="669"/>
      <c r="D459" s="669"/>
      <c r="E459" s="669"/>
      <c r="F459" s="669"/>
      <c r="G459" s="670"/>
    </row>
    <row r="460" spans="2:7" ht="13.8" hidden="1" thickBot="1" x14ac:dyDescent="0.3">
      <c r="B460" s="668" t="s">
        <v>1034</v>
      </c>
      <c r="C460" s="669"/>
      <c r="D460" s="669"/>
      <c r="E460" s="669"/>
      <c r="F460" s="669"/>
      <c r="G460" s="670"/>
    </row>
    <row r="461" spans="2:7" ht="13.8" hidden="1" thickBot="1" x14ac:dyDescent="0.3">
      <c r="B461" s="668" t="s">
        <v>1035</v>
      </c>
      <c r="C461" s="669"/>
      <c r="D461" s="669"/>
      <c r="E461" s="669"/>
      <c r="F461" s="669"/>
      <c r="G461" s="670"/>
    </row>
    <row r="462" spans="2:7" ht="13.8" hidden="1" thickBot="1" x14ac:dyDescent="0.3">
      <c r="B462" s="668" t="s">
        <v>1036</v>
      </c>
      <c r="C462" s="669"/>
      <c r="D462" s="669"/>
      <c r="E462" s="669"/>
      <c r="F462" s="669"/>
      <c r="G462" s="670"/>
    </row>
    <row r="463" spans="2:7" ht="12.75" hidden="1" customHeight="1" x14ac:dyDescent="0.25">
      <c r="B463" s="668" t="s">
        <v>1037</v>
      </c>
      <c r="C463" s="669"/>
      <c r="D463" s="669"/>
      <c r="E463" s="669"/>
      <c r="F463" s="669"/>
      <c r="G463" s="670"/>
    </row>
    <row r="464" spans="2:7" ht="13.8" hidden="1" thickBot="1" x14ac:dyDescent="0.3">
      <c r="B464" s="668" t="s">
        <v>1038</v>
      </c>
      <c r="C464" s="669"/>
      <c r="D464" s="669"/>
      <c r="E464" s="669"/>
      <c r="F464" s="669"/>
      <c r="G464" s="670"/>
    </row>
    <row r="465" spans="2:7" ht="12.75" hidden="1" customHeight="1" x14ac:dyDescent="0.25">
      <c r="B465" s="668" t="s">
        <v>1039</v>
      </c>
      <c r="C465" s="669"/>
      <c r="D465" s="669"/>
      <c r="E465" s="669"/>
      <c r="F465" s="669"/>
      <c r="G465" s="670"/>
    </row>
    <row r="466" spans="2:7" ht="12.75" hidden="1" customHeight="1" x14ac:dyDescent="0.25">
      <c r="B466" s="651" t="s">
        <v>1040</v>
      </c>
      <c r="C466" s="600"/>
      <c r="D466" s="600"/>
      <c r="E466" s="600"/>
      <c r="F466" s="600"/>
      <c r="G466" s="601"/>
    </row>
    <row r="467" spans="2:7" ht="12.75" hidden="1" customHeight="1" x14ac:dyDescent="0.25">
      <c r="B467" s="651" t="s">
        <v>1041</v>
      </c>
      <c r="C467" s="600"/>
      <c r="D467" s="600"/>
      <c r="E467" s="600"/>
      <c r="F467" s="600"/>
      <c r="G467" s="601"/>
    </row>
    <row r="468" spans="2:7" ht="13.8" hidden="1" thickBot="1" x14ac:dyDescent="0.3">
      <c r="B468" s="651" t="s">
        <v>1042</v>
      </c>
      <c r="C468" s="600"/>
      <c r="D468" s="600"/>
      <c r="E468" s="600"/>
      <c r="F468" s="600"/>
      <c r="G468" s="601"/>
    </row>
    <row r="469" spans="2:7" ht="13.8" hidden="1" thickBot="1" x14ac:dyDescent="0.3">
      <c r="B469" s="651" t="s">
        <v>1043</v>
      </c>
      <c r="C469" s="600"/>
      <c r="D469" s="600"/>
      <c r="E469" s="600"/>
      <c r="F469" s="600"/>
      <c r="G469" s="601"/>
    </row>
    <row r="470" spans="2:7" ht="13.8" hidden="1" thickBot="1" x14ac:dyDescent="0.3">
      <c r="B470" s="651" t="s">
        <v>1032</v>
      </c>
      <c r="C470" s="600"/>
      <c r="D470" s="600"/>
      <c r="E470" s="600"/>
      <c r="F470" s="600"/>
      <c r="G470" s="601"/>
    </row>
    <row r="471" spans="2:7" ht="13.8" hidden="1" thickBot="1" x14ac:dyDescent="0.3">
      <c r="B471" s="651" t="s">
        <v>1037</v>
      </c>
      <c r="C471" s="600"/>
      <c r="D471" s="600"/>
      <c r="E471" s="600"/>
      <c r="F471" s="600"/>
      <c r="G471" s="601"/>
    </row>
    <row r="472" spans="2:7" ht="12.75" hidden="1" customHeight="1" x14ac:dyDescent="0.25">
      <c r="B472" s="651" t="s">
        <v>1038</v>
      </c>
      <c r="C472" s="600"/>
      <c r="D472" s="600"/>
      <c r="E472" s="600"/>
      <c r="F472" s="600"/>
      <c r="G472" s="601"/>
    </row>
    <row r="473" spans="2:7" ht="13.8" hidden="1" thickBot="1" x14ac:dyDescent="0.3">
      <c r="B473" s="651" t="s">
        <v>1044</v>
      </c>
      <c r="C473" s="600"/>
      <c r="D473" s="600"/>
      <c r="E473" s="600"/>
      <c r="F473" s="600"/>
      <c r="G473" s="601"/>
    </row>
    <row r="474" spans="2:7" ht="12.75" hidden="1" customHeight="1" x14ac:dyDescent="0.25">
      <c r="B474" s="651" t="s">
        <v>1045</v>
      </c>
      <c r="C474" s="600"/>
      <c r="D474" s="600"/>
      <c r="E474" s="600"/>
      <c r="F474" s="600"/>
      <c r="G474" s="601"/>
    </row>
    <row r="475" spans="2:7" ht="12.75" hidden="1" customHeight="1" thickBot="1" x14ac:dyDescent="0.3">
      <c r="B475" s="346"/>
      <c r="C475" s="352"/>
      <c r="D475" s="352"/>
      <c r="E475" s="352"/>
      <c r="F475" s="352"/>
      <c r="G475" s="353"/>
    </row>
    <row r="476" spans="2:7" ht="51.75" hidden="1" customHeight="1" thickTop="1" x14ac:dyDescent="0.25">
      <c r="B476" s="677" t="s">
        <v>1046</v>
      </c>
      <c r="C476" s="678"/>
      <c r="D476" s="678"/>
      <c r="E476" s="678"/>
      <c r="F476" s="678"/>
      <c r="G476" s="679"/>
    </row>
    <row r="477" spans="2:7" ht="13.2" hidden="1" x14ac:dyDescent="0.25">
      <c r="B477" s="346"/>
      <c r="C477" s="352"/>
      <c r="D477" s="352"/>
      <c r="E477" s="352"/>
      <c r="F477" s="352"/>
      <c r="G477" s="353"/>
    </row>
    <row r="478" spans="2:7" ht="27" hidden="1" customHeight="1" thickTop="1" thickBot="1" x14ac:dyDescent="0.3">
      <c r="B478" s="597" t="s">
        <v>1047</v>
      </c>
      <c r="C478" s="598"/>
      <c r="D478" s="598"/>
      <c r="E478" s="598"/>
      <c r="F478" s="598"/>
      <c r="G478" s="599"/>
    </row>
    <row r="479" spans="2:7" ht="13.2" hidden="1" x14ac:dyDescent="0.25">
      <c r="B479" s="347"/>
      <c r="C479" s="262"/>
      <c r="D479" s="264"/>
      <c r="E479" s="264"/>
      <c r="F479" s="264"/>
      <c r="G479" s="328"/>
    </row>
    <row r="480" spans="2:7" ht="13.2" hidden="1" x14ac:dyDescent="0.25">
      <c r="B480" s="651" t="s">
        <v>1048</v>
      </c>
      <c r="C480" s="583" t="s">
        <v>1049</v>
      </c>
      <c r="D480" s="583"/>
      <c r="E480" s="583"/>
      <c r="F480" s="583"/>
      <c r="G480" s="584"/>
    </row>
    <row r="481" spans="2:7" ht="13.2" hidden="1" x14ac:dyDescent="0.25">
      <c r="B481" s="651"/>
      <c r="C481" s="583"/>
      <c r="D481" s="583"/>
      <c r="E481" s="583"/>
      <c r="F481" s="583"/>
      <c r="G481" s="584"/>
    </row>
    <row r="482" spans="2:7" ht="13.2" hidden="1" x14ac:dyDescent="0.25">
      <c r="B482" s="346"/>
      <c r="C482" s="400"/>
      <c r="D482" s="400"/>
      <c r="E482" s="400"/>
      <c r="F482" s="400"/>
      <c r="G482" s="401"/>
    </row>
    <row r="483" spans="2:7" ht="13.2" hidden="1" x14ac:dyDescent="0.25">
      <c r="B483" s="347" t="s">
        <v>1050</v>
      </c>
      <c r="C483" s="262"/>
      <c r="D483" s="264"/>
      <c r="E483" s="264"/>
      <c r="F483" s="264"/>
      <c r="G483" s="328"/>
    </row>
    <row r="484" spans="2:7" ht="13.2" hidden="1" x14ac:dyDescent="0.25">
      <c r="B484" s="347"/>
      <c r="C484" s="262"/>
      <c r="D484" s="264"/>
      <c r="E484" s="264"/>
      <c r="F484" s="264"/>
      <c r="G484" s="328"/>
    </row>
    <row r="485" spans="2:7" ht="13.2" hidden="1" x14ac:dyDescent="0.25">
      <c r="B485" s="651" t="s">
        <v>1051</v>
      </c>
      <c r="C485" s="600"/>
      <c r="D485" s="600"/>
      <c r="E485" s="600"/>
      <c r="F485" s="600"/>
      <c r="G485" s="601"/>
    </row>
    <row r="486" spans="2:7" ht="13.2" hidden="1" x14ac:dyDescent="0.25">
      <c r="B486" s="651" t="s">
        <v>1052</v>
      </c>
      <c r="C486" s="600"/>
      <c r="D486" s="600"/>
      <c r="E486" s="600"/>
      <c r="F486" s="600"/>
      <c r="G486" s="601"/>
    </row>
    <row r="487" spans="2:7" ht="13.2" hidden="1" x14ac:dyDescent="0.25">
      <c r="B487" s="651" t="s">
        <v>1053</v>
      </c>
      <c r="C487" s="600"/>
      <c r="D487" s="600"/>
      <c r="E487" s="600"/>
      <c r="F487" s="600"/>
      <c r="G487" s="601"/>
    </row>
    <row r="488" spans="2:7" ht="13.2" hidden="1" x14ac:dyDescent="0.25">
      <c r="B488" s="651" t="s">
        <v>1054</v>
      </c>
      <c r="C488" s="600"/>
      <c r="D488" s="600"/>
      <c r="E488" s="600"/>
      <c r="F488" s="600"/>
      <c r="G488" s="601"/>
    </row>
    <row r="489" spans="2:7" ht="13.2" hidden="1" x14ac:dyDescent="0.25">
      <c r="B489" s="651" t="s">
        <v>1055</v>
      </c>
      <c r="C489" s="600"/>
      <c r="D489" s="600"/>
      <c r="E489" s="600"/>
      <c r="F489" s="600"/>
      <c r="G489" s="601"/>
    </row>
    <row r="490" spans="2:7" ht="13.2" hidden="1" x14ac:dyDescent="0.25">
      <c r="B490" s="651" t="s">
        <v>1056</v>
      </c>
      <c r="C490" s="600"/>
      <c r="D490" s="600"/>
      <c r="E490" s="600"/>
      <c r="F490" s="600"/>
      <c r="G490" s="601"/>
    </row>
    <row r="491" spans="2:7" ht="13.2" hidden="1" x14ac:dyDescent="0.25">
      <c r="B491" s="651" t="s">
        <v>1057</v>
      </c>
      <c r="C491" s="600"/>
      <c r="D491" s="600"/>
      <c r="E491" s="600"/>
      <c r="F491" s="600"/>
      <c r="G491" s="601"/>
    </row>
    <row r="492" spans="2:7" ht="13.2" hidden="1" x14ac:dyDescent="0.25">
      <c r="B492" s="651" t="s">
        <v>1058</v>
      </c>
      <c r="C492" s="600"/>
      <c r="D492" s="600"/>
      <c r="E492" s="600"/>
      <c r="F492" s="600"/>
      <c r="G492" s="601"/>
    </row>
    <row r="493" spans="2:7" ht="13.2" hidden="1" x14ac:dyDescent="0.25">
      <c r="B493" s="651" t="s">
        <v>1059</v>
      </c>
      <c r="C493" s="600"/>
      <c r="D493" s="600"/>
      <c r="E493" s="600"/>
      <c r="F493" s="600"/>
      <c r="G493" s="601"/>
    </row>
    <row r="494" spans="2:7" ht="13.2" hidden="1" x14ac:dyDescent="0.25">
      <c r="B494" s="651" t="s">
        <v>1060</v>
      </c>
      <c r="C494" s="600"/>
      <c r="D494" s="600"/>
      <c r="E494" s="600"/>
      <c r="F494" s="600"/>
      <c r="G494" s="601"/>
    </row>
    <row r="495" spans="2:7" ht="13.2" hidden="1" x14ac:dyDescent="0.25">
      <c r="B495" s="651" t="s">
        <v>1061</v>
      </c>
      <c r="C495" s="600"/>
      <c r="D495" s="600"/>
      <c r="E495" s="600"/>
      <c r="F495" s="600"/>
      <c r="G495" s="601"/>
    </row>
    <row r="496" spans="2:7" ht="13.2" hidden="1" x14ac:dyDescent="0.25">
      <c r="B496" s="651" t="s">
        <v>1062</v>
      </c>
      <c r="C496" s="600"/>
      <c r="D496" s="600"/>
      <c r="E496" s="600"/>
      <c r="F496" s="600"/>
      <c r="G496" s="601"/>
    </row>
    <row r="497" spans="2:7" ht="13.2" hidden="1" x14ac:dyDescent="0.25">
      <c r="B497" s="651" t="s">
        <v>1063</v>
      </c>
      <c r="C497" s="600"/>
      <c r="D497" s="600"/>
      <c r="E497" s="600"/>
      <c r="F497" s="600"/>
      <c r="G497" s="601"/>
    </row>
    <row r="498" spans="2:7" ht="13.2" hidden="1" x14ac:dyDescent="0.25">
      <c r="B498" s="651" t="s">
        <v>1064</v>
      </c>
      <c r="C498" s="600"/>
      <c r="D498" s="600"/>
      <c r="E498" s="600"/>
      <c r="F498" s="600"/>
      <c r="G498" s="601"/>
    </row>
    <row r="499" spans="2:7" ht="13.2" hidden="1" x14ac:dyDescent="0.25">
      <c r="B499" s="346"/>
      <c r="C499" s="262"/>
      <c r="D499" s="264"/>
      <c r="E499" s="264"/>
      <c r="F499" s="264"/>
      <c r="G499" s="328"/>
    </row>
    <row r="500" spans="2:7" ht="13.2" hidden="1" x14ac:dyDescent="0.25">
      <c r="B500" s="346" t="s">
        <v>1065</v>
      </c>
      <c r="C500" s="650" t="s">
        <v>1066</v>
      </c>
      <c r="D500" s="650"/>
      <c r="E500" s="650"/>
      <c r="F500" s="650"/>
      <c r="G500" s="652"/>
    </row>
    <row r="501" spans="2:7" ht="13.2" hidden="1" x14ac:dyDescent="0.25">
      <c r="B501" s="346" t="s">
        <v>1067</v>
      </c>
      <c r="C501" s="650" t="s">
        <v>1068</v>
      </c>
      <c r="D501" s="650"/>
      <c r="E501" s="650"/>
      <c r="F501" s="650"/>
      <c r="G501" s="652"/>
    </row>
    <row r="502" spans="2:7" ht="30" hidden="1" customHeight="1" x14ac:dyDescent="0.25">
      <c r="B502" s="346"/>
      <c r="C502" s="262"/>
      <c r="D502" s="264"/>
      <c r="E502" s="264"/>
      <c r="F502" s="264"/>
      <c r="G502" s="328"/>
    </row>
    <row r="503" spans="2:7" ht="13.2" hidden="1" x14ac:dyDescent="0.25">
      <c r="B503" s="402" t="s">
        <v>1069</v>
      </c>
      <c r="C503" s="583" t="s">
        <v>1070</v>
      </c>
      <c r="D503" s="583"/>
      <c r="E503" s="583"/>
      <c r="F503" s="583"/>
      <c r="G503" s="328"/>
    </row>
    <row r="504" spans="2:7" ht="13.2" hidden="1" x14ac:dyDescent="0.25">
      <c r="B504" s="402"/>
      <c r="C504" s="262"/>
      <c r="D504" s="264"/>
      <c r="E504" s="264"/>
      <c r="F504" s="264"/>
      <c r="G504" s="328"/>
    </row>
    <row r="505" spans="2:7" ht="13.2" hidden="1" x14ac:dyDescent="0.25">
      <c r="B505" s="402" t="s">
        <v>1071</v>
      </c>
      <c r="C505" s="262"/>
      <c r="D505" s="403">
        <v>0</v>
      </c>
      <c r="E505" s="264"/>
      <c r="F505" s="264"/>
      <c r="G505" s="328"/>
    </row>
    <row r="506" spans="2:7" ht="13.2" hidden="1" x14ac:dyDescent="0.25">
      <c r="B506" s="402" t="s">
        <v>1072</v>
      </c>
      <c r="C506" s="262"/>
      <c r="D506" s="403">
        <v>0</v>
      </c>
      <c r="E506" s="264"/>
      <c r="F506" s="264"/>
      <c r="G506" s="328"/>
    </row>
    <row r="507" spans="2:7" ht="13.2" hidden="1" x14ac:dyDescent="0.25">
      <c r="B507" s="402" t="s">
        <v>1073</v>
      </c>
      <c r="C507" s="262"/>
      <c r="D507" s="403">
        <v>0</v>
      </c>
      <c r="E507" s="264"/>
      <c r="F507" s="264"/>
      <c r="G507" s="328"/>
    </row>
    <row r="508" spans="2:7" ht="13.2" hidden="1" x14ac:dyDescent="0.25">
      <c r="B508" s="402" t="s">
        <v>1074</v>
      </c>
      <c r="C508" s="262"/>
      <c r="D508" s="403">
        <v>0</v>
      </c>
      <c r="E508" s="264"/>
      <c r="F508" s="264"/>
      <c r="G508" s="328"/>
    </row>
    <row r="509" spans="2:7" ht="13.2" hidden="1" x14ac:dyDescent="0.25">
      <c r="B509" s="402"/>
      <c r="C509" s="262"/>
      <c r="D509" s="264"/>
      <c r="E509" s="264"/>
      <c r="F509" s="264"/>
      <c r="G509" s="328"/>
    </row>
    <row r="510" spans="2:7" ht="13.2" hidden="1" x14ac:dyDescent="0.25">
      <c r="B510" s="680" t="s">
        <v>1075</v>
      </c>
      <c r="C510" s="681"/>
      <c r="D510" s="404" t="s">
        <v>1076</v>
      </c>
      <c r="E510" s="264"/>
      <c r="F510" s="264"/>
      <c r="G510" s="328"/>
    </row>
    <row r="511" spans="2:7" ht="13.2" hidden="1" x14ac:dyDescent="0.25">
      <c r="B511" s="402"/>
      <c r="C511" s="262"/>
      <c r="D511" s="264"/>
      <c r="E511" s="264"/>
      <c r="F511" s="264"/>
      <c r="G511" s="328"/>
    </row>
    <row r="512" spans="2:7" ht="13.2" hidden="1" x14ac:dyDescent="0.25">
      <c r="B512" s="680" t="s">
        <v>1077</v>
      </c>
      <c r="C512" s="681"/>
      <c r="D512" s="404" t="s">
        <v>1078</v>
      </c>
      <c r="E512" s="264"/>
      <c r="F512" s="264"/>
      <c r="G512" s="328"/>
    </row>
    <row r="513" spans="2:7" ht="13.2" hidden="1" x14ac:dyDescent="0.25">
      <c r="B513" s="402"/>
      <c r="C513" s="262"/>
      <c r="D513" s="264"/>
      <c r="E513" s="264"/>
      <c r="F513" s="264"/>
      <c r="G513" s="328"/>
    </row>
    <row r="514" spans="2:7" ht="13.2" hidden="1" x14ac:dyDescent="0.25">
      <c r="B514" s="680" t="s">
        <v>1079</v>
      </c>
      <c r="C514" s="681"/>
      <c r="D514" s="681"/>
      <c r="E514" s="681"/>
      <c r="F514" s="681"/>
      <c r="G514" s="691"/>
    </row>
    <row r="515" spans="2:7" ht="13.2" hidden="1" x14ac:dyDescent="0.25">
      <c r="B515" s="402"/>
      <c r="C515" s="262"/>
      <c r="D515" s="264"/>
      <c r="E515" s="264"/>
      <c r="F515" s="264"/>
      <c r="G515" s="328"/>
    </row>
    <row r="516" spans="2:7" ht="13.2" hidden="1" x14ac:dyDescent="0.25">
      <c r="B516" s="405" t="s">
        <v>1016</v>
      </c>
      <c r="C516" s="262"/>
      <c r="D516" s="264"/>
      <c r="E516" s="264"/>
      <c r="F516" s="264"/>
      <c r="G516" s="328"/>
    </row>
    <row r="517" spans="2:7" ht="13.2" hidden="1" x14ac:dyDescent="0.25">
      <c r="B517" s="402" t="s">
        <v>775</v>
      </c>
      <c r="C517" s="650" t="s">
        <v>1080</v>
      </c>
      <c r="D517" s="650"/>
      <c r="E517" s="650"/>
      <c r="F517" s="650"/>
      <c r="G517" s="652"/>
    </row>
    <row r="518" spans="2:7" ht="13.2" hidden="1" x14ac:dyDescent="0.25">
      <c r="B518" s="402" t="s">
        <v>1081</v>
      </c>
      <c r="C518" s="650" t="s">
        <v>1082</v>
      </c>
      <c r="D518" s="650"/>
      <c r="E518" s="650"/>
      <c r="F518" s="650"/>
      <c r="G518" s="652"/>
    </row>
    <row r="519" spans="2:7" ht="26.25" hidden="1" customHeight="1" x14ac:dyDescent="0.25">
      <c r="B519" s="402"/>
      <c r="C519" s="262"/>
      <c r="D519" s="264"/>
      <c r="E519" s="264"/>
      <c r="F519" s="264"/>
      <c r="G519" s="328"/>
    </row>
    <row r="520" spans="2:7" ht="28.5" hidden="1" customHeight="1" thickBot="1" x14ac:dyDescent="0.3">
      <c r="B520" s="692" t="s">
        <v>1083</v>
      </c>
      <c r="C520" s="693"/>
      <c r="D520" s="693"/>
      <c r="E520" s="693"/>
      <c r="F520" s="693"/>
      <c r="G520" s="694"/>
    </row>
    <row r="521" spans="2:7" ht="13.8" hidden="1" thickBot="1" x14ac:dyDescent="0.3">
      <c r="B521" s="402"/>
      <c r="C521" s="262"/>
      <c r="D521" s="264"/>
      <c r="E521" s="264"/>
      <c r="F521" s="264"/>
      <c r="G521" s="328"/>
    </row>
    <row r="522" spans="2:7" ht="55.5" customHeight="1" thickTop="1" x14ac:dyDescent="0.25">
      <c r="B522" s="677" t="s">
        <v>1084</v>
      </c>
      <c r="C522" s="678"/>
      <c r="D522" s="678"/>
      <c r="E522" s="678"/>
      <c r="F522" s="678"/>
      <c r="G522" s="679"/>
    </row>
    <row r="523" spans="2:7" ht="13.2" x14ac:dyDescent="0.25">
      <c r="B523" s="405"/>
      <c r="C523" s="262"/>
      <c r="D523" s="264"/>
      <c r="E523" s="264"/>
      <c r="F523" s="264"/>
      <c r="G523" s="328"/>
    </row>
    <row r="524" spans="2:7" ht="17.399999999999999" x14ac:dyDescent="0.25">
      <c r="B524" s="695" t="s">
        <v>1085</v>
      </c>
      <c r="C524" s="696"/>
      <c r="D524" s="696"/>
      <c r="E524" s="696"/>
      <c r="F524" s="696"/>
      <c r="G524" s="697"/>
    </row>
    <row r="525" spans="2:7" ht="13.8" thickBot="1" x14ac:dyDescent="0.3">
      <c r="B525" s="405"/>
      <c r="C525" s="262"/>
      <c r="D525" s="264"/>
      <c r="E525" s="264"/>
      <c r="F525" s="264"/>
      <c r="G525" s="328"/>
    </row>
    <row r="526" spans="2:7" ht="127.5" customHeight="1" thickTop="1" x14ac:dyDescent="0.25">
      <c r="B526" s="682" t="s">
        <v>1086</v>
      </c>
      <c r="C526" s="683"/>
      <c r="D526" s="683"/>
      <c r="E526" s="683"/>
      <c r="F526" s="683"/>
      <c r="G526" s="684"/>
    </row>
    <row r="527" spans="2:7" ht="13.2" x14ac:dyDescent="0.25">
      <c r="B527" s="250"/>
      <c r="C527" s="262"/>
      <c r="D527" s="264"/>
      <c r="E527" s="264"/>
      <c r="F527" s="264"/>
      <c r="G527" s="328"/>
    </row>
    <row r="528" spans="2:7" ht="121.5" customHeight="1" x14ac:dyDescent="0.25">
      <c r="B528" s="685" t="s">
        <v>1087</v>
      </c>
      <c r="C528" s="686"/>
      <c r="D528" s="686"/>
      <c r="E528" s="686"/>
      <c r="F528" s="686"/>
      <c r="G528" s="687"/>
    </row>
    <row r="529" spans="2:7" ht="13.2" x14ac:dyDescent="0.25">
      <c r="B529" s="250"/>
      <c r="C529" s="262"/>
      <c r="D529" s="264"/>
      <c r="E529" s="264"/>
      <c r="F529" s="264"/>
      <c r="G529" s="328"/>
    </row>
    <row r="530" spans="2:7" ht="13.2" x14ac:dyDescent="0.25">
      <c r="B530" s="244"/>
      <c r="C530" s="262"/>
      <c r="D530" s="264"/>
      <c r="E530" s="264"/>
      <c r="F530" s="264"/>
      <c r="G530" s="328"/>
    </row>
    <row r="531" spans="2:7" ht="42.75" customHeight="1" x14ac:dyDescent="0.25">
      <c r="B531" s="688" t="s">
        <v>1088</v>
      </c>
      <c r="C531" s="689"/>
      <c r="D531" s="689"/>
      <c r="E531" s="689"/>
      <c r="F531" s="689"/>
      <c r="G531" s="690"/>
    </row>
    <row r="532" spans="2:7" ht="13.2" x14ac:dyDescent="0.25">
      <c r="B532" s="250"/>
      <c r="C532" s="262"/>
      <c r="D532" s="264"/>
      <c r="E532" s="264"/>
      <c r="F532" s="264"/>
      <c r="G532" s="328"/>
    </row>
    <row r="533" spans="2:7" ht="13.2" x14ac:dyDescent="0.25">
      <c r="B533" s="244" t="s">
        <v>1089</v>
      </c>
      <c r="C533" s="262"/>
      <c r="D533" s="264"/>
      <c r="E533" s="264"/>
      <c r="F533" s="264"/>
      <c r="G533" s="328"/>
    </row>
    <row r="534" spans="2:7" ht="13.2" x14ac:dyDescent="0.25">
      <c r="B534" s="250"/>
      <c r="C534" s="262"/>
      <c r="D534" s="264"/>
      <c r="E534" s="264"/>
      <c r="F534" s="264"/>
      <c r="G534" s="328"/>
    </row>
    <row r="535" spans="2:7" ht="13.2" x14ac:dyDescent="0.25">
      <c r="B535" s="244" t="s">
        <v>1090</v>
      </c>
      <c r="C535" s="262"/>
      <c r="D535" s="264"/>
      <c r="E535" s="264"/>
      <c r="F535" s="264"/>
      <c r="G535" s="328"/>
    </row>
    <row r="536" spans="2:7" ht="13.2" x14ac:dyDescent="0.25">
      <c r="B536" s="244"/>
      <c r="C536" s="367"/>
      <c r="D536" s="264"/>
      <c r="E536" s="264"/>
      <c r="F536" s="264"/>
      <c r="G536" s="328"/>
    </row>
    <row r="537" spans="2:7" ht="13.2" x14ac:dyDescent="0.25">
      <c r="B537" s="244"/>
      <c r="C537" s="262"/>
      <c r="D537" s="264"/>
      <c r="E537" s="264"/>
      <c r="F537" s="264"/>
      <c r="G537" s="328"/>
    </row>
    <row r="538" spans="2:7" ht="13.2" x14ac:dyDescent="0.25">
      <c r="B538" s="244" t="s">
        <v>1091</v>
      </c>
      <c r="C538" s="406"/>
      <c r="D538" s="407"/>
      <c r="E538" s="407"/>
      <c r="F538" s="407"/>
      <c r="G538" s="408"/>
    </row>
    <row r="539" spans="2:7" ht="13.2" x14ac:dyDescent="0.25">
      <c r="B539" s="244" t="s">
        <v>1092</v>
      </c>
      <c r="D539" s="407"/>
      <c r="E539" s="407"/>
      <c r="F539" s="407"/>
      <c r="G539" s="408"/>
    </row>
    <row r="540" spans="2:7" ht="13.8" thickBot="1" x14ac:dyDescent="0.3">
      <c r="B540" s="409"/>
      <c r="C540" s="410"/>
      <c r="D540" s="411"/>
      <c r="E540" s="411"/>
      <c r="F540" s="411"/>
      <c r="G540" s="412"/>
    </row>
    <row r="541" spans="2:7" ht="13.8" thickTop="1" x14ac:dyDescent="0.25">
      <c r="D541" s="407"/>
      <c r="E541" s="407"/>
      <c r="F541" s="407"/>
      <c r="G541" s="407"/>
    </row>
    <row r="542" spans="2:7" ht="13.2" x14ac:dyDescent="0.25">
      <c r="D542" s="407"/>
      <c r="E542" s="407"/>
      <c r="F542" s="407"/>
      <c r="G542" s="407"/>
    </row>
    <row r="543" spans="2:7" ht="13.2" x14ac:dyDescent="0.25">
      <c r="D543" s="407"/>
      <c r="E543" s="407"/>
      <c r="F543" s="407"/>
      <c r="G543" s="407"/>
    </row>
    <row r="544" spans="2:7" ht="13.2" x14ac:dyDescent="0.25">
      <c r="D544" s="407"/>
      <c r="E544" s="407"/>
      <c r="F544" s="407"/>
      <c r="G544" s="407"/>
    </row>
    <row r="545" spans="4:7" ht="13.2" x14ac:dyDescent="0.25">
      <c r="D545" s="407"/>
      <c r="E545" s="407"/>
      <c r="F545" s="407"/>
      <c r="G545" s="407"/>
    </row>
    <row r="546" spans="4:7" ht="13.2" x14ac:dyDescent="0.25">
      <c r="D546" s="407"/>
      <c r="E546" s="407"/>
      <c r="F546" s="407"/>
      <c r="G546" s="407"/>
    </row>
    <row r="547" spans="4:7" ht="13.2" x14ac:dyDescent="0.25">
      <c r="D547" s="407"/>
      <c r="E547" s="407"/>
      <c r="F547" s="407"/>
      <c r="G547" s="407"/>
    </row>
    <row r="548" spans="4:7" ht="13.2" x14ac:dyDescent="0.25">
      <c r="D548" s="407"/>
      <c r="E548" s="407"/>
      <c r="F548" s="407"/>
      <c r="G548" s="407"/>
    </row>
    <row r="549" spans="4:7" ht="13.2" x14ac:dyDescent="0.25">
      <c r="D549" s="407"/>
      <c r="E549" s="407"/>
      <c r="F549" s="407"/>
      <c r="G549" s="407"/>
    </row>
    <row r="550" spans="4:7" ht="13.2" x14ac:dyDescent="0.25">
      <c r="D550" s="407"/>
      <c r="E550" s="407"/>
      <c r="F550" s="407"/>
      <c r="G550" s="407"/>
    </row>
    <row r="551" spans="4:7" ht="13.2" x14ac:dyDescent="0.25">
      <c r="D551" s="407"/>
      <c r="E551" s="407"/>
      <c r="F551" s="407"/>
      <c r="G551" s="407"/>
    </row>
    <row r="552" spans="4:7" ht="13.2" x14ac:dyDescent="0.25">
      <c r="D552" s="407"/>
      <c r="E552" s="407"/>
      <c r="F552" s="407"/>
      <c r="G552" s="407"/>
    </row>
    <row r="553" spans="4:7" ht="13.2" x14ac:dyDescent="0.25"/>
    <row r="554" spans="4:7" ht="13.2" x14ac:dyDescent="0.25"/>
    <row r="555" spans="4:7" ht="13.2" x14ac:dyDescent="0.25"/>
    <row r="556" spans="4:7" ht="13.2" x14ac:dyDescent="0.25"/>
    <row r="557" spans="4:7" ht="13.2" x14ac:dyDescent="0.25"/>
    <row r="558" spans="4:7" ht="13.2" x14ac:dyDescent="0.25"/>
    <row r="559" spans="4:7" ht="13.2" x14ac:dyDescent="0.25"/>
    <row r="560" spans="4:7" ht="13.2" x14ac:dyDescent="0.25"/>
    <row r="561" ht="13.2" x14ac:dyDescent="0.25"/>
    <row r="562" ht="13.2" x14ac:dyDescent="0.25"/>
    <row r="563" ht="13.2" x14ac:dyDescent="0.25"/>
    <row r="564" ht="13.2" x14ac:dyDescent="0.25"/>
    <row r="565" ht="13.2" x14ac:dyDescent="0.25"/>
    <row r="566" ht="13.2" x14ac:dyDescent="0.25"/>
    <row r="567" ht="13.2" x14ac:dyDescent="0.25"/>
    <row r="568" ht="13.2" x14ac:dyDescent="0.25"/>
    <row r="569" ht="13.2" x14ac:dyDescent="0.25"/>
    <row r="570" ht="13.2" x14ac:dyDescent="0.25"/>
    <row r="571" ht="13.2" x14ac:dyDescent="0.25"/>
    <row r="572" ht="13.2" x14ac:dyDescent="0.25"/>
    <row r="573" ht="13.2" x14ac:dyDescent="0.25"/>
    <row r="574" ht="13.2" x14ac:dyDescent="0.25"/>
    <row r="575" ht="13.2" x14ac:dyDescent="0.25"/>
    <row r="576" ht="13.2" x14ac:dyDescent="0.25"/>
    <row r="577" ht="13.2" x14ac:dyDescent="0.25"/>
    <row r="578" ht="13.2" x14ac:dyDescent="0.25"/>
    <row r="579" ht="13.2" x14ac:dyDescent="0.25"/>
    <row r="580" ht="13.2" x14ac:dyDescent="0.25"/>
    <row r="581" ht="13.2" x14ac:dyDescent="0.25"/>
    <row r="582" ht="13.2" x14ac:dyDescent="0.25"/>
    <row r="583" ht="13.2" x14ac:dyDescent="0.25"/>
    <row r="584" ht="13.2" x14ac:dyDescent="0.25"/>
    <row r="585" ht="13.2" x14ac:dyDescent="0.25"/>
    <row r="586" ht="13.2" x14ac:dyDescent="0.25"/>
    <row r="587" ht="13.2" x14ac:dyDescent="0.25"/>
    <row r="588" ht="13.2" x14ac:dyDescent="0.25"/>
    <row r="589" ht="13.2" x14ac:dyDescent="0.25"/>
    <row r="590" ht="13.2" x14ac:dyDescent="0.25"/>
    <row r="591" ht="13.2" x14ac:dyDescent="0.25"/>
    <row r="592" ht="13.2" x14ac:dyDescent="0.25"/>
    <row r="593" ht="13.2" x14ac:dyDescent="0.25"/>
    <row r="594" ht="13.2" x14ac:dyDescent="0.25"/>
    <row r="595" ht="13.2" x14ac:dyDescent="0.25"/>
    <row r="596" ht="13.2" x14ac:dyDescent="0.25"/>
    <row r="597" ht="13.2" x14ac:dyDescent="0.25"/>
    <row r="598" ht="13.2" x14ac:dyDescent="0.25"/>
    <row r="599" ht="13.2" x14ac:dyDescent="0.25"/>
    <row r="600" ht="13.2" x14ac:dyDescent="0.25"/>
    <row r="601" ht="13.2" x14ac:dyDescent="0.25"/>
    <row r="602" ht="13.2" x14ac:dyDescent="0.25"/>
    <row r="603" ht="13.2" x14ac:dyDescent="0.25"/>
    <row r="604" ht="13.2" x14ac:dyDescent="0.25"/>
    <row r="605" ht="13.2" x14ac:dyDescent="0.25"/>
    <row r="606" ht="13.2" x14ac:dyDescent="0.25"/>
    <row r="607" ht="13.2" x14ac:dyDescent="0.25"/>
    <row r="608" ht="13.2" x14ac:dyDescent="0.25"/>
    <row r="609" ht="13.2" x14ac:dyDescent="0.25"/>
    <row r="610" ht="13.2" x14ac:dyDescent="0.25"/>
    <row r="611" ht="13.2" x14ac:dyDescent="0.25"/>
    <row r="612" ht="13.2" x14ac:dyDescent="0.25"/>
    <row r="613" ht="13.2" x14ac:dyDescent="0.25"/>
    <row r="614" ht="13.2" x14ac:dyDescent="0.25"/>
    <row r="615" ht="13.2" x14ac:dyDescent="0.25"/>
    <row r="616" ht="13.2" x14ac:dyDescent="0.25"/>
    <row r="617" ht="13.2" x14ac:dyDescent="0.25"/>
    <row r="618" ht="13.2" x14ac:dyDescent="0.25"/>
    <row r="619" ht="13.2" x14ac:dyDescent="0.25"/>
    <row r="620" ht="13.2" x14ac:dyDescent="0.25"/>
    <row r="621" ht="13.2" x14ac:dyDescent="0.25"/>
    <row r="622" ht="13.2" x14ac:dyDescent="0.25"/>
    <row r="623" ht="13.2" x14ac:dyDescent="0.25"/>
    <row r="624" ht="13.2" x14ac:dyDescent="0.25"/>
    <row r="625" ht="13.2" x14ac:dyDescent="0.25"/>
    <row r="626" ht="13.2" x14ac:dyDescent="0.25"/>
    <row r="627" ht="13.2" x14ac:dyDescent="0.25"/>
    <row r="628" ht="13.2" x14ac:dyDescent="0.25"/>
    <row r="629" ht="13.2" x14ac:dyDescent="0.25"/>
    <row r="630" ht="13.2" x14ac:dyDescent="0.25"/>
    <row r="631" ht="13.2" x14ac:dyDescent="0.25"/>
    <row r="632" ht="13.2" x14ac:dyDescent="0.25"/>
    <row r="633" ht="13.2" x14ac:dyDescent="0.25"/>
    <row r="634" ht="13.2" x14ac:dyDescent="0.25"/>
    <row r="635" ht="13.2" x14ac:dyDescent="0.25"/>
    <row r="636" ht="13.2" x14ac:dyDescent="0.25"/>
    <row r="637" ht="13.2" x14ac:dyDescent="0.25"/>
    <row r="638" ht="13.2" x14ac:dyDescent="0.25"/>
    <row r="639" ht="13.2" x14ac:dyDescent="0.25"/>
    <row r="640" ht="13.2" x14ac:dyDescent="0.25"/>
    <row r="641" ht="13.2" x14ac:dyDescent="0.25"/>
    <row r="642" ht="13.2" x14ac:dyDescent="0.25"/>
    <row r="643" ht="13.2" x14ac:dyDescent="0.25"/>
    <row r="644" ht="13.2" x14ac:dyDescent="0.25"/>
    <row r="645" ht="13.2" x14ac:dyDescent="0.25"/>
    <row r="646" ht="13.2" x14ac:dyDescent="0.25"/>
    <row r="647" ht="13.2" x14ac:dyDescent="0.25"/>
    <row r="648" ht="13.2" x14ac:dyDescent="0.25"/>
    <row r="649" ht="13.2" x14ac:dyDescent="0.25"/>
    <row r="650" ht="13.2" x14ac:dyDescent="0.25"/>
    <row r="651" ht="13.2" x14ac:dyDescent="0.25"/>
    <row r="652" ht="13.2" x14ac:dyDescent="0.25"/>
    <row r="653" ht="13.2" x14ac:dyDescent="0.25"/>
    <row r="654" ht="13.2" x14ac:dyDescent="0.25"/>
    <row r="655" ht="13.2" x14ac:dyDescent="0.25"/>
    <row r="656" ht="13.2" x14ac:dyDescent="0.25"/>
    <row r="657" ht="13.2" x14ac:dyDescent="0.25"/>
    <row r="658" ht="13.2" x14ac:dyDescent="0.25"/>
    <row r="659" ht="13.2" x14ac:dyDescent="0.25"/>
    <row r="660" ht="13.2" x14ac:dyDescent="0.25"/>
    <row r="661" ht="13.2" x14ac:dyDescent="0.25"/>
    <row r="662" ht="13.2" x14ac:dyDescent="0.25"/>
    <row r="663" ht="13.2" x14ac:dyDescent="0.25"/>
    <row r="664" ht="13.2" x14ac:dyDescent="0.25"/>
    <row r="665" ht="13.2" x14ac:dyDescent="0.25"/>
    <row r="666" ht="13.2" x14ac:dyDescent="0.25"/>
    <row r="667" ht="13.2" x14ac:dyDescent="0.25"/>
    <row r="668" ht="13.2" x14ac:dyDescent="0.25"/>
    <row r="669" ht="13.2" x14ac:dyDescent="0.25"/>
    <row r="670" ht="13.2" x14ac:dyDescent="0.25"/>
    <row r="671" ht="13.2" x14ac:dyDescent="0.25"/>
    <row r="672" ht="13.2" x14ac:dyDescent="0.25"/>
    <row r="673" ht="13.2" x14ac:dyDescent="0.25"/>
    <row r="674" ht="13.2" x14ac:dyDescent="0.25"/>
    <row r="675" ht="13.2" x14ac:dyDescent="0.25"/>
    <row r="676" ht="13.2" x14ac:dyDescent="0.25"/>
    <row r="677" ht="13.2" x14ac:dyDescent="0.25"/>
    <row r="678" ht="13.2" x14ac:dyDescent="0.25"/>
    <row r="679" ht="13.2" x14ac:dyDescent="0.25"/>
    <row r="680" ht="13.2" x14ac:dyDescent="0.25"/>
    <row r="681" ht="13.2" x14ac:dyDescent="0.25"/>
    <row r="682" ht="13.2" x14ac:dyDescent="0.25"/>
    <row r="683" ht="13.2" x14ac:dyDescent="0.25"/>
    <row r="684" ht="13.2" x14ac:dyDescent="0.25"/>
    <row r="685" ht="13.2" x14ac:dyDescent="0.25"/>
    <row r="686" ht="13.2" x14ac:dyDescent="0.25"/>
    <row r="687" ht="13.2" x14ac:dyDescent="0.25"/>
    <row r="688" ht="13.2" x14ac:dyDescent="0.25"/>
    <row r="689" ht="13.2" x14ac:dyDescent="0.25"/>
    <row r="690" ht="13.2" x14ac:dyDescent="0.25"/>
    <row r="691" ht="13.2" x14ac:dyDescent="0.25"/>
    <row r="692" ht="13.2" x14ac:dyDescent="0.25"/>
    <row r="693" ht="13.2" x14ac:dyDescent="0.25"/>
    <row r="694" ht="13.2" x14ac:dyDescent="0.25"/>
    <row r="695" ht="13.2" x14ac:dyDescent="0.25"/>
    <row r="696" ht="13.2" x14ac:dyDescent="0.25"/>
    <row r="697" ht="13.2" x14ac:dyDescent="0.25"/>
    <row r="698" ht="13.2" x14ac:dyDescent="0.25"/>
    <row r="699" ht="13.2" x14ac:dyDescent="0.25"/>
    <row r="700" ht="13.2" x14ac:dyDescent="0.25"/>
    <row r="701" ht="13.2" x14ac:dyDescent="0.25"/>
    <row r="702" ht="13.2" x14ac:dyDescent="0.25"/>
    <row r="703" ht="13.2" x14ac:dyDescent="0.25"/>
    <row r="704" ht="13.2" x14ac:dyDescent="0.25"/>
    <row r="705" ht="13.2" x14ac:dyDescent="0.25"/>
    <row r="706" ht="13.2" x14ac:dyDescent="0.25"/>
    <row r="707" ht="13.2" x14ac:dyDescent="0.25"/>
    <row r="708" ht="13.2" x14ac:dyDescent="0.25"/>
    <row r="709" ht="13.2" x14ac:dyDescent="0.25"/>
    <row r="710" ht="13.2" x14ac:dyDescent="0.25"/>
    <row r="711" ht="13.2" x14ac:dyDescent="0.25"/>
    <row r="712" ht="13.2" x14ac:dyDescent="0.25"/>
    <row r="713" ht="13.2" x14ac:dyDescent="0.25"/>
    <row r="714" ht="13.2" x14ac:dyDescent="0.25"/>
    <row r="715" ht="13.2" x14ac:dyDescent="0.25"/>
    <row r="716" ht="13.2" x14ac:dyDescent="0.25"/>
    <row r="717" ht="13.2" x14ac:dyDescent="0.25"/>
    <row r="718" ht="13.2" x14ac:dyDescent="0.25"/>
    <row r="719" ht="13.2" x14ac:dyDescent="0.25"/>
    <row r="720" ht="13.2" x14ac:dyDescent="0.25"/>
    <row r="721" ht="13.2" x14ac:dyDescent="0.25"/>
    <row r="722" ht="13.2" x14ac:dyDescent="0.25"/>
    <row r="723" ht="13.2" x14ac:dyDescent="0.25"/>
    <row r="724" ht="13.2" x14ac:dyDescent="0.25"/>
    <row r="725" ht="13.2" x14ac:dyDescent="0.25"/>
    <row r="726" ht="13.2" x14ac:dyDescent="0.25"/>
    <row r="727" ht="13.2" x14ac:dyDescent="0.25"/>
    <row r="728" ht="13.2" x14ac:dyDescent="0.25"/>
    <row r="729" ht="13.2" x14ac:dyDescent="0.25"/>
    <row r="730" ht="13.2" x14ac:dyDescent="0.25"/>
    <row r="731" ht="13.2" x14ac:dyDescent="0.25"/>
    <row r="732" ht="13.2" x14ac:dyDescent="0.25"/>
    <row r="733" ht="13.2" x14ac:dyDescent="0.25"/>
    <row r="734" ht="13.2" x14ac:dyDescent="0.25"/>
    <row r="735" ht="13.2" x14ac:dyDescent="0.25"/>
    <row r="736" ht="13.2" x14ac:dyDescent="0.25"/>
    <row r="737" ht="13.2" x14ac:dyDescent="0.25"/>
    <row r="738" ht="13.2" x14ac:dyDescent="0.25"/>
    <row r="739" ht="13.2" x14ac:dyDescent="0.25"/>
    <row r="740" ht="13.2" x14ac:dyDescent="0.25"/>
    <row r="741" ht="13.2" x14ac:dyDescent="0.25"/>
    <row r="742" ht="13.2" x14ac:dyDescent="0.25"/>
    <row r="743" ht="13.2" x14ac:dyDescent="0.25"/>
    <row r="744" ht="13.2" x14ac:dyDescent="0.25"/>
    <row r="745" ht="13.2" x14ac:dyDescent="0.25"/>
    <row r="746" ht="13.2" x14ac:dyDescent="0.25"/>
    <row r="747" ht="13.2" x14ac:dyDescent="0.25"/>
    <row r="748" ht="13.2" x14ac:dyDescent="0.25"/>
    <row r="749" ht="13.2" x14ac:dyDescent="0.25"/>
    <row r="750" ht="13.2" x14ac:dyDescent="0.25"/>
    <row r="751" ht="13.2" x14ac:dyDescent="0.25"/>
    <row r="752" ht="13.2" x14ac:dyDescent="0.25"/>
    <row r="753" ht="13.2" x14ac:dyDescent="0.25"/>
    <row r="754" ht="13.2" x14ac:dyDescent="0.25"/>
    <row r="755" ht="13.2" x14ac:dyDescent="0.25"/>
    <row r="756" ht="13.2" x14ac:dyDescent="0.25"/>
    <row r="757" ht="13.2" x14ac:dyDescent="0.25"/>
    <row r="758" ht="13.2" x14ac:dyDescent="0.25"/>
    <row r="759" ht="13.2" x14ac:dyDescent="0.25"/>
    <row r="760" ht="13.2" x14ac:dyDescent="0.25"/>
    <row r="761" ht="13.2" x14ac:dyDescent="0.25"/>
    <row r="762" ht="13.2" x14ac:dyDescent="0.25"/>
    <row r="763" ht="13.2" x14ac:dyDescent="0.25"/>
    <row r="764" ht="13.2" x14ac:dyDescent="0.25"/>
    <row r="765" ht="13.2" x14ac:dyDescent="0.25"/>
    <row r="766" ht="13.2" x14ac:dyDescent="0.25"/>
    <row r="767" ht="13.2" x14ac:dyDescent="0.25"/>
    <row r="768" ht="12.75" customHeight="1" x14ac:dyDescent="0.25"/>
  </sheetData>
  <mergeCells count="318">
    <mergeCell ref="B526:G526"/>
    <mergeCell ref="B528:G528"/>
    <mergeCell ref="B531:G531"/>
    <mergeCell ref="B514:G514"/>
    <mergeCell ref="C517:G517"/>
    <mergeCell ref="C518:G518"/>
    <mergeCell ref="B520:G520"/>
    <mergeCell ref="B522:G522"/>
    <mergeCell ref="B524:G524"/>
    <mergeCell ref="B498:G498"/>
    <mergeCell ref="C500:G500"/>
    <mergeCell ref="C501:G501"/>
    <mergeCell ref="C503:F503"/>
    <mergeCell ref="B510:C510"/>
    <mergeCell ref="B512:C512"/>
    <mergeCell ref="B492:G492"/>
    <mergeCell ref="B493:G493"/>
    <mergeCell ref="B494:G494"/>
    <mergeCell ref="B495:G495"/>
    <mergeCell ref="B496:G496"/>
    <mergeCell ref="B497:G497"/>
    <mergeCell ref="B486:G486"/>
    <mergeCell ref="B487:G487"/>
    <mergeCell ref="B488:G488"/>
    <mergeCell ref="B489:G489"/>
    <mergeCell ref="B490:G490"/>
    <mergeCell ref="B491:G491"/>
    <mergeCell ref="B474:G474"/>
    <mergeCell ref="B476:G476"/>
    <mergeCell ref="B478:G478"/>
    <mergeCell ref="B480:B481"/>
    <mergeCell ref="C480:G481"/>
    <mergeCell ref="B485:G485"/>
    <mergeCell ref="B468:G468"/>
    <mergeCell ref="B469:G469"/>
    <mergeCell ref="B470:G470"/>
    <mergeCell ref="B471:G471"/>
    <mergeCell ref="B472:G472"/>
    <mergeCell ref="B473:G473"/>
    <mergeCell ref="B462:G462"/>
    <mergeCell ref="B463:G463"/>
    <mergeCell ref="B464:G464"/>
    <mergeCell ref="B465:G465"/>
    <mergeCell ref="B466:G466"/>
    <mergeCell ref="B467:G467"/>
    <mergeCell ref="C454:G454"/>
    <mergeCell ref="B457:G457"/>
    <mergeCell ref="B458:G458"/>
    <mergeCell ref="B459:G459"/>
    <mergeCell ref="B460:G460"/>
    <mergeCell ref="B461:G461"/>
    <mergeCell ref="C446:G446"/>
    <mergeCell ref="C447:G447"/>
    <mergeCell ref="C448:G448"/>
    <mergeCell ref="C450:G450"/>
    <mergeCell ref="C452:G452"/>
    <mergeCell ref="C453:G453"/>
    <mergeCell ref="C432:G432"/>
    <mergeCell ref="C436:G436"/>
    <mergeCell ref="C438:G438"/>
    <mergeCell ref="C440:G440"/>
    <mergeCell ref="C442:G442"/>
    <mergeCell ref="C444:G444"/>
    <mergeCell ref="B426:G426"/>
    <mergeCell ref="C427:G427"/>
    <mergeCell ref="C428:G428"/>
    <mergeCell ref="C429:G429"/>
    <mergeCell ref="C430:G430"/>
    <mergeCell ref="C431:G431"/>
    <mergeCell ref="B419:G419"/>
    <mergeCell ref="B420:G420"/>
    <mergeCell ref="B421:G421"/>
    <mergeCell ref="B422:G422"/>
    <mergeCell ref="B423:G423"/>
    <mergeCell ref="B424:G424"/>
    <mergeCell ref="B406:G407"/>
    <mergeCell ref="B409:G410"/>
    <mergeCell ref="B412:G413"/>
    <mergeCell ref="B416:G416"/>
    <mergeCell ref="B417:G417"/>
    <mergeCell ref="B418:G418"/>
    <mergeCell ref="C394:G394"/>
    <mergeCell ref="C396:G396"/>
    <mergeCell ref="C398:G398"/>
    <mergeCell ref="B400:G400"/>
    <mergeCell ref="B402:G403"/>
    <mergeCell ref="B404:G404"/>
    <mergeCell ref="C382:G382"/>
    <mergeCell ref="C384:G384"/>
    <mergeCell ref="C386:G386"/>
    <mergeCell ref="B388:G388"/>
    <mergeCell ref="C390:G390"/>
    <mergeCell ref="D392:G392"/>
    <mergeCell ref="D372:G372"/>
    <mergeCell ref="C373:G373"/>
    <mergeCell ref="C374:G374"/>
    <mergeCell ref="C376:G376"/>
    <mergeCell ref="C378:G378"/>
    <mergeCell ref="C380:G380"/>
    <mergeCell ref="C365:G365"/>
    <mergeCell ref="C366:G366"/>
    <mergeCell ref="C367:G367"/>
    <mergeCell ref="C368:G368"/>
    <mergeCell ref="C369:G369"/>
    <mergeCell ref="C370:G370"/>
    <mergeCell ref="C352:G352"/>
    <mergeCell ref="C353:G353"/>
    <mergeCell ref="C355:G355"/>
    <mergeCell ref="C356:G356"/>
    <mergeCell ref="B359:G359"/>
    <mergeCell ref="B361:B370"/>
    <mergeCell ref="C361:G361"/>
    <mergeCell ref="C362:G362"/>
    <mergeCell ref="C363:G363"/>
    <mergeCell ref="C364:G364"/>
    <mergeCell ref="C340:G340"/>
    <mergeCell ref="C342:G342"/>
    <mergeCell ref="B344:G344"/>
    <mergeCell ref="C346:G346"/>
    <mergeCell ref="D348:G348"/>
    <mergeCell ref="C350:G350"/>
    <mergeCell ref="C325:F325"/>
    <mergeCell ref="C329:F329"/>
    <mergeCell ref="B332:G332"/>
    <mergeCell ref="C334:G334"/>
    <mergeCell ref="D336:G336"/>
    <mergeCell ref="C338:G338"/>
    <mergeCell ref="C318:G318"/>
    <mergeCell ref="C319:G319"/>
    <mergeCell ref="C320:G320"/>
    <mergeCell ref="C321:G321"/>
    <mergeCell ref="C322:G322"/>
    <mergeCell ref="C324:G324"/>
    <mergeCell ref="E311:G311"/>
    <mergeCell ref="E312:G312"/>
    <mergeCell ref="C314:G314"/>
    <mergeCell ref="C315:G315"/>
    <mergeCell ref="C316:G316"/>
    <mergeCell ref="C317:G317"/>
    <mergeCell ref="B295:G295"/>
    <mergeCell ref="B297:G297"/>
    <mergeCell ref="B305:G305"/>
    <mergeCell ref="C307:G307"/>
    <mergeCell ref="E309:G309"/>
    <mergeCell ref="E310:G310"/>
    <mergeCell ref="C282:G282"/>
    <mergeCell ref="D284:G284"/>
    <mergeCell ref="C286:G286"/>
    <mergeCell ref="C287:F287"/>
    <mergeCell ref="C290:F290"/>
    <mergeCell ref="C293:G293"/>
    <mergeCell ref="C276:G276"/>
    <mergeCell ref="C277:G277"/>
    <mergeCell ref="C278:G278"/>
    <mergeCell ref="C279:G279"/>
    <mergeCell ref="C280:G280"/>
    <mergeCell ref="C281:G281"/>
    <mergeCell ref="B268:G268"/>
    <mergeCell ref="C270:G270"/>
    <mergeCell ref="C272:G272"/>
    <mergeCell ref="C273:G273"/>
    <mergeCell ref="C274:G274"/>
    <mergeCell ref="C275:G275"/>
    <mergeCell ref="D255:G255"/>
    <mergeCell ref="C257:F257"/>
    <mergeCell ref="C258:F258"/>
    <mergeCell ref="C260:G260"/>
    <mergeCell ref="C263:F263"/>
    <mergeCell ref="C264:F264"/>
    <mergeCell ref="C239:G239"/>
    <mergeCell ref="C242:F242"/>
    <mergeCell ref="B245:G245"/>
    <mergeCell ref="C247:G247"/>
    <mergeCell ref="B249:B253"/>
    <mergeCell ref="C249:G249"/>
    <mergeCell ref="C250:G250"/>
    <mergeCell ref="C251:G251"/>
    <mergeCell ref="C252:G252"/>
    <mergeCell ref="C253:G253"/>
    <mergeCell ref="B228:G228"/>
    <mergeCell ref="C230:G230"/>
    <mergeCell ref="C232:G232"/>
    <mergeCell ref="D234:G234"/>
    <mergeCell ref="C236:F236"/>
    <mergeCell ref="C237:F237"/>
    <mergeCell ref="B222:G222"/>
    <mergeCell ref="B223:G223"/>
    <mergeCell ref="B224:G224"/>
    <mergeCell ref="B225:G225"/>
    <mergeCell ref="B226:G226"/>
    <mergeCell ref="B227:G227"/>
    <mergeCell ref="B215:G215"/>
    <mergeCell ref="B216:G216"/>
    <mergeCell ref="B217:G217"/>
    <mergeCell ref="B218:G218"/>
    <mergeCell ref="B219:G220"/>
    <mergeCell ref="B221:G221"/>
    <mergeCell ref="B209:G209"/>
    <mergeCell ref="B210:G210"/>
    <mergeCell ref="B211:G211"/>
    <mergeCell ref="B212:G212"/>
    <mergeCell ref="B213:G213"/>
    <mergeCell ref="B214:G214"/>
    <mergeCell ref="D200:G200"/>
    <mergeCell ref="B204:G204"/>
    <mergeCell ref="B205:G205"/>
    <mergeCell ref="B206:G206"/>
    <mergeCell ref="B207:G207"/>
    <mergeCell ref="B208:G208"/>
    <mergeCell ref="D194:G194"/>
    <mergeCell ref="D195:G195"/>
    <mergeCell ref="D196:G196"/>
    <mergeCell ref="D197:G197"/>
    <mergeCell ref="D198:G198"/>
    <mergeCell ref="D199:G199"/>
    <mergeCell ref="C185:D185"/>
    <mergeCell ref="E185:G185"/>
    <mergeCell ref="B186:G187"/>
    <mergeCell ref="B189:B190"/>
    <mergeCell ref="C189:G190"/>
    <mergeCell ref="B192:C192"/>
    <mergeCell ref="C182:D182"/>
    <mergeCell ref="E182:G182"/>
    <mergeCell ref="C183:D183"/>
    <mergeCell ref="E183:G183"/>
    <mergeCell ref="C184:D184"/>
    <mergeCell ref="E184:G184"/>
    <mergeCell ref="D173:G173"/>
    <mergeCell ref="D174:G174"/>
    <mergeCell ref="D175:G175"/>
    <mergeCell ref="C176:G176"/>
    <mergeCell ref="B178:G178"/>
    <mergeCell ref="B180:G180"/>
    <mergeCell ref="D167:G167"/>
    <mergeCell ref="D168:G168"/>
    <mergeCell ref="D169:G169"/>
    <mergeCell ref="D170:G170"/>
    <mergeCell ref="D171:G171"/>
    <mergeCell ref="D172:G172"/>
    <mergeCell ref="D161:G161"/>
    <mergeCell ref="B162:G162"/>
    <mergeCell ref="C163:G163"/>
    <mergeCell ref="D164:G164"/>
    <mergeCell ref="D165:G165"/>
    <mergeCell ref="D166:G166"/>
    <mergeCell ref="B152:G152"/>
    <mergeCell ref="B154:G154"/>
    <mergeCell ref="C156:G156"/>
    <mergeCell ref="C158:G158"/>
    <mergeCell ref="C159:G159"/>
    <mergeCell ref="C160:G160"/>
    <mergeCell ref="C136:G139"/>
    <mergeCell ref="B141:B143"/>
    <mergeCell ref="C141:G143"/>
    <mergeCell ref="C145:G148"/>
    <mergeCell ref="B149:G149"/>
    <mergeCell ref="B150:G150"/>
    <mergeCell ref="C116:G117"/>
    <mergeCell ref="C119:G120"/>
    <mergeCell ref="B125:B126"/>
    <mergeCell ref="C125:G126"/>
    <mergeCell ref="C128:G129"/>
    <mergeCell ref="C132:G134"/>
    <mergeCell ref="D103:E103"/>
    <mergeCell ref="B106:G106"/>
    <mergeCell ref="B107:G107"/>
    <mergeCell ref="C109:G109"/>
    <mergeCell ref="C111:G112"/>
    <mergeCell ref="C114:G114"/>
    <mergeCell ref="D97:E97"/>
    <mergeCell ref="D98:E98"/>
    <mergeCell ref="D99:E99"/>
    <mergeCell ref="D100:E100"/>
    <mergeCell ref="D101:E101"/>
    <mergeCell ref="D102:E102"/>
    <mergeCell ref="B86:C86"/>
    <mergeCell ref="B88:C88"/>
    <mergeCell ref="B89:C89"/>
    <mergeCell ref="B92:C92"/>
    <mergeCell ref="B93:C93"/>
    <mergeCell ref="C95:E95"/>
    <mergeCell ref="B77:C77"/>
    <mergeCell ref="B79:C79"/>
    <mergeCell ref="B80:C80"/>
    <mergeCell ref="B81:C81"/>
    <mergeCell ref="B83:C83"/>
    <mergeCell ref="B85:C85"/>
    <mergeCell ref="B66:C66"/>
    <mergeCell ref="B67:C67"/>
    <mergeCell ref="B68:C68"/>
    <mergeCell ref="C71:E71"/>
    <mergeCell ref="B73:C73"/>
    <mergeCell ref="B75:C75"/>
    <mergeCell ref="B47:C47"/>
    <mergeCell ref="D49:F49"/>
    <mergeCell ref="D54:E54"/>
    <mergeCell ref="D55:E55"/>
    <mergeCell ref="B56:C56"/>
    <mergeCell ref="B65:C65"/>
    <mergeCell ref="B42:C42"/>
    <mergeCell ref="B46:C46"/>
    <mergeCell ref="C11:E11"/>
    <mergeCell ref="B12:B13"/>
    <mergeCell ref="C12:E13"/>
    <mergeCell ref="C14:E14"/>
    <mergeCell ref="C15:E15"/>
    <mergeCell ref="D16:E16"/>
    <mergeCell ref="B43:C43"/>
    <mergeCell ref="B44:C44"/>
    <mergeCell ref="B4:G4"/>
    <mergeCell ref="B5:G5"/>
    <mergeCell ref="B7:G7"/>
    <mergeCell ref="C8:G8"/>
    <mergeCell ref="C9:D9"/>
    <mergeCell ref="C10:G10"/>
    <mergeCell ref="C17:E17"/>
    <mergeCell ref="C19:E19"/>
    <mergeCell ref="B21:G21"/>
  </mergeCells>
  <printOptions horizontalCentered="1"/>
  <pageMargins left="0" right="0" top="0.98425196850393704" bottom="0.98425196850393704" header="0" footer="0.78740157480314965"/>
  <pageSetup scale="71" fitToHeight="2" orientation="portrait" r:id="rId1"/>
  <headerFooter alignWithMargins="0">
    <oddFooter>&amp;L&amp;D&amp;T&amp;R&amp;F  &amp;A</oddFooter>
  </headerFooter>
  <rowBreaks count="4" manualBreakCount="4">
    <brk id="105" min="1" max="6" man="1"/>
    <brk id="177" min="1" max="6" man="1"/>
    <brk id="303" min="1" max="6" man="1"/>
    <brk id="386" min="1" max="6" man="1"/>
  </rowBreaks>
  <drawing r:id="rId2"/>
  <legacyDrawing r:id="rId3"/>
  <controls>
    <mc:AlternateContent xmlns:mc="http://schemas.openxmlformats.org/markup-compatibility/2006">
      <mc:Choice Requires="x14">
        <control shapeId="2049" r:id="rId4" name="Image1">
          <controlPr defaultSize="0" autoLine="0" autoPict="0" r:id="rId5">
            <anchor moveWithCells="1">
              <from>
                <xdr:col>0</xdr:col>
                <xdr:colOff>7620</xdr:colOff>
                <xdr:row>0</xdr:row>
                <xdr:rowOff>76200</xdr:rowOff>
              </from>
              <to>
                <xdr:col>1</xdr:col>
                <xdr:colOff>381000</xdr:colOff>
                <xdr:row>2</xdr:row>
                <xdr:rowOff>106680</xdr:rowOff>
              </to>
            </anchor>
          </controlPr>
        </control>
      </mc:Choice>
      <mc:Fallback>
        <control shapeId="2049" r:id="rId4" name="Image1"/>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EE9CE-CFF1-40AB-9E2B-04DA7D7F46CC}">
  <sheetPr filterMode="1"/>
  <dimension ref="A1:IO422"/>
  <sheetViews>
    <sheetView topLeftCell="L1" zoomScaleNormal="100" workbookViewId="0">
      <selection activeCell="Q8" sqref="Q8"/>
    </sheetView>
  </sheetViews>
  <sheetFormatPr baseColWidth="10" defaultColWidth="11.44140625" defaultRowHeight="14.4" x14ac:dyDescent="0.3"/>
  <cols>
    <col min="1" max="1" width="14.6640625" style="3" customWidth="1"/>
    <col min="2" max="2" width="12.5546875" style="3" customWidth="1"/>
    <col min="3" max="3" width="38" customWidth="1"/>
    <col min="4" max="4" width="14.88671875" customWidth="1"/>
    <col min="5" max="5" width="12.5546875" customWidth="1"/>
    <col min="6" max="6" width="23.6640625" style="4" customWidth="1"/>
    <col min="7" max="7" width="15.88671875" style="4" customWidth="1"/>
    <col min="8" max="8" width="16.109375" style="4" customWidth="1"/>
    <col min="9" max="9" width="14.88671875" style="4" customWidth="1"/>
    <col min="10" max="10" width="15.44140625" style="4" customWidth="1"/>
    <col min="11" max="11" width="14.88671875" style="4" customWidth="1"/>
    <col min="12" max="12" width="14.6640625" style="4" customWidth="1"/>
    <col min="13" max="13" width="12" style="5" customWidth="1"/>
    <col min="14" max="14" width="18.109375" style="4" customWidth="1"/>
    <col min="15" max="15" width="13.44140625" style="4" customWidth="1"/>
    <col min="16" max="16" width="11.44140625" style="6" customWidth="1"/>
    <col min="17" max="19" width="11.44140625" customWidth="1"/>
    <col min="20" max="20" width="14.33203125" customWidth="1"/>
    <col min="21" max="21" width="13" customWidth="1"/>
    <col min="22" max="22" width="14.5546875" customWidth="1"/>
    <col min="23" max="25" width="6.33203125" bestFit="1" customWidth="1"/>
    <col min="26" max="26" width="6.6640625" customWidth="1"/>
    <col min="27" max="27" width="7.33203125" customWidth="1"/>
    <col min="28" max="28" width="6.33203125" bestFit="1" customWidth="1"/>
  </cols>
  <sheetData>
    <row r="1" spans="1:249" x14ac:dyDescent="0.3">
      <c r="P1" s="6" t="s">
        <v>3817</v>
      </c>
      <c r="Q1" t="s">
        <v>3818</v>
      </c>
      <c r="R1" t="s">
        <v>3816</v>
      </c>
      <c r="S1" s="55">
        <v>3</v>
      </c>
      <c r="T1" s="52" t="str">
        <f>VLOOKUP(S1,S2:T5,2)</f>
        <v>TRIMESTRAL</v>
      </c>
      <c r="U1" s="56">
        <f>IF(F13="NACIONAL",1,2)</f>
        <v>2</v>
      </c>
      <c r="V1" s="53" t="str">
        <f>F13</f>
        <v>DÓLARES</v>
      </c>
    </row>
    <row r="2" spans="1:249" ht="18.75" customHeight="1" x14ac:dyDescent="0.3">
      <c r="E2" s="699"/>
      <c r="F2" s="699"/>
      <c r="G2" s="699"/>
      <c r="H2" s="699"/>
      <c r="P2" s="6" t="s">
        <v>3819</v>
      </c>
      <c r="Q2" s="513" t="s">
        <v>3820</v>
      </c>
      <c r="R2">
        <v>364</v>
      </c>
      <c r="S2" s="57">
        <v>1</v>
      </c>
      <c r="T2" s="57" t="s">
        <v>789</v>
      </c>
      <c r="U2" s="54">
        <v>0</v>
      </c>
      <c r="V2" s="54">
        <v>0</v>
      </c>
    </row>
    <row r="3" spans="1:249" x14ac:dyDescent="0.3">
      <c r="E3" s="699"/>
      <c r="F3" s="699"/>
      <c r="G3" s="699"/>
      <c r="H3" s="699"/>
      <c r="S3" s="57">
        <v>2</v>
      </c>
      <c r="T3" s="57" t="s">
        <v>793</v>
      </c>
      <c r="U3" s="54">
        <v>4.2000000000000003E-2</v>
      </c>
      <c r="V3" s="54">
        <v>1.4E-2</v>
      </c>
    </row>
    <row r="4" spans="1:249" x14ac:dyDescent="0.3">
      <c r="S4" s="57">
        <v>3</v>
      </c>
      <c r="T4" s="57" t="s">
        <v>797</v>
      </c>
      <c r="U4" s="54">
        <v>6.4000000000000001E-2</v>
      </c>
      <c r="V4" s="54">
        <v>2.1100000000000001E-2</v>
      </c>
    </row>
    <row r="5" spans="1:249" ht="24.6" x14ac:dyDescent="0.3">
      <c r="A5" s="700" t="s">
        <v>1093</v>
      </c>
      <c r="B5" s="700"/>
      <c r="C5" s="700"/>
      <c r="D5" s="700"/>
      <c r="E5" s="700"/>
      <c r="F5" s="700"/>
      <c r="G5" s="700"/>
      <c r="H5" s="700"/>
      <c r="I5" s="700"/>
      <c r="J5" s="700"/>
      <c r="K5" s="700"/>
      <c r="L5" s="700"/>
      <c r="M5" s="700"/>
      <c r="N5" s="700"/>
      <c r="O5" s="700"/>
      <c r="S5" s="57">
        <v>4</v>
      </c>
      <c r="T5" s="57" t="s">
        <v>801</v>
      </c>
      <c r="U5" s="54">
        <v>7.6999999999999999E-2</v>
      </c>
      <c r="V5" s="54">
        <v>2.58E-2</v>
      </c>
    </row>
    <row r="6" spans="1:249" ht="15" thickBot="1" x14ac:dyDescent="0.35"/>
    <row r="7" spans="1:249" ht="21" customHeight="1" thickTop="1" thickBot="1" x14ac:dyDescent="0.35">
      <c r="A7" s="701" t="s">
        <v>1094</v>
      </c>
      <c r="B7" s="702"/>
      <c r="C7" s="703" t="s">
        <v>1095</v>
      </c>
      <c r="D7" s="704"/>
      <c r="E7" s="704"/>
      <c r="F7" s="704"/>
      <c r="G7" s="704"/>
      <c r="H7" s="704"/>
      <c r="I7" s="704"/>
      <c r="J7" s="705"/>
      <c r="K7" s="116">
        <f>MID(C7,1,2)*1</f>
        <v>20</v>
      </c>
      <c r="L7" s="706" t="s">
        <v>1096</v>
      </c>
      <c r="M7" s="707"/>
      <c r="N7" s="707"/>
      <c r="O7" s="708"/>
      <c r="S7" s="698" t="s">
        <v>1097</v>
      </c>
      <c r="T7" s="698"/>
      <c r="U7" s="54">
        <f>VLOOKUP(S1,S2:V5,U1+2)</f>
        <v>2.1100000000000001E-2</v>
      </c>
    </row>
    <row r="8" spans="1:249" ht="21" customHeight="1" thickTop="1" thickBot="1" x14ac:dyDescent="0.35">
      <c r="A8" s="701" t="s">
        <v>1098</v>
      </c>
      <c r="B8" s="702"/>
      <c r="C8" s="724" t="s">
        <v>1099</v>
      </c>
      <c r="D8" s="725"/>
      <c r="E8" s="726"/>
      <c r="F8" s="117" t="s">
        <v>1100</v>
      </c>
      <c r="G8" s="727" t="s">
        <v>1101</v>
      </c>
      <c r="H8" s="728"/>
      <c r="I8" s="728"/>
      <c r="J8" s="728"/>
      <c r="K8" s="729"/>
      <c r="L8" s="709" t="str">
        <f>Hoja3!A8</f>
        <v/>
      </c>
      <c r="M8" s="710"/>
      <c r="N8" s="710"/>
      <c r="O8" s="711"/>
      <c r="S8" s="90"/>
      <c r="T8" s="90"/>
      <c r="U8" s="54"/>
    </row>
    <row r="9" spans="1:249" ht="16.5" customHeight="1" thickTop="1" x14ac:dyDescent="0.3">
      <c r="A9" s="712" t="s">
        <v>1102</v>
      </c>
      <c r="B9" s="713"/>
      <c r="C9" s="714" t="s">
        <v>695</v>
      </c>
      <c r="D9" s="715"/>
      <c r="E9" s="715"/>
      <c r="F9" s="715"/>
      <c r="G9" s="715"/>
      <c r="H9" s="715"/>
      <c r="I9" s="716"/>
      <c r="J9" s="88" t="s">
        <v>1103</v>
      </c>
      <c r="K9" s="89">
        <v>0</v>
      </c>
      <c r="L9" s="717" t="s">
        <v>1104</v>
      </c>
      <c r="M9" s="717"/>
      <c r="N9" s="718" t="s">
        <v>1105</v>
      </c>
      <c r="O9" s="719"/>
      <c r="P9"/>
      <c r="S9" s="698" t="s">
        <v>1106</v>
      </c>
      <c r="T9" s="698"/>
      <c r="U9" s="58">
        <f>IF(H14="DIRECTA",1,J15/I15)</f>
        <v>1</v>
      </c>
    </row>
    <row r="10" spans="1:249" x14ac:dyDescent="0.3">
      <c r="A10" s="720" t="s">
        <v>1107</v>
      </c>
      <c r="B10" s="721"/>
      <c r="C10" s="722" t="s">
        <v>1108</v>
      </c>
      <c r="D10" s="722"/>
      <c r="E10" s="722"/>
      <c r="F10" s="722"/>
      <c r="G10" s="722"/>
      <c r="H10" s="722"/>
      <c r="I10" s="722"/>
      <c r="J10" s="722"/>
      <c r="K10" s="730"/>
      <c r="L10" s="731" t="s">
        <v>1109</v>
      </c>
      <c r="M10" s="732"/>
      <c r="N10" s="733" t="s">
        <v>1110</v>
      </c>
      <c r="O10" s="734"/>
      <c r="P10"/>
    </row>
    <row r="11" spans="1:249" x14ac:dyDescent="0.3">
      <c r="A11" s="720" t="s">
        <v>1111</v>
      </c>
      <c r="B11" s="721"/>
      <c r="C11" s="722" t="str">
        <f>C10</f>
        <v xml:space="preserve">JAVIER BARROS SIERRA 540 TORRE 1 PH1 COL SANTA FE ALVARO OBREGON CDMX CP 01210 </v>
      </c>
      <c r="D11" s="722"/>
      <c r="E11" s="722"/>
      <c r="F11" s="722"/>
      <c r="G11" s="722"/>
      <c r="H11" s="722"/>
      <c r="I11" s="722"/>
      <c r="J11" s="722"/>
      <c r="K11" s="723"/>
      <c r="L11" s="79" t="s">
        <v>1112</v>
      </c>
      <c r="M11" s="207" t="str">
        <f>'COTIZACIÓN M.N.'!G13</f>
        <v xml:space="preserve">A </v>
      </c>
      <c r="N11" s="71" t="s">
        <v>1113</v>
      </c>
      <c r="O11" s="413" t="str">
        <f>'COTIZACIÓN M.N.'!G17</f>
        <v>A1PS</v>
      </c>
      <c r="P11"/>
    </row>
    <row r="12" spans="1:249" x14ac:dyDescent="0.3">
      <c r="A12" s="720" t="s">
        <v>1114</v>
      </c>
      <c r="B12" s="721"/>
      <c r="C12" s="50">
        <v>45107</v>
      </c>
      <c r="D12" s="73" t="s">
        <v>1115</v>
      </c>
      <c r="E12" s="73"/>
      <c r="F12" s="74" t="s">
        <v>1116</v>
      </c>
      <c r="G12" s="75" t="s">
        <v>1117</v>
      </c>
      <c r="H12" s="737" t="s">
        <v>724</v>
      </c>
      <c r="I12" s="737"/>
      <c r="J12" s="737"/>
      <c r="K12" s="78">
        <v>1</v>
      </c>
      <c r="L12" s="79" t="s">
        <v>1118</v>
      </c>
      <c r="M12" s="80">
        <f>'COTIZACIÓN M.N.'!G15</f>
        <v>0.2</v>
      </c>
      <c r="N12" s="76" t="s">
        <v>1119</v>
      </c>
      <c r="O12" s="77">
        <f>'COTIZACIÓN M.N.'!G16</f>
        <v>0</v>
      </c>
      <c r="P12"/>
    </row>
    <row r="13" spans="1:249" ht="17.25" customHeight="1" x14ac:dyDescent="0.3">
      <c r="A13" s="720" t="s">
        <v>1120</v>
      </c>
      <c r="B13" s="721"/>
      <c r="C13" s="50">
        <v>45473</v>
      </c>
      <c r="D13" s="738" t="s">
        <v>1121</v>
      </c>
      <c r="E13" s="739"/>
      <c r="F13" s="72" t="s">
        <v>1122</v>
      </c>
      <c r="G13" s="70" t="s">
        <v>1123</v>
      </c>
      <c r="H13" s="740" t="s">
        <v>98</v>
      </c>
      <c r="I13" s="740"/>
      <c r="J13" s="741" t="s">
        <v>1124</v>
      </c>
      <c r="N13" s="76" t="s">
        <v>1125</v>
      </c>
      <c r="O13" s="77">
        <f>100%-'COTIZACIÓN M.N.'!G18</f>
        <v>1</v>
      </c>
      <c r="P13"/>
    </row>
    <row r="14" spans="1:249" ht="16.5" customHeight="1" thickBot="1" x14ac:dyDescent="0.35">
      <c r="A14" s="742" t="s">
        <v>1126</v>
      </c>
      <c r="B14" s="743"/>
      <c r="C14" s="109" t="s">
        <v>1127</v>
      </c>
      <c r="D14" s="744" t="s">
        <v>1128</v>
      </c>
      <c r="E14" s="745"/>
      <c r="F14" s="133"/>
      <c r="G14" s="134" t="s">
        <v>1129</v>
      </c>
      <c r="H14" s="135" t="s">
        <v>1130</v>
      </c>
      <c r="I14" s="51"/>
      <c r="J14" s="741"/>
      <c r="K14" s="7" t="s">
        <v>1131</v>
      </c>
      <c r="N14" s="76" t="s">
        <v>1132</v>
      </c>
      <c r="O14" s="77">
        <f>100%-'COTIZACIÓN M.N.'!G14</f>
        <v>1</v>
      </c>
      <c r="P14"/>
    </row>
    <row r="15" spans="1:249" ht="15.6" thickTop="1" thickBot="1" x14ac:dyDescent="0.35">
      <c r="A15" s="746"/>
      <c r="B15" s="747"/>
      <c r="C15" s="748">
        <v>1</v>
      </c>
      <c r="D15" s="749"/>
      <c r="E15" s="138"/>
      <c r="F15" s="139"/>
      <c r="G15" s="139"/>
      <c r="H15" s="140"/>
      <c r="I15" s="59">
        <v>365</v>
      </c>
      <c r="J15" s="59">
        <f>C13-C12</f>
        <v>366</v>
      </c>
      <c r="K15" s="60">
        <v>0.16</v>
      </c>
      <c r="O15" s="61"/>
      <c r="P15" s="8"/>
    </row>
    <row r="16" spans="1:249" s="41" customFormat="1" ht="30" customHeight="1" thickTop="1" thickBot="1" x14ac:dyDescent="0.3">
      <c r="A16" s="62" t="s">
        <v>1133</v>
      </c>
      <c r="B16" s="63" t="s">
        <v>1134</v>
      </c>
      <c r="C16" s="64" t="s">
        <v>1135</v>
      </c>
      <c r="D16" s="64" t="s">
        <v>1136</v>
      </c>
      <c r="E16" s="136" t="s">
        <v>1137</v>
      </c>
      <c r="F16" s="137" t="s">
        <v>1138</v>
      </c>
      <c r="G16" s="137" t="s">
        <v>1139</v>
      </c>
      <c r="H16" s="137" t="s">
        <v>1140</v>
      </c>
      <c r="I16" s="65" t="s">
        <v>1141</v>
      </c>
      <c r="J16" s="65" t="s">
        <v>1142</v>
      </c>
      <c r="K16" s="65" t="s">
        <v>1131</v>
      </c>
      <c r="L16" s="65" t="s">
        <v>73</v>
      </c>
      <c r="M16" s="66" t="s">
        <v>1143</v>
      </c>
      <c r="N16" s="65" t="s">
        <v>1144</v>
      </c>
      <c r="O16" s="67" t="s">
        <v>1145</v>
      </c>
      <c r="P16" s="40" t="s">
        <v>1146</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pans="1:23" ht="15.6" thickTop="1" thickBot="1" x14ac:dyDescent="0.35">
      <c r="A17" s="82" t="s">
        <v>1147</v>
      </c>
      <c r="B17" s="30" t="s">
        <v>1148</v>
      </c>
      <c r="C17" s="28" t="s">
        <v>1149</v>
      </c>
      <c r="D17" s="28" t="str">
        <f>'Ramo Comercial'!C121</f>
        <v>INCLUIDO</v>
      </c>
      <c r="E17" s="28"/>
      <c r="F17" s="113">
        <v>20000000</v>
      </c>
      <c r="G17" s="210">
        <f>'COTIZACIÓN M.N.'!E24+'COTIZACIÓN M.N.'!E25+'COTIZACIÓN M.N.'!E26</f>
        <v>0.30781530000000001</v>
      </c>
      <c r="H17" s="28"/>
      <c r="I17" s="28"/>
      <c r="J17" s="28"/>
      <c r="K17" s="28"/>
      <c r="L17" s="28"/>
      <c r="M17" s="68">
        <v>0.25</v>
      </c>
      <c r="N17" s="28"/>
      <c r="O17" s="83"/>
      <c r="P17" s="13" t="str">
        <f>IF(Q17=1,"SI","NO")</f>
        <v>SI</v>
      </c>
      <c r="Q17" s="48">
        <f t="shared" ref="Q17:Q27" si="0">IF(D17="INCLUIDO",IF(F17&lt;&gt;0,1,0),0)</f>
        <v>1</v>
      </c>
      <c r="T17" s="146">
        <f>G17</f>
        <v>0.30781530000000001</v>
      </c>
      <c r="U17" s="150"/>
      <c r="V17" s="151"/>
    </row>
    <row r="18" spans="1:23" x14ac:dyDescent="0.3">
      <c r="A18" s="31" t="s">
        <v>1150</v>
      </c>
      <c r="B18" s="32" t="s">
        <v>1148</v>
      </c>
      <c r="C18" s="27" t="s">
        <v>1151</v>
      </c>
      <c r="D18" s="27" t="str">
        <f>$D$17</f>
        <v>INCLUIDO</v>
      </c>
      <c r="E18" s="27" t="s">
        <v>1152</v>
      </c>
      <c r="F18" s="9">
        <f>$F$17*S18</f>
        <v>20000000</v>
      </c>
      <c r="G18" s="49">
        <f>V18</f>
        <v>0.24625224000000001</v>
      </c>
      <c r="H18" s="9">
        <v>0</v>
      </c>
      <c r="I18" s="9" t="s">
        <v>1153</v>
      </c>
      <c r="J18" s="9">
        <f>H18*$U$7</f>
        <v>0</v>
      </c>
      <c r="K18" s="9">
        <f>(H18+J18)*$K$15</f>
        <v>0</v>
      </c>
      <c r="L18" s="9">
        <f>ROUND(H18+J18+K18,2)</f>
        <v>0</v>
      </c>
      <c r="M18" s="11">
        <f t="shared" ref="M18:M27" si="1">$M$17</f>
        <v>0.25</v>
      </c>
      <c r="N18" s="9">
        <f>H18*M18</f>
        <v>0</v>
      </c>
      <c r="O18" s="12">
        <f>N18</f>
        <v>0</v>
      </c>
      <c r="P18" s="13" t="str">
        <f t="shared" ref="P18:P90" si="2">IF(Q18=1,"SI","NO")</f>
        <v>SI</v>
      </c>
      <c r="Q18">
        <f t="shared" si="0"/>
        <v>1</v>
      </c>
      <c r="R18">
        <f t="shared" ref="R18:R27" si="3">IF(I18="%o Al Millar",1000,IF(I18="% Al Porciento",100,IF(I18="$ Prima",G18)))</f>
        <v>1000</v>
      </c>
      <c r="S18">
        <f t="shared" ref="S18:S39" si="4">IF(E18="Excluido",0,IF(D18="NO APLICA",0,1))</f>
        <v>1</v>
      </c>
      <c r="T18" s="152">
        <v>0.8</v>
      </c>
      <c r="U18">
        <f>IF(E18="Excluido",0,T17*T18)</f>
        <v>0.24625224000000001</v>
      </c>
      <c r="V18" s="153">
        <f>IF(F17=0,0,(U23-U22-U20)+(T17-U23))</f>
        <v>0.24625224000000001</v>
      </c>
    </row>
    <row r="19" spans="1:23" hidden="1" x14ac:dyDescent="0.3">
      <c r="A19" s="31" t="s">
        <v>1150</v>
      </c>
      <c r="B19" s="32"/>
      <c r="C19" s="81">
        <f>$O$12</f>
        <v>0</v>
      </c>
      <c r="D19" s="27" t="str">
        <f t="shared" ref="D19:D39" si="5">$D$17</f>
        <v>INCLUIDO</v>
      </c>
      <c r="E19" s="27" t="s">
        <v>1152</v>
      </c>
      <c r="F19" s="9">
        <f>(F18*$O$12)*S19</f>
        <v>0</v>
      </c>
      <c r="G19" s="10">
        <f>G18*0.35</f>
        <v>8.6188284000000004E-2</v>
      </c>
      <c r="H19" s="9">
        <f t="shared" ref="H19" si="6">(IF(I19="$ Prima",G19,G19*F19/R19))*$U$9</f>
        <v>0</v>
      </c>
      <c r="I19" s="9" t="s">
        <v>1153</v>
      </c>
      <c r="J19" s="9">
        <f t="shared" ref="J19" si="7">H19*$U$7</f>
        <v>0</v>
      </c>
      <c r="K19" s="9">
        <f t="shared" ref="K19" si="8">(H19+J19)*$K$15</f>
        <v>0</v>
      </c>
      <c r="L19" s="9">
        <f t="shared" ref="L19:L27" si="9">ROUND(H19+J19+K19,2)</f>
        <v>0</v>
      </c>
      <c r="M19" s="11">
        <f t="shared" si="1"/>
        <v>0.25</v>
      </c>
      <c r="N19" s="9">
        <f t="shared" ref="N19:N27" si="10">H19*M19</f>
        <v>0</v>
      </c>
      <c r="O19" s="12">
        <f t="shared" ref="O19:O27" si="11">N19</f>
        <v>0</v>
      </c>
      <c r="P19" s="13" t="str">
        <f t="shared" si="2"/>
        <v>NO</v>
      </c>
      <c r="Q19">
        <f t="shared" si="0"/>
        <v>0</v>
      </c>
      <c r="R19">
        <f t="shared" si="3"/>
        <v>1000</v>
      </c>
      <c r="S19">
        <f t="shared" si="4"/>
        <v>1</v>
      </c>
      <c r="T19" s="152"/>
      <c r="V19" s="153"/>
    </row>
    <row r="20" spans="1:23" ht="20.399999999999999" hidden="1" x14ac:dyDescent="0.3">
      <c r="A20" s="31" t="s">
        <v>1150</v>
      </c>
      <c r="B20" s="32" t="s">
        <v>1154</v>
      </c>
      <c r="C20" s="27" t="s">
        <v>1155</v>
      </c>
      <c r="D20" s="27" t="str">
        <f t="shared" si="5"/>
        <v>INCLUIDO</v>
      </c>
      <c r="E20" s="27" t="s">
        <v>1137</v>
      </c>
      <c r="F20" s="9">
        <v>0</v>
      </c>
      <c r="G20" s="49">
        <f>V20</f>
        <v>3.0781530000000001E-2</v>
      </c>
      <c r="H20" s="9">
        <f>(((IF(I20="$ Prima",G20,G20*F20/R20))*$U$9)/365)*$J$15</f>
        <v>0</v>
      </c>
      <c r="I20" s="9" t="s">
        <v>1153</v>
      </c>
      <c r="J20" s="9">
        <f>H20*$U$7</f>
        <v>0</v>
      </c>
      <c r="K20" s="9">
        <f>(H20+J20)*$K$15</f>
        <v>0</v>
      </c>
      <c r="L20" s="9">
        <f t="shared" si="9"/>
        <v>0</v>
      </c>
      <c r="M20" s="11">
        <f t="shared" si="1"/>
        <v>0.25</v>
      </c>
      <c r="N20" s="9">
        <f t="shared" si="10"/>
        <v>0</v>
      </c>
      <c r="O20" s="12">
        <f t="shared" si="11"/>
        <v>0</v>
      </c>
      <c r="P20" s="13" t="str">
        <f t="shared" si="2"/>
        <v>NO</v>
      </c>
      <c r="Q20">
        <f t="shared" si="0"/>
        <v>0</v>
      </c>
      <c r="R20">
        <f t="shared" si="3"/>
        <v>1000</v>
      </c>
      <c r="S20">
        <f t="shared" si="4"/>
        <v>1</v>
      </c>
      <c r="T20" s="152">
        <v>0.1</v>
      </c>
      <c r="U20">
        <f>IF(E20="Excluido",0,T17*T20)</f>
        <v>3.0781530000000001E-2</v>
      </c>
      <c r="V20" s="153">
        <f>IF(F$17=0,0,U20)</f>
        <v>3.0781530000000001E-2</v>
      </c>
    </row>
    <row r="21" spans="1:23" hidden="1" x14ac:dyDescent="0.3">
      <c r="A21" s="31" t="s">
        <v>1150</v>
      </c>
      <c r="B21" s="32"/>
      <c r="C21" s="81">
        <f>$O$12</f>
        <v>0</v>
      </c>
      <c r="D21" s="27" t="str">
        <f t="shared" si="5"/>
        <v>INCLUIDO</v>
      </c>
      <c r="E21" s="27" t="str">
        <f>E20</f>
        <v>Sublimite</v>
      </c>
      <c r="F21" s="9">
        <f>(F20*$O$12)*S21</f>
        <v>0</v>
      </c>
      <c r="G21" s="10">
        <f>G20*0.35</f>
        <v>1.07735355E-2</v>
      </c>
      <c r="H21" s="9">
        <f t="shared" ref="H21" si="12">(IF(I21="$ Prima",G21,G21*F21/R21))*$U$9</f>
        <v>0</v>
      </c>
      <c r="I21" s="9" t="s">
        <v>1153</v>
      </c>
      <c r="J21" s="9">
        <f t="shared" ref="J21" si="13">H21*$U$7</f>
        <v>0</v>
      </c>
      <c r="K21" s="9">
        <f t="shared" ref="K21" si="14">(H21+J21)*$K$15</f>
        <v>0</v>
      </c>
      <c r="L21" s="9">
        <f t="shared" si="9"/>
        <v>0</v>
      </c>
      <c r="M21" s="11">
        <f t="shared" si="1"/>
        <v>0.25</v>
      </c>
      <c r="N21" s="9">
        <f t="shared" si="10"/>
        <v>0</v>
      </c>
      <c r="O21" s="12">
        <f t="shared" si="11"/>
        <v>0</v>
      </c>
      <c r="P21" s="13" t="str">
        <f t="shared" si="2"/>
        <v>NO</v>
      </c>
      <c r="Q21">
        <f t="shared" si="0"/>
        <v>0</v>
      </c>
      <c r="R21">
        <f t="shared" si="3"/>
        <v>1000</v>
      </c>
      <c r="S21">
        <f t="shared" si="4"/>
        <v>1</v>
      </c>
      <c r="T21" s="152"/>
      <c r="V21" s="153"/>
    </row>
    <row r="22" spans="1:23" ht="15" hidden="1" customHeight="1" x14ac:dyDescent="0.3">
      <c r="A22" s="31" t="s">
        <v>1150</v>
      </c>
      <c r="B22" s="32" t="s">
        <v>1156</v>
      </c>
      <c r="C22" s="27" t="s">
        <v>1110</v>
      </c>
      <c r="D22" s="27" t="str">
        <f t="shared" si="5"/>
        <v>INCLUIDO</v>
      </c>
      <c r="E22" s="27" t="s">
        <v>1137</v>
      </c>
      <c r="F22" s="9">
        <v>0</v>
      </c>
      <c r="G22" s="49">
        <f>V22</f>
        <v>3.0781530000000001E-2</v>
      </c>
      <c r="H22" s="9">
        <f>(((IF(I22="$ Prima",G22,G22*F22/R22))*$U$9)/365)*$J$15</f>
        <v>0</v>
      </c>
      <c r="I22" s="9" t="s">
        <v>1153</v>
      </c>
      <c r="J22" s="9">
        <f>H22*$U$7</f>
        <v>0</v>
      </c>
      <c r="K22" s="9">
        <f>(H22+J22)*$K$15</f>
        <v>0</v>
      </c>
      <c r="L22" s="9">
        <f t="shared" si="9"/>
        <v>0</v>
      </c>
      <c r="M22" s="11">
        <f t="shared" si="1"/>
        <v>0.25</v>
      </c>
      <c r="N22" s="9">
        <f t="shared" si="10"/>
        <v>0</v>
      </c>
      <c r="O22" s="12">
        <f t="shared" si="11"/>
        <v>0</v>
      </c>
      <c r="P22" s="13" t="str">
        <f t="shared" si="2"/>
        <v>NO</v>
      </c>
      <c r="Q22">
        <f t="shared" si="0"/>
        <v>0</v>
      </c>
      <c r="R22">
        <f t="shared" si="3"/>
        <v>1000</v>
      </c>
      <c r="S22">
        <f t="shared" si="4"/>
        <v>1</v>
      </c>
      <c r="T22" s="152">
        <v>0.1</v>
      </c>
      <c r="U22">
        <f>IF(E22="Excluido",0,T17*T22)</f>
        <v>3.0781530000000001E-2</v>
      </c>
      <c r="V22" s="153">
        <f>IF(F$17=0,0,U22)</f>
        <v>3.0781530000000001E-2</v>
      </c>
    </row>
    <row r="23" spans="1:23" ht="15" hidden="1" customHeight="1" thickBot="1" x14ac:dyDescent="0.35">
      <c r="A23" s="31" t="s">
        <v>1150</v>
      </c>
      <c r="B23" s="32"/>
      <c r="C23" s="81">
        <f>$O$12</f>
        <v>0</v>
      </c>
      <c r="D23" s="27" t="str">
        <f t="shared" si="5"/>
        <v>INCLUIDO</v>
      </c>
      <c r="E23" s="27" t="str">
        <f>E22</f>
        <v>Sublimite</v>
      </c>
      <c r="F23" s="9">
        <f>(F22*$O$12)*S23</f>
        <v>0</v>
      </c>
      <c r="G23" s="10">
        <f>G22*0.35</f>
        <v>1.07735355E-2</v>
      </c>
      <c r="H23" s="9">
        <f t="shared" ref="H23:H25" si="15">(IF(I23="$ Prima",G23,G23*F23/R23))*$U$9</f>
        <v>0</v>
      </c>
      <c r="I23" s="9" t="s">
        <v>1153</v>
      </c>
      <c r="J23" s="9">
        <f t="shared" ref="J23:J25" si="16">H23*$U$7</f>
        <v>0</v>
      </c>
      <c r="K23" s="9">
        <f t="shared" ref="K23:K25" si="17">(H23+J23)*$K$15</f>
        <v>0</v>
      </c>
      <c r="L23" s="9">
        <f t="shared" si="9"/>
        <v>0</v>
      </c>
      <c r="M23" s="11">
        <f t="shared" si="1"/>
        <v>0.25</v>
      </c>
      <c r="N23" s="9">
        <f t="shared" si="10"/>
        <v>0</v>
      </c>
      <c r="O23" s="12">
        <f t="shared" si="11"/>
        <v>0</v>
      </c>
      <c r="P23" s="13" t="str">
        <f t="shared" si="2"/>
        <v>NO</v>
      </c>
      <c r="Q23">
        <f t="shared" si="0"/>
        <v>0</v>
      </c>
      <c r="R23">
        <f t="shared" si="3"/>
        <v>1000</v>
      </c>
      <c r="S23">
        <f t="shared" si="4"/>
        <v>1</v>
      </c>
      <c r="T23" s="143">
        <f>SUM(T18:T22)</f>
        <v>1</v>
      </c>
      <c r="U23" s="147">
        <f>SUM(U18:U22)</f>
        <v>0.30781530000000001</v>
      </c>
      <c r="V23" s="148">
        <f>SUM(V18:V22)</f>
        <v>0.30781530000000001</v>
      </c>
      <c r="W23" s="141"/>
    </row>
    <row r="24" spans="1:23" ht="15" hidden="1" customHeight="1" x14ac:dyDescent="0.3">
      <c r="A24" s="31" t="s">
        <v>1150</v>
      </c>
      <c r="B24" s="32">
        <v>280</v>
      </c>
      <c r="C24" s="27" t="s">
        <v>1157</v>
      </c>
      <c r="D24" s="27" t="str">
        <f t="shared" si="5"/>
        <v>INCLUIDO</v>
      </c>
      <c r="E24" s="27" t="s">
        <v>1137</v>
      </c>
      <c r="F24" s="113">
        <v>0</v>
      </c>
      <c r="G24" s="113">
        <v>0</v>
      </c>
      <c r="H24" s="9">
        <f t="shared" si="15"/>
        <v>0</v>
      </c>
      <c r="I24" s="9" t="s">
        <v>1153</v>
      </c>
      <c r="J24" s="9">
        <f t="shared" si="16"/>
        <v>0</v>
      </c>
      <c r="K24" s="9">
        <f t="shared" si="17"/>
        <v>0</v>
      </c>
      <c r="L24" s="9">
        <f t="shared" si="9"/>
        <v>0</v>
      </c>
      <c r="M24" s="11">
        <f t="shared" si="1"/>
        <v>0.25</v>
      </c>
      <c r="N24" s="9">
        <f t="shared" si="10"/>
        <v>0</v>
      </c>
      <c r="O24" s="12">
        <f t="shared" si="11"/>
        <v>0</v>
      </c>
      <c r="P24" s="13" t="str">
        <f t="shared" si="2"/>
        <v>NO</v>
      </c>
      <c r="Q24">
        <f t="shared" si="0"/>
        <v>0</v>
      </c>
      <c r="R24">
        <f t="shared" si="3"/>
        <v>1000</v>
      </c>
      <c r="S24">
        <f t="shared" si="4"/>
        <v>1</v>
      </c>
    </row>
    <row r="25" spans="1:23" ht="15" hidden="1" customHeight="1" x14ac:dyDescent="0.3">
      <c r="A25" s="31" t="s">
        <v>1150</v>
      </c>
      <c r="B25" s="32"/>
      <c r="C25" s="81">
        <f>$O$12</f>
        <v>0</v>
      </c>
      <c r="D25" s="27" t="str">
        <f t="shared" si="5"/>
        <v>INCLUIDO</v>
      </c>
      <c r="E25" s="27" t="str">
        <f>E24</f>
        <v>Sublimite</v>
      </c>
      <c r="F25" s="9">
        <f>(F24*$O$12)*S25</f>
        <v>0</v>
      </c>
      <c r="G25" s="10">
        <f>G24*0.35</f>
        <v>0</v>
      </c>
      <c r="H25" s="9">
        <f t="shared" si="15"/>
        <v>0</v>
      </c>
      <c r="I25" s="9" t="s">
        <v>1153</v>
      </c>
      <c r="J25" s="9">
        <f t="shared" si="16"/>
        <v>0</v>
      </c>
      <c r="K25" s="9">
        <f t="shared" si="17"/>
        <v>0</v>
      </c>
      <c r="L25" s="9">
        <f t="shared" si="9"/>
        <v>0</v>
      </c>
      <c r="M25" s="11">
        <f t="shared" si="1"/>
        <v>0.25</v>
      </c>
      <c r="N25" s="9">
        <f t="shared" si="10"/>
        <v>0</v>
      </c>
      <c r="O25" s="12">
        <f t="shared" si="11"/>
        <v>0</v>
      </c>
      <c r="P25" s="13" t="str">
        <f t="shared" si="2"/>
        <v>NO</v>
      </c>
      <c r="Q25">
        <f t="shared" si="0"/>
        <v>0</v>
      </c>
      <c r="R25">
        <f t="shared" si="3"/>
        <v>1000</v>
      </c>
      <c r="S25">
        <f t="shared" si="4"/>
        <v>1</v>
      </c>
    </row>
    <row r="26" spans="1:23" ht="15" hidden="1" customHeight="1" x14ac:dyDescent="0.3">
      <c r="A26" s="31" t="s">
        <v>1150</v>
      </c>
      <c r="B26" s="32" t="s">
        <v>1158</v>
      </c>
      <c r="C26" s="27" t="s">
        <v>1159</v>
      </c>
      <c r="D26" s="27" t="str">
        <f t="shared" si="5"/>
        <v>INCLUIDO</v>
      </c>
      <c r="E26" s="27" t="s">
        <v>1137</v>
      </c>
      <c r="F26" s="42">
        <v>0</v>
      </c>
      <c r="G26" s="10">
        <f>'COTIZACIÓN M.N.'!E67*50%</f>
        <v>1.1000000000000001E-3</v>
      </c>
      <c r="H26" s="75">
        <f>(IF(I26="$ Prima",G26,G26*F26/R26))*$U$9</f>
        <v>0</v>
      </c>
      <c r="I26" s="9" t="s">
        <v>1153</v>
      </c>
      <c r="J26" s="9">
        <f>H26*$U$7</f>
        <v>0</v>
      </c>
      <c r="K26" s="9">
        <f>(H26+J26)*$K$15</f>
        <v>0</v>
      </c>
      <c r="L26" s="9">
        <f t="shared" si="9"/>
        <v>0</v>
      </c>
      <c r="M26" s="11">
        <f t="shared" si="1"/>
        <v>0.25</v>
      </c>
      <c r="N26" s="9">
        <f t="shared" si="10"/>
        <v>0</v>
      </c>
      <c r="O26" s="12">
        <f t="shared" si="11"/>
        <v>0</v>
      </c>
      <c r="P26" s="13" t="str">
        <f t="shared" si="2"/>
        <v>NO</v>
      </c>
      <c r="Q26">
        <f t="shared" si="0"/>
        <v>0</v>
      </c>
      <c r="R26">
        <f t="shared" si="3"/>
        <v>1000</v>
      </c>
      <c r="S26">
        <f t="shared" si="4"/>
        <v>1</v>
      </c>
    </row>
    <row r="27" spans="1:23" ht="15" hidden="1" customHeight="1" x14ac:dyDescent="0.3">
      <c r="A27" s="31" t="s">
        <v>1150</v>
      </c>
      <c r="B27" s="32" t="s">
        <v>1160</v>
      </c>
      <c r="C27" s="27" t="s">
        <v>1161</v>
      </c>
      <c r="D27" s="27" t="str">
        <f t="shared" si="5"/>
        <v>INCLUIDO</v>
      </c>
      <c r="E27" s="27" t="s">
        <v>1137</v>
      </c>
      <c r="F27" s="42">
        <v>0</v>
      </c>
      <c r="G27" s="10">
        <f>G26</f>
        <v>1.1000000000000001E-3</v>
      </c>
      <c r="H27" s="75">
        <f>(IF(I27="$ Prima",G27,G27*F27/R27))*$U$9</f>
        <v>0</v>
      </c>
      <c r="I27" s="9" t="s">
        <v>1153</v>
      </c>
      <c r="J27" s="9">
        <f>H27*$U$7</f>
        <v>0</v>
      </c>
      <c r="K27" s="9">
        <f>(H27+J27)*$K$15</f>
        <v>0</v>
      </c>
      <c r="L27" s="9">
        <f t="shared" si="9"/>
        <v>0</v>
      </c>
      <c r="M27" s="11">
        <f t="shared" si="1"/>
        <v>0.25</v>
      </c>
      <c r="N27" s="9">
        <f t="shared" si="10"/>
        <v>0</v>
      </c>
      <c r="O27" s="12">
        <f t="shared" si="11"/>
        <v>0</v>
      </c>
      <c r="P27" s="13" t="str">
        <f t="shared" si="2"/>
        <v>NO</v>
      </c>
      <c r="Q27">
        <f t="shared" si="0"/>
        <v>0</v>
      </c>
      <c r="R27">
        <f t="shared" si="3"/>
        <v>1000</v>
      </c>
      <c r="S27">
        <f t="shared" si="4"/>
        <v>1</v>
      </c>
    </row>
    <row r="28" spans="1:23" x14ac:dyDescent="0.3">
      <c r="A28" s="82" t="s">
        <v>1162</v>
      </c>
      <c r="B28" s="33">
        <v>1</v>
      </c>
      <c r="C28" s="28" t="s">
        <v>1163</v>
      </c>
      <c r="D28" s="28" t="str">
        <f>$D$17</f>
        <v>INCLUIDO</v>
      </c>
      <c r="E28" s="28"/>
      <c r="F28" s="28"/>
      <c r="G28" s="28"/>
      <c r="H28" s="28"/>
      <c r="I28" s="28"/>
      <c r="J28" s="28"/>
      <c r="K28" s="28"/>
      <c r="L28" s="28"/>
      <c r="M28" s="68">
        <v>0.05</v>
      </c>
      <c r="N28" s="28"/>
      <c r="O28" s="83"/>
      <c r="P28" s="13" t="str">
        <f t="shared" si="2"/>
        <v>SI</v>
      </c>
      <c r="Q28" s="47">
        <f>IF(D28="INCLUIDO",IF(F29&lt;&gt;0,1,0),0)</f>
        <v>1</v>
      </c>
    </row>
    <row r="29" spans="1:23" x14ac:dyDescent="0.3">
      <c r="A29" s="31" t="s">
        <v>1164</v>
      </c>
      <c r="B29" s="32" t="s">
        <v>1165</v>
      </c>
      <c r="C29" s="27" t="s">
        <v>1166</v>
      </c>
      <c r="D29" s="27" t="str">
        <f t="shared" si="5"/>
        <v>INCLUIDO</v>
      </c>
      <c r="E29" s="27" t="s">
        <v>1137</v>
      </c>
      <c r="F29" s="9">
        <f>$F$17*S29</f>
        <v>20000000</v>
      </c>
      <c r="G29" s="10">
        <f>'COTIZACIÓN M.N.'!E28</f>
        <v>0.25</v>
      </c>
      <c r="H29" s="75">
        <v>0</v>
      </c>
      <c r="I29" s="9" t="s">
        <v>1153</v>
      </c>
      <c r="J29" s="9">
        <f t="shared" ref="J29:J30" si="18">H29*$U$7</f>
        <v>0</v>
      </c>
      <c r="K29" s="9">
        <f t="shared" ref="K29:K30" si="19">(H29+J29)*$K$15</f>
        <v>0</v>
      </c>
      <c r="L29" s="9">
        <f t="shared" ref="L29:L30" si="20">ROUND(H29+J29+K29,2)</f>
        <v>0</v>
      </c>
      <c r="M29" s="11">
        <f>$M$28</f>
        <v>0.05</v>
      </c>
      <c r="N29" s="9">
        <f t="shared" ref="N29:N30" si="21">H29*M29</f>
        <v>0</v>
      </c>
      <c r="O29" s="12">
        <f t="shared" ref="O29:O30" si="22">N29</f>
        <v>0</v>
      </c>
      <c r="P29" s="13" t="str">
        <f t="shared" si="2"/>
        <v>SI</v>
      </c>
      <c r="Q29">
        <f>IF(D29="INCLUIDO",IF(F29&lt;&gt;0,1,0),0)</f>
        <v>1</v>
      </c>
      <c r="R29">
        <f>IF(I29="%o Al Millar",1000,IF(I29="% Al Porciento",100,IF(I29="$ Prima",G29)))</f>
        <v>1000</v>
      </c>
      <c r="S29">
        <f t="shared" si="4"/>
        <v>1</v>
      </c>
    </row>
    <row r="30" spans="1:23" hidden="1" x14ac:dyDescent="0.3">
      <c r="A30" s="31" t="s">
        <v>1164</v>
      </c>
      <c r="B30" s="32"/>
      <c r="C30" s="81">
        <f>$O$12</f>
        <v>0</v>
      </c>
      <c r="D30" s="27" t="str">
        <f t="shared" si="5"/>
        <v>INCLUIDO</v>
      </c>
      <c r="E30" s="27" t="str">
        <f>E29</f>
        <v>Sublimite</v>
      </c>
      <c r="F30" s="9">
        <f>(F29*$O$12)*S30</f>
        <v>0</v>
      </c>
      <c r="G30" s="10">
        <f>G29*0.35</f>
        <v>8.7499999999999994E-2</v>
      </c>
      <c r="H30" s="9">
        <f>((IF(I30="$ Prima",G30,G30*F30/R30))*$U$9)*O13</f>
        <v>0</v>
      </c>
      <c r="I30" s="9" t="s">
        <v>1153</v>
      </c>
      <c r="J30" s="9">
        <f t="shared" si="18"/>
        <v>0</v>
      </c>
      <c r="K30" s="9">
        <f t="shared" si="19"/>
        <v>0</v>
      </c>
      <c r="L30" s="9">
        <f t="shared" si="20"/>
        <v>0</v>
      </c>
      <c r="M30" s="11">
        <f>$M$28</f>
        <v>0.05</v>
      </c>
      <c r="N30" s="9">
        <f t="shared" si="21"/>
        <v>0</v>
      </c>
      <c r="O30" s="12">
        <f t="shared" si="22"/>
        <v>0</v>
      </c>
      <c r="P30" s="13" t="str">
        <f t="shared" si="2"/>
        <v>NO</v>
      </c>
      <c r="Q30">
        <f>IF(D30="INCLUIDO",IF(F30&lt;&gt;0,1,0),0)</f>
        <v>0</v>
      </c>
      <c r="R30">
        <f>IF(I30="%o Al Millar",1000,IF(I30="% Al Porciento",100,IF(I30="$ Prima",G30)))</f>
        <v>1000</v>
      </c>
      <c r="S30">
        <f t="shared" si="4"/>
        <v>1</v>
      </c>
    </row>
    <row r="31" spans="1:23" x14ac:dyDescent="0.3">
      <c r="A31" s="82">
        <v>904</v>
      </c>
      <c r="B31" s="33">
        <v>1</v>
      </c>
      <c r="C31" s="28" t="s">
        <v>1167</v>
      </c>
      <c r="D31" s="28" t="str">
        <f>$D$17</f>
        <v>INCLUIDO</v>
      </c>
      <c r="E31" s="28"/>
      <c r="F31" s="28"/>
      <c r="G31" s="28"/>
      <c r="H31" s="28"/>
      <c r="I31" s="28"/>
      <c r="J31" s="28"/>
      <c r="K31" s="28"/>
      <c r="L31" s="28"/>
      <c r="M31" s="68">
        <v>0.05</v>
      </c>
      <c r="N31" s="28"/>
      <c r="O31" s="83"/>
      <c r="P31" s="13" t="str">
        <f t="shared" si="2"/>
        <v>SI</v>
      </c>
      <c r="Q31" s="47">
        <f>IF(D31="INCLUIDO",IF(F32&lt;&gt;0,1,0),0)</f>
        <v>1</v>
      </c>
    </row>
    <row r="32" spans="1:23" x14ac:dyDescent="0.3">
      <c r="A32" s="31" t="s">
        <v>1168</v>
      </c>
      <c r="B32" s="32" t="s">
        <v>1169</v>
      </c>
      <c r="C32" s="27" t="s">
        <v>1170</v>
      </c>
      <c r="D32" s="27" t="str">
        <f t="shared" si="5"/>
        <v>INCLUIDO</v>
      </c>
      <c r="E32" s="27" t="s">
        <v>1137</v>
      </c>
      <c r="F32" s="9">
        <f>F17</f>
        <v>20000000</v>
      </c>
      <c r="G32" s="10">
        <f>'COTIZACIÓN M.N.'!E30</f>
        <v>0.4</v>
      </c>
      <c r="H32" s="75">
        <v>0</v>
      </c>
      <c r="I32" s="9" t="s">
        <v>1153</v>
      </c>
      <c r="J32" s="9">
        <f t="shared" ref="J32:J33" si="23">H32*$U$7</f>
        <v>0</v>
      </c>
      <c r="K32" s="9">
        <f t="shared" ref="K32:K33" si="24">(H32+J32)*$K$15</f>
        <v>0</v>
      </c>
      <c r="L32" s="9">
        <f t="shared" ref="L32:L33" si="25">ROUND(H32+J32+K32,2)</f>
        <v>0</v>
      </c>
      <c r="M32" s="11">
        <f>$M$31</f>
        <v>0.05</v>
      </c>
      <c r="N32" s="9">
        <f t="shared" ref="N32:N33" si="26">H32*M32</f>
        <v>0</v>
      </c>
      <c r="O32" s="12">
        <f t="shared" ref="O32:O33" si="27">N32</f>
        <v>0</v>
      </c>
      <c r="P32" s="13" t="str">
        <f t="shared" si="2"/>
        <v>SI</v>
      </c>
      <c r="Q32">
        <f>IF(D32="INCLUIDO",IF(F32&lt;&gt;0,1,0),0)</f>
        <v>1</v>
      </c>
      <c r="R32">
        <f>IF(I32="%o Al Millar",1000,IF(I32="% Al Porciento",100,IF(I32="$ Prima",G32)))</f>
        <v>1000</v>
      </c>
      <c r="S32">
        <f t="shared" si="4"/>
        <v>1</v>
      </c>
    </row>
    <row r="33" spans="1:22" hidden="1" x14ac:dyDescent="0.3">
      <c r="A33" s="31" t="s">
        <v>1168</v>
      </c>
      <c r="B33" s="32"/>
      <c r="C33" s="81">
        <f>$O$12</f>
        <v>0</v>
      </c>
      <c r="D33" s="27" t="str">
        <f t="shared" si="5"/>
        <v>INCLUIDO</v>
      </c>
      <c r="E33" s="27" t="str">
        <f>E32</f>
        <v>Sublimite</v>
      </c>
      <c r="F33" s="9">
        <f>(F32*$O$12)*S33</f>
        <v>0</v>
      </c>
      <c r="G33" s="10">
        <f>G32*0.35</f>
        <v>0.13999999999999999</v>
      </c>
      <c r="H33" s="9">
        <f>((IF(I33="$ Prima",G33,G33*F33/R33))*$U$9)*O14</f>
        <v>0</v>
      </c>
      <c r="I33" s="9" t="s">
        <v>1153</v>
      </c>
      <c r="J33" s="9">
        <f t="shared" si="23"/>
        <v>0</v>
      </c>
      <c r="K33" s="9">
        <f t="shared" si="24"/>
        <v>0</v>
      </c>
      <c r="L33" s="9">
        <f t="shared" si="25"/>
        <v>0</v>
      </c>
      <c r="M33" s="11">
        <f>$M$31</f>
        <v>0.05</v>
      </c>
      <c r="N33" s="9">
        <f t="shared" si="26"/>
        <v>0</v>
      </c>
      <c r="O33" s="12">
        <f t="shared" si="27"/>
        <v>0</v>
      </c>
      <c r="P33" s="13" t="str">
        <f t="shared" si="2"/>
        <v>NO</v>
      </c>
      <c r="Q33">
        <f>IF(D33="INCLUIDO",IF(F33&lt;&gt;0,1,0),0)</f>
        <v>0</v>
      </c>
      <c r="R33">
        <f>IF(I33="%o Al Millar",1000,IF(I33="% Al Porciento",100,IF(I33="$ Prima",G33)))</f>
        <v>1000</v>
      </c>
      <c r="S33">
        <f t="shared" si="4"/>
        <v>1</v>
      </c>
    </row>
    <row r="34" spans="1:22" hidden="1" x14ac:dyDescent="0.3">
      <c r="A34" s="82" t="s">
        <v>1147</v>
      </c>
      <c r="B34" s="33" t="s">
        <v>1148</v>
      </c>
      <c r="C34" s="28" t="s">
        <v>1171</v>
      </c>
      <c r="D34" s="28" t="str">
        <f>$D$17</f>
        <v>INCLUIDO</v>
      </c>
      <c r="E34" s="28"/>
      <c r="F34" s="113">
        <v>0</v>
      </c>
      <c r="G34" s="28"/>
      <c r="H34" s="28"/>
      <c r="I34" s="28"/>
      <c r="J34" s="28"/>
      <c r="K34" s="28"/>
      <c r="L34" s="28"/>
      <c r="M34" s="68">
        <v>0.25</v>
      </c>
      <c r="N34" s="28"/>
      <c r="O34" s="83"/>
      <c r="P34" s="13" t="str">
        <f t="shared" si="2"/>
        <v>NO</v>
      </c>
      <c r="Q34" s="47">
        <f>IF(D34="INCLUIDO",IF(F35&lt;&gt;0,1,0),0)</f>
        <v>0</v>
      </c>
    </row>
    <row r="35" spans="1:22" hidden="1" x14ac:dyDescent="0.3">
      <c r="A35" s="31" t="s">
        <v>1150</v>
      </c>
      <c r="B35" s="32" t="s">
        <v>1172</v>
      </c>
      <c r="C35" s="27" t="s">
        <v>1173</v>
      </c>
      <c r="D35" s="27" t="str">
        <f t="shared" si="5"/>
        <v>INCLUIDO</v>
      </c>
      <c r="E35" s="27" t="s">
        <v>1137</v>
      </c>
      <c r="F35" s="9">
        <f>F34*S35</f>
        <v>0</v>
      </c>
      <c r="G35" s="10">
        <f>'COTIZACIÓN M.N.'!E61*75%</f>
        <v>4.1836147500000004E-2</v>
      </c>
      <c r="H35" s="75">
        <f>(((IF(I35="$ Prima",G35,G35*F35/R35))*$U$9)/365)*$J$15</f>
        <v>0</v>
      </c>
      <c r="I35" s="9" t="s">
        <v>1153</v>
      </c>
      <c r="J35" s="9">
        <f>H35*$U$7</f>
        <v>0</v>
      </c>
      <c r="K35" s="9">
        <f>(H35+J35)*$K$15</f>
        <v>0</v>
      </c>
      <c r="L35" s="9">
        <f>ROUND(H35+J35+K35,2)</f>
        <v>0</v>
      </c>
      <c r="M35" s="11">
        <f>M34</f>
        <v>0.25</v>
      </c>
      <c r="N35" s="9">
        <f>H35*M35</f>
        <v>0</v>
      </c>
      <c r="O35" s="12">
        <f>N35</f>
        <v>0</v>
      </c>
      <c r="P35" s="13" t="str">
        <f t="shared" si="2"/>
        <v>NO</v>
      </c>
      <c r="Q35">
        <f>IF(D35="INCLUIDO",IF(F35&lt;&gt;0,1,0),0)</f>
        <v>0</v>
      </c>
      <c r="R35">
        <f>IF(I35="%o Al Millar",1000,IF(I35="% Al Porciento",100,IF(I35="$ Prima",G35)))</f>
        <v>1000</v>
      </c>
      <c r="S35">
        <f t="shared" si="4"/>
        <v>1</v>
      </c>
    </row>
    <row r="36" spans="1:22" hidden="1" x14ac:dyDescent="0.3">
      <c r="A36" s="82" t="s">
        <v>1162</v>
      </c>
      <c r="B36" s="33">
        <v>1</v>
      </c>
      <c r="C36" s="28" t="s">
        <v>1163</v>
      </c>
      <c r="D36" s="28" t="str">
        <f>$D$17</f>
        <v>INCLUIDO</v>
      </c>
      <c r="E36" s="28"/>
      <c r="F36" s="28"/>
      <c r="G36" s="28"/>
      <c r="H36" s="28"/>
      <c r="I36" s="28"/>
      <c r="J36" s="28"/>
      <c r="K36" s="28"/>
      <c r="L36" s="28"/>
      <c r="M36" s="68">
        <f>M28</f>
        <v>0.05</v>
      </c>
      <c r="N36" s="28"/>
      <c r="O36" s="83"/>
      <c r="P36" s="13" t="str">
        <f t="shared" si="2"/>
        <v>NO</v>
      </c>
      <c r="Q36" s="47">
        <f>IF(D36="INCLUIDO",IF(F37&lt;&gt;0,1,0),0)</f>
        <v>0</v>
      </c>
    </row>
    <row r="37" spans="1:22" ht="20.399999999999999" hidden="1" x14ac:dyDescent="0.3">
      <c r="A37" s="31" t="s">
        <v>1164</v>
      </c>
      <c r="B37" s="32" t="s">
        <v>1174</v>
      </c>
      <c r="C37" s="27" t="s">
        <v>1175</v>
      </c>
      <c r="D37" s="27" t="str">
        <f t="shared" si="5"/>
        <v>INCLUIDO</v>
      </c>
      <c r="E37" s="27" t="s">
        <v>1137</v>
      </c>
      <c r="F37" s="9">
        <v>0</v>
      </c>
      <c r="G37" s="10">
        <f>'COTIZACIÓN M.N.'!E61*25%</f>
        <v>1.3945382500000001E-2</v>
      </c>
      <c r="H37" s="75">
        <f>(((IF(I37="$ Prima",G37,G37*F37/R37))*$U$9)/365)*$J$15</f>
        <v>0</v>
      </c>
      <c r="I37" s="9" t="s">
        <v>1153</v>
      </c>
      <c r="J37" s="9">
        <f>H37*$U$7</f>
        <v>0</v>
      </c>
      <c r="K37" s="9">
        <f>(H37+J37)*$K$15</f>
        <v>0</v>
      </c>
      <c r="L37" s="9">
        <f>ROUND(H37+J37+K37,2)</f>
        <v>0</v>
      </c>
      <c r="M37" s="11">
        <f>M36</f>
        <v>0.05</v>
      </c>
      <c r="N37" s="9">
        <f>H37*M37</f>
        <v>0</v>
      </c>
      <c r="O37" s="12">
        <f>N37</f>
        <v>0</v>
      </c>
      <c r="P37" s="13" t="str">
        <f t="shared" si="2"/>
        <v>NO</v>
      </c>
      <c r="Q37">
        <f>IF(D37="INCLUIDO",IF(F37&lt;&gt;0,1,0),0)</f>
        <v>0</v>
      </c>
      <c r="R37">
        <f>IF(I37="%o Al Millar",1000,IF(I37="% Al Porciento",100,IF(I37="$ Prima",G37)))</f>
        <v>1000</v>
      </c>
      <c r="S37">
        <f t="shared" si="4"/>
        <v>1</v>
      </c>
    </row>
    <row r="38" spans="1:22" hidden="1" x14ac:dyDescent="0.3">
      <c r="A38" s="82">
        <v>904</v>
      </c>
      <c r="B38" s="33">
        <v>1</v>
      </c>
      <c r="C38" s="28" t="s">
        <v>1167</v>
      </c>
      <c r="D38" s="28" t="str">
        <f>$D$17</f>
        <v>INCLUIDO</v>
      </c>
      <c r="E38" s="28"/>
      <c r="F38" s="28"/>
      <c r="G38" s="28"/>
      <c r="H38" s="28"/>
      <c r="I38" s="28"/>
      <c r="J38" s="28"/>
      <c r="K38" s="28"/>
      <c r="L38" s="28"/>
      <c r="M38" s="68">
        <f>M31</f>
        <v>0.05</v>
      </c>
      <c r="N38" s="28"/>
      <c r="O38" s="83"/>
      <c r="P38" s="13" t="str">
        <f t="shared" si="2"/>
        <v>NO</v>
      </c>
      <c r="Q38" s="47">
        <f>IF(D38="INCLUIDO",IF(F39&lt;&gt;0,1,0),0)</f>
        <v>0</v>
      </c>
    </row>
    <row r="39" spans="1:22" ht="20.399999999999999" hidden="1" x14ac:dyDescent="0.3">
      <c r="A39" s="31" t="s">
        <v>1168</v>
      </c>
      <c r="B39" s="32" t="s">
        <v>1176</v>
      </c>
      <c r="C39" s="27" t="s">
        <v>1175</v>
      </c>
      <c r="D39" s="27" t="str">
        <f t="shared" si="5"/>
        <v>INCLUIDO</v>
      </c>
      <c r="E39" s="27" t="s">
        <v>1137</v>
      </c>
      <c r="F39" s="9">
        <v>0</v>
      </c>
      <c r="G39" s="10">
        <f>'COTIZACIÓN M.N.'!E62</f>
        <v>4.0000000000000008E-2</v>
      </c>
      <c r="H39" s="75">
        <f>(((IF(I39="$ Prima",G39,G39*F39/R39))*$U$9)/365)*$J$15</f>
        <v>0</v>
      </c>
      <c r="I39" s="9" t="s">
        <v>1153</v>
      </c>
      <c r="J39" s="9">
        <f>H39*$U$7</f>
        <v>0</v>
      </c>
      <c r="K39" s="9">
        <f>(H39+J39)*$K$15</f>
        <v>0</v>
      </c>
      <c r="L39" s="9">
        <f>ROUND(H39+J39+K39,2)</f>
        <v>0</v>
      </c>
      <c r="M39" s="11">
        <f>M38</f>
        <v>0.05</v>
      </c>
      <c r="N39" s="9">
        <f>H39*M39</f>
        <v>0</v>
      </c>
      <c r="O39" s="12">
        <f>N39</f>
        <v>0</v>
      </c>
      <c r="P39" s="13" t="str">
        <f t="shared" si="2"/>
        <v>NO</v>
      </c>
      <c r="Q39">
        <f>IF(D39="INCLUIDO",IF(F39&lt;&gt;0,1,0),0)</f>
        <v>0</v>
      </c>
      <c r="R39">
        <f>IF(I39="%o Al Millar",1000,IF(I39="% Al Porciento",100,IF(I39="$ Prima",G39)))</f>
        <v>1000</v>
      </c>
      <c r="S39">
        <f t="shared" si="4"/>
        <v>1</v>
      </c>
    </row>
    <row r="40" spans="1:22" s="18" customFormat="1" hidden="1" x14ac:dyDescent="0.3">
      <c r="A40" s="14"/>
      <c r="B40" s="25"/>
      <c r="C40" s="15" t="s">
        <v>1177</v>
      </c>
      <c r="D40" s="38" t="str">
        <f>D39</f>
        <v>INCLUIDO</v>
      </c>
      <c r="E40" s="38"/>
      <c r="F40" s="16">
        <f>SUMIF(E18:E39,"Adicional",F18:F39)</f>
        <v>20000000</v>
      </c>
      <c r="G40" s="17"/>
      <c r="H40" s="16">
        <f>SUM(H18:H39)</f>
        <v>0</v>
      </c>
      <c r="I40" s="16"/>
      <c r="J40" s="16">
        <f>SUM(J18:J39)</f>
        <v>0</v>
      </c>
      <c r="K40" s="16">
        <f>SUM(K18:K39)</f>
        <v>0</v>
      </c>
      <c r="L40" s="16">
        <f>SUM(L18:L39)</f>
        <v>0</v>
      </c>
      <c r="M40" s="16" t="s">
        <v>1178</v>
      </c>
      <c r="N40" s="16">
        <f>SUM(N18:N39)</f>
        <v>0</v>
      </c>
      <c r="O40" s="84">
        <f>SUM(O18:O39)</f>
        <v>0</v>
      </c>
      <c r="P40" s="13" t="str">
        <f t="shared" si="2"/>
        <v>NO</v>
      </c>
      <c r="Q40">
        <f>IF(D40="INCLUIDO",IF(H40&lt;&gt;0,1,0),0)</f>
        <v>0</v>
      </c>
    </row>
    <row r="41" spans="1:22" ht="15" hidden="1" thickBot="1" x14ac:dyDescent="0.35">
      <c r="A41" s="82" t="s">
        <v>1147</v>
      </c>
      <c r="B41" s="33">
        <v>2</v>
      </c>
      <c r="C41" s="28" t="s">
        <v>1179</v>
      </c>
      <c r="D41" s="28" t="str">
        <f>$D$17</f>
        <v>INCLUIDO</v>
      </c>
      <c r="E41" s="28"/>
      <c r="F41" s="113">
        <v>0</v>
      </c>
      <c r="G41" s="209">
        <f>'COTIZACIÓN M.N.'!E33+'COTIZACIÓN M.N.'!E34+'COTIZACIÓN M.N.'!E35</f>
        <v>0.30781530000000001</v>
      </c>
      <c r="H41" s="28"/>
      <c r="I41" s="28"/>
      <c r="J41" s="28"/>
      <c r="K41" s="28"/>
      <c r="L41" s="28"/>
      <c r="M41" s="68">
        <v>0.25</v>
      </c>
      <c r="N41" s="28"/>
      <c r="O41" s="83"/>
      <c r="P41" s="13" t="str">
        <f t="shared" si="2"/>
        <v>NO</v>
      </c>
      <c r="Q41" s="48">
        <f t="shared" ref="Q41:Q60" si="28">IF(D41="INCLUIDO",IF(F41&lt;&gt;0,1,0),0)</f>
        <v>0</v>
      </c>
      <c r="T41" s="146">
        <f>G41</f>
        <v>0.30781530000000001</v>
      </c>
      <c r="U41" s="150"/>
      <c r="V41" s="151"/>
    </row>
    <row r="42" spans="1:22" hidden="1" x14ac:dyDescent="0.3">
      <c r="A42" s="34" t="s">
        <v>1150</v>
      </c>
      <c r="B42" s="35" t="s">
        <v>1180</v>
      </c>
      <c r="C42" s="29" t="s">
        <v>1151</v>
      </c>
      <c r="D42" s="27" t="str">
        <f t="shared" ref="D42:D76" si="29">$D$17</f>
        <v>INCLUIDO</v>
      </c>
      <c r="E42" s="27" t="s">
        <v>1152</v>
      </c>
      <c r="F42" s="20">
        <f>$F$41*S42</f>
        <v>0</v>
      </c>
      <c r="G42" s="49">
        <f>V42</f>
        <v>0</v>
      </c>
      <c r="H42" s="9">
        <f>(((IF(I42="$ Prima",G42,G42*F42/R42))*$U$9)/365)*$J$15</f>
        <v>0</v>
      </c>
      <c r="I42" s="9" t="s">
        <v>1153</v>
      </c>
      <c r="J42" s="9">
        <f t="shared" ref="J42:J60" si="30">H42*$U$7</f>
        <v>0</v>
      </c>
      <c r="K42" s="9">
        <f t="shared" ref="K42:K60" si="31">(H42+J42)*$K$15</f>
        <v>0</v>
      </c>
      <c r="L42" s="9">
        <f t="shared" ref="L42:L60" si="32">ROUND(H42+J42+K42,2)</f>
        <v>0</v>
      </c>
      <c r="M42" s="11">
        <f>$M$41</f>
        <v>0.25</v>
      </c>
      <c r="N42" s="9">
        <f t="shared" ref="N42:N60" si="33">H42*M42</f>
        <v>0</v>
      </c>
      <c r="O42" s="12">
        <f t="shared" ref="O42:O60" si="34">N42</f>
        <v>0</v>
      </c>
      <c r="P42" s="13" t="str">
        <f t="shared" si="2"/>
        <v>NO</v>
      </c>
      <c r="Q42">
        <f t="shared" si="28"/>
        <v>0</v>
      </c>
      <c r="R42">
        <f t="shared" ref="R42:R60" si="35">IF(I42="%o Al Millar",1000,IF(I42="% Al Porciento",100,IF(I42="$ Prima",G42)))</f>
        <v>1000</v>
      </c>
      <c r="S42">
        <f t="shared" ref="S42:S76" si="36">IF(E42="Excluido",0,IF(D42="NO APLICA",0,1))</f>
        <v>1</v>
      </c>
      <c r="T42" s="152">
        <v>0.7</v>
      </c>
      <c r="U42">
        <f>IF(E42="Excluido",0,T41*T42)</f>
        <v>0.21547071000000001</v>
      </c>
      <c r="V42" s="153">
        <f>IF(F41=0,0,(U51-U46-U44-U50)+(T41-U51))</f>
        <v>0</v>
      </c>
    </row>
    <row r="43" spans="1:22" hidden="1" x14ac:dyDescent="0.3">
      <c r="A43" s="34" t="s">
        <v>1150</v>
      </c>
      <c r="B43" s="35"/>
      <c r="C43" s="81">
        <f>$O$12</f>
        <v>0</v>
      </c>
      <c r="D43" s="27" t="str">
        <f t="shared" si="29"/>
        <v>INCLUIDO</v>
      </c>
      <c r="E43" s="27" t="str">
        <f>E42</f>
        <v>Adicional</v>
      </c>
      <c r="F43" s="9">
        <f>(F42*$O$12)*S42</f>
        <v>0</v>
      </c>
      <c r="G43" s="10">
        <f>G42*0.35</f>
        <v>0</v>
      </c>
      <c r="H43" s="9">
        <f t="shared" ref="H43" si="37">(IF(I43="$ Prima",G43,G43*F43/R43))*$U$9</f>
        <v>0</v>
      </c>
      <c r="I43" s="9" t="s">
        <v>1153</v>
      </c>
      <c r="J43" s="9">
        <f t="shared" si="30"/>
        <v>0</v>
      </c>
      <c r="K43" s="9">
        <f t="shared" si="31"/>
        <v>0</v>
      </c>
      <c r="L43" s="9">
        <f t="shared" si="32"/>
        <v>0</v>
      </c>
      <c r="M43" s="11">
        <f t="shared" ref="M43:M60" si="38">$M$41</f>
        <v>0.25</v>
      </c>
      <c r="N43" s="9">
        <f t="shared" si="33"/>
        <v>0</v>
      </c>
      <c r="O43" s="12">
        <f t="shared" si="34"/>
        <v>0</v>
      </c>
      <c r="P43" s="13" t="str">
        <f t="shared" si="2"/>
        <v>NO</v>
      </c>
      <c r="Q43">
        <f t="shared" si="28"/>
        <v>0</v>
      </c>
      <c r="R43">
        <f t="shared" si="35"/>
        <v>1000</v>
      </c>
      <c r="S43">
        <f t="shared" si="36"/>
        <v>1</v>
      </c>
      <c r="T43" s="152"/>
      <c r="V43" s="153"/>
    </row>
    <row r="44" spans="1:22" ht="20.399999999999999" hidden="1" x14ac:dyDescent="0.3">
      <c r="A44" s="34" t="s">
        <v>1150</v>
      </c>
      <c r="B44" s="35" t="s">
        <v>1181</v>
      </c>
      <c r="C44" s="29" t="s">
        <v>1155</v>
      </c>
      <c r="D44" s="27" t="str">
        <f t="shared" si="29"/>
        <v>INCLUIDO</v>
      </c>
      <c r="E44" s="27" t="s">
        <v>1137</v>
      </c>
      <c r="F44" s="20">
        <f>$F$41*S44</f>
        <v>0</v>
      </c>
      <c r="G44" s="49">
        <f>V44</f>
        <v>0</v>
      </c>
      <c r="H44" s="9">
        <f>(((IF(I44="$ Prima",G44,G44*F44/R44))*$U$9)/365)*$J$15</f>
        <v>0</v>
      </c>
      <c r="I44" s="9" t="s">
        <v>1153</v>
      </c>
      <c r="J44" s="9">
        <f t="shared" si="30"/>
        <v>0</v>
      </c>
      <c r="K44" s="9">
        <f t="shared" si="31"/>
        <v>0</v>
      </c>
      <c r="L44" s="9">
        <f t="shared" si="32"/>
        <v>0</v>
      </c>
      <c r="M44" s="11">
        <f t="shared" si="38"/>
        <v>0.25</v>
      </c>
      <c r="N44" s="9">
        <f t="shared" si="33"/>
        <v>0</v>
      </c>
      <c r="O44" s="12">
        <f t="shared" si="34"/>
        <v>0</v>
      </c>
      <c r="P44" s="13" t="str">
        <f t="shared" si="2"/>
        <v>NO</v>
      </c>
      <c r="Q44">
        <f t="shared" si="28"/>
        <v>0</v>
      </c>
      <c r="R44">
        <f t="shared" si="35"/>
        <v>1000</v>
      </c>
      <c r="S44">
        <f t="shared" si="36"/>
        <v>1</v>
      </c>
      <c r="T44" s="152">
        <v>0.1</v>
      </c>
      <c r="U44">
        <f>IF(E44="Excluido",0,T41*T44)</f>
        <v>3.0781530000000001E-2</v>
      </c>
      <c r="V44" s="153">
        <f>IF(F41=0,0,U44)</f>
        <v>0</v>
      </c>
    </row>
    <row r="45" spans="1:22" hidden="1" x14ac:dyDescent="0.3">
      <c r="A45" s="34" t="s">
        <v>1150</v>
      </c>
      <c r="B45" s="35"/>
      <c r="C45" s="81">
        <f>$O$12</f>
        <v>0</v>
      </c>
      <c r="D45" s="27" t="str">
        <f t="shared" si="29"/>
        <v>INCLUIDO</v>
      </c>
      <c r="E45" s="27" t="str">
        <f>E44</f>
        <v>Sublimite</v>
      </c>
      <c r="F45" s="9">
        <f>(F44*$O$12)*S44</f>
        <v>0</v>
      </c>
      <c r="G45" s="10">
        <f>G44*0.35</f>
        <v>0</v>
      </c>
      <c r="H45" s="9">
        <f t="shared" ref="H45:H59" si="39">(IF(I45="$ Prima",G45,G45*F45/R45))*$U$9</f>
        <v>0</v>
      </c>
      <c r="I45" s="9" t="s">
        <v>1153</v>
      </c>
      <c r="J45" s="9">
        <f t="shared" si="30"/>
        <v>0</v>
      </c>
      <c r="K45" s="9">
        <f t="shared" si="31"/>
        <v>0</v>
      </c>
      <c r="L45" s="9">
        <f t="shared" si="32"/>
        <v>0</v>
      </c>
      <c r="M45" s="11">
        <f t="shared" si="38"/>
        <v>0.25</v>
      </c>
      <c r="N45" s="9">
        <f t="shared" si="33"/>
        <v>0</v>
      </c>
      <c r="O45" s="12">
        <f t="shared" si="34"/>
        <v>0</v>
      </c>
      <c r="P45" s="13" t="str">
        <f t="shared" si="2"/>
        <v>NO</v>
      </c>
      <c r="Q45">
        <f t="shared" si="28"/>
        <v>0</v>
      </c>
      <c r="R45">
        <f t="shared" si="35"/>
        <v>1000</v>
      </c>
      <c r="S45">
        <f t="shared" si="36"/>
        <v>1</v>
      </c>
      <c r="T45" s="152"/>
      <c r="V45" s="153"/>
    </row>
    <row r="46" spans="1:22" hidden="1" x14ac:dyDescent="0.3">
      <c r="A46" s="34" t="s">
        <v>1150</v>
      </c>
      <c r="B46" s="35" t="s">
        <v>1182</v>
      </c>
      <c r="C46" s="29" t="s">
        <v>1110</v>
      </c>
      <c r="D46" s="27" t="str">
        <f t="shared" si="29"/>
        <v>INCLUIDO</v>
      </c>
      <c r="E46" s="27" t="s">
        <v>1137</v>
      </c>
      <c r="F46" s="20">
        <v>0</v>
      </c>
      <c r="G46" s="49">
        <f>V46</f>
        <v>0</v>
      </c>
      <c r="H46" s="9">
        <f>(((IF(I46="$ Prima",G46,G46*F46/R46))*$U$9)/365)*$J$15</f>
        <v>0</v>
      </c>
      <c r="I46" s="9" t="s">
        <v>1153</v>
      </c>
      <c r="J46" s="9">
        <f t="shared" si="30"/>
        <v>0</v>
      </c>
      <c r="K46" s="9">
        <f t="shared" si="31"/>
        <v>0</v>
      </c>
      <c r="L46" s="9">
        <f t="shared" si="32"/>
        <v>0</v>
      </c>
      <c r="M46" s="11">
        <f t="shared" si="38"/>
        <v>0.25</v>
      </c>
      <c r="N46" s="9">
        <f t="shared" si="33"/>
        <v>0</v>
      </c>
      <c r="O46" s="12">
        <f t="shared" si="34"/>
        <v>0</v>
      </c>
      <c r="P46" s="13" t="str">
        <f t="shared" si="2"/>
        <v>NO</v>
      </c>
      <c r="Q46">
        <f t="shared" si="28"/>
        <v>0</v>
      </c>
      <c r="R46">
        <f t="shared" si="35"/>
        <v>1000</v>
      </c>
      <c r="S46">
        <f t="shared" si="36"/>
        <v>1</v>
      </c>
      <c r="T46" s="152">
        <v>0.1</v>
      </c>
      <c r="U46">
        <f>IF(E46="Excluido",0,T41*T46)</f>
        <v>3.0781530000000001E-2</v>
      </c>
      <c r="V46" s="153">
        <f>IF(F41=0,0,U46)</f>
        <v>0</v>
      </c>
    </row>
    <row r="47" spans="1:22" hidden="1" x14ac:dyDescent="0.3">
      <c r="A47" s="34" t="s">
        <v>1150</v>
      </c>
      <c r="B47" s="35"/>
      <c r="C47" s="81">
        <f>$O$12</f>
        <v>0</v>
      </c>
      <c r="D47" s="27" t="str">
        <f t="shared" si="29"/>
        <v>INCLUIDO</v>
      </c>
      <c r="E47" s="27" t="str">
        <f>E46</f>
        <v>Sublimite</v>
      </c>
      <c r="F47" s="9">
        <f>(F46*$O$12)*S46</f>
        <v>0</v>
      </c>
      <c r="G47" s="10">
        <f>G46*0.35</f>
        <v>0</v>
      </c>
      <c r="H47" s="9">
        <f t="shared" ref="H47" si="40">(IF(I47="$ Prima",G47,G47*F47/R47))*$U$9</f>
        <v>0</v>
      </c>
      <c r="I47" s="9" t="s">
        <v>1153</v>
      </c>
      <c r="J47" s="9">
        <f t="shared" si="30"/>
        <v>0</v>
      </c>
      <c r="K47" s="9">
        <f t="shared" si="31"/>
        <v>0</v>
      </c>
      <c r="L47" s="9">
        <f t="shared" si="32"/>
        <v>0</v>
      </c>
      <c r="M47" s="11">
        <f t="shared" si="38"/>
        <v>0.25</v>
      </c>
      <c r="N47" s="9">
        <f t="shared" si="33"/>
        <v>0</v>
      </c>
      <c r="O47" s="12">
        <f t="shared" si="34"/>
        <v>0</v>
      </c>
      <c r="P47" s="13" t="str">
        <f t="shared" si="2"/>
        <v>NO</v>
      </c>
      <c r="Q47">
        <f t="shared" si="28"/>
        <v>0</v>
      </c>
      <c r="R47">
        <f t="shared" si="35"/>
        <v>1000</v>
      </c>
      <c r="S47">
        <f t="shared" si="36"/>
        <v>1</v>
      </c>
      <c r="T47" s="154"/>
      <c r="V47" s="153"/>
    </row>
    <row r="48" spans="1:22" ht="15" hidden="1" customHeight="1" x14ac:dyDescent="0.3">
      <c r="A48" s="34" t="s">
        <v>1150</v>
      </c>
      <c r="B48" s="35" t="s">
        <v>1183</v>
      </c>
      <c r="C48" s="29" t="s">
        <v>1184</v>
      </c>
      <c r="D48" s="27" t="str">
        <f t="shared" si="29"/>
        <v>INCLUIDO</v>
      </c>
      <c r="E48" s="27" t="s">
        <v>1137</v>
      </c>
      <c r="F48" s="43">
        <v>0</v>
      </c>
      <c r="G48" s="21">
        <v>0</v>
      </c>
      <c r="H48" s="9">
        <f t="shared" si="39"/>
        <v>0</v>
      </c>
      <c r="I48" s="9" t="s">
        <v>1153</v>
      </c>
      <c r="J48" s="9">
        <f t="shared" si="30"/>
        <v>0</v>
      </c>
      <c r="K48" s="9">
        <f t="shared" si="31"/>
        <v>0</v>
      </c>
      <c r="L48" s="9">
        <f t="shared" si="32"/>
        <v>0</v>
      </c>
      <c r="M48" s="11">
        <f t="shared" si="38"/>
        <v>0.25</v>
      </c>
      <c r="N48" s="9">
        <f t="shared" si="33"/>
        <v>0</v>
      </c>
      <c r="O48" s="12">
        <f t="shared" si="34"/>
        <v>0</v>
      </c>
      <c r="P48" s="13" t="str">
        <f t="shared" si="2"/>
        <v>NO</v>
      </c>
      <c r="Q48">
        <f t="shared" si="28"/>
        <v>0</v>
      </c>
      <c r="R48">
        <f t="shared" si="35"/>
        <v>1000</v>
      </c>
      <c r="S48">
        <f t="shared" si="36"/>
        <v>1</v>
      </c>
      <c r="T48" s="154"/>
      <c r="V48" s="153"/>
    </row>
    <row r="49" spans="1:22" ht="15" hidden="1" customHeight="1" x14ac:dyDescent="0.3">
      <c r="A49" s="34" t="s">
        <v>1150</v>
      </c>
      <c r="B49" s="35"/>
      <c r="C49" s="81">
        <f>$O$12</f>
        <v>0</v>
      </c>
      <c r="D49" s="27" t="str">
        <f t="shared" si="29"/>
        <v>INCLUIDO</v>
      </c>
      <c r="E49" s="27" t="str">
        <f>E48</f>
        <v>Sublimite</v>
      </c>
      <c r="F49" s="9">
        <f>(F48*$O$12)*S48</f>
        <v>0</v>
      </c>
      <c r="G49" s="10">
        <f>G48*0.35</f>
        <v>0</v>
      </c>
      <c r="H49" s="9">
        <f t="shared" si="39"/>
        <v>0</v>
      </c>
      <c r="I49" s="9" t="s">
        <v>1153</v>
      </c>
      <c r="J49" s="9">
        <f t="shared" si="30"/>
        <v>0</v>
      </c>
      <c r="K49" s="9">
        <f t="shared" si="31"/>
        <v>0</v>
      </c>
      <c r="L49" s="9">
        <f t="shared" si="32"/>
        <v>0</v>
      </c>
      <c r="M49" s="11">
        <f t="shared" si="38"/>
        <v>0.25</v>
      </c>
      <c r="N49" s="9">
        <f t="shared" si="33"/>
        <v>0</v>
      </c>
      <c r="O49" s="12">
        <f t="shared" si="34"/>
        <v>0</v>
      </c>
      <c r="P49" s="13" t="str">
        <f t="shared" si="2"/>
        <v>NO</v>
      </c>
      <c r="Q49">
        <f t="shared" si="28"/>
        <v>0</v>
      </c>
      <c r="R49">
        <f t="shared" si="35"/>
        <v>1000</v>
      </c>
      <c r="S49">
        <f t="shared" si="36"/>
        <v>1</v>
      </c>
      <c r="T49" s="154"/>
      <c r="V49" s="153"/>
    </row>
    <row r="50" spans="1:22" ht="15" hidden="1" customHeight="1" thickBot="1" x14ac:dyDescent="0.35">
      <c r="A50" s="34" t="s">
        <v>1150</v>
      </c>
      <c r="B50" s="35">
        <v>229</v>
      </c>
      <c r="C50" s="29" t="s">
        <v>1185</v>
      </c>
      <c r="D50" s="27" t="str">
        <f t="shared" si="29"/>
        <v>INCLUIDO</v>
      </c>
      <c r="E50" s="27" t="s">
        <v>1186</v>
      </c>
      <c r="F50" s="20">
        <f>$F$41*S50</f>
        <v>0</v>
      </c>
      <c r="G50" s="21">
        <f>V50</f>
        <v>0</v>
      </c>
      <c r="H50" s="9">
        <f t="shared" si="39"/>
        <v>0</v>
      </c>
      <c r="I50" s="9" t="s">
        <v>1153</v>
      </c>
      <c r="J50" s="9">
        <f t="shared" si="30"/>
        <v>0</v>
      </c>
      <c r="K50" s="9">
        <f t="shared" si="31"/>
        <v>0</v>
      </c>
      <c r="L50" s="9">
        <f t="shared" si="32"/>
        <v>0</v>
      </c>
      <c r="M50" s="11">
        <f t="shared" si="38"/>
        <v>0.25</v>
      </c>
      <c r="N50" s="9">
        <f t="shared" si="33"/>
        <v>0</v>
      </c>
      <c r="O50" s="12">
        <f t="shared" si="34"/>
        <v>0</v>
      </c>
      <c r="P50" s="13" t="str">
        <f t="shared" si="2"/>
        <v>NO</v>
      </c>
      <c r="Q50">
        <f t="shared" si="28"/>
        <v>0</v>
      </c>
      <c r="R50">
        <f t="shared" si="35"/>
        <v>1000</v>
      </c>
      <c r="S50">
        <f t="shared" si="36"/>
        <v>0</v>
      </c>
      <c r="T50" s="152">
        <v>0.1</v>
      </c>
      <c r="U50">
        <f>IF(E50="Excluido",0,T41*T50)</f>
        <v>0</v>
      </c>
      <c r="V50" s="153">
        <f>IF(F41=0,0,U50)</f>
        <v>0</v>
      </c>
    </row>
    <row r="51" spans="1:22" ht="15" hidden="1" customHeight="1" thickBot="1" x14ac:dyDescent="0.35">
      <c r="A51" s="34" t="s">
        <v>1150</v>
      </c>
      <c r="B51" s="35"/>
      <c r="C51" s="81">
        <f>$O$12</f>
        <v>0</v>
      </c>
      <c r="D51" s="27" t="str">
        <f t="shared" si="29"/>
        <v>INCLUIDO</v>
      </c>
      <c r="E51" s="27" t="str">
        <f>E50</f>
        <v>Excluido</v>
      </c>
      <c r="F51" s="9">
        <f>(F50*$O$12)*S50</f>
        <v>0</v>
      </c>
      <c r="G51" s="10">
        <f>G50*0.35</f>
        <v>0</v>
      </c>
      <c r="H51" s="9">
        <f t="shared" si="39"/>
        <v>0</v>
      </c>
      <c r="I51" s="9" t="s">
        <v>1153</v>
      </c>
      <c r="J51" s="9">
        <f t="shared" si="30"/>
        <v>0</v>
      </c>
      <c r="K51" s="9">
        <f t="shared" si="31"/>
        <v>0</v>
      </c>
      <c r="L51" s="9">
        <f t="shared" si="32"/>
        <v>0</v>
      </c>
      <c r="M51" s="11">
        <f t="shared" si="38"/>
        <v>0.25</v>
      </c>
      <c r="N51" s="9">
        <f t="shared" si="33"/>
        <v>0</v>
      </c>
      <c r="O51" s="12">
        <f t="shared" si="34"/>
        <v>0</v>
      </c>
      <c r="P51" s="13" t="str">
        <f t="shared" si="2"/>
        <v>NO</v>
      </c>
      <c r="Q51">
        <f t="shared" si="28"/>
        <v>0</v>
      </c>
      <c r="R51">
        <f t="shared" si="35"/>
        <v>1000</v>
      </c>
      <c r="S51">
        <f t="shared" si="36"/>
        <v>0</v>
      </c>
      <c r="T51" s="143">
        <f>SUM(T42:T50)</f>
        <v>0.99999999999999989</v>
      </c>
      <c r="U51" s="147">
        <f>SUM(U42:U50)</f>
        <v>0.27703377000000001</v>
      </c>
      <c r="V51" s="148">
        <f>SUM(V42:V50)</f>
        <v>0</v>
      </c>
    </row>
    <row r="52" spans="1:22" ht="15" hidden="1" customHeight="1" x14ac:dyDescent="0.3">
      <c r="A52" s="34" t="s">
        <v>1150</v>
      </c>
      <c r="B52" s="35">
        <v>230</v>
      </c>
      <c r="C52" s="29" t="s">
        <v>1187</v>
      </c>
      <c r="D52" s="27" t="str">
        <f t="shared" si="29"/>
        <v>INCLUIDO</v>
      </c>
      <c r="E52" s="27" t="s">
        <v>1137</v>
      </c>
      <c r="F52" s="43">
        <v>0</v>
      </c>
      <c r="G52" s="21">
        <v>0</v>
      </c>
      <c r="H52" s="9">
        <f t="shared" si="39"/>
        <v>0</v>
      </c>
      <c r="I52" s="9" t="s">
        <v>1153</v>
      </c>
      <c r="J52" s="9">
        <f t="shared" si="30"/>
        <v>0</v>
      </c>
      <c r="K52" s="9">
        <f t="shared" si="31"/>
        <v>0</v>
      </c>
      <c r="L52" s="9">
        <f t="shared" si="32"/>
        <v>0</v>
      </c>
      <c r="M52" s="11">
        <f t="shared" si="38"/>
        <v>0.25</v>
      </c>
      <c r="N52" s="9">
        <f t="shared" si="33"/>
        <v>0</v>
      </c>
      <c r="O52" s="12">
        <f t="shared" si="34"/>
        <v>0</v>
      </c>
      <c r="P52" s="13" t="str">
        <f t="shared" si="2"/>
        <v>NO</v>
      </c>
      <c r="Q52">
        <f t="shared" si="28"/>
        <v>0</v>
      </c>
      <c r="R52">
        <f t="shared" si="35"/>
        <v>1000</v>
      </c>
      <c r="S52">
        <f t="shared" si="36"/>
        <v>1</v>
      </c>
    </row>
    <row r="53" spans="1:22" ht="15" hidden="1" customHeight="1" x14ac:dyDescent="0.3">
      <c r="A53" s="34" t="s">
        <v>1150</v>
      </c>
      <c r="B53" s="35"/>
      <c r="C53" s="81">
        <f>$O$12</f>
        <v>0</v>
      </c>
      <c r="D53" s="27" t="str">
        <f t="shared" si="29"/>
        <v>INCLUIDO</v>
      </c>
      <c r="E53" s="27" t="str">
        <f>E52</f>
        <v>Sublimite</v>
      </c>
      <c r="F53" s="9">
        <f>(F52*$O$12)*S52</f>
        <v>0</v>
      </c>
      <c r="G53" s="10">
        <f>G52*0.35</f>
        <v>0</v>
      </c>
      <c r="H53" s="9">
        <f t="shared" si="39"/>
        <v>0</v>
      </c>
      <c r="I53" s="9" t="s">
        <v>1153</v>
      </c>
      <c r="J53" s="9">
        <f t="shared" si="30"/>
        <v>0</v>
      </c>
      <c r="K53" s="9">
        <f t="shared" si="31"/>
        <v>0</v>
      </c>
      <c r="L53" s="9">
        <f t="shared" si="32"/>
        <v>0</v>
      </c>
      <c r="M53" s="11">
        <f t="shared" si="38"/>
        <v>0.25</v>
      </c>
      <c r="N53" s="9">
        <f t="shared" si="33"/>
        <v>0</v>
      </c>
      <c r="O53" s="12">
        <f t="shared" si="34"/>
        <v>0</v>
      </c>
      <c r="P53" s="13" t="str">
        <f t="shared" si="2"/>
        <v>NO</v>
      </c>
      <c r="Q53">
        <f t="shared" si="28"/>
        <v>0</v>
      </c>
      <c r="R53">
        <f t="shared" si="35"/>
        <v>1000</v>
      </c>
      <c r="S53">
        <f t="shared" si="36"/>
        <v>1</v>
      </c>
    </row>
    <row r="54" spans="1:22" ht="15" hidden="1" customHeight="1" x14ac:dyDescent="0.3">
      <c r="A54" s="34" t="s">
        <v>1150</v>
      </c>
      <c r="B54" s="35">
        <v>231</v>
      </c>
      <c r="C54" s="29" t="s">
        <v>1188</v>
      </c>
      <c r="D54" s="27" t="str">
        <f t="shared" si="29"/>
        <v>INCLUIDO</v>
      </c>
      <c r="E54" s="27" t="s">
        <v>1137</v>
      </c>
      <c r="F54" s="43">
        <v>0</v>
      </c>
      <c r="G54" s="21">
        <v>0</v>
      </c>
      <c r="H54" s="9">
        <f t="shared" si="39"/>
        <v>0</v>
      </c>
      <c r="I54" s="9" t="s">
        <v>1153</v>
      </c>
      <c r="J54" s="9">
        <f t="shared" si="30"/>
        <v>0</v>
      </c>
      <c r="K54" s="9">
        <f t="shared" si="31"/>
        <v>0</v>
      </c>
      <c r="L54" s="9">
        <f t="shared" si="32"/>
        <v>0</v>
      </c>
      <c r="M54" s="11">
        <f t="shared" si="38"/>
        <v>0.25</v>
      </c>
      <c r="N54" s="9">
        <f t="shared" si="33"/>
        <v>0</v>
      </c>
      <c r="O54" s="12">
        <f t="shared" si="34"/>
        <v>0</v>
      </c>
      <c r="P54" s="13" t="str">
        <f t="shared" si="2"/>
        <v>NO</v>
      </c>
      <c r="Q54">
        <f t="shared" si="28"/>
        <v>0</v>
      </c>
      <c r="R54">
        <f t="shared" si="35"/>
        <v>1000</v>
      </c>
      <c r="S54">
        <f t="shared" si="36"/>
        <v>1</v>
      </c>
    </row>
    <row r="55" spans="1:22" ht="15" hidden="1" customHeight="1" x14ac:dyDescent="0.3">
      <c r="A55" s="34" t="s">
        <v>1150</v>
      </c>
      <c r="B55" s="35" t="s">
        <v>1189</v>
      </c>
      <c r="C55" s="29" t="s">
        <v>1190</v>
      </c>
      <c r="D55" s="27" t="str">
        <f t="shared" si="29"/>
        <v>INCLUIDO</v>
      </c>
      <c r="E55" s="27" t="s">
        <v>1137</v>
      </c>
      <c r="F55" s="43">
        <v>0</v>
      </c>
      <c r="G55" s="21">
        <f>'COTIZACIÓN M.N.'!E65</f>
        <v>0.25</v>
      </c>
      <c r="H55" s="75">
        <f>(((IF(I55="$ Prima",G55,G55*F55/R55))*$U$9)/365)*$J$15</f>
        <v>0</v>
      </c>
      <c r="I55" s="9" t="s">
        <v>1153</v>
      </c>
      <c r="J55" s="9">
        <f t="shared" si="30"/>
        <v>0</v>
      </c>
      <c r="K55" s="9">
        <f t="shared" si="31"/>
        <v>0</v>
      </c>
      <c r="L55" s="9">
        <f t="shared" si="32"/>
        <v>0</v>
      </c>
      <c r="M55" s="11">
        <f t="shared" si="38"/>
        <v>0.25</v>
      </c>
      <c r="N55" s="9">
        <f t="shared" si="33"/>
        <v>0</v>
      </c>
      <c r="O55" s="12">
        <f t="shared" si="34"/>
        <v>0</v>
      </c>
      <c r="P55" s="13" t="str">
        <f t="shared" si="2"/>
        <v>NO</v>
      </c>
      <c r="Q55">
        <f t="shared" si="28"/>
        <v>0</v>
      </c>
      <c r="R55">
        <f t="shared" si="35"/>
        <v>1000</v>
      </c>
      <c r="S55">
        <f t="shared" si="36"/>
        <v>1</v>
      </c>
    </row>
    <row r="56" spans="1:22" ht="15" hidden="1" customHeight="1" x14ac:dyDescent="0.3">
      <c r="A56" s="34" t="s">
        <v>1150</v>
      </c>
      <c r="B56" s="35"/>
      <c r="C56" s="81">
        <f>$O$12</f>
        <v>0</v>
      </c>
      <c r="D56" s="27" t="str">
        <f t="shared" si="29"/>
        <v>INCLUIDO</v>
      </c>
      <c r="E56" s="27" t="str">
        <f>E55</f>
        <v>Sublimite</v>
      </c>
      <c r="F56" s="9">
        <v>0</v>
      </c>
      <c r="G56" s="10">
        <f>G55*0.35</f>
        <v>8.7499999999999994E-2</v>
      </c>
      <c r="H56" s="9">
        <f t="shared" ref="H56" si="41">(IF(I56="$ Prima",G56,G56*F56/R56))*$U$9</f>
        <v>0</v>
      </c>
      <c r="I56" s="9" t="s">
        <v>1153</v>
      </c>
      <c r="J56" s="9">
        <f t="shared" si="30"/>
        <v>0</v>
      </c>
      <c r="K56" s="9">
        <f t="shared" si="31"/>
        <v>0</v>
      </c>
      <c r="L56" s="9">
        <f t="shared" si="32"/>
        <v>0</v>
      </c>
      <c r="M56" s="11">
        <f t="shared" si="38"/>
        <v>0.25</v>
      </c>
      <c r="N56" s="9">
        <f t="shared" si="33"/>
        <v>0</v>
      </c>
      <c r="O56" s="12">
        <f t="shared" si="34"/>
        <v>0</v>
      </c>
      <c r="P56" s="13" t="str">
        <f t="shared" si="2"/>
        <v>NO</v>
      </c>
      <c r="Q56">
        <f t="shared" si="28"/>
        <v>0</v>
      </c>
      <c r="R56">
        <f t="shared" si="35"/>
        <v>1000</v>
      </c>
      <c r="S56">
        <f t="shared" si="36"/>
        <v>1</v>
      </c>
    </row>
    <row r="57" spans="1:22" ht="15" hidden="1" customHeight="1" x14ac:dyDescent="0.3">
      <c r="A57" s="34" t="s">
        <v>1150</v>
      </c>
      <c r="B57" s="35" t="s">
        <v>1191</v>
      </c>
      <c r="C57" s="29" t="s">
        <v>1192</v>
      </c>
      <c r="D57" s="27" t="str">
        <f t="shared" si="29"/>
        <v>INCLUIDO</v>
      </c>
      <c r="E57" s="27" t="s">
        <v>1137</v>
      </c>
      <c r="F57" s="43">
        <v>0</v>
      </c>
      <c r="G57" s="21">
        <f>'COTIZACIÓN M.N.'!E66</f>
        <v>0.2</v>
      </c>
      <c r="H57" s="75">
        <f>(((IF(I57="$ Prima",G57,G57*F57/R57))*$U$9)/365)*$J$15</f>
        <v>0</v>
      </c>
      <c r="I57" s="9" t="s">
        <v>1153</v>
      </c>
      <c r="J57" s="9">
        <f t="shared" si="30"/>
        <v>0</v>
      </c>
      <c r="K57" s="9">
        <f t="shared" si="31"/>
        <v>0</v>
      </c>
      <c r="L57" s="9">
        <f t="shared" si="32"/>
        <v>0</v>
      </c>
      <c r="M57" s="11">
        <f t="shared" si="38"/>
        <v>0.25</v>
      </c>
      <c r="N57" s="9">
        <f t="shared" si="33"/>
        <v>0</v>
      </c>
      <c r="O57" s="12">
        <f t="shared" si="34"/>
        <v>0</v>
      </c>
      <c r="P57" s="13" t="str">
        <f t="shared" si="2"/>
        <v>NO</v>
      </c>
      <c r="Q57">
        <f t="shared" si="28"/>
        <v>0</v>
      </c>
      <c r="R57">
        <f t="shared" si="35"/>
        <v>1000</v>
      </c>
      <c r="S57">
        <f t="shared" si="36"/>
        <v>1</v>
      </c>
    </row>
    <row r="58" spans="1:22" ht="15" hidden="1" customHeight="1" x14ac:dyDescent="0.3">
      <c r="A58" s="34" t="s">
        <v>1150</v>
      </c>
      <c r="B58" s="35"/>
      <c r="C58" s="81">
        <f>$O$12</f>
        <v>0</v>
      </c>
      <c r="D58" s="27" t="str">
        <f t="shared" si="29"/>
        <v>INCLUIDO</v>
      </c>
      <c r="E58" s="27" t="str">
        <f>E57</f>
        <v>Sublimite</v>
      </c>
      <c r="F58" s="9">
        <v>0</v>
      </c>
      <c r="G58" s="10">
        <f>G57*0.35</f>
        <v>6.9999999999999993E-2</v>
      </c>
      <c r="H58" s="9">
        <f t="shared" si="39"/>
        <v>0</v>
      </c>
      <c r="I58" s="9" t="s">
        <v>1153</v>
      </c>
      <c r="J58" s="9">
        <f t="shared" si="30"/>
        <v>0</v>
      </c>
      <c r="K58" s="9">
        <f t="shared" si="31"/>
        <v>0</v>
      </c>
      <c r="L58" s="9">
        <f t="shared" si="32"/>
        <v>0</v>
      </c>
      <c r="M58" s="11">
        <f t="shared" si="38"/>
        <v>0.25</v>
      </c>
      <c r="N58" s="9">
        <f t="shared" si="33"/>
        <v>0</v>
      </c>
      <c r="O58" s="12">
        <f t="shared" si="34"/>
        <v>0</v>
      </c>
      <c r="P58" s="13" t="str">
        <f t="shared" si="2"/>
        <v>NO</v>
      </c>
      <c r="Q58">
        <f t="shared" si="28"/>
        <v>0</v>
      </c>
      <c r="R58">
        <f t="shared" si="35"/>
        <v>1000</v>
      </c>
      <c r="S58">
        <f t="shared" si="36"/>
        <v>1</v>
      </c>
    </row>
    <row r="59" spans="1:22" ht="15" hidden="1" customHeight="1" x14ac:dyDescent="0.3">
      <c r="A59" s="34" t="s">
        <v>1150</v>
      </c>
      <c r="B59" s="35" t="s">
        <v>1193</v>
      </c>
      <c r="C59" s="29" t="s">
        <v>1159</v>
      </c>
      <c r="D59" s="27" t="str">
        <f t="shared" si="29"/>
        <v>INCLUIDO</v>
      </c>
      <c r="E59" s="27" t="s">
        <v>1137</v>
      </c>
      <c r="F59" s="43">
        <v>0</v>
      </c>
      <c r="G59" s="49">
        <f>G26</f>
        <v>1.1000000000000001E-3</v>
      </c>
      <c r="H59" s="75">
        <f t="shared" si="39"/>
        <v>0</v>
      </c>
      <c r="I59" s="9" t="s">
        <v>1153</v>
      </c>
      <c r="J59" s="9">
        <f t="shared" si="30"/>
        <v>0</v>
      </c>
      <c r="K59" s="9">
        <f t="shared" si="31"/>
        <v>0</v>
      </c>
      <c r="L59" s="9">
        <f t="shared" si="32"/>
        <v>0</v>
      </c>
      <c r="M59" s="11">
        <f t="shared" si="38"/>
        <v>0.25</v>
      </c>
      <c r="N59" s="9">
        <f t="shared" si="33"/>
        <v>0</v>
      </c>
      <c r="O59" s="12">
        <f t="shared" si="34"/>
        <v>0</v>
      </c>
      <c r="P59" s="13" t="str">
        <f t="shared" si="2"/>
        <v>NO</v>
      </c>
      <c r="Q59">
        <f t="shared" si="28"/>
        <v>0</v>
      </c>
      <c r="R59">
        <f t="shared" si="35"/>
        <v>1000</v>
      </c>
      <c r="S59">
        <f t="shared" si="36"/>
        <v>1</v>
      </c>
    </row>
    <row r="60" spans="1:22" ht="15" hidden="1" customHeight="1" x14ac:dyDescent="0.3">
      <c r="A60" s="34" t="s">
        <v>1150</v>
      </c>
      <c r="B60" s="35" t="s">
        <v>1194</v>
      </c>
      <c r="C60" s="29" t="s">
        <v>1161</v>
      </c>
      <c r="D60" s="27" t="str">
        <f t="shared" si="29"/>
        <v>INCLUIDO</v>
      </c>
      <c r="E60" s="27" t="s">
        <v>1137</v>
      </c>
      <c r="F60" s="43">
        <v>0</v>
      </c>
      <c r="G60" s="49">
        <f>G59</f>
        <v>1.1000000000000001E-3</v>
      </c>
      <c r="H60" s="75">
        <v>0</v>
      </c>
      <c r="I60" s="9" t="s">
        <v>1153</v>
      </c>
      <c r="J60" s="9">
        <f t="shared" si="30"/>
        <v>0</v>
      </c>
      <c r="K60" s="9">
        <f t="shared" si="31"/>
        <v>0</v>
      </c>
      <c r="L60" s="9">
        <f t="shared" si="32"/>
        <v>0</v>
      </c>
      <c r="M60" s="11">
        <f t="shared" si="38"/>
        <v>0.25</v>
      </c>
      <c r="N60" s="9">
        <f t="shared" si="33"/>
        <v>0</v>
      </c>
      <c r="O60" s="12">
        <f t="shared" si="34"/>
        <v>0</v>
      </c>
      <c r="P60" s="13" t="str">
        <f t="shared" si="2"/>
        <v>NO</v>
      </c>
      <c r="Q60">
        <f t="shared" si="28"/>
        <v>0</v>
      </c>
      <c r="R60">
        <f t="shared" si="35"/>
        <v>1000</v>
      </c>
      <c r="S60">
        <f t="shared" si="36"/>
        <v>1</v>
      </c>
    </row>
    <row r="61" spans="1:22" hidden="1" x14ac:dyDescent="0.3">
      <c r="A61" s="82" t="s">
        <v>1162</v>
      </c>
      <c r="B61" s="33">
        <v>2</v>
      </c>
      <c r="C61" s="28" t="s">
        <v>1195</v>
      </c>
      <c r="D61" s="28" t="str">
        <f>$D$17</f>
        <v>INCLUIDO</v>
      </c>
      <c r="E61" s="28"/>
      <c r="F61" s="28"/>
      <c r="G61" s="28"/>
      <c r="H61" s="28"/>
      <c r="I61" s="28"/>
      <c r="J61" s="28"/>
      <c r="K61" s="28"/>
      <c r="L61" s="28"/>
      <c r="M61" s="68">
        <v>0.05</v>
      </c>
      <c r="N61" s="28"/>
      <c r="O61" s="83"/>
      <c r="P61" s="13" t="str">
        <f t="shared" si="2"/>
        <v>NO</v>
      </c>
      <c r="Q61" s="47">
        <f>IF(D61="INCLUIDO",IF(F62&lt;&gt;0,1,0),0)</f>
        <v>0</v>
      </c>
      <c r="S61">
        <f t="shared" si="36"/>
        <v>1</v>
      </c>
    </row>
    <row r="62" spans="1:22" hidden="1" x14ac:dyDescent="0.3">
      <c r="A62" s="31" t="s">
        <v>1164</v>
      </c>
      <c r="B62" s="32" t="s">
        <v>1196</v>
      </c>
      <c r="C62" s="27" t="s">
        <v>1166</v>
      </c>
      <c r="D62" s="27" t="str">
        <f t="shared" si="29"/>
        <v>INCLUIDO</v>
      </c>
      <c r="E62" s="27" t="s">
        <v>1137</v>
      </c>
      <c r="F62" s="20">
        <f>$F$41*S62</f>
        <v>0</v>
      </c>
      <c r="G62" s="49">
        <f>'COTIZACIÓN M.N.'!E37</f>
        <v>0.25</v>
      </c>
      <c r="H62" s="75">
        <f>((((IF(I62="$ Prima",G62,G62*F62/R62))*$U$9)/365)*$J$15)</f>
        <v>0</v>
      </c>
      <c r="I62" s="9" t="s">
        <v>1153</v>
      </c>
      <c r="J62" s="9">
        <f t="shared" ref="J62:J63" si="42">H62*$U$7</f>
        <v>0</v>
      </c>
      <c r="K62" s="9">
        <f t="shared" ref="K62:K63" si="43">(H62+J62)*$K$15</f>
        <v>0</v>
      </c>
      <c r="L62" s="9">
        <f t="shared" ref="L62:L63" si="44">ROUND(H62+J62+K62,2)</f>
        <v>0</v>
      </c>
      <c r="M62" s="11">
        <v>0.05</v>
      </c>
      <c r="N62" s="9">
        <f t="shared" ref="N62:N63" si="45">H62*M62</f>
        <v>0</v>
      </c>
      <c r="O62" s="12">
        <f t="shared" ref="O62:O63" si="46">N62</f>
        <v>0</v>
      </c>
      <c r="P62" s="13" t="str">
        <f t="shared" si="2"/>
        <v>NO</v>
      </c>
      <c r="Q62">
        <f>IF(D62="INCLUIDO",IF(F62&lt;&gt;0,1,0),0)</f>
        <v>0</v>
      </c>
      <c r="R62">
        <f>IF(I62="%o Al Millar",1000,IF(I62="% Al Porciento",100,IF(I62="$ Prima",G62)))</f>
        <v>1000</v>
      </c>
      <c r="S62">
        <f t="shared" si="36"/>
        <v>1</v>
      </c>
    </row>
    <row r="63" spans="1:22" hidden="1" x14ac:dyDescent="0.3">
      <c r="A63" s="31" t="s">
        <v>1164</v>
      </c>
      <c r="B63" s="32"/>
      <c r="C63" s="81">
        <f>$O$12</f>
        <v>0</v>
      </c>
      <c r="D63" s="27" t="str">
        <f t="shared" si="29"/>
        <v>INCLUIDO</v>
      </c>
      <c r="E63" s="27" t="str">
        <f>E62</f>
        <v>Sublimite</v>
      </c>
      <c r="F63" s="9">
        <f>(F62*$O$12)*S62</f>
        <v>0</v>
      </c>
      <c r="G63" s="10">
        <f>G62*35%</f>
        <v>8.7499999999999994E-2</v>
      </c>
      <c r="H63" s="9">
        <f>((IF(I63="$ Prima",G63,G63*F63/R63))*$U$9)</f>
        <v>0</v>
      </c>
      <c r="I63" s="9" t="s">
        <v>1153</v>
      </c>
      <c r="J63" s="9">
        <f t="shared" si="42"/>
        <v>0</v>
      </c>
      <c r="K63" s="9">
        <f t="shared" si="43"/>
        <v>0</v>
      </c>
      <c r="L63" s="9">
        <f t="shared" si="44"/>
        <v>0</v>
      </c>
      <c r="M63" s="11">
        <f>$M$61</f>
        <v>0.05</v>
      </c>
      <c r="N63" s="9">
        <f t="shared" si="45"/>
        <v>0</v>
      </c>
      <c r="O63" s="12">
        <f t="shared" si="46"/>
        <v>0</v>
      </c>
      <c r="P63" s="13" t="str">
        <f t="shared" si="2"/>
        <v>NO</v>
      </c>
      <c r="Q63">
        <f>IF(D63="INCLUIDO",IF(F63&lt;&gt;0,1,0),0)</f>
        <v>0</v>
      </c>
      <c r="R63">
        <f>IF(I63="%o Al Millar",1000,IF(I63="% Al Porciento",100,IF(I63="$ Prima",G63)))</f>
        <v>1000</v>
      </c>
      <c r="S63">
        <f t="shared" si="36"/>
        <v>1</v>
      </c>
    </row>
    <row r="64" spans="1:22" hidden="1" x14ac:dyDescent="0.3">
      <c r="A64" s="82">
        <v>904</v>
      </c>
      <c r="B64" s="33">
        <v>2</v>
      </c>
      <c r="C64" s="28" t="s">
        <v>1197</v>
      </c>
      <c r="D64" s="28" t="str">
        <f>$D$17</f>
        <v>INCLUIDO</v>
      </c>
      <c r="E64" s="28"/>
      <c r="F64" s="28"/>
      <c r="G64" s="28"/>
      <c r="H64" s="28"/>
      <c r="I64" s="28"/>
      <c r="J64" s="28"/>
      <c r="K64" s="28"/>
      <c r="L64" s="28"/>
      <c r="M64" s="68">
        <v>0.05</v>
      </c>
      <c r="N64" s="28"/>
      <c r="O64" s="83"/>
      <c r="P64" s="13" t="str">
        <f t="shared" si="2"/>
        <v>NO</v>
      </c>
      <c r="Q64" s="47">
        <f>IF(D64="INCLUIDO",IF(F65&lt;&gt;0,1,0),0)</f>
        <v>0</v>
      </c>
      <c r="S64">
        <f t="shared" si="36"/>
        <v>1</v>
      </c>
    </row>
    <row r="65" spans="1:19" hidden="1" x14ac:dyDescent="0.3">
      <c r="A65" s="31" t="s">
        <v>1168</v>
      </c>
      <c r="B65" s="36">
        <v>63</v>
      </c>
      <c r="C65" s="37" t="s">
        <v>1170</v>
      </c>
      <c r="D65" s="27" t="str">
        <f t="shared" si="29"/>
        <v>INCLUIDO</v>
      </c>
      <c r="E65" s="27" t="s">
        <v>1137</v>
      </c>
      <c r="F65" s="20">
        <f>F41</f>
        <v>0</v>
      </c>
      <c r="G65" s="10">
        <f>'COTIZACIÓN M.N.'!E39</f>
        <v>0.2</v>
      </c>
      <c r="H65" s="75">
        <f>((((IF(I65="$ Prima",G65,G65*F65/R65))*$U$9)*O14)/365)*$J$15</f>
        <v>0</v>
      </c>
      <c r="I65" s="9" t="s">
        <v>1153</v>
      </c>
      <c r="J65" s="9">
        <f t="shared" ref="J65:J66" si="47">H65*$U$7</f>
        <v>0</v>
      </c>
      <c r="K65" s="9">
        <f t="shared" ref="K65:K66" si="48">(H65+J65)*$K$15</f>
        <v>0</v>
      </c>
      <c r="L65" s="9">
        <f t="shared" ref="L65:L66" si="49">ROUND(H65+J65+K65,2)</f>
        <v>0</v>
      </c>
      <c r="M65" s="11">
        <f>$M$64</f>
        <v>0.05</v>
      </c>
      <c r="N65" s="9">
        <f t="shared" ref="N65:N66" si="50">H65*M65</f>
        <v>0</v>
      </c>
      <c r="O65" s="12">
        <f t="shared" ref="O65:O66" si="51">N65</f>
        <v>0</v>
      </c>
      <c r="P65" s="13" t="str">
        <f t="shared" si="2"/>
        <v>NO</v>
      </c>
      <c r="Q65">
        <f>IF(D65="INCLUIDO",IF(F65&lt;&gt;0,1,0),0)</f>
        <v>0</v>
      </c>
      <c r="R65">
        <f>IF(I65="%o Al Millar",1000,IF(I65="% Al Porciento",100,IF(I65="$ Prima",G65)))</f>
        <v>1000</v>
      </c>
      <c r="S65">
        <f t="shared" si="36"/>
        <v>1</v>
      </c>
    </row>
    <row r="66" spans="1:19" hidden="1" x14ac:dyDescent="0.3">
      <c r="A66" s="31" t="s">
        <v>1168</v>
      </c>
      <c r="B66" s="32"/>
      <c r="C66" s="81">
        <f>$O$12</f>
        <v>0</v>
      </c>
      <c r="D66" s="27" t="str">
        <f t="shared" si="29"/>
        <v>INCLUIDO</v>
      </c>
      <c r="E66" s="27" t="str">
        <f>E65</f>
        <v>Sublimite</v>
      </c>
      <c r="F66" s="9">
        <f>(F65*$O$12)*S65</f>
        <v>0</v>
      </c>
      <c r="G66" s="10">
        <f>G65*0.35</f>
        <v>6.9999999999999993E-2</v>
      </c>
      <c r="H66" s="9">
        <f>((IF(I66="$ Prima",G66,G66*F66/R66))*$U$9)*O14</f>
        <v>0</v>
      </c>
      <c r="I66" s="9" t="s">
        <v>1153</v>
      </c>
      <c r="J66" s="9">
        <f t="shared" si="47"/>
        <v>0</v>
      </c>
      <c r="K66" s="9">
        <f t="shared" si="48"/>
        <v>0</v>
      </c>
      <c r="L66" s="9">
        <f t="shared" si="49"/>
        <v>0</v>
      </c>
      <c r="M66" s="11">
        <f>$M$64</f>
        <v>0.05</v>
      </c>
      <c r="N66" s="9">
        <f t="shared" si="50"/>
        <v>0</v>
      </c>
      <c r="O66" s="12">
        <f t="shared" si="51"/>
        <v>0</v>
      </c>
      <c r="P66" s="13" t="str">
        <f t="shared" si="2"/>
        <v>NO</v>
      </c>
      <c r="Q66">
        <f>IF(D66="INCLUIDO",IF(F66&lt;&gt;0,1,0),0)</f>
        <v>0</v>
      </c>
      <c r="R66">
        <f>IF(I66="%o Al Millar",1000,IF(I66="% Al Porciento",100,IF(I66="$ Prima",G66)))</f>
        <v>1000</v>
      </c>
      <c r="S66">
        <f t="shared" si="36"/>
        <v>1</v>
      </c>
    </row>
    <row r="67" spans="1:19" hidden="1" x14ac:dyDescent="0.3">
      <c r="A67" s="82">
        <v>902</v>
      </c>
      <c r="B67" s="33">
        <v>2</v>
      </c>
      <c r="C67" s="28" t="s">
        <v>1198</v>
      </c>
      <c r="D67" s="28" t="str">
        <f>$D$17</f>
        <v>INCLUIDO</v>
      </c>
      <c r="E67" s="28"/>
      <c r="F67" s="42">
        <v>0</v>
      </c>
      <c r="G67" s="28"/>
      <c r="H67" s="28"/>
      <c r="I67" s="28"/>
      <c r="J67" s="28"/>
      <c r="K67" s="28"/>
      <c r="L67" s="28"/>
      <c r="M67" s="68">
        <f>M41</f>
        <v>0.25</v>
      </c>
      <c r="N67" s="28"/>
      <c r="O67" s="83"/>
      <c r="P67" s="13" t="str">
        <f t="shared" si="2"/>
        <v>NO</v>
      </c>
      <c r="Q67" s="47">
        <f>IF(D67="INCLUIDO",IF(F68&lt;&gt;0,1,0),0)</f>
        <v>0</v>
      </c>
      <c r="S67">
        <f t="shared" si="36"/>
        <v>1</v>
      </c>
    </row>
    <row r="68" spans="1:19" hidden="1" x14ac:dyDescent="0.3">
      <c r="A68" s="31" t="s">
        <v>1150</v>
      </c>
      <c r="B68" s="36">
        <v>27</v>
      </c>
      <c r="C68" s="27" t="s">
        <v>1173</v>
      </c>
      <c r="D68" s="27" t="str">
        <f t="shared" si="29"/>
        <v>INCLUIDO</v>
      </c>
      <c r="E68" s="27" t="s">
        <v>1137</v>
      </c>
      <c r="F68" s="9">
        <v>0</v>
      </c>
      <c r="G68" s="10">
        <f>'COTIZACIÓN M.N.'!E63*75%</f>
        <v>4.1836147500000004E-2</v>
      </c>
      <c r="H68" s="75">
        <f>(((IF(I68="$ Prima",G68,G68*F68/R68))*$U$9)/365)*$J$15</f>
        <v>0</v>
      </c>
      <c r="I68" s="9" t="s">
        <v>1153</v>
      </c>
      <c r="J68" s="9">
        <f>H68*$U$7</f>
        <v>0</v>
      </c>
      <c r="K68" s="9">
        <f>(H68+J68)*$K$15</f>
        <v>0</v>
      </c>
      <c r="L68" s="9">
        <f>ROUND(H68+J68+K68,2)</f>
        <v>0</v>
      </c>
      <c r="M68" s="11">
        <f>M67</f>
        <v>0.25</v>
      </c>
      <c r="N68" s="9">
        <f>H68*M68</f>
        <v>0</v>
      </c>
      <c r="O68" s="12">
        <f>N68</f>
        <v>0</v>
      </c>
      <c r="P68" s="13" t="str">
        <f t="shared" si="2"/>
        <v>NO</v>
      </c>
      <c r="Q68">
        <f>IF(D68="INCLUIDO",IF(F68&lt;&gt;0,1,0),0)</f>
        <v>0</v>
      </c>
      <c r="R68">
        <f>IF(I68="%o Al Millar",1000,IF(I68="% Al Porciento",100,IF(I68="$ Prima",G68)))</f>
        <v>1000</v>
      </c>
      <c r="S68">
        <f t="shared" si="36"/>
        <v>1</v>
      </c>
    </row>
    <row r="69" spans="1:19" hidden="1" x14ac:dyDescent="0.3">
      <c r="A69" s="82" t="s">
        <v>1162</v>
      </c>
      <c r="B69" s="33">
        <v>2</v>
      </c>
      <c r="C69" s="28" t="s">
        <v>1195</v>
      </c>
      <c r="D69" s="28" t="str">
        <f>$D$17</f>
        <v>INCLUIDO</v>
      </c>
      <c r="E69" s="28"/>
      <c r="F69" s="28"/>
      <c r="G69" s="28"/>
      <c r="H69" s="28"/>
      <c r="I69" s="28"/>
      <c r="J69" s="28"/>
      <c r="K69" s="28"/>
      <c r="L69" s="28"/>
      <c r="M69" s="68">
        <f>M61</f>
        <v>0.05</v>
      </c>
      <c r="N69" s="28"/>
      <c r="O69" s="83"/>
      <c r="P69" s="13" t="str">
        <f t="shared" si="2"/>
        <v>NO</v>
      </c>
      <c r="Q69" s="47">
        <f>IF(D69="INCLUIDO",IF(F70&lt;&gt;0,1,0),0)</f>
        <v>0</v>
      </c>
      <c r="S69">
        <f t="shared" si="36"/>
        <v>1</v>
      </c>
    </row>
    <row r="70" spans="1:19" ht="20.399999999999999" hidden="1" x14ac:dyDescent="0.3">
      <c r="A70" s="31" t="s">
        <v>1164</v>
      </c>
      <c r="B70" s="36">
        <v>44</v>
      </c>
      <c r="C70" s="27" t="s">
        <v>1175</v>
      </c>
      <c r="D70" s="27" t="str">
        <f t="shared" si="29"/>
        <v>INCLUIDO</v>
      </c>
      <c r="E70" s="27" t="s">
        <v>1137</v>
      </c>
      <c r="F70" s="9">
        <v>0</v>
      </c>
      <c r="G70" s="10">
        <f>'COTIZACIÓN M.N.'!E63*25%</f>
        <v>1.3945382500000001E-2</v>
      </c>
      <c r="H70" s="75">
        <f>(((IF(I70="$ Prima",G70,G70*F70/R70))*$U$9)/365)*$J$15</f>
        <v>0</v>
      </c>
      <c r="I70" s="9" t="s">
        <v>1153</v>
      </c>
      <c r="J70" s="9">
        <f>H70*$U$7</f>
        <v>0</v>
      </c>
      <c r="K70" s="9">
        <f>(H70+J70)*$K$15</f>
        <v>0</v>
      </c>
      <c r="L70" s="9">
        <f>ROUND(H70+J70+K70,2)</f>
        <v>0</v>
      </c>
      <c r="M70" s="11">
        <f>M69</f>
        <v>0.05</v>
      </c>
      <c r="N70" s="9">
        <f>H70*M70</f>
        <v>0</v>
      </c>
      <c r="O70" s="12">
        <f>N70</f>
        <v>0</v>
      </c>
      <c r="P70" s="13" t="str">
        <f t="shared" si="2"/>
        <v>NO</v>
      </c>
      <c r="Q70">
        <f>IF(D70="INCLUIDO",IF(F70&lt;&gt;0,1,0),0)</f>
        <v>0</v>
      </c>
      <c r="R70">
        <f>IF(I70="%o Al Millar",1000,IF(I70="% Al Porciento",100,IF(I70="$ Prima",G70)))</f>
        <v>1000</v>
      </c>
      <c r="S70">
        <f t="shared" si="36"/>
        <v>1</v>
      </c>
    </row>
    <row r="71" spans="1:19" hidden="1" x14ac:dyDescent="0.3">
      <c r="A71" s="82">
        <v>904</v>
      </c>
      <c r="B71" s="33">
        <v>2</v>
      </c>
      <c r="C71" s="28" t="s">
        <v>1197</v>
      </c>
      <c r="D71" s="28" t="str">
        <f>$D$17</f>
        <v>INCLUIDO</v>
      </c>
      <c r="E71" s="28"/>
      <c r="F71" s="28"/>
      <c r="G71" s="28"/>
      <c r="H71" s="28"/>
      <c r="I71" s="28"/>
      <c r="J71" s="28"/>
      <c r="K71" s="28"/>
      <c r="L71" s="28"/>
      <c r="M71" s="68">
        <f>M64</f>
        <v>0.05</v>
      </c>
      <c r="N71" s="28"/>
      <c r="O71" s="83"/>
      <c r="P71" s="13" t="str">
        <f t="shared" si="2"/>
        <v>NO</v>
      </c>
      <c r="Q71" s="47">
        <f>IF(D71="INCLUIDO",IF(F72&lt;&gt;0,1,0),0)</f>
        <v>0</v>
      </c>
      <c r="S71">
        <f t="shared" si="36"/>
        <v>1</v>
      </c>
    </row>
    <row r="72" spans="1:19" ht="20.399999999999999" hidden="1" x14ac:dyDescent="0.3">
      <c r="A72" s="31" t="s">
        <v>1168</v>
      </c>
      <c r="B72" s="36">
        <v>62</v>
      </c>
      <c r="C72" s="27" t="s">
        <v>1199</v>
      </c>
      <c r="D72" s="27" t="str">
        <f t="shared" si="29"/>
        <v>INCLUIDO</v>
      </c>
      <c r="E72" s="27" t="s">
        <v>1137</v>
      </c>
      <c r="F72" s="9">
        <f>F68*S72*O14</f>
        <v>0</v>
      </c>
      <c r="G72" s="10">
        <f>'COTIZACIÓN M.N.'!E64</f>
        <v>2.0000000000000004E-2</v>
      </c>
      <c r="H72" s="75">
        <f>(((IF(I72="$ Prima",G72,G72*F72/R72))*$U$9)/365)*$J$15</f>
        <v>0</v>
      </c>
      <c r="I72" s="9" t="s">
        <v>1153</v>
      </c>
      <c r="J72" s="9">
        <f>H72*$U$7</f>
        <v>0</v>
      </c>
      <c r="K72" s="9">
        <f>(H72+J72)*$K$15</f>
        <v>0</v>
      </c>
      <c r="L72" s="9">
        <f>ROUND(H72+J72+K72,2)</f>
        <v>0</v>
      </c>
      <c r="M72" s="11">
        <f>M71</f>
        <v>0.05</v>
      </c>
      <c r="N72" s="9">
        <f>H72*M72</f>
        <v>0</v>
      </c>
      <c r="O72" s="12">
        <f>N72</f>
        <v>0</v>
      </c>
      <c r="P72" s="13" t="str">
        <f t="shared" si="2"/>
        <v>NO</v>
      </c>
      <c r="Q72">
        <f>IF(D72="INCLUIDO",IF(F72&lt;&gt;0,1,0),0)</f>
        <v>0</v>
      </c>
      <c r="R72">
        <f>IF(I72="%o Al Millar",1000,IF(I72="% Al Porciento",100,IF(I72="$ Prima",G72)))</f>
        <v>1000</v>
      </c>
      <c r="S72">
        <f t="shared" si="36"/>
        <v>1</v>
      </c>
    </row>
    <row r="73" spans="1:19" ht="15" hidden="1" customHeight="1" x14ac:dyDescent="0.3">
      <c r="A73" s="82" t="s">
        <v>1162</v>
      </c>
      <c r="B73" s="33">
        <v>2</v>
      </c>
      <c r="C73" s="28" t="s">
        <v>1195</v>
      </c>
      <c r="D73" s="28" t="str">
        <f>$D$17</f>
        <v>INCLUIDO</v>
      </c>
      <c r="E73" s="28"/>
      <c r="F73" s="28"/>
      <c r="G73" s="28"/>
      <c r="H73" s="28"/>
      <c r="I73" s="28"/>
      <c r="J73" s="28"/>
      <c r="K73" s="28"/>
      <c r="L73" s="28"/>
      <c r="M73" s="68">
        <f>M61</f>
        <v>0.05</v>
      </c>
      <c r="N73" s="28"/>
      <c r="O73" s="83"/>
      <c r="P73" s="13" t="str">
        <f t="shared" si="2"/>
        <v>NO</v>
      </c>
      <c r="Q73" s="47">
        <f>IF(D73="INCLUIDO",IF(F74&lt;&gt;0,1,0),0)</f>
        <v>0</v>
      </c>
      <c r="S73">
        <f t="shared" si="36"/>
        <v>1</v>
      </c>
    </row>
    <row r="74" spans="1:19" ht="22.5" hidden="1" customHeight="1" x14ac:dyDescent="0.3">
      <c r="A74" s="34" t="s">
        <v>1164</v>
      </c>
      <c r="B74" s="36" t="s">
        <v>1200</v>
      </c>
      <c r="C74" s="29" t="s">
        <v>1201</v>
      </c>
      <c r="D74" s="27" t="str">
        <f t="shared" si="29"/>
        <v>INCLUIDO</v>
      </c>
      <c r="E74" s="27" t="s">
        <v>1137</v>
      </c>
      <c r="F74" s="43">
        <v>0</v>
      </c>
      <c r="G74" s="21">
        <v>0</v>
      </c>
      <c r="H74" s="9">
        <f>(IF(I74="$ Prima",G74,G74*F74/R74))*$U$9</f>
        <v>0</v>
      </c>
      <c r="I74" s="9" t="s">
        <v>1153</v>
      </c>
      <c r="J74" s="9">
        <f>H74*$U$7</f>
        <v>0</v>
      </c>
      <c r="K74" s="9">
        <f>(H74+J74)*$K$15</f>
        <v>0</v>
      </c>
      <c r="L74" s="9">
        <f>ROUND(H74+J74+K74,2)</f>
        <v>0</v>
      </c>
      <c r="M74" s="11">
        <f>M73</f>
        <v>0.05</v>
      </c>
      <c r="N74" s="9">
        <f>H74*M74</f>
        <v>0</v>
      </c>
      <c r="O74" s="12">
        <f>N74</f>
        <v>0</v>
      </c>
      <c r="P74" s="13" t="str">
        <f t="shared" si="2"/>
        <v>NO</v>
      </c>
      <c r="Q74">
        <f>IF(D74="INCLUIDO",IF(F74&lt;&gt;0,1,0),0)</f>
        <v>0</v>
      </c>
      <c r="R74">
        <f>IF(I74="%o Al Millar",1000,IF(I74="% Al Porciento",100,IF(I74="$ Prima",G74)))</f>
        <v>1000</v>
      </c>
      <c r="S74">
        <f t="shared" si="36"/>
        <v>1</v>
      </c>
    </row>
    <row r="75" spans="1:19" ht="15" hidden="1" customHeight="1" x14ac:dyDescent="0.3">
      <c r="A75" s="82">
        <v>904</v>
      </c>
      <c r="B75" s="33">
        <v>2</v>
      </c>
      <c r="C75" s="28" t="s">
        <v>1197</v>
      </c>
      <c r="D75" s="28" t="str">
        <f>$D$17</f>
        <v>INCLUIDO</v>
      </c>
      <c r="E75" s="28"/>
      <c r="F75" s="28"/>
      <c r="G75" s="28"/>
      <c r="H75" s="28"/>
      <c r="I75" s="28"/>
      <c r="J75" s="28"/>
      <c r="K75" s="28"/>
      <c r="L75" s="28"/>
      <c r="M75" s="68">
        <f>M64</f>
        <v>0.05</v>
      </c>
      <c r="N75" s="28"/>
      <c r="O75" s="83"/>
      <c r="P75" s="13" t="str">
        <f t="shared" si="2"/>
        <v>NO</v>
      </c>
      <c r="Q75" s="47">
        <f>IF(D75="INCLUIDO",IF(F76&lt;&gt;0,1,0),0)</f>
        <v>0</v>
      </c>
      <c r="S75">
        <f t="shared" si="36"/>
        <v>1</v>
      </c>
    </row>
    <row r="76" spans="1:19" ht="22.5" hidden="1" customHeight="1" x14ac:dyDescent="0.3">
      <c r="A76" s="34" t="s">
        <v>1168</v>
      </c>
      <c r="B76" s="36">
        <v>58</v>
      </c>
      <c r="C76" s="29" t="s">
        <v>1202</v>
      </c>
      <c r="D76" s="27" t="str">
        <f t="shared" si="29"/>
        <v>INCLUIDO</v>
      </c>
      <c r="E76" s="27" t="s">
        <v>1137</v>
      </c>
      <c r="F76" s="43">
        <v>0</v>
      </c>
      <c r="G76" s="10">
        <v>0</v>
      </c>
      <c r="H76" s="9">
        <f>(IF(I76="$ Prima",G76,G76*F76/R76))*$U$9</f>
        <v>0</v>
      </c>
      <c r="I76" s="9" t="s">
        <v>1153</v>
      </c>
      <c r="J76" s="9">
        <f>H76*$U$7</f>
        <v>0</v>
      </c>
      <c r="K76" s="9">
        <f>(H76+J76)*$K$15</f>
        <v>0</v>
      </c>
      <c r="L76" s="9">
        <f>ROUND(H76+J76+K76,2)</f>
        <v>0</v>
      </c>
      <c r="M76" s="11">
        <f>M75</f>
        <v>0.05</v>
      </c>
      <c r="N76" s="9">
        <f>H76*M76</f>
        <v>0</v>
      </c>
      <c r="O76" s="12">
        <f>N76</f>
        <v>0</v>
      </c>
      <c r="P76" s="13" t="str">
        <f t="shared" si="2"/>
        <v>NO</v>
      </c>
      <c r="Q76">
        <f>IF(D76="INCLUIDO",IF(F76&lt;&gt;0,1,0),0)</f>
        <v>0</v>
      </c>
      <c r="R76">
        <f>IF(I76="%o Al Millar",1000,IF(I76="% Al Porciento",100,IF(I76="$ Prima",G76)))</f>
        <v>1000</v>
      </c>
      <c r="S76">
        <f t="shared" si="36"/>
        <v>1</v>
      </c>
    </row>
    <row r="77" spans="1:19" s="18" customFormat="1" hidden="1" x14ac:dyDescent="0.3">
      <c r="A77" s="24"/>
      <c r="B77" s="26"/>
      <c r="C77" s="15" t="s">
        <v>1177</v>
      </c>
      <c r="D77" s="38" t="str">
        <f>D76</f>
        <v>INCLUIDO</v>
      </c>
      <c r="E77" s="38"/>
      <c r="F77" s="16">
        <f>SUMIF(E42:E76,"Adicional",F42:F76)</f>
        <v>0</v>
      </c>
      <c r="G77" s="17"/>
      <c r="H77" s="16">
        <f>SUM(H42:H76)</f>
        <v>0</v>
      </c>
      <c r="I77" s="16"/>
      <c r="J77" s="16">
        <f>SUM(J42:J76)</f>
        <v>0</v>
      </c>
      <c r="K77" s="16">
        <f>SUM(K42:K76)</f>
        <v>0</v>
      </c>
      <c r="L77" s="16">
        <f>SUM(L42:L76)</f>
        <v>0</v>
      </c>
      <c r="M77" s="16" t="s">
        <v>1178</v>
      </c>
      <c r="N77" s="16">
        <f>SUM(N42:N76)</f>
        <v>0</v>
      </c>
      <c r="O77" s="84">
        <f>SUM(O42:O76)</f>
        <v>0</v>
      </c>
      <c r="P77" s="13" t="str">
        <f t="shared" si="2"/>
        <v>NO</v>
      </c>
      <c r="Q77">
        <f>IF(D77="INCLUIDO",IF(H77&lt;&gt;0,1,0),0)</f>
        <v>0</v>
      </c>
    </row>
    <row r="78" spans="1:19" ht="20.25" hidden="1" customHeight="1" x14ac:dyDescent="0.3">
      <c r="A78" s="82" t="s">
        <v>1147</v>
      </c>
      <c r="B78" s="30" t="s">
        <v>1203</v>
      </c>
      <c r="C78" s="19" t="s">
        <v>1204</v>
      </c>
      <c r="D78" s="28" t="str">
        <f>$D$17</f>
        <v>INCLUIDO</v>
      </c>
      <c r="E78" s="28"/>
      <c r="F78" s="28"/>
      <c r="G78" s="28"/>
      <c r="H78" s="28"/>
      <c r="I78" s="28"/>
      <c r="J78" s="28"/>
      <c r="K78" s="28"/>
      <c r="L78" s="28"/>
      <c r="M78" s="68">
        <f>M41</f>
        <v>0.25</v>
      </c>
      <c r="N78" s="28"/>
      <c r="O78" s="83"/>
      <c r="P78" s="13" t="str">
        <f t="shared" si="2"/>
        <v>NO</v>
      </c>
      <c r="Q78" s="47">
        <f>IF(D78="INCLUIDO",IF(F79&lt;&gt;0,1,0),0)</f>
        <v>0</v>
      </c>
    </row>
    <row r="79" spans="1:19" ht="15" hidden="1" customHeight="1" x14ac:dyDescent="0.3">
      <c r="A79" s="34" t="s">
        <v>1150</v>
      </c>
      <c r="B79" s="36" t="s">
        <v>1205</v>
      </c>
      <c r="C79" s="29" t="s">
        <v>1206</v>
      </c>
      <c r="D79" s="27" t="str">
        <f t="shared" ref="D79:D98" si="52">$D$17</f>
        <v>INCLUIDO</v>
      </c>
      <c r="E79" s="27" t="s">
        <v>1186</v>
      </c>
      <c r="F79" s="42">
        <v>0</v>
      </c>
      <c r="G79" s="10">
        <v>0</v>
      </c>
      <c r="H79" s="9">
        <f t="shared" ref="H79:H89" si="53">(IF(I79="$ Prima",G79,G79*F79/R79))*$U$9</f>
        <v>0</v>
      </c>
      <c r="I79" s="9" t="s">
        <v>1153</v>
      </c>
      <c r="J79" s="9">
        <f t="shared" ref="J79:J89" si="54">H79*$U$7</f>
        <v>0</v>
      </c>
      <c r="K79" s="9">
        <f t="shared" ref="K79:K89" si="55">(H79+J79)*$K$15</f>
        <v>0</v>
      </c>
      <c r="L79" s="9">
        <f t="shared" ref="L79:L89" si="56">ROUND(H79+J79+K79,2)</f>
        <v>0</v>
      </c>
      <c r="M79" s="11">
        <f>$M$78</f>
        <v>0.25</v>
      </c>
      <c r="N79" s="9">
        <f t="shared" ref="N79:N89" si="57">H79*M79</f>
        <v>0</v>
      </c>
      <c r="O79" s="12">
        <f t="shared" ref="O79:O89" si="58">N79</f>
        <v>0</v>
      </c>
      <c r="P79" s="13" t="str">
        <f t="shared" si="2"/>
        <v>NO</v>
      </c>
      <c r="Q79">
        <f t="shared" ref="Q79:Q89" si="59">IF(D79="INCLUIDO",IF(F79&lt;&gt;0,1,0),0)</f>
        <v>0</v>
      </c>
      <c r="R79">
        <f t="shared" ref="R79:R89" si="60">IF(I79="%o Al Millar",1000,IF(I79="% Al Porciento",100,IF(I79="$ Prima",G79)))</f>
        <v>1000</v>
      </c>
      <c r="S79">
        <f t="shared" ref="S79:S89" si="61">IF(E79="Excluido",0,IF(D79="NO APLICA",0,1))</f>
        <v>0</v>
      </c>
    </row>
    <row r="80" spans="1:19" ht="15" hidden="1" customHeight="1" x14ac:dyDescent="0.3">
      <c r="A80" s="34" t="s">
        <v>1150</v>
      </c>
      <c r="B80" s="36" t="s">
        <v>1207</v>
      </c>
      <c r="C80" s="29" t="s">
        <v>1208</v>
      </c>
      <c r="D80" s="27" t="str">
        <f t="shared" si="52"/>
        <v>INCLUIDO</v>
      </c>
      <c r="E80" s="27" t="s">
        <v>1152</v>
      </c>
      <c r="F80" s="42">
        <v>0</v>
      </c>
      <c r="G80" s="10">
        <f>'COTIZACIÓN M.N.'!E42</f>
        <v>0.24625224000000001</v>
      </c>
      <c r="H80" s="9">
        <f>(((IF(I80="$ Prima",G80,G80*F80/R80))*$U$9)/365)*$J$15</f>
        <v>0</v>
      </c>
      <c r="I80" s="9" t="s">
        <v>1153</v>
      </c>
      <c r="J80" s="9">
        <f t="shared" si="54"/>
        <v>0</v>
      </c>
      <c r="K80" s="9">
        <f t="shared" si="55"/>
        <v>0</v>
      </c>
      <c r="L80" s="9">
        <f t="shared" si="56"/>
        <v>0</v>
      </c>
      <c r="M80" s="11">
        <f t="shared" ref="M80:M89" si="62">$M$78</f>
        <v>0.25</v>
      </c>
      <c r="N80" s="9">
        <f t="shared" si="57"/>
        <v>0</v>
      </c>
      <c r="O80" s="12">
        <f t="shared" si="58"/>
        <v>0</v>
      </c>
      <c r="P80" s="13" t="str">
        <f t="shared" si="2"/>
        <v>NO</v>
      </c>
      <c r="Q80">
        <f t="shared" si="59"/>
        <v>0</v>
      </c>
      <c r="R80">
        <f t="shared" si="60"/>
        <v>1000</v>
      </c>
      <c r="S80">
        <f t="shared" si="61"/>
        <v>1</v>
      </c>
    </row>
    <row r="81" spans="1:19" ht="15" hidden="1" customHeight="1" x14ac:dyDescent="0.3">
      <c r="A81" s="34" t="s">
        <v>1150</v>
      </c>
      <c r="B81" s="36" t="s">
        <v>1209</v>
      </c>
      <c r="C81" s="29" t="s">
        <v>1210</v>
      </c>
      <c r="D81" s="27" t="str">
        <f t="shared" si="52"/>
        <v>INCLUIDO</v>
      </c>
      <c r="E81" s="27" t="s">
        <v>1152</v>
      </c>
      <c r="F81" s="42">
        <v>0</v>
      </c>
      <c r="G81" s="10">
        <v>0</v>
      </c>
      <c r="H81" s="9">
        <f t="shared" si="53"/>
        <v>0</v>
      </c>
      <c r="I81" s="9" t="s">
        <v>1153</v>
      </c>
      <c r="J81" s="9">
        <f t="shared" si="54"/>
        <v>0</v>
      </c>
      <c r="K81" s="9">
        <f t="shared" si="55"/>
        <v>0</v>
      </c>
      <c r="L81" s="9">
        <f t="shared" si="56"/>
        <v>0</v>
      </c>
      <c r="M81" s="11">
        <f t="shared" si="62"/>
        <v>0.25</v>
      </c>
      <c r="N81" s="9">
        <f t="shared" si="57"/>
        <v>0</v>
      </c>
      <c r="O81" s="12">
        <f t="shared" si="58"/>
        <v>0</v>
      </c>
      <c r="P81" s="13" t="str">
        <f t="shared" si="2"/>
        <v>NO</v>
      </c>
      <c r="Q81">
        <f t="shared" si="59"/>
        <v>0</v>
      </c>
      <c r="R81">
        <f t="shared" si="60"/>
        <v>1000</v>
      </c>
      <c r="S81">
        <f t="shared" si="61"/>
        <v>1</v>
      </c>
    </row>
    <row r="82" spans="1:19" ht="22.5" hidden="1" customHeight="1" x14ac:dyDescent="0.3">
      <c r="A82" s="34" t="s">
        <v>1150</v>
      </c>
      <c r="B82" s="36">
        <v>276</v>
      </c>
      <c r="C82" s="29" t="s">
        <v>1211</v>
      </c>
      <c r="D82" s="27" t="str">
        <f t="shared" si="52"/>
        <v>INCLUIDO</v>
      </c>
      <c r="E82" s="27" t="s">
        <v>1186</v>
      </c>
      <c r="F82" s="42">
        <v>0</v>
      </c>
      <c r="G82" s="10">
        <v>0</v>
      </c>
      <c r="H82" s="9">
        <f t="shared" si="53"/>
        <v>0</v>
      </c>
      <c r="I82" s="9" t="s">
        <v>1153</v>
      </c>
      <c r="J82" s="9">
        <f t="shared" si="54"/>
        <v>0</v>
      </c>
      <c r="K82" s="9">
        <f t="shared" si="55"/>
        <v>0</v>
      </c>
      <c r="L82" s="9">
        <f t="shared" si="56"/>
        <v>0</v>
      </c>
      <c r="M82" s="11">
        <f t="shared" si="62"/>
        <v>0.25</v>
      </c>
      <c r="N82" s="9">
        <f t="shared" si="57"/>
        <v>0</v>
      </c>
      <c r="O82" s="12">
        <f t="shared" si="58"/>
        <v>0</v>
      </c>
      <c r="P82" s="13" t="str">
        <f t="shared" si="2"/>
        <v>NO</v>
      </c>
      <c r="Q82">
        <f t="shared" si="59"/>
        <v>0</v>
      </c>
      <c r="R82">
        <f t="shared" si="60"/>
        <v>1000</v>
      </c>
      <c r="S82">
        <f t="shared" si="61"/>
        <v>0</v>
      </c>
    </row>
    <row r="83" spans="1:19" ht="15" hidden="1" customHeight="1" x14ac:dyDescent="0.3">
      <c r="A83" s="34" t="s">
        <v>1150</v>
      </c>
      <c r="B83" s="36" t="s">
        <v>1212</v>
      </c>
      <c r="C83" s="29" t="s">
        <v>1213</v>
      </c>
      <c r="D83" s="27" t="str">
        <f t="shared" si="52"/>
        <v>INCLUIDO</v>
      </c>
      <c r="E83" s="27" t="s">
        <v>1137</v>
      </c>
      <c r="F83" s="43">
        <v>0</v>
      </c>
      <c r="G83" s="10">
        <f>'COTIZACIÓN M.N.'!E58</f>
        <v>0.11240080626426369</v>
      </c>
      <c r="H83" s="9">
        <f>(((IF(I83="$ Prima",G83,G83*F83/R83))*$U$9)/365)*$J$15</f>
        <v>0</v>
      </c>
      <c r="I83" s="9" t="s">
        <v>1153</v>
      </c>
      <c r="J83" s="9">
        <f t="shared" si="54"/>
        <v>0</v>
      </c>
      <c r="K83" s="9">
        <f t="shared" si="55"/>
        <v>0</v>
      </c>
      <c r="L83" s="9">
        <f t="shared" si="56"/>
        <v>0</v>
      </c>
      <c r="M83" s="11">
        <f t="shared" si="62"/>
        <v>0.25</v>
      </c>
      <c r="N83" s="9">
        <f t="shared" si="57"/>
        <v>0</v>
      </c>
      <c r="O83" s="12">
        <f t="shared" si="58"/>
        <v>0</v>
      </c>
      <c r="P83" s="13" t="str">
        <f t="shared" si="2"/>
        <v>NO</v>
      </c>
      <c r="Q83">
        <f t="shared" si="59"/>
        <v>0</v>
      </c>
      <c r="R83">
        <f t="shared" si="60"/>
        <v>1000</v>
      </c>
      <c r="S83">
        <f t="shared" si="61"/>
        <v>1</v>
      </c>
    </row>
    <row r="84" spans="1:19" ht="22.5" hidden="1" customHeight="1" x14ac:dyDescent="0.3">
      <c r="A84" s="34" t="s">
        <v>1150</v>
      </c>
      <c r="B84" s="36" t="s">
        <v>1214</v>
      </c>
      <c r="C84" s="29" t="s">
        <v>1215</v>
      </c>
      <c r="D84" s="27" t="str">
        <f t="shared" si="52"/>
        <v>INCLUIDO</v>
      </c>
      <c r="E84" s="27" t="s">
        <v>1186</v>
      </c>
      <c r="F84" s="43">
        <v>0</v>
      </c>
      <c r="G84" s="10">
        <v>0</v>
      </c>
      <c r="H84" s="9">
        <f t="shared" si="53"/>
        <v>0</v>
      </c>
      <c r="I84" s="9" t="s">
        <v>1153</v>
      </c>
      <c r="J84" s="9">
        <f t="shared" si="54"/>
        <v>0</v>
      </c>
      <c r="K84" s="9">
        <f t="shared" si="55"/>
        <v>0</v>
      </c>
      <c r="L84" s="9">
        <f t="shared" si="56"/>
        <v>0</v>
      </c>
      <c r="M84" s="11">
        <f t="shared" si="62"/>
        <v>0.25</v>
      </c>
      <c r="N84" s="9">
        <f t="shared" si="57"/>
        <v>0</v>
      </c>
      <c r="O84" s="12">
        <f t="shared" si="58"/>
        <v>0</v>
      </c>
      <c r="P84" s="13" t="str">
        <f t="shared" si="2"/>
        <v>NO</v>
      </c>
      <c r="Q84">
        <f t="shared" si="59"/>
        <v>0</v>
      </c>
      <c r="R84">
        <f t="shared" si="60"/>
        <v>1000</v>
      </c>
      <c r="S84">
        <f t="shared" si="61"/>
        <v>0</v>
      </c>
    </row>
    <row r="85" spans="1:19" ht="15" hidden="1" customHeight="1" x14ac:dyDescent="0.3">
      <c r="A85" s="34" t="s">
        <v>1150</v>
      </c>
      <c r="B85" s="36" t="s">
        <v>1216</v>
      </c>
      <c r="C85" s="29" t="s">
        <v>1217</v>
      </c>
      <c r="D85" s="27" t="str">
        <f t="shared" si="52"/>
        <v>INCLUIDO</v>
      </c>
      <c r="E85" s="27" t="s">
        <v>1186</v>
      </c>
      <c r="F85" s="43">
        <v>0</v>
      </c>
      <c r="G85" s="21">
        <v>0</v>
      </c>
      <c r="H85" s="9">
        <f t="shared" si="53"/>
        <v>0</v>
      </c>
      <c r="I85" s="9" t="s">
        <v>1153</v>
      </c>
      <c r="J85" s="9">
        <f t="shared" si="54"/>
        <v>0</v>
      </c>
      <c r="K85" s="9">
        <f t="shared" si="55"/>
        <v>0</v>
      </c>
      <c r="L85" s="9">
        <f t="shared" si="56"/>
        <v>0</v>
      </c>
      <c r="M85" s="11">
        <f t="shared" si="62"/>
        <v>0.25</v>
      </c>
      <c r="N85" s="9">
        <f t="shared" si="57"/>
        <v>0</v>
      </c>
      <c r="O85" s="12">
        <f t="shared" si="58"/>
        <v>0</v>
      </c>
      <c r="P85" s="13" t="str">
        <f t="shared" si="2"/>
        <v>NO</v>
      </c>
      <c r="Q85">
        <f t="shared" si="59"/>
        <v>0</v>
      </c>
      <c r="R85">
        <f t="shared" si="60"/>
        <v>1000</v>
      </c>
      <c r="S85">
        <f t="shared" si="61"/>
        <v>0</v>
      </c>
    </row>
    <row r="86" spans="1:19" ht="15" hidden="1" customHeight="1" x14ac:dyDescent="0.3">
      <c r="A86" s="34" t="s">
        <v>1150</v>
      </c>
      <c r="B86" s="36" t="s">
        <v>1218</v>
      </c>
      <c r="C86" s="29" t="s">
        <v>1219</v>
      </c>
      <c r="D86" s="27" t="str">
        <f t="shared" si="52"/>
        <v>INCLUIDO</v>
      </c>
      <c r="E86" s="27" t="s">
        <v>1186</v>
      </c>
      <c r="F86" s="43">
        <v>0</v>
      </c>
      <c r="G86" s="21">
        <v>0</v>
      </c>
      <c r="H86" s="9">
        <f t="shared" si="53"/>
        <v>0</v>
      </c>
      <c r="I86" s="9" t="s">
        <v>1153</v>
      </c>
      <c r="J86" s="9">
        <f t="shared" si="54"/>
        <v>0</v>
      </c>
      <c r="K86" s="9">
        <f t="shared" si="55"/>
        <v>0</v>
      </c>
      <c r="L86" s="9">
        <f t="shared" si="56"/>
        <v>0</v>
      </c>
      <c r="M86" s="11">
        <f t="shared" si="62"/>
        <v>0.25</v>
      </c>
      <c r="N86" s="9">
        <f t="shared" si="57"/>
        <v>0</v>
      </c>
      <c r="O86" s="12">
        <f t="shared" si="58"/>
        <v>0</v>
      </c>
      <c r="P86" s="13" t="str">
        <f t="shared" si="2"/>
        <v>NO</v>
      </c>
      <c r="Q86">
        <f t="shared" si="59"/>
        <v>0</v>
      </c>
      <c r="R86">
        <f t="shared" si="60"/>
        <v>1000</v>
      </c>
      <c r="S86">
        <f t="shared" si="61"/>
        <v>0</v>
      </c>
    </row>
    <row r="87" spans="1:19" ht="15" hidden="1" customHeight="1" x14ac:dyDescent="0.3">
      <c r="A87" s="34" t="s">
        <v>1150</v>
      </c>
      <c r="B87" s="36">
        <v>277</v>
      </c>
      <c r="C87" s="29" t="s">
        <v>1220</v>
      </c>
      <c r="D87" s="27" t="str">
        <f t="shared" si="52"/>
        <v>INCLUIDO</v>
      </c>
      <c r="E87" s="27" t="s">
        <v>1186</v>
      </c>
      <c r="F87" s="43">
        <v>0</v>
      </c>
      <c r="G87" s="21">
        <v>0</v>
      </c>
      <c r="H87" s="9">
        <f t="shared" si="53"/>
        <v>0</v>
      </c>
      <c r="I87" s="9" t="s">
        <v>1153</v>
      </c>
      <c r="J87" s="9">
        <f t="shared" si="54"/>
        <v>0</v>
      </c>
      <c r="K87" s="9">
        <f t="shared" si="55"/>
        <v>0</v>
      </c>
      <c r="L87" s="9">
        <f t="shared" si="56"/>
        <v>0</v>
      </c>
      <c r="M87" s="11">
        <f t="shared" si="62"/>
        <v>0.25</v>
      </c>
      <c r="N87" s="9">
        <f t="shared" si="57"/>
        <v>0</v>
      </c>
      <c r="O87" s="12">
        <f t="shared" si="58"/>
        <v>0</v>
      </c>
      <c r="P87" s="13" t="str">
        <f t="shared" si="2"/>
        <v>NO</v>
      </c>
      <c r="Q87">
        <f t="shared" si="59"/>
        <v>0</v>
      </c>
      <c r="R87">
        <f t="shared" si="60"/>
        <v>1000</v>
      </c>
      <c r="S87">
        <f t="shared" si="61"/>
        <v>0</v>
      </c>
    </row>
    <row r="88" spans="1:19" ht="15" hidden="1" customHeight="1" x14ac:dyDescent="0.3">
      <c r="A88" s="34" t="s">
        <v>1150</v>
      </c>
      <c r="B88" s="36">
        <v>278</v>
      </c>
      <c r="C88" s="29" t="s">
        <v>1221</v>
      </c>
      <c r="D88" s="27" t="str">
        <f t="shared" si="52"/>
        <v>INCLUIDO</v>
      </c>
      <c r="E88" s="27" t="s">
        <v>1186</v>
      </c>
      <c r="F88" s="43">
        <v>0</v>
      </c>
      <c r="G88" s="21">
        <v>0</v>
      </c>
      <c r="H88" s="9">
        <f t="shared" si="53"/>
        <v>0</v>
      </c>
      <c r="I88" s="9" t="s">
        <v>1153</v>
      </c>
      <c r="J88" s="9">
        <f t="shared" si="54"/>
        <v>0</v>
      </c>
      <c r="K88" s="9">
        <f t="shared" si="55"/>
        <v>0</v>
      </c>
      <c r="L88" s="9">
        <f t="shared" si="56"/>
        <v>0</v>
      </c>
      <c r="M88" s="11">
        <f t="shared" si="62"/>
        <v>0.25</v>
      </c>
      <c r="N88" s="9">
        <f t="shared" si="57"/>
        <v>0</v>
      </c>
      <c r="O88" s="12">
        <f t="shared" si="58"/>
        <v>0</v>
      </c>
      <c r="P88" s="13" t="str">
        <f t="shared" si="2"/>
        <v>NO</v>
      </c>
      <c r="Q88">
        <f t="shared" si="59"/>
        <v>0</v>
      </c>
      <c r="R88">
        <f t="shared" si="60"/>
        <v>1000</v>
      </c>
      <c r="S88">
        <f t="shared" si="61"/>
        <v>0</v>
      </c>
    </row>
    <row r="89" spans="1:19" ht="15" hidden="1" customHeight="1" x14ac:dyDescent="0.3">
      <c r="A89" s="34" t="s">
        <v>1150</v>
      </c>
      <c r="B89" s="36">
        <v>279</v>
      </c>
      <c r="C89" s="29" t="s">
        <v>1222</v>
      </c>
      <c r="D89" s="27" t="str">
        <f t="shared" si="52"/>
        <v>INCLUIDO</v>
      </c>
      <c r="E89" s="27" t="s">
        <v>1186</v>
      </c>
      <c r="F89" s="43">
        <v>0</v>
      </c>
      <c r="G89" s="21">
        <v>0</v>
      </c>
      <c r="H89" s="9">
        <f t="shared" si="53"/>
        <v>0</v>
      </c>
      <c r="I89" s="9" t="s">
        <v>1153</v>
      </c>
      <c r="J89" s="9">
        <f t="shared" si="54"/>
        <v>0</v>
      </c>
      <c r="K89" s="9">
        <f t="shared" si="55"/>
        <v>0</v>
      </c>
      <c r="L89" s="9">
        <f t="shared" si="56"/>
        <v>0</v>
      </c>
      <c r="M89" s="11">
        <f t="shared" si="62"/>
        <v>0.25</v>
      </c>
      <c r="N89" s="9">
        <f t="shared" si="57"/>
        <v>0</v>
      </c>
      <c r="O89" s="12">
        <f t="shared" si="58"/>
        <v>0</v>
      </c>
      <c r="P89" s="13" t="str">
        <f t="shared" si="2"/>
        <v>NO</v>
      </c>
      <c r="Q89">
        <f t="shared" si="59"/>
        <v>0</v>
      </c>
      <c r="R89">
        <f t="shared" si="60"/>
        <v>1000</v>
      </c>
      <c r="S89">
        <f t="shared" si="61"/>
        <v>0</v>
      </c>
    </row>
    <row r="90" spans="1:19" ht="15" hidden="1" customHeight="1" x14ac:dyDescent="0.3">
      <c r="A90" s="82" t="s">
        <v>1162</v>
      </c>
      <c r="B90" s="33">
        <v>3</v>
      </c>
      <c r="C90" s="19" t="s">
        <v>1223</v>
      </c>
      <c r="D90" s="28" t="str">
        <f>$D$17</f>
        <v>INCLUIDO</v>
      </c>
      <c r="E90" s="28"/>
      <c r="F90" s="28"/>
      <c r="G90" s="28"/>
      <c r="H90" s="28"/>
      <c r="I90" s="28"/>
      <c r="J90" s="28"/>
      <c r="K90" s="28"/>
      <c r="L90" s="28"/>
      <c r="M90" s="68">
        <f>M61</f>
        <v>0.05</v>
      </c>
      <c r="N90" s="28"/>
      <c r="O90" s="83"/>
      <c r="P90" s="13" t="str">
        <f t="shared" si="2"/>
        <v>NO</v>
      </c>
      <c r="Q90" s="47">
        <f>IF(D90="INCLUIDO",IF(F91&lt;&gt;0,1,0),0)</f>
        <v>0</v>
      </c>
    </row>
    <row r="91" spans="1:19" ht="22.5" hidden="1" customHeight="1" x14ac:dyDescent="0.3">
      <c r="A91" s="34" t="s">
        <v>1164</v>
      </c>
      <c r="B91" s="36">
        <v>50</v>
      </c>
      <c r="C91" s="29" t="s">
        <v>1224</v>
      </c>
      <c r="D91" s="27" t="str">
        <f t="shared" si="52"/>
        <v>INCLUIDO</v>
      </c>
      <c r="E91" s="27" t="s">
        <v>1137</v>
      </c>
      <c r="F91" s="42">
        <v>0</v>
      </c>
      <c r="G91" s="10">
        <f>'COTIZACIÓN M.N.'!E43</f>
        <v>0.2</v>
      </c>
      <c r="H91" s="9">
        <f t="shared" ref="H91:H92" si="63">(((IF(I91="$ Prima",G91,G91*F91/R91))*$U$9)/365)*$J$15</f>
        <v>0</v>
      </c>
      <c r="I91" s="9" t="s">
        <v>1153</v>
      </c>
      <c r="J91" s="9">
        <f t="shared" ref="J91:J94" si="64">H91*$U$7</f>
        <v>0</v>
      </c>
      <c r="K91" s="9">
        <f t="shared" ref="K91:K94" si="65">(H91+J91)*$K$15</f>
        <v>0</v>
      </c>
      <c r="L91" s="9">
        <f t="shared" ref="L91:L94" si="66">ROUND(H91+J91+K91,2)</f>
        <v>0</v>
      </c>
      <c r="M91" s="11">
        <f>$M$90</f>
        <v>0.05</v>
      </c>
      <c r="N91" s="9">
        <f t="shared" ref="N91:N94" si="67">H91*M91</f>
        <v>0</v>
      </c>
      <c r="O91" s="12">
        <f t="shared" ref="O91:O94" si="68">N91</f>
        <v>0</v>
      </c>
      <c r="P91" s="13" t="str">
        <f t="shared" ref="P91:P154" si="69">IF(Q91=1,"SI","NO")</f>
        <v>NO</v>
      </c>
      <c r="Q91">
        <f>IF(D91="INCLUIDO",IF(F91&lt;&gt;0,1,0),0)</f>
        <v>0</v>
      </c>
      <c r="R91">
        <f>IF(I91="%o Al Millar",1000,IF(I91="% Al Porciento",100,IF(I91="$ Prima",G91)))</f>
        <v>1000</v>
      </c>
      <c r="S91">
        <f t="shared" ref="S91:S94" si="70">IF(E91="Excluido",0,IF(D91="NO APLICA",0,1))</f>
        <v>1</v>
      </c>
    </row>
    <row r="92" spans="1:19" ht="22.5" hidden="1" customHeight="1" x14ac:dyDescent="0.3">
      <c r="A92" s="34" t="s">
        <v>1164</v>
      </c>
      <c r="B92" s="36">
        <v>49</v>
      </c>
      <c r="C92" s="29" t="s">
        <v>1225</v>
      </c>
      <c r="D92" s="27" t="str">
        <f t="shared" si="52"/>
        <v>INCLUIDO</v>
      </c>
      <c r="E92" s="27" t="s">
        <v>1137</v>
      </c>
      <c r="F92" s="43">
        <v>0</v>
      </c>
      <c r="G92" s="10">
        <f>'COTIZACIÓN M.N.'!E59</f>
        <v>9.1289164528423131E-2</v>
      </c>
      <c r="H92" s="9">
        <f t="shared" si="63"/>
        <v>0</v>
      </c>
      <c r="I92" s="9" t="s">
        <v>1153</v>
      </c>
      <c r="J92" s="9">
        <f t="shared" si="64"/>
        <v>0</v>
      </c>
      <c r="K92" s="9">
        <f t="shared" si="65"/>
        <v>0</v>
      </c>
      <c r="L92" s="9">
        <f t="shared" si="66"/>
        <v>0</v>
      </c>
      <c r="M92" s="11">
        <f t="shared" ref="M92:M94" si="71">$M$90</f>
        <v>0.05</v>
      </c>
      <c r="N92" s="9">
        <f t="shared" si="67"/>
        <v>0</v>
      </c>
      <c r="O92" s="12">
        <f t="shared" si="68"/>
        <v>0</v>
      </c>
      <c r="P92" s="13" t="str">
        <f t="shared" si="69"/>
        <v>NO</v>
      </c>
      <c r="Q92">
        <f>IF(D92="INCLUIDO",IF(F92&lt;&gt;0,1,0),0)</f>
        <v>0</v>
      </c>
      <c r="R92">
        <f>IF(I92="%o Al Millar",1000,IF(I92="% Al Porciento",100,IF(I92="$ Prima",G92)))</f>
        <v>1000</v>
      </c>
      <c r="S92">
        <f t="shared" si="70"/>
        <v>1</v>
      </c>
    </row>
    <row r="93" spans="1:19" ht="22.5" hidden="1" customHeight="1" x14ac:dyDescent="0.3">
      <c r="A93" s="34" t="s">
        <v>1164</v>
      </c>
      <c r="B93" s="36">
        <v>48</v>
      </c>
      <c r="C93" s="29" t="s">
        <v>1226</v>
      </c>
      <c r="D93" s="27" t="str">
        <f t="shared" si="52"/>
        <v>INCLUIDO</v>
      </c>
      <c r="E93" s="27" t="s">
        <v>1186</v>
      </c>
      <c r="F93" s="43">
        <v>0</v>
      </c>
      <c r="G93" s="21">
        <v>0</v>
      </c>
      <c r="H93" s="9">
        <f t="shared" ref="H93:H94" si="72">(IF(I93="$ Prima",G93,G93*F93/R93))*$U$9</f>
        <v>0</v>
      </c>
      <c r="I93" s="9" t="s">
        <v>1153</v>
      </c>
      <c r="J93" s="9">
        <f t="shared" si="64"/>
        <v>0</v>
      </c>
      <c r="K93" s="9">
        <f t="shared" si="65"/>
        <v>0</v>
      </c>
      <c r="L93" s="9">
        <f t="shared" si="66"/>
        <v>0</v>
      </c>
      <c r="M93" s="11">
        <f t="shared" si="71"/>
        <v>0.05</v>
      </c>
      <c r="N93" s="9">
        <f t="shared" si="67"/>
        <v>0</v>
      </c>
      <c r="O93" s="12">
        <f t="shared" si="68"/>
        <v>0</v>
      </c>
      <c r="P93" s="13" t="str">
        <f t="shared" si="69"/>
        <v>NO</v>
      </c>
      <c r="Q93">
        <f>IF(D93="INCLUIDO",IF(F93&lt;&gt;0,1,0),0)</f>
        <v>0</v>
      </c>
      <c r="R93">
        <f>IF(I93="%o Al Millar",1000,IF(I93="% Al Porciento",100,IF(I93="$ Prima",G93)))</f>
        <v>1000</v>
      </c>
      <c r="S93">
        <f t="shared" si="70"/>
        <v>0</v>
      </c>
    </row>
    <row r="94" spans="1:19" ht="15" hidden="1" customHeight="1" x14ac:dyDescent="0.3">
      <c r="A94" s="34" t="s">
        <v>1164</v>
      </c>
      <c r="B94" s="36">
        <v>47</v>
      </c>
      <c r="C94" s="29" t="s">
        <v>1227</v>
      </c>
      <c r="D94" s="27" t="str">
        <f t="shared" si="52"/>
        <v>INCLUIDO</v>
      </c>
      <c r="E94" s="27" t="s">
        <v>1186</v>
      </c>
      <c r="F94" s="43">
        <v>0</v>
      </c>
      <c r="G94" s="21">
        <v>0</v>
      </c>
      <c r="H94" s="9">
        <f t="shared" si="72"/>
        <v>0</v>
      </c>
      <c r="I94" s="9" t="s">
        <v>1153</v>
      </c>
      <c r="J94" s="9">
        <f t="shared" si="64"/>
        <v>0</v>
      </c>
      <c r="K94" s="9">
        <f t="shared" si="65"/>
        <v>0</v>
      </c>
      <c r="L94" s="9">
        <f t="shared" si="66"/>
        <v>0</v>
      </c>
      <c r="M94" s="11">
        <f t="shared" si="71"/>
        <v>0.05</v>
      </c>
      <c r="N94" s="9">
        <f t="shared" si="67"/>
        <v>0</v>
      </c>
      <c r="O94" s="12">
        <f t="shared" si="68"/>
        <v>0</v>
      </c>
      <c r="P94" s="13" t="str">
        <f t="shared" si="69"/>
        <v>NO</v>
      </c>
      <c r="Q94">
        <f>IF(D94="INCLUIDO",IF(F94&lt;&gt;0,1,0),0)</f>
        <v>0</v>
      </c>
      <c r="R94">
        <f>IF(I94="%o Al Millar",1000,IF(I94="% Al Porciento",100,IF(I94="$ Prima",G94)))</f>
        <v>1000</v>
      </c>
      <c r="S94">
        <f t="shared" si="70"/>
        <v>0</v>
      </c>
    </row>
    <row r="95" spans="1:19" ht="15" hidden="1" customHeight="1" x14ac:dyDescent="0.3">
      <c r="A95" s="82">
        <v>904</v>
      </c>
      <c r="B95" s="33">
        <v>3</v>
      </c>
      <c r="C95" s="19" t="s">
        <v>1228</v>
      </c>
      <c r="D95" s="28" t="str">
        <f>$D$17</f>
        <v>INCLUIDO</v>
      </c>
      <c r="E95" s="28"/>
      <c r="F95" s="28"/>
      <c r="G95" s="28"/>
      <c r="H95" s="28"/>
      <c r="I95" s="28"/>
      <c r="J95" s="28"/>
      <c r="K95" s="28"/>
      <c r="L95" s="28"/>
      <c r="M95" s="68">
        <f>M64</f>
        <v>0.05</v>
      </c>
      <c r="N95" s="28"/>
      <c r="O95" s="83"/>
      <c r="P95" s="13" t="str">
        <f t="shared" si="69"/>
        <v>NO</v>
      </c>
      <c r="Q95" s="47">
        <f>IF(D95="INCLUIDO",IF(F96&lt;&gt;0,1,0),0)</f>
        <v>0</v>
      </c>
    </row>
    <row r="96" spans="1:19" ht="22.5" hidden="1" customHeight="1" x14ac:dyDescent="0.3">
      <c r="A96" s="34" t="s">
        <v>1168</v>
      </c>
      <c r="B96" s="36">
        <v>68</v>
      </c>
      <c r="C96" s="29" t="s">
        <v>1229</v>
      </c>
      <c r="D96" s="27" t="str">
        <f t="shared" si="52"/>
        <v>INCLUIDO</v>
      </c>
      <c r="E96" s="27" t="s">
        <v>1137</v>
      </c>
      <c r="F96" s="42">
        <v>0</v>
      </c>
      <c r="G96" s="10">
        <f>'COTIZACIÓN M.N.'!E44</f>
        <v>0.32000000000000006</v>
      </c>
      <c r="H96" s="9">
        <f t="shared" ref="H96:H97" si="73">(((IF(I96="$ Prima",G96,G96*F96/R96))*$U$9)/365)*$J$15</f>
        <v>0</v>
      </c>
      <c r="I96" s="9" t="s">
        <v>1153</v>
      </c>
      <c r="J96" s="9">
        <f t="shared" ref="J96:J98" si="74">H96*$U$7</f>
        <v>0</v>
      </c>
      <c r="K96" s="9">
        <f t="shared" ref="K96:K98" si="75">(H96+J96)*$K$15</f>
        <v>0</v>
      </c>
      <c r="L96" s="9">
        <f t="shared" ref="L96:L98" si="76">ROUND(H96+J96+K96,2)</f>
        <v>0</v>
      </c>
      <c r="M96" s="11">
        <f>$M$95</f>
        <v>0.05</v>
      </c>
      <c r="N96" s="9">
        <f t="shared" ref="N96:N98" si="77">H96*M96</f>
        <v>0</v>
      </c>
      <c r="O96" s="12">
        <f t="shared" ref="O96:O98" si="78">N96</f>
        <v>0</v>
      </c>
      <c r="P96" s="13" t="str">
        <f t="shared" si="69"/>
        <v>NO</v>
      </c>
      <c r="Q96">
        <f>IF(D96="INCLUIDO",IF(F96&lt;&gt;0,1,0),0)</f>
        <v>0</v>
      </c>
      <c r="R96">
        <f>IF(I96="%o Al Millar",1000,IF(I96="% Al Porciento",100,IF(I96="$ Prima",G96)))</f>
        <v>1000</v>
      </c>
      <c r="S96">
        <f t="shared" ref="S96:S98" si="79">IF(E96="Excluido",0,IF(D96="NO APLICA",0,1))</f>
        <v>1</v>
      </c>
    </row>
    <row r="97" spans="1:19" ht="22.5" hidden="1" customHeight="1" x14ac:dyDescent="0.3">
      <c r="A97" s="34" t="s">
        <v>1168</v>
      </c>
      <c r="B97" s="36">
        <v>67</v>
      </c>
      <c r="C97" s="29" t="s">
        <v>1230</v>
      </c>
      <c r="D97" s="27" t="str">
        <f t="shared" si="52"/>
        <v>INCLUIDO</v>
      </c>
      <c r="E97" s="27" t="s">
        <v>1137</v>
      </c>
      <c r="F97" s="43">
        <v>0</v>
      </c>
      <c r="G97" s="10">
        <f>'COTIZACIÓN M.N.'!E60</f>
        <v>7.304439852819071E-2</v>
      </c>
      <c r="H97" s="9">
        <f t="shared" si="73"/>
        <v>0</v>
      </c>
      <c r="I97" s="9" t="s">
        <v>1153</v>
      </c>
      <c r="J97" s="9">
        <f t="shared" si="74"/>
        <v>0</v>
      </c>
      <c r="K97" s="9">
        <f t="shared" si="75"/>
        <v>0</v>
      </c>
      <c r="L97" s="9">
        <f t="shared" si="76"/>
        <v>0</v>
      </c>
      <c r="M97" s="11">
        <f t="shared" ref="M97:M98" si="80">$M$95</f>
        <v>0.05</v>
      </c>
      <c r="N97" s="9">
        <f t="shared" si="77"/>
        <v>0</v>
      </c>
      <c r="O97" s="12">
        <f t="shared" si="78"/>
        <v>0</v>
      </c>
      <c r="P97" s="13" t="str">
        <f t="shared" si="69"/>
        <v>NO</v>
      </c>
      <c r="Q97">
        <f>IF(D97="INCLUIDO",IF(F97&lt;&gt;0,1,0),0)</f>
        <v>0</v>
      </c>
      <c r="R97">
        <f>IF(I97="%o Al Millar",1000,IF(I97="% Al Porciento",100,IF(I97="$ Prima",G97)))</f>
        <v>1000</v>
      </c>
      <c r="S97">
        <f t="shared" si="79"/>
        <v>1</v>
      </c>
    </row>
    <row r="98" spans="1:19" ht="22.5" hidden="1" customHeight="1" x14ac:dyDescent="0.3">
      <c r="A98" s="34" t="s">
        <v>1168</v>
      </c>
      <c r="B98" s="36">
        <v>65</v>
      </c>
      <c r="C98" s="29" t="s">
        <v>1231</v>
      </c>
      <c r="D98" s="27" t="str">
        <f t="shared" si="52"/>
        <v>INCLUIDO</v>
      </c>
      <c r="E98" s="27" t="s">
        <v>1186</v>
      </c>
      <c r="F98" s="43">
        <v>0</v>
      </c>
      <c r="G98" s="21">
        <v>0</v>
      </c>
      <c r="H98" s="9">
        <f t="shared" ref="H98" si="81">(IF(I98="$ Prima",G98,G98*F98/R98))*$U$9</f>
        <v>0</v>
      </c>
      <c r="I98" s="9" t="s">
        <v>1153</v>
      </c>
      <c r="J98" s="9">
        <f t="shared" si="74"/>
        <v>0</v>
      </c>
      <c r="K98" s="9">
        <f t="shared" si="75"/>
        <v>0</v>
      </c>
      <c r="L98" s="9">
        <f t="shared" si="76"/>
        <v>0</v>
      </c>
      <c r="M98" s="11">
        <f t="shared" si="80"/>
        <v>0.05</v>
      </c>
      <c r="N98" s="9">
        <f t="shared" si="77"/>
        <v>0</v>
      </c>
      <c r="O98" s="12">
        <f t="shared" si="78"/>
        <v>0</v>
      </c>
      <c r="P98" s="13" t="str">
        <f t="shared" si="69"/>
        <v>NO</v>
      </c>
      <c r="Q98">
        <f>IF(D98="INCLUIDO",IF(F98&lt;&gt;0,1,0),0)</f>
        <v>0</v>
      </c>
      <c r="R98">
        <f>IF(I98="%o Al Millar",1000,IF(I98="% Al Porciento",100,IF(I98="$ Prima",G98)))</f>
        <v>1000</v>
      </c>
      <c r="S98">
        <f t="shared" si="79"/>
        <v>0</v>
      </c>
    </row>
    <row r="99" spans="1:19" s="18" customFormat="1" ht="15" hidden="1" customHeight="1" x14ac:dyDescent="0.3">
      <c r="A99" s="24"/>
      <c r="B99" s="26"/>
      <c r="C99" s="15" t="s">
        <v>1177</v>
      </c>
      <c r="D99" s="38" t="str">
        <f>D98</f>
        <v>INCLUIDO</v>
      </c>
      <c r="E99" s="38"/>
      <c r="F99" s="16">
        <f>SUMIF(E79:E98,"Adicional",F79:F98)</f>
        <v>0</v>
      </c>
      <c r="G99" s="17"/>
      <c r="H99" s="16">
        <f>SUM(H79:H98)</f>
        <v>0</v>
      </c>
      <c r="I99" s="16"/>
      <c r="J99" s="16">
        <f>SUM(J79:J98)</f>
        <v>0</v>
      </c>
      <c r="K99" s="16">
        <f>SUM(K79:K98)</f>
        <v>0</v>
      </c>
      <c r="L99" s="16">
        <f>SUM(L79:L98)</f>
        <v>0</v>
      </c>
      <c r="M99" s="16" t="s">
        <v>1178</v>
      </c>
      <c r="N99" s="16">
        <f>SUM(N79:N98)</f>
        <v>0</v>
      </c>
      <c r="O99" s="84">
        <f>SUM(O79:O98)</f>
        <v>0</v>
      </c>
      <c r="P99" s="13" t="str">
        <f t="shared" si="69"/>
        <v>NO</v>
      </c>
      <c r="Q99">
        <f>IF(D99="INCLUIDO",IF(H99&lt;&gt;0,1,0),0)</f>
        <v>0</v>
      </c>
    </row>
    <row r="100" spans="1:19" ht="15" hidden="1" customHeight="1" x14ac:dyDescent="0.3">
      <c r="A100" s="82">
        <v>905</v>
      </c>
      <c r="B100" s="33">
        <v>1</v>
      </c>
      <c r="C100" s="19" t="s">
        <v>1232</v>
      </c>
      <c r="D100" s="23" t="str">
        <f>'Ramo Comercial'!C130</f>
        <v>INCLUIDO</v>
      </c>
      <c r="E100" s="91"/>
      <c r="F100" s="43">
        <v>0</v>
      </c>
      <c r="G100" s="43">
        <f>'COTIZACIÓN M.N.'!E86</f>
        <v>5</v>
      </c>
      <c r="H100" s="28"/>
      <c r="I100" s="28"/>
      <c r="J100" s="28"/>
      <c r="K100" s="28"/>
      <c r="L100" s="28"/>
      <c r="M100" s="68">
        <v>5.8000000000000003E-2</v>
      </c>
      <c r="N100" s="28"/>
      <c r="O100" s="83"/>
      <c r="P100" s="13" t="str">
        <f t="shared" si="69"/>
        <v>NO</v>
      </c>
      <c r="Q100" s="48">
        <f>IF(D100="INCLUIDO",IF(F100&lt;&gt;0,1,0),0)</f>
        <v>0</v>
      </c>
      <c r="S100">
        <f t="shared" ref="S100:S102" si="82">IF(E100="Excluido",0,IF(D100="NO APLICA",0,1))</f>
        <v>1</v>
      </c>
    </row>
    <row r="101" spans="1:19" ht="15" hidden="1" customHeight="1" x14ac:dyDescent="0.3">
      <c r="A101" s="34" t="s">
        <v>1233</v>
      </c>
      <c r="B101" s="36">
        <v>71</v>
      </c>
      <c r="C101" s="29" t="s">
        <v>1234</v>
      </c>
      <c r="D101" s="29" t="str">
        <f>$D$100</f>
        <v>INCLUIDO</v>
      </c>
      <c r="E101" s="27" t="s">
        <v>1152</v>
      </c>
      <c r="F101" s="20">
        <f>F100*S101</f>
        <v>0</v>
      </c>
      <c r="G101" s="21">
        <f>G100</f>
        <v>5</v>
      </c>
      <c r="H101" s="9">
        <f t="shared" ref="H101" si="83">(((IF(I101="$ Prima",G101,G101*F101/R101))*$U$9)/365)*$J$15</f>
        <v>0</v>
      </c>
      <c r="I101" s="9" t="s">
        <v>1235</v>
      </c>
      <c r="J101" s="9">
        <f t="shared" ref="J101:J102" si="84">H101*$U$7</f>
        <v>0</v>
      </c>
      <c r="K101" s="9">
        <f t="shared" ref="K101:K102" si="85">(H101+J101)*$K$15</f>
        <v>0</v>
      </c>
      <c r="L101" s="9">
        <f t="shared" ref="L101:L102" si="86">ROUND(H101+J101+K101,2)</f>
        <v>0</v>
      </c>
      <c r="M101" s="11">
        <f>$M$100</f>
        <v>5.8000000000000003E-2</v>
      </c>
      <c r="N101" s="9">
        <f t="shared" ref="N101:N102" si="87">H101*M101</f>
        <v>0</v>
      </c>
      <c r="O101" s="12">
        <f t="shared" ref="O101:O102" si="88">N101</f>
        <v>0</v>
      </c>
      <c r="P101" s="13" t="str">
        <f t="shared" si="69"/>
        <v>NO</v>
      </c>
      <c r="Q101">
        <f>IF(D101="INCLUIDO",IF(F101&lt;&gt;0,1,0),0)</f>
        <v>0</v>
      </c>
      <c r="R101">
        <f>IF(I101="%o Al Millar",1000,IF(I101="% Al Porciento",100,IF(I101="$ Prima",G101)))</f>
        <v>100</v>
      </c>
      <c r="S101">
        <f t="shared" si="82"/>
        <v>1</v>
      </c>
    </row>
    <row r="102" spans="1:19" ht="15" hidden="1" customHeight="1" x14ac:dyDescent="0.3">
      <c r="A102" s="34" t="s">
        <v>1233</v>
      </c>
      <c r="B102" s="36"/>
      <c r="C102" s="81">
        <f>$O$12</f>
        <v>0</v>
      </c>
      <c r="D102" s="29" t="str">
        <f>$D$100</f>
        <v>INCLUIDO</v>
      </c>
      <c r="E102" s="27" t="s">
        <v>1186</v>
      </c>
      <c r="F102" s="9">
        <f>(F101*$O$12)*S102</f>
        <v>0</v>
      </c>
      <c r="G102" s="10">
        <f>G101*0.35</f>
        <v>1.75</v>
      </c>
      <c r="H102" s="9">
        <f t="shared" ref="H102" si="89">(IF(I102="$ Prima",G102,G102*F102/R102))*$U$9</f>
        <v>0</v>
      </c>
      <c r="I102" s="9" t="s">
        <v>1235</v>
      </c>
      <c r="J102" s="9">
        <f t="shared" si="84"/>
        <v>0</v>
      </c>
      <c r="K102" s="9">
        <f t="shared" si="85"/>
        <v>0</v>
      </c>
      <c r="L102" s="9">
        <f t="shared" si="86"/>
        <v>0</v>
      </c>
      <c r="M102" s="11">
        <f>$M$100</f>
        <v>5.8000000000000003E-2</v>
      </c>
      <c r="N102" s="9">
        <f t="shared" si="87"/>
        <v>0</v>
      </c>
      <c r="O102" s="12">
        <f t="shared" si="88"/>
        <v>0</v>
      </c>
      <c r="P102" s="13" t="str">
        <f t="shared" si="69"/>
        <v>NO</v>
      </c>
      <c r="Q102">
        <f>IF(D102="INCLUIDO",IF(F102&lt;&gt;0,1,0),0)</f>
        <v>0</v>
      </c>
      <c r="R102">
        <f>IF(I102="%o Al Millar",1000,IF(I102="% Al Porciento",100,IF(I102="$ Prima",G102)))</f>
        <v>100</v>
      </c>
      <c r="S102">
        <f t="shared" si="82"/>
        <v>0</v>
      </c>
    </row>
    <row r="103" spans="1:19" s="18" customFormat="1" ht="15" hidden="1" customHeight="1" thickBot="1" x14ac:dyDescent="0.35">
      <c r="A103" s="24"/>
      <c r="B103" s="26"/>
      <c r="C103" s="15" t="s">
        <v>1177</v>
      </c>
      <c r="D103" s="38" t="str">
        <f>D102</f>
        <v>INCLUIDO</v>
      </c>
      <c r="E103" s="38"/>
      <c r="F103" s="16">
        <f>SUMIF(E101:E102,"Adicional",F101:F102)</f>
        <v>0</v>
      </c>
      <c r="G103" s="17"/>
      <c r="H103" s="16">
        <f>SUM(H101:H102)</f>
        <v>0</v>
      </c>
      <c r="I103" s="16"/>
      <c r="J103" s="16">
        <f t="shared" ref="J103:L103" si="90">SUM(J101:J102)</f>
        <v>0</v>
      </c>
      <c r="K103" s="16">
        <f t="shared" si="90"/>
        <v>0</v>
      </c>
      <c r="L103" s="16">
        <f t="shared" si="90"/>
        <v>0</v>
      </c>
      <c r="M103" s="16" t="s">
        <v>1178</v>
      </c>
      <c r="N103" s="16">
        <f t="shared" ref="N103:O103" si="91">SUM(N101:N102)</f>
        <v>0</v>
      </c>
      <c r="O103" s="84">
        <f t="shared" si="91"/>
        <v>0</v>
      </c>
      <c r="P103" s="13" t="str">
        <f t="shared" si="69"/>
        <v>NO</v>
      </c>
      <c r="Q103">
        <f>IF(D103="INCLUIDO",IF(H103&lt;&gt;0,1,0),0)</f>
        <v>0</v>
      </c>
    </row>
    <row r="104" spans="1:19" ht="15" hidden="1" customHeight="1" x14ac:dyDescent="0.3">
      <c r="A104" s="82">
        <v>905</v>
      </c>
      <c r="B104" s="33">
        <v>2</v>
      </c>
      <c r="C104" s="19" t="s">
        <v>1236</v>
      </c>
      <c r="D104" s="23" t="str">
        <f>$D$100</f>
        <v>INCLUIDO</v>
      </c>
      <c r="E104" s="91"/>
      <c r="F104" s="43">
        <v>0</v>
      </c>
      <c r="G104" s="43">
        <v>0</v>
      </c>
      <c r="H104" s="28"/>
      <c r="I104" s="28"/>
      <c r="J104" s="28"/>
      <c r="K104" s="28"/>
      <c r="L104" s="28"/>
      <c r="M104" s="68">
        <v>0</v>
      </c>
      <c r="N104" s="28"/>
      <c r="O104" s="83"/>
      <c r="P104" s="13" t="str">
        <f t="shared" si="69"/>
        <v>NO</v>
      </c>
      <c r="Q104" s="48">
        <f>IF(D104="INCLUIDO",IF(F104&lt;&gt;0,1,0),0)</f>
        <v>0</v>
      </c>
    </row>
    <row r="105" spans="1:19" ht="15" hidden="1" customHeight="1" x14ac:dyDescent="0.3">
      <c r="A105" s="34" t="s">
        <v>1233</v>
      </c>
      <c r="B105" s="36">
        <v>73</v>
      </c>
      <c r="C105" s="29" t="s">
        <v>1234</v>
      </c>
      <c r="D105" s="29" t="str">
        <f>$D$100</f>
        <v>INCLUIDO</v>
      </c>
      <c r="E105" s="27" t="s">
        <v>1186</v>
      </c>
      <c r="F105" s="20">
        <f>F104*S105</f>
        <v>0</v>
      </c>
      <c r="G105" s="21">
        <v>0</v>
      </c>
      <c r="H105" s="9">
        <f t="shared" ref="H105:H106" si="92">(IF(I105="$ Prima",G105,G105*F105/R105))*$U$9</f>
        <v>0</v>
      </c>
      <c r="I105" s="9" t="s">
        <v>1235</v>
      </c>
      <c r="J105" s="9">
        <f t="shared" ref="J105:J106" si="93">H105*$U$7</f>
        <v>0</v>
      </c>
      <c r="K105" s="9">
        <f t="shared" ref="K105:K106" si="94">(H105+J105)*$K$15</f>
        <v>0</v>
      </c>
      <c r="L105" s="9">
        <f t="shared" ref="L105:L106" si="95">ROUND(H105+J105+K105,2)</f>
        <v>0</v>
      </c>
      <c r="M105" s="11">
        <v>0</v>
      </c>
      <c r="N105" s="9">
        <f t="shared" ref="N105:N106" si="96">H105*M105</f>
        <v>0</v>
      </c>
      <c r="O105" s="12">
        <f t="shared" ref="O105:O106" si="97">N105</f>
        <v>0</v>
      </c>
      <c r="P105" s="13" t="str">
        <f t="shared" si="69"/>
        <v>NO</v>
      </c>
      <c r="Q105">
        <f>IF(D105="INCLUIDO",IF(F105&lt;&gt;0,1,0),0)</f>
        <v>0</v>
      </c>
      <c r="R105">
        <f>IF(I105="%o Al Millar",1000,IF(I105="% Al Porciento",100,IF(I105="$ Prima",G105)))</f>
        <v>100</v>
      </c>
      <c r="S105">
        <f t="shared" ref="S105:S106" si="98">IF(E105="Excluido",0,IF(D105="NO APLICA",0,1))</f>
        <v>0</v>
      </c>
    </row>
    <row r="106" spans="1:19" ht="15" hidden="1" customHeight="1" x14ac:dyDescent="0.3">
      <c r="A106" s="34" t="s">
        <v>1233</v>
      </c>
      <c r="B106" s="36"/>
      <c r="C106" s="81">
        <f>$O$12</f>
        <v>0</v>
      </c>
      <c r="D106" s="29" t="str">
        <f>$D$100</f>
        <v>INCLUIDO</v>
      </c>
      <c r="E106" s="27" t="str">
        <f>E105</f>
        <v>Excluido</v>
      </c>
      <c r="F106" s="9">
        <f>(F105*$O$12)*S106</f>
        <v>0</v>
      </c>
      <c r="G106" s="10">
        <f>G105*0.35</f>
        <v>0</v>
      </c>
      <c r="H106" s="9">
        <f t="shared" si="92"/>
        <v>0</v>
      </c>
      <c r="I106" s="9" t="s">
        <v>1235</v>
      </c>
      <c r="J106" s="9">
        <f t="shared" si="93"/>
        <v>0</v>
      </c>
      <c r="K106" s="9">
        <f t="shared" si="94"/>
        <v>0</v>
      </c>
      <c r="L106" s="9">
        <f t="shared" si="95"/>
        <v>0</v>
      </c>
      <c r="M106" s="11">
        <v>0</v>
      </c>
      <c r="N106" s="9">
        <f t="shared" si="96"/>
        <v>0</v>
      </c>
      <c r="O106" s="12">
        <f t="shared" si="97"/>
        <v>0</v>
      </c>
      <c r="P106" s="13" t="str">
        <f t="shared" si="69"/>
        <v>NO</v>
      </c>
      <c r="Q106">
        <f>IF(D106="INCLUIDO",IF(F106&lt;&gt;0,1,0),0)</f>
        <v>0</v>
      </c>
      <c r="R106">
        <f>IF(I106="%o Al Millar",1000,IF(I106="% Al Porciento",100,IF(I106="$ Prima",G106)))</f>
        <v>100</v>
      </c>
      <c r="S106">
        <f t="shared" si="98"/>
        <v>0</v>
      </c>
    </row>
    <row r="107" spans="1:19" s="18" customFormat="1" ht="15" hidden="1" customHeight="1" x14ac:dyDescent="0.3">
      <c r="A107" s="24"/>
      <c r="B107" s="26"/>
      <c r="C107" s="15" t="s">
        <v>1177</v>
      </c>
      <c r="D107" s="38" t="str">
        <f>D106</f>
        <v>INCLUIDO</v>
      </c>
      <c r="E107" s="38"/>
      <c r="F107" s="16">
        <f>SUMIF(E105:E106,"Adicional",F105:F106)</f>
        <v>0</v>
      </c>
      <c r="G107" s="17"/>
      <c r="H107" s="16">
        <f>SUM(H105:H106)</f>
        <v>0</v>
      </c>
      <c r="I107" s="16"/>
      <c r="J107" s="16">
        <f t="shared" ref="J107:L107" si="99">SUM(J105:J106)</f>
        <v>0</v>
      </c>
      <c r="K107" s="16">
        <f t="shared" si="99"/>
        <v>0</v>
      </c>
      <c r="L107" s="16">
        <f t="shared" si="99"/>
        <v>0</v>
      </c>
      <c r="M107" s="16" t="s">
        <v>1178</v>
      </c>
      <c r="N107" s="16">
        <f t="shared" ref="N107:O107" si="100">SUM(N105:N106)</f>
        <v>0</v>
      </c>
      <c r="O107" s="84">
        <f t="shared" si="100"/>
        <v>0</v>
      </c>
      <c r="P107" s="13" t="str">
        <f t="shared" si="69"/>
        <v>NO</v>
      </c>
      <c r="Q107">
        <f>IF(D107="INCLUIDO",IF(H107&lt;&gt;0,1,0),0)</f>
        <v>0</v>
      </c>
    </row>
    <row r="108" spans="1:19" ht="15" hidden="1" customHeight="1" x14ac:dyDescent="0.3">
      <c r="A108" s="82">
        <v>905</v>
      </c>
      <c r="B108" s="33">
        <v>3</v>
      </c>
      <c r="C108" s="19" t="s">
        <v>1237</v>
      </c>
      <c r="D108" s="23" t="str">
        <f>$D$100</f>
        <v>INCLUIDO</v>
      </c>
      <c r="E108" s="91"/>
      <c r="F108" s="43">
        <v>0</v>
      </c>
      <c r="G108" s="43">
        <v>0</v>
      </c>
      <c r="H108" s="28"/>
      <c r="I108" s="28"/>
      <c r="J108" s="28"/>
      <c r="K108" s="28"/>
      <c r="L108" s="28"/>
      <c r="M108" s="68">
        <v>0</v>
      </c>
      <c r="N108" s="28"/>
      <c r="O108" s="83"/>
      <c r="P108" s="13" t="str">
        <f t="shared" si="69"/>
        <v>NO</v>
      </c>
      <c r="Q108" s="48">
        <f>IF(D108="INCLUIDO",IF(F108&lt;&gt;0,1,0),0)</f>
        <v>0</v>
      </c>
    </row>
    <row r="109" spans="1:19" ht="15" hidden="1" customHeight="1" x14ac:dyDescent="0.3">
      <c r="A109" s="34" t="s">
        <v>1233</v>
      </c>
      <c r="B109" s="36">
        <v>74</v>
      </c>
      <c r="C109" s="29" t="s">
        <v>1237</v>
      </c>
      <c r="D109" s="29" t="str">
        <f>$D$100</f>
        <v>INCLUIDO</v>
      </c>
      <c r="E109" s="27" t="s">
        <v>1186</v>
      </c>
      <c r="F109" s="20">
        <f>F108*S109</f>
        <v>0</v>
      </c>
      <c r="G109" s="21">
        <v>0</v>
      </c>
      <c r="H109" s="9">
        <f t="shared" ref="H109:H110" si="101">(IF(I109="$ Prima",G109,G109*F109/R109))*$U$9</f>
        <v>0</v>
      </c>
      <c r="I109" s="9" t="s">
        <v>1235</v>
      </c>
      <c r="J109" s="9">
        <f t="shared" ref="J109:J110" si="102">H109*$U$7</f>
        <v>0</v>
      </c>
      <c r="K109" s="9">
        <f t="shared" ref="K109:K110" si="103">(H109+J109)*$K$15</f>
        <v>0</v>
      </c>
      <c r="L109" s="9">
        <f t="shared" ref="L109:L110" si="104">ROUND(H109+J109+K109,2)</f>
        <v>0</v>
      </c>
      <c r="M109" s="11">
        <f>$M$108</f>
        <v>0</v>
      </c>
      <c r="N109" s="9">
        <f t="shared" ref="N109:N110" si="105">H109*M109</f>
        <v>0</v>
      </c>
      <c r="O109" s="12">
        <f t="shared" ref="O109:O110" si="106">N109</f>
        <v>0</v>
      </c>
      <c r="P109" s="13" t="str">
        <f t="shared" si="69"/>
        <v>NO</v>
      </c>
      <c r="Q109">
        <f>IF(D109="INCLUIDO",IF(F109&lt;&gt;0,1,0),0)</f>
        <v>0</v>
      </c>
      <c r="R109">
        <f>IF(I109="%o Al Millar",1000,IF(I109="% Al Porciento",100,IF(I109="$ Prima",G109)))</f>
        <v>100</v>
      </c>
      <c r="S109">
        <f t="shared" ref="S109:S110" si="107">IF(E109="Excluido",0,IF(D109="NO APLICA",0,1))</f>
        <v>0</v>
      </c>
    </row>
    <row r="110" spans="1:19" ht="15" hidden="1" customHeight="1" x14ac:dyDescent="0.3">
      <c r="A110" s="34" t="s">
        <v>1233</v>
      </c>
      <c r="B110" s="36"/>
      <c r="C110" s="81">
        <f>$O$12</f>
        <v>0</v>
      </c>
      <c r="D110" s="29" t="str">
        <f>$D$100</f>
        <v>INCLUIDO</v>
      </c>
      <c r="E110" s="27" t="str">
        <f>E109</f>
        <v>Excluido</v>
      </c>
      <c r="F110" s="9">
        <f>(F109*$O$12)*S110</f>
        <v>0</v>
      </c>
      <c r="G110" s="10">
        <f>G109*0.35</f>
        <v>0</v>
      </c>
      <c r="H110" s="9">
        <f t="shared" si="101"/>
        <v>0</v>
      </c>
      <c r="I110" s="9" t="s">
        <v>1235</v>
      </c>
      <c r="J110" s="9">
        <f t="shared" si="102"/>
        <v>0</v>
      </c>
      <c r="K110" s="9">
        <f t="shared" si="103"/>
        <v>0</v>
      </c>
      <c r="L110" s="9">
        <f t="shared" si="104"/>
        <v>0</v>
      </c>
      <c r="M110" s="11">
        <f>$M$108</f>
        <v>0</v>
      </c>
      <c r="N110" s="9">
        <f t="shared" si="105"/>
        <v>0</v>
      </c>
      <c r="O110" s="12">
        <f t="shared" si="106"/>
        <v>0</v>
      </c>
      <c r="P110" s="13" t="str">
        <f t="shared" si="69"/>
        <v>NO</v>
      </c>
      <c r="Q110">
        <f>IF(D110="INCLUIDO",IF(F110&lt;&gt;0,1,0),0)</f>
        <v>0</v>
      </c>
      <c r="R110">
        <f>IF(I110="%o Al Millar",1000,IF(I110="% Al Porciento",100,IF(I110="$ Prima",G110)))</f>
        <v>100</v>
      </c>
      <c r="S110">
        <f t="shared" si="107"/>
        <v>0</v>
      </c>
    </row>
    <row r="111" spans="1:19" s="18" customFormat="1" ht="15" hidden="1" customHeight="1" x14ac:dyDescent="0.3">
      <c r="A111" s="24"/>
      <c r="B111" s="26"/>
      <c r="C111" s="15" t="s">
        <v>1177</v>
      </c>
      <c r="D111" s="38" t="str">
        <f>D110</f>
        <v>INCLUIDO</v>
      </c>
      <c r="E111" s="38"/>
      <c r="F111" s="16">
        <f>SUMIF(E109:E110,"Adicional",F109:F110)</f>
        <v>0</v>
      </c>
      <c r="G111" s="17"/>
      <c r="H111" s="16">
        <f>SUM(H109:H110)</f>
        <v>0</v>
      </c>
      <c r="I111" s="16"/>
      <c r="J111" s="16">
        <f t="shared" ref="J111:L111" si="108">SUM(J109:J110)</f>
        <v>0</v>
      </c>
      <c r="K111" s="16">
        <f t="shared" si="108"/>
        <v>0</v>
      </c>
      <c r="L111" s="16">
        <f t="shared" si="108"/>
        <v>0</v>
      </c>
      <c r="M111" s="16" t="s">
        <v>1178</v>
      </c>
      <c r="N111" s="16">
        <f t="shared" ref="N111:O111" si="109">SUM(N109:N110)</f>
        <v>0</v>
      </c>
      <c r="O111" s="84">
        <f t="shared" si="109"/>
        <v>0</v>
      </c>
      <c r="P111" s="13" t="str">
        <f t="shared" si="69"/>
        <v>NO</v>
      </c>
      <c r="Q111">
        <f>IF(D111="INCLUIDO",IF(H111&lt;&gt;0,1,0),0)</f>
        <v>0</v>
      </c>
    </row>
    <row r="112" spans="1:19" ht="15" hidden="1" customHeight="1" x14ac:dyDescent="0.3">
      <c r="A112" s="82">
        <v>905</v>
      </c>
      <c r="B112" s="33">
        <v>4</v>
      </c>
      <c r="C112" s="19" t="s">
        <v>1238</v>
      </c>
      <c r="D112" s="23" t="str">
        <f>$D$100</f>
        <v>INCLUIDO</v>
      </c>
      <c r="E112" s="91"/>
      <c r="F112" s="43">
        <v>0</v>
      </c>
      <c r="G112" s="43">
        <v>0</v>
      </c>
      <c r="H112" s="28"/>
      <c r="I112" s="28"/>
      <c r="J112" s="28"/>
      <c r="K112" s="28"/>
      <c r="L112" s="28"/>
      <c r="M112" s="68">
        <v>0</v>
      </c>
      <c r="N112" s="28"/>
      <c r="O112" s="83"/>
      <c r="P112" s="13" t="str">
        <f t="shared" si="69"/>
        <v>NO</v>
      </c>
      <c r="Q112" s="48">
        <f>IF(D112="INCLUIDO",IF(F112&lt;&gt;0,1,0),0)</f>
        <v>0</v>
      </c>
    </row>
    <row r="113" spans="1:22" ht="15" hidden="1" customHeight="1" x14ac:dyDescent="0.3">
      <c r="A113" s="34" t="s">
        <v>1233</v>
      </c>
      <c r="B113" s="36">
        <v>76</v>
      </c>
      <c r="C113" s="29" t="s">
        <v>1237</v>
      </c>
      <c r="D113" s="29" t="str">
        <f>$D$100</f>
        <v>INCLUIDO</v>
      </c>
      <c r="E113" s="27" t="s">
        <v>1186</v>
      </c>
      <c r="F113" s="20">
        <f>F112*S113</f>
        <v>0</v>
      </c>
      <c r="G113" s="21">
        <v>0</v>
      </c>
      <c r="H113" s="9">
        <f t="shared" ref="H113:H114" si="110">(IF(I113="$ Prima",G113,G113*F113/R113))*$U$9</f>
        <v>0</v>
      </c>
      <c r="I113" s="9" t="s">
        <v>1235</v>
      </c>
      <c r="J113" s="9">
        <f t="shared" ref="J113:J114" si="111">H113*$U$7</f>
        <v>0</v>
      </c>
      <c r="K113" s="9">
        <f t="shared" ref="K113:K114" si="112">(H113+J113)*$K$15</f>
        <v>0</v>
      </c>
      <c r="L113" s="9">
        <f t="shared" ref="L113:L114" si="113">ROUND(H113+J113+K113,2)</f>
        <v>0</v>
      </c>
      <c r="M113" s="11">
        <f>$M$112</f>
        <v>0</v>
      </c>
      <c r="N113" s="9">
        <f t="shared" ref="N113:N114" si="114">H113*M113</f>
        <v>0</v>
      </c>
      <c r="O113" s="12">
        <f t="shared" ref="O113:O114" si="115">N113</f>
        <v>0</v>
      </c>
      <c r="P113" s="13" t="str">
        <f t="shared" si="69"/>
        <v>NO</v>
      </c>
      <c r="Q113">
        <f>IF(D113="INCLUIDO",IF(F113&lt;&gt;0,1,0),0)</f>
        <v>0</v>
      </c>
      <c r="R113">
        <f>IF(I113="%o Al Millar",1000,IF(I113="% Al Porciento",100,IF(I113="$ Prima",G113)))</f>
        <v>100</v>
      </c>
      <c r="S113">
        <f t="shared" ref="S113:S114" si="116">IF(E113="Excluido",0,IF(D113="NO APLICA",0,1))</f>
        <v>0</v>
      </c>
    </row>
    <row r="114" spans="1:22" ht="15" hidden="1" customHeight="1" x14ac:dyDescent="0.3">
      <c r="A114" s="34" t="s">
        <v>1233</v>
      </c>
      <c r="B114" s="36"/>
      <c r="C114" s="81">
        <f>$O$12</f>
        <v>0</v>
      </c>
      <c r="D114" s="29" t="str">
        <f>$D$100</f>
        <v>INCLUIDO</v>
      </c>
      <c r="E114" s="27" t="str">
        <f>E113</f>
        <v>Excluido</v>
      </c>
      <c r="F114" s="9">
        <f>(F113*$O$12)*S114</f>
        <v>0</v>
      </c>
      <c r="G114" s="10">
        <f>G113*0.35</f>
        <v>0</v>
      </c>
      <c r="H114" s="9">
        <f t="shared" si="110"/>
        <v>0</v>
      </c>
      <c r="I114" s="9" t="s">
        <v>1235</v>
      </c>
      <c r="J114" s="9">
        <f t="shared" si="111"/>
        <v>0</v>
      </c>
      <c r="K114" s="9">
        <f t="shared" si="112"/>
        <v>0</v>
      </c>
      <c r="L114" s="9">
        <f t="shared" si="113"/>
        <v>0</v>
      </c>
      <c r="M114" s="11">
        <f>$M$112</f>
        <v>0</v>
      </c>
      <c r="N114" s="9">
        <f t="shared" si="114"/>
        <v>0</v>
      </c>
      <c r="O114" s="12">
        <f t="shared" si="115"/>
        <v>0</v>
      </c>
      <c r="P114" s="13" t="str">
        <f t="shared" si="69"/>
        <v>NO</v>
      </c>
      <c r="Q114">
        <f>IF(D114="INCLUIDO",IF(F114&lt;&gt;0,1,0),0)</f>
        <v>0</v>
      </c>
      <c r="R114">
        <f>IF(I114="%o Al Millar",1000,IF(I114="% Al Porciento",100,IF(I114="$ Prima",G114)))</f>
        <v>100</v>
      </c>
      <c r="S114">
        <f t="shared" si="116"/>
        <v>0</v>
      </c>
    </row>
    <row r="115" spans="1:22" s="18" customFormat="1" ht="15" hidden="1" customHeight="1" thickBot="1" x14ac:dyDescent="0.35">
      <c r="A115" s="24"/>
      <c r="B115" s="26"/>
      <c r="C115" s="15" t="s">
        <v>1177</v>
      </c>
      <c r="D115" s="38" t="str">
        <f>D114</f>
        <v>INCLUIDO</v>
      </c>
      <c r="E115" s="38"/>
      <c r="F115" s="16">
        <f>SUMIF(E113:E114,"Adicional",F113:F114)</f>
        <v>0</v>
      </c>
      <c r="G115" s="17"/>
      <c r="H115" s="16">
        <f>SUM(H113:H114)</f>
        <v>0</v>
      </c>
      <c r="I115" s="16"/>
      <c r="J115" s="16">
        <f t="shared" ref="J115:L115" si="117">SUM(J113:J114)</f>
        <v>0</v>
      </c>
      <c r="K115" s="16">
        <f t="shared" si="117"/>
        <v>0</v>
      </c>
      <c r="L115" s="16">
        <f t="shared" si="117"/>
        <v>0</v>
      </c>
      <c r="M115" s="16" t="s">
        <v>1178</v>
      </c>
      <c r="N115" s="16">
        <f t="shared" ref="N115:O115" si="118">SUM(N113:N114)</f>
        <v>0</v>
      </c>
      <c r="O115" s="84">
        <f t="shared" si="118"/>
        <v>0</v>
      </c>
      <c r="P115" s="13" t="str">
        <f t="shared" si="69"/>
        <v>NO</v>
      </c>
      <c r="Q115">
        <f>IF(D115="INCLUIDO",IF(H115&lt;&gt;0,1,0),0)</f>
        <v>0</v>
      </c>
    </row>
    <row r="116" spans="1:22" ht="15" hidden="1" thickBot="1" x14ac:dyDescent="0.35">
      <c r="A116" s="82">
        <v>905</v>
      </c>
      <c r="B116" s="33">
        <v>5</v>
      </c>
      <c r="C116" s="19" t="s">
        <v>1239</v>
      </c>
      <c r="D116" s="23" t="str">
        <f>$D$100</f>
        <v>INCLUIDO</v>
      </c>
      <c r="E116" s="91"/>
      <c r="F116" s="132">
        <v>0</v>
      </c>
      <c r="G116" s="132">
        <f>'COTIZACIÓN M.N.'!E85</f>
        <v>2.3275999999999999</v>
      </c>
      <c r="H116" s="28"/>
      <c r="I116" s="28"/>
      <c r="J116" s="28"/>
      <c r="K116" s="28"/>
      <c r="L116" s="28"/>
      <c r="M116" s="68">
        <v>5.8000000000000003E-2</v>
      </c>
      <c r="N116" s="28"/>
      <c r="O116" s="83"/>
      <c r="P116" s="13" t="str">
        <f t="shared" si="69"/>
        <v>NO</v>
      </c>
      <c r="Q116" s="48">
        <f t="shared" ref="Q116:Q121" si="119">IF(D116="INCLUIDO",IF(F116&lt;&gt;0,1,0),0)</f>
        <v>0</v>
      </c>
      <c r="T116" s="142">
        <f>G116</f>
        <v>2.3275999999999999</v>
      </c>
    </row>
    <row r="117" spans="1:22" hidden="1" x14ac:dyDescent="0.3">
      <c r="A117" s="34" t="s">
        <v>1233</v>
      </c>
      <c r="B117" s="36">
        <v>82</v>
      </c>
      <c r="C117" s="29" t="s">
        <v>1240</v>
      </c>
      <c r="D117" s="29" t="str">
        <f>$D$100</f>
        <v>INCLUIDO</v>
      </c>
      <c r="E117" s="27" t="s">
        <v>1152</v>
      </c>
      <c r="F117" s="20">
        <f>$F$116*S117</f>
        <v>0</v>
      </c>
      <c r="G117" s="21">
        <f>V117</f>
        <v>0</v>
      </c>
      <c r="H117" s="9">
        <f t="shared" ref="H117:H119" si="120">(((IF(I117="$ Prima",G117,G117*F117/R117))*$U$9)/365)*$J$15</f>
        <v>0</v>
      </c>
      <c r="I117" s="9" t="s">
        <v>1235</v>
      </c>
      <c r="J117" s="9">
        <f t="shared" ref="J117:J121" si="121">H117*$U$7</f>
        <v>0</v>
      </c>
      <c r="K117" s="9">
        <f t="shared" ref="K117:K121" si="122">(H117+J117)*$K$15</f>
        <v>0</v>
      </c>
      <c r="L117" s="9">
        <f t="shared" ref="L117:L121" si="123">ROUND(H117+J117+K117,2)</f>
        <v>0</v>
      </c>
      <c r="M117" s="11">
        <f>$M$116</f>
        <v>5.8000000000000003E-2</v>
      </c>
      <c r="N117" s="9">
        <f t="shared" ref="N117:N121" si="124">H117*M117</f>
        <v>0</v>
      </c>
      <c r="O117" s="12">
        <f t="shared" ref="O117:O121" si="125">N117</f>
        <v>0</v>
      </c>
      <c r="P117" s="13" t="str">
        <f t="shared" si="69"/>
        <v>NO</v>
      </c>
      <c r="Q117">
        <f t="shared" si="119"/>
        <v>0</v>
      </c>
      <c r="R117">
        <f>IF(I117="%o Al Millar",1000,IF(I117="% Al Porciento",100,IF(I117="$ Prima",G117)))</f>
        <v>100</v>
      </c>
      <c r="S117">
        <f t="shared" ref="S117:S121" si="126">IF(E117="Excluido",0,IF(D117="NO APLICA",0,1))</f>
        <v>1</v>
      </c>
      <c r="T117" s="110">
        <v>0.4</v>
      </c>
      <c r="U117" s="111">
        <f>IF(E117="Excluido",0,$T$116*T117)</f>
        <v>0.93103999999999998</v>
      </c>
      <c r="V117" s="111">
        <f>IF(F116=0,0,(U120-U118-U119)+(T116-U120))</f>
        <v>0</v>
      </c>
    </row>
    <row r="118" spans="1:22" hidden="1" x14ac:dyDescent="0.3">
      <c r="A118" s="34" t="s">
        <v>1233</v>
      </c>
      <c r="B118" s="36">
        <v>83</v>
      </c>
      <c r="C118" s="29" t="s">
        <v>1241</v>
      </c>
      <c r="D118" s="29" t="str">
        <f>$D$100</f>
        <v>INCLUIDO</v>
      </c>
      <c r="E118" s="27" t="s">
        <v>1137</v>
      </c>
      <c r="F118" s="20">
        <f>$F$117*S118</f>
        <v>0</v>
      </c>
      <c r="G118" s="21">
        <f t="shared" ref="G118:G119" si="127">V118</f>
        <v>0</v>
      </c>
      <c r="H118" s="9">
        <f t="shared" si="120"/>
        <v>0</v>
      </c>
      <c r="I118" s="9" t="str">
        <f>I117</f>
        <v>% Al Porciento</v>
      </c>
      <c r="J118" s="9">
        <f t="shared" si="121"/>
        <v>0</v>
      </c>
      <c r="K118" s="9">
        <f t="shared" si="122"/>
        <v>0</v>
      </c>
      <c r="L118" s="9">
        <f t="shared" si="123"/>
        <v>0</v>
      </c>
      <c r="M118" s="11">
        <f t="shared" ref="M118:M121" si="128">$M$116</f>
        <v>5.8000000000000003E-2</v>
      </c>
      <c r="N118" s="9">
        <f t="shared" si="124"/>
        <v>0</v>
      </c>
      <c r="O118" s="12">
        <f t="shared" si="125"/>
        <v>0</v>
      </c>
      <c r="P118" s="13" t="str">
        <f t="shared" si="69"/>
        <v>NO</v>
      </c>
      <c r="Q118">
        <f t="shared" si="119"/>
        <v>0</v>
      </c>
      <c r="R118">
        <f>IF(I118="%o Al Millar",1000,IF(I118="% Al Porciento",100,IF(I118="$ Prima",G118)))</f>
        <v>100</v>
      </c>
      <c r="S118">
        <f t="shared" si="126"/>
        <v>1</v>
      </c>
      <c r="T118" s="110">
        <v>0.4</v>
      </c>
      <c r="U118" s="111">
        <f t="shared" ref="U118:U119" si="129">IF(E118="Excluido",0,$T$116*T118)</f>
        <v>0.93103999999999998</v>
      </c>
      <c r="V118" s="111">
        <f>IF($F$116=0,0,U118)</f>
        <v>0</v>
      </c>
    </row>
    <row r="119" spans="1:22" hidden="1" x14ac:dyDescent="0.3">
      <c r="A119" s="34" t="s">
        <v>1233</v>
      </c>
      <c r="B119" s="36">
        <v>79</v>
      </c>
      <c r="C119" s="29" t="s">
        <v>1242</v>
      </c>
      <c r="D119" s="29" t="str">
        <f t="shared" ref="D119:D121" si="130">$D$100</f>
        <v>INCLUIDO</v>
      </c>
      <c r="E119" s="27" t="s">
        <v>1137</v>
      </c>
      <c r="F119" s="20">
        <f>$F$117*S119</f>
        <v>0</v>
      </c>
      <c r="G119" s="21">
        <f t="shared" si="127"/>
        <v>0</v>
      </c>
      <c r="H119" s="9">
        <f t="shared" si="120"/>
        <v>0</v>
      </c>
      <c r="I119" s="9" t="str">
        <f>I117</f>
        <v>% Al Porciento</v>
      </c>
      <c r="J119" s="9">
        <f t="shared" si="121"/>
        <v>0</v>
      </c>
      <c r="K119" s="9">
        <f t="shared" si="122"/>
        <v>0</v>
      </c>
      <c r="L119" s="9">
        <f t="shared" si="123"/>
        <v>0</v>
      </c>
      <c r="M119" s="11">
        <f t="shared" si="128"/>
        <v>5.8000000000000003E-2</v>
      </c>
      <c r="N119" s="9">
        <f t="shared" si="124"/>
        <v>0</v>
      </c>
      <c r="O119" s="12">
        <f t="shared" si="125"/>
        <v>0</v>
      </c>
      <c r="P119" s="13" t="str">
        <f t="shared" si="69"/>
        <v>NO</v>
      </c>
      <c r="Q119">
        <f t="shared" si="119"/>
        <v>0</v>
      </c>
      <c r="R119">
        <f>IF(I119="%o Al Millar",1000,IF(I119="% Al Porciento",100,IF(I119="$ Prima",G119)))</f>
        <v>100</v>
      </c>
      <c r="S119">
        <f t="shared" si="126"/>
        <v>1</v>
      </c>
      <c r="T119" s="110">
        <v>0.2</v>
      </c>
      <c r="U119" s="111">
        <f t="shared" si="129"/>
        <v>0.46551999999999999</v>
      </c>
      <c r="V119" s="111">
        <f>IF($F$116=0,0,U119)</f>
        <v>0</v>
      </c>
    </row>
    <row r="120" spans="1:22" ht="15" hidden="1" customHeight="1" thickBot="1" x14ac:dyDescent="0.35">
      <c r="A120" s="34" t="s">
        <v>1233</v>
      </c>
      <c r="B120" s="36">
        <v>80</v>
      </c>
      <c r="C120" s="29" t="s">
        <v>1243</v>
      </c>
      <c r="D120" s="29" t="str">
        <f t="shared" si="130"/>
        <v>INCLUIDO</v>
      </c>
      <c r="E120" s="27" t="s">
        <v>1186</v>
      </c>
      <c r="F120" s="43">
        <v>0</v>
      </c>
      <c r="G120" s="42">
        <v>0</v>
      </c>
      <c r="H120" s="9">
        <f t="shared" ref="H120:H121" si="131">(IF(I120="$ Prima",G120,G120*F120/R120))*$U$9</f>
        <v>0</v>
      </c>
      <c r="I120" s="9" t="s">
        <v>1235</v>
      </c>
      <c r="J120" s="9">
        <f t="shared" si="121"/>
        <v>0</v>
      </c>
      <c r="K120" s="9">
        <f t="shared" si="122"/>
        <v>0</v>
      </c>
      <c r="L120" s="9">
        <f t="shared" si="123"/>
        <v>0</v>
      </c>
      <c r="M120" s="11">
        <f t="shared" si="128"/>
        <v>5.8000000000000003E-2</v>
      </c>
      <c r="N120" s="9">
        <f t="shared" si="124"/>
        <v>0</v>
      </c>
      <c r="O120" s="12">
        <f t="shared" si="125"/>
        <v>0</v>
      </c>
      <c r="P120" s="13" t="str">
        <f t="shared" si="69"/>
        <v>NO</v>
      </c>
      <c r="Q120" s="48">
        <f t="shared" si="119"/>
        <v>0</v>
      </c>
      <c r="R120">
        <f>IF(I120="%o Al Millar",1000,IF(I120="% Al Porciento",100,IF(I120="$ Prima",G120)))</f>
        <v>100</v>
      </c>
      <c r="S120">
        <f t="shared" si="126"/>
        <v>0</v>
      </c>
      <c r="T120" s="143">
        <f>SUM(T117:T119)</f>
        <v>1</v>
      </c>
      <c r="U120" s="144">
        <f>SUM(U117:U119)</f>
        <v>2.3275999999999999</v>
      </c>
      <c r="V120" s="145">
        <f>SUM(V117:V119)</f>
        <v>0</v>
      </c>
    </row>
    <row r="121" spans="1:22" ht="15" hidden="1" customHeight="1" x14ac:dyDescent="0.3">
      <c r="A121" s="34" t="s">
        <v>1233</v>
      </c>
      <c r="B121" s="36">
        <v>78</v>
      </c>
      <c r="C121" s="29" t="s">
        <v>1244</v>
      </c>
      <c r="D121" s="29" t="str">
        <f t="shared" si="130"/>
        <v>INCLUIDO</v>
      </c>
      <c r="E121" s="27" t="s">
        <v>1186</v>
      </c>
      <c r="F121" s="43">
        <v>0</v>
      </c>
      <c r="G121" s="42">
        <v>0</v>
      </c>
      <c r="H121" s="9">
        <f t="shared" si="131"/>
        <v>0</v>
      </c>
      <c r="I121" s="9" t="s">
        <v>1235</v>
      </c>
      <c r="J121" s="9">
        <f t="shared" si="121"/>
        <v>0</v>
      </c>
      <c r="K121" s="9">
        <f t="shared" si="122"/>
        <v>0</v>
      </c>
      <c r="L121" s="9">
        <f t="shared" si="123"/>
        <v>0</v>
      </c>
      <c r="M121" s="11">
        <f t="shared" si="128"/>
        <v>5.8000000000000003E-2</v>
      </c>
      <c r="N121" s="9">
        <f t="shared" si="124"/>
        <v>0</v>
      </c>
      <c r="O121" s="12">
        <f t="shared" si="125"/>
        <v>0</v>
      </c>
      <c r="P121" s="13" t="str">
        <f t="shared" si="69"/>
        <v>NO</v>
      </c>
      <c r="Q121" s="48">
        <f t="shared" si="119"/>
        <v>0</v>
      </c>
      <c r="R121">
        <f>IF(I121="%o Al Millar",1000,IF(I121="% Al Porciento",100,IF(I121="$ Prima",G121)))</f>
        <v>100</v>
      </c>
      <c r="S121">
        <f t="shared" si="126"/>
        <v>0</v>
      </c>
    </row>
    <row r="122" spans="1:22" s="18" customFormat="1" hidden="1" x14ac:dyDescent="0.3">
      <c r="A122" s="24"/>
      <c r="B122" s="26"/>
      <c r="C122" s="15" t="s">
        <v>1177</v>
      </c>
      <c r="D122" s="38" t="str">
        <f>D121</f>
        <v>INCLUIDO</v>
      </c>
      <c r="E122" s="38"/>
      <c r="F122" s="16">
        <f>SUMIF(E117:E121,"Adicional",F117:F121)</f>
        <v>0</v>
      </c>
      <c r="G122" s="17"/>
      <c r="H122" s="16">
        <f>SUM(H117:H121)</f>
        <v>0</v>
      </c>
      <c r="I122" s="16"/>
      <c r="J122" s="16">
        <f t="shared" ref="J122:L122" si="132">SUM(J117:J121)</f>
        <v>0</v>
      </c>
      <c r="K122" s="16">
        <f t="shared" si="132"/>
        <v>0</v>
      </c>
      <c r="L122" s="16">
        <f t="shared" si="132"/>
        <v>0</v>
      </c>
      <c r="M122" s="16" t="s">
        <v>1178</v>
      </c>
      <c r="N122" s="16">
        <f t="shared" ref="N122:O122" si="133">SUM(N117:N121)</f>
        <v>0</v>
      </c>
      <c r="O122" s="84">
        <f t="shared" si="133"/>
        <v>0</v>
      </c>
      <c r="P122" s="13" t="str">
        <f t="shared" si="69"/>
        <v>NO</v>
      </c>
      <c r="Q122">
        <f>IF(D122="INCLUIDO",IF(H122&lt;&gt;0,1,0),0)</f>
        <v>0</v>
      </c>
    </row>
    <row r="123" spans="1:22" ht="15" hidden="1" thickBot="1" x14ac:dyDescent="0.35">
      <c r="A123" s="82">
        <v>905</v>
      </c>
      <c r="B123" s="33">
        <v>6</v>
      </c>
      <c r="C123" s="19" t="s">
        <v>1245</v>
      </c>
      <c r="D123" s="23" t="str">
        <f>$D$100</f>
        <v>INCLUIDO</v>
      </c>
      <c r="E123" s="91"/>
      <c r="F123" s="132">
        <v>0</v>
      </c>
      <c r="G123" s="132">
        <v>0</v>
      </c>
      <c r="H123" s="28"/>
      <c r="I123" s="28"/>
      <c r="J123" s="28"/>
      <c r="K123" s="28"/>
      <c r="L123" s="28"/>
      <c r="M123" s="68">
        <v>0</v>
      </c>
      <c r="N123" s="28"/>
      <c r="O123" s="83"/>
      <c r="P123" s="13" t="str">
        <f t="shared" si="69"/>
        <v>NO</v>
      </c>
      <c r="Q123" s="48">
        <f t="shared" ref="Q123:Q128" si="134">IF(D123="INCLUIDO",IF(F123&lt;&gt;0,1,0),0)</f>
        <v>0</v>
      </c>
      <c r="S123">
        <f t="shared" ref="S123:S128" si="135">IF(E123="Excluido",0,IF(D123="NO APLICA",0,1))</f>
        <v>1</v>
      </c>
      <c r="T123" s="142">
        <f>G123</f>
        <v>0</v>
      </c>
    </row>
    <row r="124" spans="1:22" ht="15" hidden="1" customHeight="1" x14ac:dyDescent="0.3">
      <c r="A124" s="34" t="s">
        <v>1233</v>
      </c>
      <c r="B124" s="36">
        <v>88</v>
      </c>
      <c r="C124" s="29" t="s">
        <v>1240</v>
      </c>
      <c r="D124" s="29" t="str">
        <f>$D$100</f>
        <v>INCLUIDO</v>
      </c>
      <c r="E124" s="27" t="s">
        <v>1186</v>
      </c>
      <c r="F124" s="20">
        <f>$F$123*S124</f>
        <v>0</v>
      </c>
      <c r="G124" s="21">
        <f>V124</f>
        <v>0</v>
      </c>
      <c r="H124" s="9">
        <f t="shared" ref="H124:H128" si="136">(IF(I124="$ Prima",G124,G124*F124/R124))*$U$9</f>
        <v>0</v>
      </c>
      <c r="I124" s="9" t="s">
        <v>1235</v>
      </c>
      <c r="J124" s="9">
        <f t="shared" ref="J124:J128" si="137">H124*$U$7</f>
        <v>0</v>
      </c>
      <c r="K124" s="9">
        <f t="shared" ref="K124:K128" si="138">(H124+J124)*$K$15</f>
        <v>0</v>
      </c>
      <c r="L124" s="9">
        <f t="shared" ref="L124:L128" si="139">ROUND(H124+J124+K124,2)</f>
        <v>0</v>
      </c>
      <c r="M124" s="11">
        <f>$M$123</f>
        <v>0</v>
      </c>
      <c r="N124" s="9">
        <f t="shared" ref="N124:N128" si="140">H124*M124</f>
        <v>0</v>
      </c>
      <c r="O124" s="12">
        <f t="shared" ref="O124:O128" si="141">N124</f>
        <v>0</v>
      </c>
      <c r="P124" s="13" t="str">
        <f t="shared" si="69"/>
        <v>NO</v>
      </c>
      <c r="Q124">
        <f t="shared" si="134"/>
        <v>0</v>
      </c>
      <c r="R124">
        <f>IF(I124="%o Al Millar",1000,IF(I124="% Al Porciento",100,IF(I124="$ Prima",G124)))</f>
        <v>100</v>
      </c>
      <c r="S124">
        <f t="shared" si="135"/>
        <v>0</v>
      </c>
      <c r="T124" s="110">
        <v>0.9</v>
      </c>
      <c r="U124" s="111">
        <f>IF(E124="Excluido",0,$T$123*T124)</f>
        <v>0</v>
      </c>
      <c r="V124" s="111">
        <f>IF(F123=0,0,(U127-U125-U126)+(T123-U127))</f>
        <v>0</v>
      </c>
    </row>
    <row r="125" spans="1:22" ht="15" hidden="1" customHeight="1" x14ac:dyDescent="0.3">
      <c r="A125" s="34" t="s">
        <v>1233</v>
      </c>
      <c r="B125" s="36">
        <v>89</v>
      </c>
      <c r="C125" s="29" t="s">
        <v>1241</v>
      </c>
      <c r="D125" s="29" t="str">
        <f>$D$100</f>
        <v>INCLUIDO</v>
      </c>
      <c r="E125" s="27" t="s">
        <v>1186</v>
      </c>
      <c r="F125" s="20">
        <f>$F$124*S125</f>
        <v>0</v>
      </c>
      <c r="G125" s="21">
        <f t="shared" ref="G125:G126" si="142">V125</f>
        <v>0</v>
      </c>
      <c r="H125" s="9">
        <f t="shared" si="136"/>
        <v>0</v>
      </c>
      <c r="I125" s="9" t="s">
        <v>1235</v>
      </c>
      <c r="J125" s="9">
        <f t="shared" si="137"/>
        <v>0</v>
      </c>
      <c r="K125" s="9">
        <f t="shared" si="138"/>
        <v>0</v>
      </c>
      <c r="L125" s="9">
        <f t="shared" si="139"/>
        <v>0</v>
      </c>
      <c r="M125" s="11">
        <f t="shared" ref="M125:M128" si="143">$M$123</f>
        <v>0</v>
      </c>
      <c r="N125" s="9">
        <f t="shared" si="140"/>
        <v>0</v>
      </c>
      <c r="O125" s="12">
        <f t="shared" si="141"/>
        <v>0</v>
      </c>
      <c r="P125" s="13" t="str">
        <f t="shared" si="69"/>
        <v>NO</v>
      </c>
      <c r="Q125">
        <f t="shared" si="134"/>
        <v>0</v>
      </c>
      <c r="R125">
        <f>IF(I125="%o Al Millar",1000,IF(I125="% Al Porciento",100,IF(I125="$ Prima",G125)))</f>
        <v>100</v>
      </c>
      <c r="S125">
        <f t="shared" si="135"/>
        <v>0</v>
      </c>
      <c r="T125" s="110">
        <v>0.05</v>
      </c>
      <c r="U125" s="111">
        <f t="shared" ref="U125:U126" si="144">IF(E125="Excluido",0,$T$123*T125)</f>
        <v>0</v>
      </c>
      <c r="V125" s="111">
        <f>IF($F$123=0,0,U125)</f>
        <v>0</v>
      </c>
    </row>
    <row r="126" spans="1:22" ht="15" hidden="1" customHeight="1" thickBot="1" x14ac:dyDescent="0.35">
      <c r="A126" s="34" t="s">
        <v>1233</v>
      </c>
      <c r="B126" s="36">
        <v>85</v>
      </c>
      <c r="C126" s="29" t="s">
        <v>1242</v>
      </c>
      <c r="D126" s="29" t="str">
        <f t="shared" ref="D126:D128" si="145">$D$100</f>
        <v>INCLUIDO</v>
      </c>
      <c r="E126" s="27" t="s">
        <v>1186</v>
      </c>
      <c r="F126" s="20">
        <f>$F$124*S126</f>
        <v>0</v>
      </c>
      <c r="G126" s="21">
        <f t="shared" si="142"/>
        <v>0</v>
      </c>
      <c r="H126" s="9">
        <f t="shared" si="136"/>
        <v>0</v>
      </c>
      <c r="I126" s="9" t="s">
        <v>1235</v>
      </c>
      <c r="J126" s="9">
        <f t="shared" si="137"/>
        <v>0</v>
      </c>
      <c r="K126" s="9">
        <f t="shared" si="138"/>
        <v>0</v>
      </c>
      <c r="L126" s="9">
        <f t="shared" si="139"/>
        <v>0</v>
      </c>
      <c r="M126" s="11">
        <f t="shared" si="143"/>
        <v>0</v>
      </c>
      <c r="N126" s="9">
        <f t="shared" si="140"/>
        <v>0</v>
      </c>
      <c r="O126" s="12">
        <f t="shared" si="141"/>
        <v>0</v>
      </c>
      <c r="P126" s="13" t="str">
        <f t="shared" si="69"/>
        <v>NO</v>
      </c>
      <c r="Q126">
        <f t="shared" si="134"/>
        <v>0</v>
      </c>
      <c r="R126">
        <f>IF(I126="%o Al Millar",1000,IF(I126="% Al Porciento",100,IF(I126="$ Prima",G126)))</f>
        <v>100</v>
      </c>
      <c r="S126">
        <f t="shared" si="135"/>
        <v>0</v>
      </c>
      <c r="T126" s="110">
        <v>0.05</v>
      </c>
      <c r="U126" s="111">
        <f t="shared" si="144"/>
        <v>0</v>
      </c>
      <c r="V126" s="111">
        <f>IF($F$123=0,0,U126)</f>
        <v>0</v>
      </c>
    </row>
    <row r="127" spans="1:22" ht="15" hidden="1" customHeight="1" thickBot="1" x14ac:dyDescent="0.35">
      <c r="A127" s="34" t="s">
        <v>1233</v>
      </c>
      <c r="B127" s="36">
        <v>86</v>
      </c>
      <c r="C127" s="29" t="s">
        <v>1243</v>
      </c>
      <c r="D127" s="29" t="str">
        <f t="shared" si="145"/>
        <v>INCLUIDO</v>
      </c>
      <c r="E127" s="27" t="s">
        <v>1186</v>
      </c>
      <c r="F127" s="43">
        <v>0</v>
      </c>
      <c r="G127" s="113">
        <v>0</v>
      </c>
      <c r="H127" s="9">
        <f t="shared" si="136"/>
        <v>0</v>
      </c>
      <c r="I127" s="9" t="s">
        <v>1235</v>
      </c>
      <c r="J127" s="9">
        <f t="shared" si="137"/>
        <v>0</v>
      </c>
      <c r="K127" s="9">
        <f t="shared" si="138"/>
        <v>0</v>
      </c>
      <c r="L127" s="9">
        <f t="shared" si="139"/>
        <v>0</v>
      </c>
      <c r="M127" s="11">
        <f t="shared" si="143"/>
        <v>0</v>
      </c>
      <c r="N127" s="9">
        <f t="shared" si="140"/>
        <v>0</v>
      </c>
      <c r="O127" s="12">
        <f t="shared" si="141"/>
        <v>0</v>
      </c>
      <c r="P127" s="13" t="str">
        <f t="shared" si="69"/>
        <v>NO</v>
      </c>
      <c r="Q127" s="48">
        <f t="shared" si="134"/>
        <v>0</v>
      </c>
      <c r="R127">
        <f>IF(I127="%o Al Millar",1000,IF(I127="% Al Porciento",100,IF(I127="$ Prima",G127)))</f>
        <v>100</v>
      </c>
      <c r="S127">
        <f t="shared" si="135"/>
        <v>0</v>
      </c>
      <c r="T127" s="143">
        <f>SUM(T124:T126)</f>
        <v>1</v>
      </c>
      <c r="U127" s="144">
        <f>SUM(U124:U126)</f>
        <v>0</v>
      </c>
      <c r="V127" s="145">
        <f>SUM(V124:V126)</f>
        <v>0</v>
      </c>
    </row>
    <row r="128" spans="1:22" ht="15" hidden="1" customHeight="1" x14ac:dyDescent="0.3">
      <c r="A128" s="34" t="s">
        <v>1233</v>
      </c>
      <c r="B128" s="36">
        <v>84</v>
      </c>
      <c r="C128" s="29" t="s">
        <v>1244</v>
      </c>
      <c r="D128" s="29" t="str">
        <f t="shared" si="145"/>
        <v>INCLUIDO</v>
      </c>
      <c r="E128" s="27" t="s">
        <v>1186</v>
      </c>
      <c r="F128" s="43">
        <v>0</v>
      </c>
      <c r="G128" s="113">
        <v>0</v>
      </c>
      <c r="H128" s="9">
        <f t="shared" si="136"/>
        <v>0</v>
      </c>
      <c r="I128" s="9" t="s">
        <v>1235</v>
      </c>
      <c r="J128" s="9">
        <f t="shared" si="137"/>
        <v>0</v>
      </c>
      <c r="K128" s="9">
        <f t="shared" si="138"/>
        <v>0</v>
      </c>
      <c r="L128" s="9">
        <f t="shared" si="139"/>
        <v>0</v>
      </c>
      <c r="M128" s="11">
        <f t="shared" si="143"/>
        <v>0</v>
      </c>
      <c r="N128" s="9">
        <f t="shared" si="140"/>
        <v>0</v>
      </c>
      <c r="O128" s="12">
        <f t="shared" si="141"/>
        <v>0</v>
      </c>
      <c r="P128" s="13" t="str">
        <f t="shared" si="69"/>
        <v>NO</v>
      </c>
      <c r="Q128" s="48">
        <f t="shared" si="134"/>
        <v>0</v>
      </c>
      <c r="R128">
        <f>IF(I128="%o Al Millar",1000,IF(I128="% Al Porciento",100,IF(I128="$ Prima",G128)))</f>
        <v>100</v>
      </c>
      <c r="S128">
        <f t="shared" si="135"/>
        <v>0</v>
      </c>
    </row>
    <row r="129" spans="1:19" s="18" customFormat="1" ht="15" hidden="1" customHeight="1" x14ac:dyDescent="0.3">
      <c r="A129" s="24"/>
      <c r="B129" s="26"/>
      <c r="C129" s="15" t="s">
        <v>1177</v>
      </c>
      <c r="D129" s="38" t="str">
        <f>D128</f>
        <v>INCLUIDO</v>
      </c>
      <c r="E129" s="38"/>
      <c r="F129" s="16">
        <f>SUMIF(E124:E128,"Adicional",F124:F128)</f>
        <v>0</v>
      </c>
      <c r="G129" s="17"/>
      <c r="H129" s="16">
        <f>SUM(H124:H128)</f>
        <v>0</v>
      </c>
      <c r="I129" s="16"/>
      <c r="J129" s="16">
        <f t="shared" ref="J129:L129" si="146">SUM(J124:J128)</f>
        <v>0</v>
      </c>
      <c r="K129" s="16">
        <f t="shared" si="146"/>
        <v>0</v>
      </c>
      <c r="L129" s="16">
        <f t="shared" si="146"/>
        <v>0</v>
      </c>
      <c r="M129" s="16" t="s">
        <v>1178</v>
      </c>
      <c r="N129" s="16">
        <f t="shared" ref="N129:O129" si="147">SUM(N124:N128)</f>
        <v>0</v>
      </c>
      <c r="O129" s="84">
        <f t="shared" si="147"/>
        <v>0</v>
      </c>
      <c r="P129" s="13" t="str">
        <f t="shared" si="69"/>
        <v>NO</v>
      </c>
      <c r="Q129">
        <f>IF(D129="INCLUIDO",IF(H129&lt;&gt;0,1,0),0)</f>
        <v>0</v>
      </c>
    </row>
    <row r="130" spans="1:19" hidden="1" x14ac:dyDescent="0.3">
      <c r="A130" s="82">
        <v>905</v>
      </c>
      <c r="B130" s="33">
        <v>7</v>
      </c>
      <c r="C130" s="19" t="s">
        <v>1246</v>
      </c>
      <c r="D130" s="23" t="str">
        <f>$D$100</f>
        <v>INCLUIDO</v>
      </c>
      <c r="E130" s="91"/>
      <c r="F130" s="208">
        <v>0</v>
      </c>
      <c r="G130" s="28">
        <f>'COTIZACIÓN M.N.'!E88</f>
        <v>12</v>
      </c>
      <c r="H130" s="28"/>
      <c r="I130" s="28"/>
      <c r="J130" s="28"/>
      <c r="K130" s="28"/>
      <c r="L130" s="28"/>
      <c r="M130" s="68">
        <v>5.8000000000000003E-2</v>
      </c>
      <c r="N130" s="28"/>
      <c r="O130" s="83"/>
      <c r="P130" s="13" t="str">
        <f t="shared" si="69"/>
        <v>NO</v>
      </c>
      <c r="Q130" s="47">
        <f>IF(D130="INCLUIDO",IF(F131&lt;&gt;0,1,0),0)</f>
        <v>0</v>
      </c>
    </row>
    <row r="131" spans="1:19" hidden="1" x14ac:dyDescent="0.3">
      <c r="A131" s="34" t="s">
        <v>1233</v>
      </c>
      <c r="B131" s="36">
        <v>92</v>
      </c>
      <c r="C131" s="29" t="s">
        <v>1247</v>
      </c>
      <c r="D131" s="29" t="str">
        <f>$D$100</f>
        <v>INCLUIDO</v>
      </c>
      <c r="E131" s="27" t="s">
        <v>1152</v>
      </c>
      <c r="F131" s="43">
        <f>F130</f>
        <v>0</v>
      </c>
      <c r="G131" s="43">
        <f>G130</f>
        <v>12</v>
      </c>
      <c r="H131" s="9">
        <f>(((IF(I131="$ Prima",G131,G131*F131/R131))*$U$9)/365)*$J$15</f>
        <v>0</v>
      </c>
      <c r="I131" s="9" t="s">
        <v>1235</v>
      </c>
      <c r="J131" s="9">
        <f t="shared" ref="J131:J136" si="148">H131*$U$7</f>
        <v>0</v>
      </c>
      <c r="K131" s="9">
        <f t="shared" ref="K131:K136" si="149">(H131+J131)*$K$15</f>
        <v>0</v>
      </c>
      <c r="L131" s="9">
        <f t="shared" ref="L131:L136" si="150">ROUND(H131+J131+K131,2)</f>
        <v>0</v>
      </c>
      <c r="M131" s="11">
        <f>$M$130</f>
        <v>5.8000000000000003E-2</v>
      </c>
      <c r="N131" s="9">
        <f t="shared" ref="N131:N136" si="151">H131*M131</f>
        <v>0</v>
      </c>
      <c r="O131" s="12">
        <f t="shared" ref="O131:O136" si="152">N131</f>
        <v>0</v>
      </c>
      <c r="P131" s="13" t="str">
        <f t="shared" si="69"/>
        <v>NO</v>
      </c>
      <c r="Q131" s="48">
        <f t="shared" ref="Q131:Q136" si="153">IF(D131="INCLUIDO",IF(F131&lt;&gt;0,1,0),0)</f>
        <v>0</v>
      </c>
      <c r="R131">
        <f t="shared" ref="R131:R136" si="154">IF(I131="%o Al Millar",1000,IF(I131="% Al Porciento",100,IF(I131="$ Prima",G131)))</f>
        <v>100</v>
      </c>
      <c r="S131">
        <f t="shared" ref="S131:S136" si="155">IF(E131="Excluido",0,IF(D131="NO APLICA",0,1))</f>
        <v>1</v>
      </c>
    </row>
    <row r="132" spans="1:19" ht="15" hidden="1" customHeight="1" x14ac:dyDescent="0.3">
      <c r="A132" s="34" t="s">
        <v>1233</v>
      </c>
      <c r="B132" s="36">
        <v>91</v>
      </c>
      <c r="C132" s="29" t="s">
        <v>1248</v>
      </c>
      <c r="D132" s="29" t="str">
        <f>$D$100</f>
        <v>INCLUIDO</v>
      </c>
      <c r="E132" s="27" t="s">
        <v>1186</v>
      </c>
      <c r="F132" s="43">
        <v>0</v>
      </c>
      <c r="G132" s="42">
        <v>0</v>
      </c>
      <c r="H132" s="9">
        <f t="shared" ref="H132:H136" si="156">(IF(I132="$ Prima",G132,G132*F132/R132))*$U$9</f>
        <v>0</v>
      </c>
      <c r="I132" s="9" t="s">
        <v>1235</v>
      </c>
      <c r="J132" s="9">
        <f t="shared" si="148"/>
        <v>0</v>
      </c>
      <c r="K132" s="9">
        <f t="shared" si="149"/>
        <v>0</v>
      </c>
      <c r="L132" s="9">
        <f t="shared" si="150"/>
        <v>0</v>
      </c>
      <c r="M132" s="11">
        <f t="shared" ref="M132:M136" si="157">$M$130</f>
        <v>5.8000000000000003E-2</v>
      </c>
      <c r="N132" s="9">
        <f t="shared" si="151"/>
        <v>0</v>
      </c>
      <c r="O132" s="12">
        <f t="shared" si="152"/>
        <v>0</v>
      </c>
      <c r="P132" s="13" t="str">
        <f t="shared" si="69"/>
        <v>NO</v>
      </c>
      <c r="Q132" s="48">
        <f t="shared" si="153"/>
        <v>0</v>
      </c>
      <c r="R132">
        <f t="shared" si="154"/>
        <v>100</v>
      </c>
      <c r="S132">
        <f t="shared" si="155"/>
        <v>0</v>
      </c>
    </row>
    <row r="133" spans="1:19" ht="15" hidden="1" customHeight="1" x14ac:dyDescent="0.3">
      <c r="A133" s="34" t="s">
        <v>1233</v>
      </c>
      <c r="B133" s="36">
        <v>96</v>
      </c>
      <c r="C133" s="29" t="s">
        <v>1249</v>
      </c>
      <c r="D133" s="29" t="str">
        <f t="shared" ref="D133:D136" si="158">$D$100</f>
        <v>INCLUIDO</v>
      </c>
      <c r="E133" s="27" t="s">
        <v>1186</v>
      </c>
      <c r="F133" s="43">
        <v>0</v>
      </c>
      <c r="G133" s="42">
        <v>0</v>
      </c>
      <c r="H133" s="9">
        <f t="shared" si="156"/>
        <v>0</v>
      </c>
      <c r="I133" s="9" t="s">
        <v>1235</v>
      </c>
      <c r="J133" s="9">
        <f t="shared" si="148"/>
        <v>0</v>
      </c>
      <c r="K133" s="9">
        <f t="shared" si="149"/>
        <v>0</v>
      </c>
      <c r="L133" s="9">
        <f t="shared" si="150"/>
        <v>0</v>
      </c>
      <c r="M133" s="11">
        <f t="shared" si="157"/>
        <v>5.8000000000000003E-2</v>
      </c>
      <c r="N133" s="9">
        <f t="shared" si="151"/>
        <v>0</v>
      </c>
      <c r="O133" s="12">
        <f t="shared" si="152"/>
        <v>0</v>
      </c>
      <c r="P133" s="13" t="str">
        <f t="shared" si="69"/>
        <v>NO</v>
      </c>
      <c r="Q133" s="48">
        <f t="shared" si="153"/>
        <v>0</v>
      </c>
      <c r="R133">
        <f t="shared" si="154"/>
        <v>100</v>
      </c>
      <c r="S133">
        <f t="shared" si="155"/>
        <v>0</v>
      </c>
    </row>
    <row r="134" spans="1:19" ht="22.5" hidden="1" customHeight="1" x14ac:dyDescent="0.3">
      <c r="A134" s="34" t="s">
        <v>1233</v>
      </c>
      <c r="B134" s="36">
        <v>94</v>
      </c>
      <c r="C134" s="29" t="s">
        <v>1250</v>
      </c>
      <c r="D134" s="29" t="str">
        <f t="shared" si="158"/>
        <v>INCLUIDO</v>
      </c>
      <c r="E134" s="27" t="s">
        <v>1186</v>
      </c>
      <c r="F134" s="43">
        <v>0</v>
      </c>
      <c r="G134" s="42">
        <v>0</v>
      </c>
      <c r="H134" s="9">
        <f t="shared" si="156"/>
        <v>0</v>
      </c>
      <c r="I134" s="9" t="s">
        <v>1235</v>
      </c>
      <c r="J134" s="9">
        <f t="shared" si="148"/>
        <v>0</v>
      </c>
      <c r="K134" s="9">
        <f t="shared" si="149"/>
        <v>0</v>
      </c>
      <c r="L134" s="9">
        <f t="shared" si="150"/>
        <v>0</v>
      </c>
      <c r="M134" s="11">
        <f t="shared" si="157"/>
        <v>5.8000000000000003E-2</v>
      </c>
      <c r="N134" s="9">
        <f t="shared" si="151"/>
        <v>0</v>
      </c>
      <c r="O134" s="12">
        <f t="shared" si="152"/>
        <v>0</v>
      </c>
      <c r="P134" s="13" t="str">
        <f t="shared" si="69"/>
        <v>NO</v>
      </c>
      <c r="Q134" s="48">
        <f t="shared" si="153"/>
        <v>0</v>
      </c>
      <c r="R134">
        <f t="shared" si="154"/>
        <v>100</v>
      </c>
      <c r="S134">
        <f t="shared" si="155"/>
        <v>0</v>
      </c>
    </row>
    <row r="135" spans="1:19" ht="15" hidden="1" customHeight="1" x14ac:dyDescent="0.3">
      <c r="A135" s="34" t="s">
        <v>1233</v>
      </c>
      <c r="B135" s="36">
        <v>93</v>
      </c>
      <c r="C135" s="29" t="s">
        <v>1251</v>
      </c>
      <c r="D135" s="29" t="str">
        <f t="shared" si="158"/>
        <v>INCLUIDO</v>
      </c>
      <c r="E135" s="27" t="s">
        <v>1186</v>
      </c>
      <c r="F135" s="43">
        <v>0</v>
      </c>
      <c r="G135" s="42">
        <v>0</v>
      </c>
      <c r="H135" s="9">
        <f t="shared" si="156"/>
        <v>0</v>
      </c>
      <c r="I135" s="9" t="s">
        <v>1235</v>
      </c>
      <c r="J135" s="9">
        <f t="shared" si="148"/>
        <v>0</v>
      </c>
      <c r="K135" s="9">
        <f t="shared" si="149"/>
        <v>0</v>
      </c>
      <c r="L135" s="9">
        <f t="shared" si="150"/>
        <v>0</v>
      </c>
      <c r="M135" s="11">
        <f t="shared" si="157"/>
        <v>5.8000000000000003E-2</v>
      </c>
      <c r="N135" s="9">
        <f t="shared" si="151"/>
        <v>0</v>
      </c>
      <c r="O135" s="12">
        <f t="shared" si="152"/>
        <v>0</v>
      </c>
      <c r="P135" s="13" t="str">
        <f t="shared" si="69"/>
        <v>NO</v>
      </c>
      <c r="Q135" s="48">
        <f t="shared" si="153"/>
        <v>0</v>
      </c>
      <c r="R135">
        <f t="shared" si="154"/>
        <v>100</v>
      </c>
      <c r="S135">
        <f t="shared" si="155"/>
        <v>0</v>
      </c>
    </row>
    <row r="136" spans="1:19" ht="15" hidden="1" customHeight="1" x14ac:dyDescent="0.3">
      <c r="A136" s="34" t="s">
        <v>1233</v>
      </c>
      <c r="B136" s="36">
        <v>95</v>
      </c>
      <c r="C136" s="29" t="s">
        <v>1252</v>
      </c>
      <c r="D136" s="29" t="str">
        <f t="shared" si="158"/>
        <v>INCLUIDO</v>
      </c>
      <c r="E136" s="27" t="s">
        <v>1186</v>
      </c>
      <c r="F136" s="43">
        <v>0</v>
      </c>
      <c r="G136" s="42">
        <v>0</v>
      </c>
      <c r="H136" s="9">
        <f t="shared" si="156"/>
        <v>0</v>
      </c>
      <c r="I136" s="9" t="s">
        <v>1235</v>
      </c>
      <c r="J136" s="9">
        <f t="shared" si="148"/>
        <v>0</v>
      </c>
      <c r="K136" s="9">
        <f t="shared" si="149"/>
        <v>0</v>
      </c>
      <c r="L136" s="9">
        <f t="shared" si="150"/>
        <v>0</v>
      </c>
      <c r="M136" s="11">
        <f t="shared" si="157"/>
        <v>5.8000000000000003E-2</v>
      </c>
      <c r="N136" s="9">
        <f t="shared" si="151"/>
        <v>0</v>
      </c>
      <c r="O136" s="12">
        <f t="shared" si="152"/>
        <v>0</v>
      </c>
      <c r="P136" s="13" t="str">
        <f t="shared" si="69"/>
        <v>NO</v>
      </c>
      <c r="Q136" s="48">
        <f t="shared" si="153"/>
        <v>0</v>
      </c>
      <c r="R136">
        <f t="shared" si="154"/>
        <v>100</v>
      </c>
      <c r="S136">
        <f t="shared" si="155"/>
        <v>0</v>
      </c>
    </row>
    <row r="137" spans="1:19" s="18" customFormat="1" hidden="1" x14ac:dyDescent="0.3">
      <c r="A137" s="24"/>
      <c r="B137" s="26"/>
      <c r="C137" s="15" t="s">
        <v>1177</v>
      </c>
      <c r="D137" s="38" t="str">
        <f>D136</f>
        <v>INCLUIDO</v>
      </c>
      <c r="E137" s="38"/>
      <c r="F137" s="16">
        <f>SUMIF(E131:E136,"Adicional",F131:F136)</f>
        <v>0</v>
      </c>
      <c r="G137" s="17"/>
      <c r="H137" s="16">
        <f>SUM(H131:H136)</f>
        <v>0</v>
      </c>
      <c r="I137" s="16"/>
      <c r="J137" s="16">
        <f t="shared" ref="J137:L137" si="159">SUM(J131:J136)</f>
        <v>0</v>
      </c>
      <c r="K137" s="16">
        <f t="shared" si="159"/>
        <v>0</v>
      </c>
      <c r="L137" s="16">
        <f t="shared" si="159"/>
        <v>0</v>
      </c>
      <c r="M137" s="16" t="s">
        <v>1178</v>
      </c>
      <c r="N137" s="16">
        <f t="shared" ref="N137:O137" si="160">SUM(N131:N136)</f>
        <v>0</v>
      </c>
      <c r="O137" s="84">
        <f t="shared" si="160"/>
        <v>0</v>
      </c>
      <c r="P137" s="13" t="str">
        <f t="shared" si="69"/>
        <v>NO</v>
      </c>
      <c r="Q137">
        <f>IF(D137="INCLUIDO",IF(H137&lt;&gt;0,1,0),0)</f>
        <v>0</v>
      </c>
    </row>
    <row r="138" spans="1:19" ht="15" hidden="1" customHeight="1" x14ac:dyDescent="0.3">
      <c r="A138" s="82">
        <v>905</v>
      </c>
      <c r="B138" s="33">
        <v>8</v>
      </c>
      <c r="C138" s="19" t="s">
        <v>1253</v>
      </c>
      <c r="D138" s="23" t="str">
        <f>$D$100</f>
        <v>INCLUIDO</v>
      </c>
      <c r="E138" s="91"/>
      <c r="F138" s="28"/>
      <c r="G138" s="28"/>
      <c r="H138" s="28"/>
      <c r="I138" s="28"/>
      <c r="J138" s="28"/>
      <c r="K138" s="28"/>
      <c r="L138" s="28"/>
      <c r="M138" s="68">
        <v>0</v>
      </c>
      <c r="N138" s="28"/>
      <c r="O138" s="83"/>
      <c r="P138" s="13" t="str">
        <f t="shared" si="69"/>
        <v>NO</v>
      </c>
      <c r="Q138" s="47">
        <f>IF(D138="INCLUIDO",IF(F139&lt;&gt;0,1,0),0)</f>
        <v>0</v>
      </c>
    </row>
    <row r="139" spans="1:19" ht="15" hidden="1" customHeight="1" x14ac:dyDescent="0.3">
      <c r="A139" s="34" t="s">
        <v>1233</v>
      </c>
      <c r="B139" s="36">
        <v>99</v>
      </c>
      <c r="C139" s="29" t="s">
        <v>1247</v>
      </c>
      <c r="D139" s="29" t="str">
        <f>$D$100</f>
        <v>INCLUIDO</v>
      </c>
      <c r="E139" s="27" t="s">
        <v>1186</v>
      </c>
      <c r="F139" s="43">
        <v>0</v>
      </c>
      <c r="G139" s="43">
        <v>0</v>
      </c>
      <c r="H139" s="9">
        <f t="shared" ref="H139:H144" si="161">(IF(I139="$ Prima",G139,G139*F139/R139))*$U$9</f>
        <v>0</v>
      </c>
      <c r="I139" s="9" t="s">
        <v>1235</v>
      </c>
      <c r="J139" s="9">
        <f t="shared" ref="J139:J144" si="162">H139*$U$7</f>
        <v>0</v>
      </c>
      <c r="K139" s="9">
        <f t="shared" ref="K139:K144" si="163">(H139+J139)*$K$15</f>
        <v>0</v>
      </c>
      <c r="L139" s="9">
        <f t="shared" ref="L139:L144" si="164">ROUND(H139+J139+K139,2)</f>
        <v>0</v>
      </c>
      <c r="M139" s="11">
        <f>$M$138</f>
        <v>0</v>
      </c>
      <c r="N139" s="9">
        <f t="shared" ref="N139:N144" si="165">H139*M139</f>
        <v>0</v>
      </c>
      <c r="O139" s="12">
        <f t="shared" ref="O139:O144" si="166">N139</f>
        <v>0</v>
      </c>
      <c r="P139" s="13" t="str">
        <f t="shared" si="69"/>
        <v>NO</v>
      </c>
      <c r="Q139" s="48">
        <f t="shared" ref="Q139:Q144" si="167">IF(D139="INCLUIDO",IF(F139&lt;&gt;0,1,0),0)</f>
        <v>0</v>
      </c>
      <c r="R139">
        <f t="shared" ref="R139:R144" si="168">IF(I139="%o Al Millar",1000,IF(I139="% Al Porciento",100,IF(I139="$ Prima",G139)))</f>
        <v>100</v>
      </c>
      <c r="S139">
        <f t="shared" ref="S139:S144" si="169">IF(E139="Excluido",0,IF(D139="NO APLICA",0,1))</f>
        <v>0</v>
      </c>
    </row>
    <row r="140" spans="1:19" ht="15" hidden="1" customHeight="1" x14ac:dyDescent="0.3">
      <c r="A140" s="34" t="s">
        <v>1233</v>
      </c>
      <c r="B140" s="36">
        <v>98</v>
      </c>
      <c r="C140" s="29" t="s">
        <v>1248</v>
      </c>
      <c r="D140" s="29" t="str">
        <f>$D$100</f>
        <v>INCLUIDO</v>
      </c>
      <c r="E140" s="27" t="s">
        <v>1186</v>
      </c>
      <c r="F140" s="43">
        <v>0</v>
      </c>
      <c r="G140" s="42">
        <v>0</v>
      </c>
      <c r="H140" s="9">
        <f t="shared" si="161"/>
        <v>0</v>
      </c>
      <c r="I140" s="9" t="s">
        <v>1235</v>
      </c>
      <c r="J140" s="9">
        <f t="shared" si="162"/>
        <v>0</v>
      </c>
      <c r="K140" s="9">
        <f t="shared" si="163"/>
        <v>0</v>
      </c>
      <c r="L140" s="9">
        <f t="shared" si="164"/>
        <v>0</v>
      </c>
      <c r="M140" s="11">
        <f t="shared" ref="M140:M144" si="170">$M$138</f>
        <v>0</v>
      </c>
      <c r="N140" s="9">
        <f t="shared" si="165"/>
        <v>0</v>
      </c>
      <c r="O140" s="12">
        <f t="shared" si="166"/>
        <v>0</v>
      </c>
      <c r="P140" s="13" t="str">
        <f t="shared" si="69"/>
        <v>NO</v>
      </c>
      <c r="Q140" s="48">
        <f t="shared" si="167"/>
        <v>0</v>
      </c>
      <c r="R140">
        <f t="shared" si="168"/>
        <v>100</v>
      </c>
      <c r="S140">
        <f t="shared" si="169"/>
        <v>0</v>
      </c>
    </row>
    <row r="141" spans="1:19" ht="15" hidden="1" customHeight="1" x14ac:dyDescent="0.3">
      <c r="A141" s="34" t="s">
        <v>1233</v>
      </c>
      <c r="B141" s="36">
        <v>103</v>
      </c>
      <c r="C141" s="29" t="s">
        <v>1249</v>
      </c>
      <c r="D141" s="29" t="str">
        <f t="shared" ref="D141:D144" si="171">$D$100</f>
        <v>INCLUIDO</v>
      </c>
      <c r="E141" s="27" t="s">
        <v>1186</v>
      </c>
      <c r="F141" s="43">
        <v>0</v>
      </c>
      <c r="G141" s="42">
        <v>0</v>
      </c>
      <c r="H141" s="9">
        <f t="shared" si="161"/>
        <v>0</v>
      </c>
      <c r="I141" s="9" t="s">
        <v>1235</v>
      </c>
      <c r="J141" s="9">
        <f t="shared" si="162"/>
        <v>0</v>
      </c>
      <c r="K141" s="9">
        <f t="shared" si="163"/>
        <v>0</v>
      </c>
      <c r="L141" s="9">
        <f t="shared" si="164"/>
        <v>0</v>
      </c>
      <c r="M141" s="11">
        <f t="shared" si="170"/>
        <v>0</v>
      </c>
      <c r="N141" s="9">
        <f t="shared" si="165"/>
        <v>0</v>
      </c>
      <c r="O141" s="12">
        <f t="shared" si="166"/>
        <v>0</v>
      </c>
      <c r="P141" s="13" t="str">
        <f t="shared" si="69"/>
        <v>NO</v>
      </c>
      <c r="Q141" s="48">
        <f t="shared" si="167"/>
        <v>0</v>
      </c>
      <c r="R141">
        <f t="shared" si="168"/>
        <v>100</v>
      </c>
      <c r="S141">
        <f t="shared" si="169"/>
        <v>0</v>
      </c>
    </row>
    <row r="142" spans="1:19" ht="22.5" hidden="1" customHeight="1" x14ac:dyDescent="0.3">
      <c r="A142" s="34" t="s">
        <v>1233</v>
      </c>
      <c r="B142" s="36">
        <v>101</v>
      </c>
      <c r="C142" s="29" t="s">
        <v>1250</v>
      </c>
      <c r="D142" s="29" t="str">
        <f t="shared" si="171"/>
        <v>INCLUIDO</v>
      </c>
      <c r="E142" s="27" t="s">
        <v>1186</v>
      </c>
      <c r="F142" s="43">
        <v>0</v>
      </c>
      <c r="G142" s="42">
        <v>0</v>
      </c>
      <c r="H142" s="9">
        <f t="shared" si="161"/>
        <v>0</v>
      </c>
      <c r="I142" s="9" t="s">
        <v>1235</v>
      </c>
      <c r="J142" s="9">
        <f t="shared" si="162"/>
        <v>0</v>
      </c>
      <c r="K142" s="9">
        <f t="shared" si="163"/>
        <v>0</v>
      </c>
      <c r="L142" s="9">
        <f t="shared" si="164"/>
        <v>0</v>
      </c>
      <c r="M142" s="11">
        <f t="shared" si="170"/>
        <v>0</v>
      </c>
      <c r="N142" s="9">
        <f t="shared" si="165"/>
        <v>0</v>
      </c>
      <c r="O142" s="12">
        <f t="shared" si="166"/>
        <v>0</v>
      </c>
      <c r="P142" s="13" t="str">
        <f t="shared" si="69"/>
        <v>NO</v>
      </c>
      <c r="Q142" s="48">
        <f t="shared" si="167"/>
        <v>0</v>
      </c>
      <c r="R142">
        <f t="shared" si="168"/>
        <v>100</v>
      </c>
      <c r="S142">
        <f t="shared" si="169"/>
        <v>0</v>
      </c>
    </row>
    <row r="143" spans="1:19" ht="15" hidden="1" customHeight="1" x14ac:dyDescent="0.3">
      <c r="A143" s="34" t="s">
        <v>1233</v>
      </c>
      <c r="B143" s="36">
        <v>102</v>
      </c>
      <c r="C143" s="29" t="s">
        <v>1252</v>
      </c>
      <c r="D143" s="29" t="str">
        <f t="shared" si="171"/>
        <v>INCLUIDO</v>
      </c>
      <c r="E143" s="27" t="s">
        <v>1186</v>
      </c>
      <c r="F143" s="43">
        <v>0</v>
      </c>
      <c r="G143" s="42">
        <v>0</v>
      </c>
      <c r="H143" s="9">
        <f t="shared" si="161"/>
        <v>0</v>
      </c>
      <c r="I143" s="9" t="s">
        <v>1235</v>
      </c>
      <c r="J143" s="9">
        <f t="shared" si="162"/>
        <v>0</v>
      </c>
      <c r="K143" s="9">
        <f t="shared" si="163"/>
        <v>0</v>
      </c>
      <c r="L143" s="9">
        <f t="shared" si="164"/>
        <v>0</v>
      </c>
      <c r="M143" s="11">
        <f t="shared" si="170"/>
        <v>0</v>
      </c>
      <c r="N143" s="9">
        <f t="shared" si="165"/>
        <v>0</v>
      </c>
      <c r="O143" s="12">
        <f t="shared" si="166"/>
        <v>0</v>
      </c>
      <c r="P143" s="13" t="str">
        <f t="shared" si="69"/>
        <v>NO</v>
      </c>
      <c r="Q143" s="48">
        <f t="shared" si="167"/>
        <v>0</v>
      </c>
      <c r="R143">
        <f t="shared" si="168"/>
        <v>100</v>
      </c>
      <c r="S143">
        <f t="shared" si="169"/>
        <v>0</v>
      </c>
    </row>
    <row r="144" spans="1:19" ht="15" hidden="1" customHeight="1" x14ac:dyDescent="0.3">
      <c r="A144" s="34" t="s">
        <v>1233</v>
      </c>
      <c r="B144" s="36">
        <v>100</v>
      </c>
      <c r="C144" s="29" t="s">
        <v>1251</v>
      </c>
      <c r="D144" s="29" t="str">
        <f t="shared" si="171"/>
        <v>INCLUIDO</v>
      </c>
      <c r="E144" s="27" t="s">
        <v>1186</v>
      </c>
      <c r="F144" s="43">
        <v>0</v>
      </c>
      <c r="G144" s="42">
        <v>0</v>
      </c>
      <c r="H144" s="9">
        <f t="shared" si="161"/>
        <v>0</v>
      </c>
      <c r="I144" s="9" t="s">
        <v>1235</v>
      </c>
      <c r="J144" s="9">
        <f t="shared" si="162"/>
        <v>0</v>
      </c>
      <c r="K144" s="9">
        <f t="shared" si="163"/>
        <v>0</v>
      </c>
      <c r="L144" s="9">
        <f t="shared" si="164"/>
        <v>0</v>
      </c>
      <c r="M144" s="11">
        <f t="shared" si="170"/>
        <v>0</v>
      </c>
      <c r="N144" s="9">
        <f t="shared" si="165"/>
        <v>0</v>
      </c>
      <c r="O144" s="12">
        <f t="shared" si="166"/>
        <v>0</v>
      </c>
      <c r="P144" s="13" t="str">
        <f t="shared" si="69"/>
        <v>NO</v>
      </c>
      <c r="Q144" s="48">
        <f t="shared" si="167"/>
        <v>0</v>
      </c>
      <c r="R144">
        <f t="shared" si="168"/>
        <v>100</v>
      </c>
      <c r="S144">
        <f t="shared" si="169"/>
        <v>0</v>
      </c>
    </row>
    <row r="145" spans="1:19" s="18" customFormat="1" ht="15" hidden="1" customHeight="1" x14ac:dyDescent="0.3">
      <c r="A145" s="24"/>
      <c r="B145" s="26"/>
      <c r="C145" s="15" t="s">
        <v>1177</v>
      </c>
      <c r="D145" s="38" t="str">
        <f>'Ramo Comercial'!C174</f>
        <v>INCLUIDO</v>
      </c>
      <c r="E145" s="38"/>
      <c r="F145" s="16">
        <f>SUMIF(E139:E144,"Adicional",F139:F144)</f>
        <v>0</v>
      </c>
      <c r="G145" s="17"/>
      <c r="H145" s="16">
        <f>SUM(H139:H144)</f>
        <v>0</v>
      </c>
      <c r="I145" s="16"/>
      <c r="J145" s="16">
        <f t="shared" ref="J145:L145" si="172">SUM(J139:J144)</f>
        <v>0</v>
      </c>
      <c r="K145" s="16">
        <f t="shared" si="172"/>
        <v>0</v>
      </c>
      <c r="L145" s="16">
        <f t="shared" si="172"/>
        <v>0</v>
      </c>
      <c r="M145" s="16" t="s">
        <v>1178</v>
      </c>
      <c r="N145" s="16">
        <f t="shared" ref="N145:O145" si="173">SUM(N139:N144)</f>
        <v>0</v>
      </c>
      <c r="O145" s="84">
        <f t="shared" si="173"/>
        <v>0</v>
      </c>
      <c r="P145" s="13" t="str">
        <f t="shared" si="69"/>
        <v>NO</v>
      </c>
      <c r="Q145">
        <f>IF(D145="INCLUIDO",IF(H145&lt;&gt;0,1,0),0)</f>
        <v>0</v>
      </c>
    </row>
    <row r="146" spans="1:19" ht="15" hidden="1" customHeight="1" x14ac:dyDescent="0.3">
      <c r="A146" s="82">
        <v>905</v>
      </c>
      <c r="B146" s="33">
        <v>9</v>
      </c>
      <c r="C146" s="19" t="s">
        <v>1254</v>
      </c>
      <c r="D146" s="23" t="str">
        <f>$D$100</f>
        <v>INCLUIDO</v>
      </c>
      <c r="E146" s="91"/>
      <c r="F146" s="42">
        <v>0</v>
      </c>
      <c r="G146" s="28"/>
      <c r="H146" s="28"/>
      <c r="I146" s="28"/>
      <c r="J146" s="28"/>
      <c r="K146" s="28"/>
      <c r="L146" s="28"/>
      <c r="M146" s="68">
        <v>0</v>
      </c>
      <c r="N146" s="28"/>
      <c r="O146" s="83"/>
      <c r="P146" s="13" t="str">
        <f t="shared" si="69"/>
        <v>NO</v>
      </c>
      <c r="Q146" s="48">
        <f>IF(D146="INCLUIDO",IF(F146&lt;&gt;0,1,0),0)</f>
        <v>0</v>
      </c>
    </row>
    <row r="147" spans="1:19" ht="15" hidden="1" customHeight="1" x14ac:dyDescent="0.3">
      <c r="A147" s="34" t="s">
        <v>1233</v>
      </c>
      <c r="B147" s="36">
        <v>104</v>
      </c>
      <c r="C147" s="29" t="s">
        <v>1255</v>
      </c>
      <c r="D147" s="29" t="str">
        <f>D146</f>
        <v>INCLUIDO</v>
      </c>
      <c r="E147" s="27" t="s">
        <v>1186</v>
      </c>
      <c r="F147" s="20">
        <v>0</v>
      </c>
      <c r="G147" s="21">
        <v>0</v>
      </c>
      <c r="H147" s="9">
        <f>(IF(I147="$ Prima",G147,G147*F147/R147))*$U$9</f>
        <v>0</v>
      </c>
      <c r="I147" s="9" t="s">
        <v>1235</v>
      </c>
      <c r="J147" s="9">
        <f>H147*$U$7</f>
        <v>0</v>
      </c>
      <c r="K147" s="9">
        <f>(H147+J147)*$K$15</f>
        <v>0</v>
      </c>
      <c r="L147" s="9">
        <f>ROUND(H147+J147+K147,2)</f>
        <v>0</v>
      </c>
      <c r="M147" s="11">
        <f>M146</f>
        <v>0</v>
      </c>
      <c r="N147" s="9">
        <f>H147*M147</f>
        <v>0</v>
      </c>
      <c r="O147" s="12">
        <f>N147</f>
        <v>0</v>
      </c>
      <c r="P147" s="13" t="str">
        <f t="shared" si="69"/>
        <v>NO</v>
      </c>
      <c r="Q147">
        <f>IF(D147="INCLUIDO",IF(F147&lt;&gt;0,1,0),0)</f>
        <v>0</v>
      </c>
      <c r="R147">
        <f>IF(I147="%o Al Millar",1000,IF(I147="% Al Porciento",100,IF(I147="$ Prima",G147)))</f>
        <v>100</v>
      </c>
      <c r="S147">
        <f t="shared" ref="S147" si="174">IF(E147="Excluido",0,IF(D147="NO APLICA",0,1))</f>
        <v>0</v>
      </c>
    </row>
    <row r="148" spans="1:19" s="18" customFormat="1" ht="15" hidden="1" customHeight="1" x14ac:dyDescent="0.3">
      <c r="A148" s="24"/>
      <c r="B148" s="26"/>
      <c r="C148" s="15" t="s">
        <v>1177</v>
      </c>
      <c r="D148" s="38" t="str">
        <f>D147</f>
        <v>INCLUIDO</v>
      </c>
      <c r="E148" s="38"/>
      <c r="F148" s="16">
        <f>F147</f>
        <v>0</v>
      </c>
      <c r="G148" s="17"/>
      <c r="H148" s="16">
        <f>SUM(H147)</f>
        <v>0</v>
      </c>
      <c r="I148" s="16"/>
      <c r="J148" s="16">
        <f t="shared" ref="J148:L148" si="175">SUM(J147)</f>
        <v>0</v>
      </c>
      <c r="K148" s="16">
        <f t="shared" si="175"/>
        <v>0</v>
      </c>
      <c r="L148" s="16">
        <f t="shared" si="175"/>
        <v>0</v>
      </c>
      <c r="M148" s="16" t="s">
        <v>1178</v>
      </c>
      <c r="N148" s="16">
        <f t="shared" ref="N148:O148" si="176">SUM(N147)</f>
        <v>0</v>
      </c>
      <c r="O148" s="84">
        <f t="shared" si="176"/>
        <v>0</v>
      </c>
      <c r="P148" s="13" t="str">
        <f t="shared" si="69"/>
        <v>NO</v>
      </c>
      <c r="Q148">
        <f>IF(D148="INCLUIDO",IF(H148&lt;&gt;0,1,0),0)</f>
        <v>0</v>
      </c>
    </row>
    <row r="149" spans="1:19" ht="22.5" hidden="1" customHeight="1" x14ac:dyDescent="0.3">
      <c r="A149" s="82">
        <v>905</v>
      </c>
      <c r="B149" s="33">
        <v>10</v>
      </c>
      <c r="C149" s="19" t="s">
        <v>1256</v>
      </c>
      <c r="D149" s="23" t="str">
        <f>'Ramo Comercial'!C176</f>
        <v>NO APLICA</v>
      </c>
      <c r="E149" s="91"/>
      <c r="F149" s="28"/>
      <c r="G149" s="28"/>
      <c r="H149" s="28"/>
      <c r="I149" s="28"/>
      <c r="J149" s="28"/>
      <c r="K149" s="28"/>
      <c r="L149" s="28"/>
      <c r="M149" s="68">
        <v>0</v>
      </c>
      <c r="N149" s="28"/>
      <c r="O149" s="83"/>
      <c r="P149" s="13" t="str">
        <f t="shared" si="69"/>
        <v>NO</v>
      </c>
      <c r="Q149" s="47">
        <f>IF(D149="INCLUIDO",IF(F150&lt;&gt;0,1,0),0)</f>
        <v>0</v>
      </c>
    </row>
    <row r="150" spans="1:19" ht="15" hidden="1" customHeight="1" x14ac:dyDescent="0.3">
      <c r="A150" s="34" t="s">
        <v>1233</v>
      </c>
      <c r="B150" s="36">
        <v>105</v>
      </c>
      <c r="C150" s="29" t="s">
        <v>1256</v>
      </c>
      <c r="D150" s="29" t="str">
        <f>D149</f>
        <v>NO APLICA</v>
      </c>
      <c r="E150" s="27" t="s">
        <v>1152</v>
      </c>
      <c r="F150" s="20">
        <v>0</v>
      </c>
      <c r="G150" s="21">
        <v>0</v>
      </c>
      <c r="H150" s="9">
        <f>(IF(I150="$ Prima",G150,G150*F150/R150))*$U$9</f>
        <v>0</v>
      </c>
      <c r="I150" s="9" t="s">
        <v>1153</v>
      </c>
      <c r="J150" s="9">
        <f>H150*$U$7</f>
        <v>0</v>
      </c>
      <c r="K150" s="9">
        <f>(H150+J150)*$K$15</f>
        <v>0</v>
      </c>
      <c r="L150" s="9">
        <f>ROUND(H150+J150+K150,2)</f>
        <v>0</v>
      </c>
      <c r="M150" s="11">
        <f>M149</f>
        <v>0</v>
      </c>
      <c r="N150" s="9">
        <f>H150*M150</f>
        <v>0</v>
      </c>
      <c r="O150" s="12">
        <f>N150</f>
        <v>0</v>
      </c>
      <c r="P150" s="13" t="str">
        <f t="shared" si="69"/>
        <v>NO</v>
      </c>
      <c r="Q150">
        <f>IF(D150="INCLUIDO",IF(F150&lt;&gt;0,1,0),0)</f>
        <v>0</v>
      </c>
      <c r="R150">
        <f>IF(I150="%o Al Millar",1000,IF(I150="% Al Porciento",100,IF(I150="$ Prima",G150)))</f>
        <v>1000</v>
      </c>
      <c r="S150">
        <f t="shared" ref="S150" si="177">IF(E150="Excluido",0,IF(D150="NO APLICA",0,1))</f>
        <v>0</v>
      </c>
    </row>
    <row r="151" spans="1:19" s="18" customFormat="1" ht="15" hidden="1" customHeight="1" x14ac:dyDescent="0.3">
      <c r="A151" s="24"/>
      <c r="B151" s="26"/>
      <c r="C151" s="15" t="s">
        <v>1177</v>
      </c>
      <c r="D151" s="38" t="str">
        <f>D150</f>
        <v>NO APLICA</v>
      </c>
      <c r="E151" s="38"/>
      <c r="F151" s="16">
        <f>F150</f>
        <v>0</v>
      </c>
      <c r="G151" s="17"/>
      <c r="H151" s="16">
        <f>SUM(H150)</f>
        <v>0</v>
      </c>
      <c r="I151" s="16"/>
      <c r="J151" s="16">
        <f t="shared" ref="J151:L151" si="178">SUM(J150)</f>
        <v>0</v>
      </c>
      <c r="K151" s="16">
        <f t="shared" si="178"/>
        <v>0</v>
      </c>
      <c r="L151" s="16">
        <f t="shared" si="178"/>
        <v>0</v>
      </c>
      <c r="M151" s="16" t="s">
        <v>1178</v>
      </c>
      <c r="N151" s="16">
        <f t="shared" ref="N151:O151" si="179">SUM(N150)</f>
        <v>0</v>
      </c>
      <c r="O151" s="84">
        <f t="shared" si="179"/>
        <v>0</v>
      </c>
      <c r="P151" s="13" t="str">
        <f t="shared" si="69"/>
        <v>NO</v>
      </c>
      <c r="Q151">
        <f>IF(D151="INCLUIDO",IF(H151&lt;&gt;0,1,0),0)</f>
        <v>0</v>
      </c>
    </row>
    <row r="152" spans="1:19" ht="15" hidden="1" customHeight="1" x14ac:dyDescent="0.3">
      <c r="A152" s="82">
        <v>905</v>
      </c>
      <c r="B152" s="33">
        <v>11</v>
      </c>
      <c r="C152" s="19" t="s">
        <v>1257</v>
      </c>
      <c r="D152" s="23" t="str">
        <f>'Ramo Comercial'!C177</f>
        <v>NO APLICA</v>
      </c>
      <c r="E152" s="91"/>
      <c r="F152" s="42">
        <v>0</v>
      </c>
      <c r="G152" s="28"/>
      <c r="H152" s="28"/>
      <c r="I152" s="28"/>
      <c r="J152" s="28"/>
      <c r="K152" s="28"/>
      <c r="L152" s="28"/>
      <c r="M152" s="68">
        <v>0</v>
      </c>
      <c r="N152" s="28"/>
      <c r="O152" s="83"/>
      <c r="P152" s="13" t="str">
        <f t="shared" si="69"/>
        <v>NO</v>
      </c>
      <c r="Q152" s="48">
        <f>IF(D152="INCLUIDO",IF(F152&lt;&gt;0,1,0),0)</f>
        <v>0</v>
      </c>
    </row>
    <row r="153" spans="1:19" ht="15" hidden="1" customHeight="1" x14ac:dyDescent="0.3">
      <c r="A153" s="34" t="s">
        <v>1233</v>
      </c>
      <c r="B153" s="36">
        <v>224</v>
      </c>
      <c r="C153" s="29" t="s">
        <v>1257</v>
      </c>
      <c r="D153" s="29" t="str">
        <f>D152</f>
        <v>NO APLICA</v>
      </c>
      <c r="E153" s="27" t="s">
        <v>1152</v>
      </c>
      <c r="F153" s="20">
        <f>F152</f>
        <v>0</v>
      </c>
      <c r="G153" s="21">
        <v>0</v>
      </c>
      <c r="H153" s="9">
        <f>(IF(I153="$ Prima",G153,G153*F153/R153))*$U$9</f>
        <v>0</v>
      </c>
      <c r="I153" s="9" t="s">
        <v>1235</v>
      </c>
      <c r="J153" s="9">
        <f>H153*$U$7</f>
        <v>0</v>
      </c>
      <c r="K153" s="9">
        <f>(H153+J153)*$K$15</f>
        <v>0</v>
      </c>
      <c r="L153" s="9">
        <f>ROUND(H153+J153+K153,2)</f>
        <v>0</v>
      </c>
      <c r="M153" s="11">
        <f>M152</f>
        <v>0</v>
      </c>
      <c r="N153" s="9">
        <f>H153*M153</f>
        <v>0</v>
      </c>
      <c r="O153" s="12">
        <f>N153</f>
        <v>0</v>
      </c>
      <c r="P153" s="13" t="str">
        <f t="shared" si="69"/>
        <v>NO</v>
      </c>
      <c r="Q153">
        <f>IF(D153="INCLUIDO",IF(F153&lt;&gt;0,1,0),0)</f>
        <v>0</v>
      </c>
      <c r="R153">
        <f>IF(I153="%o Al Millar",1000,IF(I153="% Al Porciento",100,IF(I153="$ Prima",G153)))</f>
        <v>100</v>
      </c>
      <c r="S153">
        <f t="shared" ref="S153" si="180">IF(E153="Excluido",0,IF(D153="NO APLICA",0,1))</f>
        <v>0</v>
      </c>
    </row>
    <row r="154" spans="1:19" s="18" customFormat="1" ht="15" hidden="1" customHeight="1" x14ac:dyDescent="0.3">
      <c r="A154" s="24"/>
      <c r="B154" s="26"/>
      <c r="C154" s="15" t="s">
        <v>1177</v>
      </c>
      <c r="D154" s="38" t="str">
        <f>D153</f>
        <v>NO APLICA</v>
      </c>
      <c r="E154" s="38"/>
      <c r="F154" s="16">
        <f>F153</f>
        <v>0</v>
      </c>
      <c r="G154" s="17"/>
      <c r="H154" s="16">
        <f>SUM(H153)</f>
        <v>0</v>
      </c>
      <c r="I154" s="16"/>
      <c r="J154" s="16">
        <f t="shared" ref="J154:L154" si="181">SUM(J153)</f>
        <v>0</v>
      </c>
      <c r="K154" s="16">
        <f t="shared" si="181"/>
        <v>0</v>
      </c>
      <c r="L154" s="16">
        <f t="shared" si="181"/>
        <v>0</v>
      </c>
      <c r="M154" s="16" t="s">
        <v>1178</v>
      </c>
      <c r="N154" s="16">
        <f t="shared" ref="N154:O154" si="182">SUM(N153)</f>
        <v>0</v>
      </c>
      <c r="O154" s="84">
        <f t="shared" si="182"/>
        <v>0</v>
      </c>
      <c r="P154" s="13" t="str">
        <f t="shared" si="69"/>
        <v>NO</v>
      </c>
      <c r="Q154">
        <f>IF(D154="INCLUIDO",IF(H154&lt;&gt;0,1,0),0)</f>
        <v>0</v>
      </c>
    </row>
    <row r="155" spans="1:19" ht="15" hidden="1" customHeight="1" x14ac:dyDescent="0.3">
      <c r="A155" s="82">
        <v>905</v>
      </c>
      <c r="B155" s="33">
        <v>12</v>
      </c>
      <c r="C155" s="19" t="s">
        <v>1258</v>
      </c>
      <c r="D155" s="23" t="str">
        <f>'Ramo Comercial'!C181</f>
        <v>NO APLICA</v>
      </c>
      <c r="E155" s="91"/>
      <c r="F155" s="97">
        <f>F154</f>
        <v>0</v>
      </c>
      <c r="G155" s="28"/>
      <c r="H155" s="28"/>
      <c r="I155" s="28"/>
      <c r="J155" s="28"/>
      <c r="K155" s="28"/>
      <c r="L155" s="28"/>
      <c r="M155" s="68">
        <v>0</v>
      </c>
      <c r="N155" s="28"/>
      <c r="O155" s="83"/>
      <c r="P155" s="13" t="str">
        <f t="shared" ref="P155:P218" si="183">IF(Q155=1,"SI","NO")</f>
        <v>NO</v>
      </c>
      <c r="Q155" s="47">
        <f>IF(D155="INCLUIDO",IF(F156&lt;&gt;0,1,0),0)</f>
        <v>0</v>
      </c>
    </row>
    <row r="156" spans="1:19" ht="15" hidden="1" customHeight="1" x14ac:dyDescent="0.3">
      <c r="A156" s="34" t="s">
        <v>1233</v>
      </c>
      <c r="B156" s="36">
        <v>259</v>
      </c>
      <c r="C156" s="29" t="s">
        <v>1258</v>
      </c>
      <c r="D156" s="29" t="str">
        <f>D155</f>
        <v>NO APLICA</v>
      </c>
      <c r="E156" s="27" t="s">
        <v>1152</v>
      </c>
      <c r="F156" s="20">
        <v>0</v>
      </c>
      <c r="G156" s="21">
        <v>0</v>
      </c>
      <c r="H156" s="9">
        <f>(IF(I156="$ Prima",G156,G156*F156/R156))*$U$9</f>
        <v>0</v>
      </c>
      <c r="I156" s="9" t="s">
        <v>1235</v>
      </c>
      <c r="J156" s="9">
        <f>H156*$U$7</f>
        <v>0</v>
      </c>
      <c r="K156" s="9">
        <f>(H156+J156)*$K$15</f>
        <v>0</v>
      </c>
      <c r="L156" s="9">
        <f>ROUND(H156+J156+K156,2)</f>
        <v>0</v>
      </c>
      <c r="M156" s="11">
        <f>M155</f>
        <v>0</v>
      </c>
      <c r="N156" s="9">
        <f>H156*M156</f>
        <v>0</v>
      </c>
      <c r="O156" s="12">
        <f>N156</f>
        <v>0</v>
      </c>
      <c r="P156" s="13" t="str">
        <f t="shared" si="183"/>
        <v>NO</v>
      </c>
      <c r="Q156">
        <f>IF(D156="INCLUIDO",IF(F156&lt;&gt;0,1,0),0)</f>
        <v>0</v>
      </c>
      <c r="R156">
        <f>IF(I156="%o Al Millar",1000,IF(I156="% Al Porciento",100,IF(I156="$ Prima",G156)))</f>
        <v>100</v>
      </c>
      <c r="S156">
        <f t="shared" ref="S156" si="184">IF(E156="Excluido",0,IF(D156="NO APLICA",0,1))</f>
        <v>0</v>
      </c>
    </row>
    <row r="157" spans="1:19" s="18" customFormat="1" ht="15" hidden="1" customHeight="1" x14ac:dyDescent="0.3">
      <c r="A157" s="24"/>
      <c r="B157" s="26"/>
      <c r="C157" s="15" t="s">
        <v>1177</v>
      </c>
      <c r="D157" s="38" t="str">
        <f>D156</f>
        <v>NO APLICA</v>
      </c>
      <c r="E157" s="38"/>
      <c r="F157" s="16">
        <f>F156</f>
        <v>0</v>
      </c>
      <c r="G157" s="17"/>
      <c r="H157" s="16">
        <f>SUM(H156)</f>
        <v>0</v>
      </c>
      <c r="I157" s="16"/>
      <c r="J157" s="16">
        <f t="shared" ref="J157:L157" si="185">SUM(J156)</f>
        <v>0</v>
      </c>
      <c r="K157" s="16">
        <f t="shared" si="185"/>
        <v>0</v>
      </c>
      <c r="L157" s="16">
        <f t="shared" si="185"/>
        <v>0</v>
      </c>
      <c r="M157" s="16" t="s">
        <v>1178</v>
      </c>
      <c r="N157" s="16">
        <f t="shared" ref="N157:O157" si="186">SUM(N156)</f>
        <v>0</v>
      </c>
      <c r="O157" s="84">
        <f t="shared" si="186"/>
        <v>0</v>
      </c>
      <c r="P157" s="13" t="str">
        <f t="shared" si="183"/>
        <v>NO</v>
      </c>
      <c r="Q157">
        <f>IF(D157="INCLUIDO",IF(H157&lt;&gt;0,1,0),0)</f>
        <v>0</v>
      </c>
    </row>
    <row r="158" spans="1:19" ht="15" hidden="1" customHeight="1" x14ac:dyDescent="0.3">
      <c r="A158" s="82">
        <v>905</v>
      </c>
      <c r="B158" s="33">
        <v>13</v>
      </c>
      <c r="C158" s="19" t="s">
        <v>1259</v>
      </c>
      <c r="D158" s="23" t="str">
        <f>'Ramo Comercial'!C180</f>
        <v>INCLUIDO</v>
      </c>
      <c r="E158" s="91"/>
      <c r="F158" s="42">
        <v>0</v>
      </c>
      <c r="G158" s="28"/>
      <c r="H158" s="28"/>
      <c r="I158" s="28"/>
      <c r="J158" s="28"/>
      <c r="K158" s="28"/>
      <c r="L158" s="28"/>
      <c r="M158" s="68">
        <v>0</v>
      </c>
      <c r="N158" s="28"/>
      <c r="O158" s="83"/>
      <c r="P158" s="13" t="str">
        <f t="shared" si="183"/>
        <v>NO</v>
      </c>
      <c r="Q158" s="48">
        <f>IF(D158="INCLUIDO",IF(F158&lt;&gt;0,1,0),0)</f>
        <v>0</v>
      </c>
    </row>
    <row r="159" spans="1:19" ht="15" hidden="1" customHeight="1" x14ac:dyDescent="0.3">
      <c r="A159" s="34" t="s">
        <v>1233</v>
      </c>
      <c r="B159" s="36">
        <v>260</v>
      </c>
      <c r="C159" s="29" t="s">
        <v>1259</v>
      </c>
      <c r="D159" s="29" t="str">
        <f>D158</f>
        <v>INCLUIDO</v>
      </c>
      <c r="E159" s="27" t="s">
        <v>1186</v>
      </c>
      <c r="F159" s="20">
        <f>F158</f>
        <v>0</v>
      </c>
      <c r="G159" s="21">
        <v>0</v>
      </c>
      <c r="H159" s="9">
        <f>(IF(I159="$ Prima",G159,G159*F159/R159))*$U$9</f>
        <v>0</v>
      </c>
      <c r="I159" s="9" t="s">
        <v>1235</v>
      </c>
      <c r="J159" s="9">
        <f>H159*$U$7</f>
        <v>0</v>
      </c>
      <c r="K159" s="9">
        <f>(H159+J159)*$K$15</f>
        <v>0</v>
      </c>
      <c r="L159" s="9">
        <f>ROUND(H159+J159+K159,2)</f>
        <v>0</v>
      </c>
      <c r="M159" s="11">
        <f>M158</f>
        <v>0</v>
      </c>
      <c r="N159" s="9">
        <f>H159*M159</f>
        <v>0</v>
      </c>
      <c r="O159" s="12">
        <f>N159</f>
        <v>0</v>
      </c>
      <c r="P159" s="13" t="str">
        <f t="shared" si="183"/>
        <v>NO</v>
      </c>
      <c r="Q159">
        <f>IF(D159="INCLUIDO",IF(F159&lt;&gt;0,1,0),0)</f>
        <v>0</v>
      </c>
      <c r="R159">
        <f>IF(I159="%o Al Millar",1000,IF(I159="% Al Porciento",100,IF(I159="$ Prima",G159)))</f>
        <v>100</v>
      </c>
      <c r="S159">
        <f t="shared" ref="S159" si="187">IF(E159="Excluido",0,IF(D159="NO APLICA",0,1))</f>
        <v>0</v>
      </c>
    </row>
    <row r="160" spans="1:19" s="18" customFormat="1" ht="15" hidden="1" customHeight="1" thickBot="1" x14ac:dyDescent="0.35">
      <c r="A160" s="24"/>
      <c r="B160" s="26"/>
      <c r="C160" s="15" t="s">
        <v>1177</v>
      </c>
      <c r="D160" s="38" t="str">
        <f>D159</f>
        <v>INCLUIDO</v>
      </c>
      <c r="E160" s="38"/>
      <c r="F160" s="16">
        <f>F159</f>
        <v>0</v>
      </c>
      <c r="G160" s="17"/>
      <c r="H160" s="16">
        <f>SUM(H159)</f>
        <v>0</v>
      </c>
      <c r="I160" s="16"/>
      <c r="J160" s="16">
        <f t="shared" ref="J160:L160" si="188">SUM(J159)</f>
        <v>0</v>
      </c>
      <c r="K160" s="16">
        <f t="shared" si="188"/>
        <v>0</v>
      </c>
      <c r="L160" s="16">
        <f t="shared" si="188"/>
        <v>0</v>
      </c>
      <c r="M160" s="16" t="s">
        <v>1178</v>
      </c>
      <c r="N160" s="16">
        <f t="shared" ref="N160:O160" si="189">SUM(N159)</f>
        <v>0</v>
      </c>
      <c r="O160" s="84">
        <f t="shared" si="189"/>
        <v>0</v>
      </c>
      <c r="P160" s="13" t="str">
        <f t="shared" si="183"/>
        <v>NO</v>
      </c>
      <c r="Q160">
        <f>IF(D160="INCLUIDO",IF(H160&lt;&gt;0,1,0),0)</f>
        <v>0</v>
      </c>
    </row>
    <row r="161" spans="1:22" ht="21" hidden="1" customHeight="1" thickBot="1" x14ac:dyDescent="0.35">
      <c r="A161" s="82">
        <v>906</v>
      </c>
      <c r="B161" s="33">
        <v>1</v>
      </c>
      <c r="C161" s="19" t="s">
        <v>1260</v>
      </c>
      <c r="D161" s="23" t="str">
        <f>'Ramo Comercial'!C138</f>
        <v>INCLUIDO</v>
      </c>
      <c r="E161" s="91"/>
      <c r="F161" s="132">
        <f>'COTIZACIÓN M.N.'!D75</f>
        <v>0</v>
      </c>
      <c r="G161" s="132">
        <f>'COTIZACIÓN M.N.'!E75</f>
        <v>1.6</v>
      </c>
      <c r="H161" s="28"/>
      <c r="I161" s="28"/>
      <c r="J161" s="28"/>
      <c r="K161" s="28"/>
      <c r="L161" s="28"/>
      <c r="M161" s="68">
        <v>5.8000000000000003E-2</v>
      </c>
      <c r="N161" s="28"/>
      <c r="O161" s="83"/>
      <c r="P161" s="13" t="str">
        <f t="shared" si="183"/>
        <v>NO</v>
      </c>
      <c r="Q161" s="48">
        <f>IF(D161="INCLUIDO",IF(F161&lt;&gt;0,1,0),0)</f>
        <v>0</v>
      </c>
      <c r="T161" s="155">
        <f>G161</f>
        <v>1.6</v>
      </c>
    </row>
    <row r="162" spans="1:22" ht="15" hidden="1" customHeight="1" x14ac:dyDescent="0.3">
      <c r="A162" s="34" t="s">
        <v>1261</v>
      </c>
      <c r="B162" s="36">
        <v>107</v>
      </c>
      <c r="C162" s="29" t="s">
        <v>1151</v>
      </c>
      <c r="D162" s="29" t="str">
        <f>D161</f>
        <v>INCLUIDO</v>
      </c>
      <c r="E162" s="27" t="s">
        <v>1152</v>
      </c>
      <c r="F162" s="20">
        <f>$F$161*S162</f>
        <v>0</v>
      </c>
      <c r="G162" s="21">
        <f>V162</f>
        <v>1.1200000000000001</v>
      </c>
      <c r="H162" s="9">
        <f t="shared" ref="H162:H165" si="190">(IF(I162="$ Prima",G162,G162*F162/R162))*$U$9</f>
        <v>0</v>
      </c>
      <c r="I162" s="9" t="s">
        <v>1153</v>
      </c>
      <c r="J162" s="9">
        <f t="shared" ref="J162:J165" si="191">H162*$U$7</f>
        <v>0</v>
      </c>
      <c r="K162" s="9">
        <f t="shared" ref="K162:K165" si="192">(H162+J162)*$K$15</f>
        <v>0</v>
      </c>
      <c r="L162" s="9">
        <f t="shared" ref="L162:L165" si="193">ROUND(H162+J162+K162,2)</f>
        <v>0</v>
      </c>
      <c r="M162" s="11">
        <f>$M$161</f>
        <v>5.8000000000000003E-2</v>
      </c>
      <c r="N162" s="9">
        <f t="shared" ref="N162:N165" si="194">H162*M162</f>
        <v>0</v>
      </c>
      <c r="O162" s="12">
        <f t="shared" ref="O162:O165" si="195">N162</f>
        <v>0</v>
      </c>
      <c r="P162" s="13" t="str">
        <f t="shared" si="183"/>
        <v>NO</v>
      </c>
      <c r="Q162">
        <f>IF(D162="INCLUIDO",IF(F162&lt;&gt;0,1,0),0)</f>
        <v>0</v>
      </c>
      <c r="R162">
        <f>IF(I162="%o Al Millar",1000,IF(I162="% Al Porciento",100,IF(I162="$ Prima",G162)))</f>
        <v>1000</v>
      </c>
      <c r="S162">
        <f t="shared" ref="S162:S165" si="196">IF(E162="Excluido",0,IF(D162="NO APLICA",0,1))</f>
        <v>1</v>
      </c>
      <c r="T162" s="156">
        <v>0.7</v>
      </c>
      <c r="U162" s="157">
        <f>IF(E162="Excluido",0,T161*T162)</f>
        <v>1.1199999999999999</v>
      </c>
      <c r="V162" s="158">
        <f>IF(D161="NO APLICA",0,(U166-U164)+(T161-U166))</f>
        <v>1.1200000000000001</v>
      </c>
    </row>
    <row r="163" spans="1:22" ht="15" hidden="1" customHeight="1" x14ac:dyDescent="0.3">
      <c r="A163" s="34" t="s">
        <v>1261</v>
      </c>
      <c r="B163" s="36"/>
      <c r="C163" s="81">
        <f>$O$12</f>
        <v>0</v>
      </c>
      <c r="D163" s="29" t="str">
        <f t="shared" ref="D163:D175" si="197">$D$161</f>
        <v>INCLUIDO</v>
      </c>
      <c r="E163" s="27" t="s">
        <v>1186</v>
      </c>
      <c r="F163" s="9">
        <f>(F162*$O$12)*S163</f>
        <v>0</v>
      </c>
      <c r="G163" s="10">
        <f>G162*0.35</f>
        <v>0.39200000000000002</v>
      </c>
      <c r="H163" s="9">
        <f t="shared" si="190"/>
        <v>0</v>
      </c>
      <c r="I163" s="9" t="s">
        <v>1153</v>
      </c>
      <c r="J163" s="9">
        <f t="shared" si="191"/>
        <v>0</v>
      </c>
      <c r="K163" s="9">
        <f t="shared" si="192"/>
        <v>0</v>
      </c>
      <c r="L163" s="9">
        <f t="shared" si="193"/>
        <v>0</v>
      </c>
      <c r="M163" s="11">
        <f t="shared" ref="M163:M165" si="198">$M$161</f>
        <v>5.8000000000000003E-2</v>
      </c>
      <c r="N163" s="9">
        <f t="shared" si="194"/>
        <v>0</v>
      </c>
      <c r="O163" s="12">
        <f t="shared" si="195"/>
        <v>0</v>
      </c>
      <c r="P163" s="13" t="str">
        <f t="shared" si="183"/>
        <v>NO</v>
      </c>
      <c r="Q163">
        <f>IF(D163="INCLUIDO",IF(F163&lt;&gt;0,1,0),0)</f>
        <v>0</v>
      </c>
      <c r="R163">
        <f>IF(I163="%o Al Millar",1000,IF(I163="% Al Porciento",100,IF(I163="$ Prima",G163)))</f>
        <v>1000</v>
      </c>
      <c r="S163">
        <f t="shared" si="196"/>
        <v>0</v>
      </c>
      <c r="T163" s="152"/>
      <c r="U163" s="159"/>
      <c r="V163" s="160"/>
    </row>
    <row r="164" spans="1:22" ht="15" hidden="1" customHeight="1" thickBot="1" x14ac:dyDescent="0.35">
      <c r="A164" s="34" t="s">
        <v>1261</v>
      </c>
      <c r="B164" s="36">
        <v>106</v>
      </c>
      <c r="C164" s="29" t="s">
        <v>1262</v>
      </c>
      <c r="D164" s="29" t="str">
        <f t="shared" si="197"/>
        <v>INCLUIDO</v>
      </c>
      <c r="E164" s="27" t="s">
        <v>1137</v>
      </c>
      <c r="F164" s="20">
        <f>$F$161*S164</f>
        <v>0</v>
      </c>
      <c r="G164" s="21">
        <f>V164</f>
        <v>0</v>
      </c>
      <c r="H164" s="9">
        <f t="shared" si="190"/>
        <v>0</v>
      </c>
      <c r="I164" s="9" t="s">
        <v>1153</v>
      </c>
      <c r="J164" s="9">
        <f t="shared" si="191"/>
        <v>0</v>
      </c>
      <c r="K164" s="9">
        <f t="shared" si="192"/>
        <v>0</v>
      </c>
      <c r="L164" s="9">
        <f t="shared" si="193"/>
        <v>0</v>
      </c>
      <c r="M164" s="11">
        <f t="shared" si="198"/>
        <v>5.8000000000000003E-2</v>
      </c>
      <c r="N164" s="9">
        <f t="shared" si="194"/>
        <v>0</v>
      </c>
      <c r="O164" s="12">
        <f t="shared" si="195"/>
        <v>0</v>
      </c>
      <c r="P164" s="13" t="str">
        <f t="shared" si="183"/>
        <v>NO</v>
      </c>
      <c r="Q164">
        <f>IF(D164="INCLUIDO",IF(F164&lt;&gt;0,1,0),0)</f>
        <v>0</v>
      </c>
      <c r="R164">
        <f>IF(I164="%o Al Millar",1000,IF(I164="% Al Porciento",100,IF(I164="$ Prima",G164)))</f>
        <v>1000</v>
      </c>
      <c r="S164">
        <f t="shared" si="196"/>
        <v>1</v>
      </c>
      <c r="T164" s="152">
        <v>0.3</v>
      </c>
      <c r="U164" s="159">
        <f>IF(E164="Excluido",0,$T$161*T164)</f>
        <v>0.48</v>
      </c>
      <c r="V164" s="160">
        <f>IF($F164=0,0,U164)</f>
        <v>0</v>
      </c>
    </row>
    <row r="165" spans="1:22" ht="15" hidden="1" customHeight="1" thickBot="1" x14ac:dyDescent="0.35">
      <c r="A165" s="34" t="s">
        <v>1261</v>
      </c>
      <c r="B165" s="36"/>
      <c r="C165" s="81">
        <f>$O$12</f>
        <v>0</v>
      </c>
      <c r="D165" s="29" t="str">
        <f t="shared" si="197"/>
        <v>INCLUIDO</v>
      </c>
      <c r="E165" s="27" t="s">
        <v>1186</v>
      </c>
      <c r="F165" s="9">
        <f>(F164*$O$12)*S165</f>
        <v>0</v>
      </c>
      <c r="G165" s="10">
        <f>G164*0.35</f>
        <v>0</v>
      </c>
      <c r="H165" s="9">
        <f t="shared" si="190"/>
        <v>0</v>
      </c>
      <c r="I165" s="9" t="s">
        <v>1153</v>
      </c>
      <c r="J165" s="9">
        <f t="shared" si="191"/>
        <v>0</v>
      </c>
      <c r="K165" s="9">
        <f t="shared" si="192"/>
        <v>0</v>
      </c>
      <c r="L165" s="9">
        <f t="shared" si="193"/>
        <v>0</v>
      </c>
      <c r="M165" s="11">
        <f t="shared" si="198"/>
        <v>5.8000000000000003E-2</v>
      </c>
      <c r="N165" s="9">
        <f t="shared" si="194"/>
        <v>0</v>
      </c>
      <c r="O165" s="12">
        <f t="shared" si="195"/>
        <v>0</v>
      </c>
      <c r="P165" s="13" t="str">
        <f t="shared" si="183"/>
        <v>NO</v>
      </c>
      <c r="Q165">
        <f>IF(D165="INCLUIDO",IF(F165&lt;&gt;0,1,0),0)</f>
        <v>0</v>
      </c>
      <c r="R165">
        <f>IF(I165="%o Al Millar",1000,IF(I165="% Al Porciento",100,IF(I165="$ Prima",G165)))</f>
        <v>1000</v>
      </c>
      <c r="S165">
        <f t="shared" si="196"/>
        <v>0</v>
      </c>
      <c r="T165" s="154"/>
      <c r="V165" s="153"/>
    </row>
    <row r="166" spans="1:22" s="18" customFormat="1" ht="15" hidden="1" customHeight="1" thickBot="1" x14ac:dyDescent="0.35">
      <c r="A166" s="24"/>
      <c r="B166" s="26"/>
      <c r="C166" s="15" t="s">
        <v>1177</v>
      </c>
      <c r="D166" s="38" t="str">
        <f>D165</f>
        <v>INCLUIDO</v>
      </c>
      <c r="E166" s="38"/>
      <c r="F166" s="16">
        <f>SUMIF(E162:E165,"Adicional",F162:F165)</f>
        <v>0</v>
      </c>
      <c r="G166" s="17"/>
      <c r="H166" s="16">
        <f>SUM(H162:H165)</f>
        <v>0</v>
      </c>
      <c r="I166" s="16"/>
      <c r="J166" s="16">
        <f t="shared" ref="J166:L166" si="199">SUM(J162:J165)</f>
        <v>0</v>
      </c>
      <c r="K166" s="16">
        <f t="shared" si="199"/>
        <v>0</v>
      </c>
      <c r="L166" s="16">
        <f t="shared" si="199"/>
        <v>0</v>
      </c>
      <c r="M166" s="16" t="s">
        <v>1178</v>
      </c>
      <c r="N166" s="16">
        <f t="shared" ref="N166:O166" si="200">SUM(N162:N165)</f>
        <v>0</v>
      </c>
      <c r="O166" s="84">
        <f t="shared" si="200"/>
        <v>0</v>
      </c>
      <c r="P166" s="13" t="str">
        <f t="shared" si="183"/>
        <v>NO</v>
      </c>
      <c r="Q166">
        <f>IF(D166="INCLUIDO",IF(H166&lt;&gt;0,1,0),0)</f>
        <v>0</v>
      </c>
      <c r="T166" s="161">
        <f>SUM(T162:T165)</f>
        <v>1</v>
      </c>
      <c r="U166" s="162">
        <f>SUM(U162:U164)</f>
        <v>1.5999999999999999</v>
      </c>
      <c r="V166" s="163">
        <f>SUM(V162:V164)</f>
        <v>1.1200000000000001</v>
      </c>
    </row>
    <row r="167" spans="1:22" ht="15" hidden="1" thickBot="1" x14ac:dyDescent="0.35">
      <c r="A167" s="82">
        <v>906</v>
      </c>
      <c r="B167" s="33">
        <v>2</v>
      </c>
      <c r="C167" s="19" t="s">
        <v>1263</v>
      </c>
      <c r="D167" s="23" t="str">
        <f>'Ramo Comercial'!C139</f>
        <v>INCLUIDO</v>
      </c>
      <c r="E167" s="91"/>
      <c r="F167" s="132">
        <v>0</v>
      </c>
      <c r="G167" s="132">
        <f>'COTIZACIÓN M.N.'!E73</f>
        <v>5</v>
      </c>
      <c r="H167" s="28"/>
      <c r="I167" s="28"/>
      <c r="J167" s="28"/>
      <c r="K167" s="28"/>
      <c r="L167" s="28"/>
      <c r="M167" s="68">
        <v>5.8000000000000003E-2</v>
      </c>
      <c r="N167" s="28"/>
      <c r="O167" s="83"/>
      <c r="P167" s="13" t="str">
        <f t="shared" si="183"/>
        <v>NO</v>
      </c>
      <c r="Q167" s="48">
        <f>IF(D167="INCLUIDO",IF(F167&lt;&gt;0,1,0),0)</f>
        <v>0</v>
      </c>
      <c r="T167" s="142">
        <f>G167</f>
        <v>5</v>
      </c>
      <c r="U167" s="150"/>
      <c r="V167" s="151"/>
    </row>
    <row r="168" spans="1:22" hidden="1" x14ac:dyDescent="0.3">
      <c r="A168" s="34" t="s">
        <v>1261</v>
      </c>
      <c r="B168" s="36">
        <v>110</v>
      </c>
      <c r="C168" s="29" t="s">
        <v>1151</v>
      </c>
      <c r="D168" s="29" t="str">
        <f>D167</f>
        <v>INCLUIDO</v>
      </c>
      <c r="E168" s="27" t="s">
        <v>1152</v>
      </c>
      <c r="F168" s="20">
        <f>$F$167*S168</f>
        <v>0</v>
      </c>
      <c r="G168" s="21">
        <f>V168</f>
        <v>3.5</v>
      </c>
      <c r="H168" s="9">
        <f t="shared" ref="H168:H171" si="201">(IF(I168="$ Prima",G168,G168*F168/R168))*$U$9</f>
        <v>0</v>
      </c>
      <c r="I168" s="9" t="s">
        <v>1153</v>
      </c>
      <c r="J168" s="9">
        <f t="shared" ref="J168:J171" si="202">H168*$U$7</f>
        <v>0</v>
      </c>
      <c r="K168" s="9">
        <f t="shared" ref="K168:K171" si="203">(H168+J168)*$K$15</f>
        <v>0</v>
      </c>
      <c r="L168" s="9">
        <f t="shared" ref="L168:L171" si="204">ROUND(H168+J168+K168,2)</f>
        <v>0</v>
      </c>
      <c r="M168" s="11">
        <f>$M$167</f>
        <v>5.8000000000000003E-2</v>
      </c>
      <c r="N168" s="9">
        <f t="shared" ref="N168:N171" si="205">H168*M168</f>
        <v>0</v>
      </c>
      <c r="O168" s="12">
        <f t="shared" ref="O168:O171" si="206">N168</f>
        <v>0</v>
      </c>
      <c r="P168" s="13" t="str">
        <f t="shared" si="183"/>
        <v>NO</v>
      </c>
      <c r="Q168">
        <f>IF(D168="INCLUIDO",IF(F168&lt;&gt;0,1,0),0)</f>
        <v>0</v>
      </c>
      <c r="R168">
        <f>IF(I168="%o Al Millar",1000,IF(I168="% Al Porciento",100,IF(I168="$ Prima",G168)))</f>
        <v>1000</v>
      </c>
      <c r="S168">
        <f t="shared" ref="S168:S171" si="207">IF(E168="Excluido",0,IF(D168="NO APLICA",0,1))</f>
        <v>1</v>
      </c>
      <c r="T168" s="152">
        <v>0.7</v>
      </c>
      <c r="U168" s="159">
        <f>IF(E168="Excluido",0,T167*T168)</f>
        <v>3.5</v>
      </c>
      <c r="V168" s="160">
        <f>IF(D167="NO APLICA",0,(U172-U170)+(T167-U172))</f>
        <v>3.5</v>
      </c>
    </row>
    <row r="169" spans="1:22" hidden="1" x14ac:dyDescent="0.3">
      <c r="A169" s="34" t="s">
        <v>1261</v>
      </c>
      <c r="B169" s="36"/>
      <c r="C169" s="81">
        <f>$O$12</f>
        <v>0</v>
      </c>
      <c r="D169" s="29" t="str">
        <f t="shared" si="197"/>
        <v>INCLUIDO</v>
      </c>
      <c r="E169" s="27" t="s">
        <v>1186</v>
      </c>
      <c r="F169" s="9">
        <f>(F168*$O$12)*S169</f>
        <v>0</v>
      </c>
      <c r="G169" s="10">
        <f>G168*0.35</f>
        <v>1.2249999999999999</v>
      </c>
      <c r="H169" s="9">
        <f t="shared" si="201"/>
        <v>0</v>
      </c>
      <c r="I169" s="9" t="s">
        <v>1153</v>
      </c>
      <c r="J169" s="9">
        <f t="shared" si="202"/>
        <v>0</v>
      </c>
      <c r="K169" s="9">
        <f t="shared" si="203"/>
        <v>0</v>
      </c>
      <c r="L169" s="9">
        <f t="shared" si="204"/>
        <v>0</v>
      </c>
      <c r="M169" s="11">
        <f>M168</f>
        <v>5.8000000000000003E-2</v>
      </c>
      <c r="N169" s="9">
        <f t="shared" si="205"/>
        <v>0</v>
      </c>
      <c r="O169" s="12">
        <f t="shared" si="206"/>
        <v>0</v>
      </c>
      <c r="P169" s="13" t="str">
        <f t="shared" si="183"/>
        <v>NO</v>
      </c>
      <c r="Q169">
        <f>IF(D169="INCLUIDO",IF(F169&lt;&gt;0,1,0),0)</f>
        <v>0</v>
      </c>
      <c r="R169">
        <f>IF(I169="%o Al Millar",1000,IF(I169="% Al Porciento",100,IF(I169="$ Prima",G169)))</f>
        <v>1000</v>
      </c>
      <c r="S169">
        <f t="shared" si="207"/>
        <v>0</v>
      </c>
      <c r="T169" s="152"/>
      <c r="U169" s="159"/>
      <c r="V169" s="160"/>
    </row>
    <row r="170" spans="1:22" ht="15" hidden="1" customHeight="1" thickBot="1" x14ac:dyDescent="0.35">
      <c r="A170" s="34" t="s">
        <v>1261</v>
      </c>
      <c r="B170" s="36">
        <v>109</v>
      </c>
      <c r="C170" s="29" t="s">
        <v>1262</v>
      </c>
      <c r="D170" s="29" t="str">
        <f>D167</f>
        <v>INCLUIDO</v>
      </c>
      <c r="E170" s="27" t="s">
        <v>1137</v>
      </c>
      <c r="F170" s="20">
        <f>$F$167*S170</f>
        <v>0</v>
      </c>
      <c r="G170" s="21">
        <f>V170</f>
        <v>0</v>
      </c>
      <c r="H170" s="9">
        <f t="shared" si="201"/>
        <v>0</v>
      </c>
      <c r="I170" s="9" t="s">
        <v>1153</v>
      </c>
      <c r="J170" s="9">
        <f t="shared" si="202"/>
        <v>0</v>
      </c>
      <c r="K170" s="9">
        <f t="shared" si="203"/>
        <v>0</v>
      </c>
      <c r="L170" s="9">
        <f t="shared" si="204"/>
        <v>0</v>
      </c>
      <c r="M170" s="11">
        <f t="shared" ref="M170:M171" si="208">$M$167</f>
        <v>5.8000000000000003E-2</v>
      </c>
      <c r="N170" s="9">
        <f t="shared" si="205"/>
        <v>0</v>
      </c>
      <c r="O170" s="12">
        <f t="shared" si="206"/>
        <v>0</v>
      </c>
      <c r="P170" s="13" t="str">
        <f t="shared" si="183"/>
        <v>NO</v>
      </c>
      <c r="Q170">
        <f>IF(D170="INCLUIDO",IF(F170&lt;&gt;0,1,0),0)</f>
        <v>0</v>
      </c>
      <c r="R170">
        <f>IF(I170="%o Al Millar",1000,IF(I170="% Al Porciento",100,IF(I170="$ Prima",G170)))</f>
        <v>1000</v>
      </c>
      <c r="S170">
        <f t="shared" si="207"/>
        <v>1</v>
      </c>
      <c r="T170" s="152">
        <v>0.3</v>
      </c>
      <c r="U170" s="159">
        <f>IF(E170="Excluido",0,$T$167*T170)</f>
        <v>1.5</v>
      </c>
      <c r="V170" s="160">
        <f>IF($F170=0,0,U170)</f>
        <v>0</v>
      </c>
    </row>
    <row r="171" spans="1:22" ht="15" hidden="1" customHeight="1" thickBot="1" x14ac:dyDescent="0.35">
      <c r="A171" s="34" t="s">
        <v>1261</v>
      </c>
      <c r="B171" s="36"/>
      <c r="C171" s="81">
        <f>$O$12</f>
        <v>0</v>
      </c>
      <c r="D171" s="29" t="str">
        <f>D167</f>
        <v>INCLUIDO</v>
      </c>
      <c r="E171" s="27" t="s">
        <v>1186</v>
      </c>
      <c r="F171" s="9">
        <f>(F170*$O$12)*S171</f>
        <v>0</v>
      </c>
      <c r="G171" s="10">
        <f>G170*0.35</f>
        <v>0</v>
      </c>
      <c r="H171" s="9">
        <f t="shared" si="201"/>
        <v>0</v>
      </c>
      <c r="I171" s="9" t="s">
        <v>1153</v>
      </c>
      <c r="J171" s="9">
        <f t="shared" si="202"/>
        <v>0</v>
      </c>
      <c r="K171" s="9">
        <f t="shared" si="203"/>
        <v>0</v>
      </c>
      <c r="L171" s="9">
        <f t="shared" si="204"/>
        <v>0</v>
      </c>
      <c r="M171" s="11">
        <f t="shared" si="208"/>
        <v>5.8000000000000003E-2</v>
      </c>
      <c r="N171" s="9">
        <f t="shared" si="205"/>
        <v>0</v>
      </c>
      <c r="O171" s="12">
        <f t="shared" si="206"/>
        <v>0</v>
      </c>
      <c r="P171" s="13" t="str">
        <f t="shared" si="183"/>
        <v>NO</v>
      </c>
      <c r="Q171">
        <f>IF(D171="INCLUIDO",IF(F171&lt;&gt;0,1,0),0)</f>
        <v>0</v>
      </c>
      <c r="R171">
        <f>IF(I171="%o Al Millar",1000,IF(I171="% Al Porciento",100,IF(I171="$ Prima",G171)))</f>
        <v>1000</v>
      </c>
      <c r="S171">
        <f t="shared" si="207"/>
        <v>0</v>
      </c>
      <c r="T171" s="164"/>
      <c r="U171" s="165"/>
      <c r="V171" s="166"/>
    </row>
    <row r="172" spans="1:22" s="18" customFormat="1" ht="15" hidden="1" thickBot="1" x14ac:dyDescent="0.35">
      <c r="A172" s="24"/>
      <c r="B172" s="26"/>
      <c r="C172" s="15" t="s">
        <v>1177</v>
      </c>
      <c r="D172" s="38" t="str">
        <f>D171</f>
        <v>INCLUIDO</v>
      </c>
      <c r="E172" s="38"/>
      <c r="F172" s="16">
        <f>SUMIF(E168:E171,"Adicional",F168:F171)</f>
        <v>0</v>
      </c>
      <c r="G172" s="17"/>
      <c r="H172" s="16">
        <f>SUM(H168:H171)</f>
        <v>0</v>
      </c>
      <c r="I172" s="16"/>
      <c r="J172" s="16">
        <f t="shared" ref="J172:L172" si="209">SUM(J168:J171)</f>
        <v>0</v>
      </c>
      <c r="K172" s="16">
        <f t="shared" si="209"/>
        <v>0</v>
      </c>
      <c r="L172" s="16">
        <f t="shared" si="209"/>
        <v>0</v>
      </c>
      <c r="M172" s="16" t="s">
        <v>1178</v>
      </c>
      <c r="N172" s="16">
        <f t="shared" ref="N172:O172" si="210">SUM(N168:N171)</f>
        <v>0</v>
      </c>
      <c r="O172" s="84">
        <f t="shared" si="210"/>
        <v>0</v>
      </c>
      <c r="P172" s="13" t="str">
        <f t="shared" si="183"/>
        <v>NO</v>
      </c>
      <c r="Q172">
        <f>IF(D172="INCLUIDO",IF(H172&lt;&gt;0,1,0),0)</f>
        <v>0</v>
      </c>
      <c r="T172" s="143">
        <f>SUM(T168:T171)</f>
        <v>1</v>
      </c>
      <c r="U172" s="144">
        <f>SUM(U168:U170)</f>
        <v>5</v>
      </c>
      <c r="V172" s="145">
        <f>SUM(V168:V170)</f>
        <v>3.5</v>
      </c>
    </row>
    <row r="173" spans="1:22" ht="15" hidden="1" customHeight="1" thickBot="1" x14ac:dyDescent="0.35">
      <c r="A173" s="82">
        <v>906</v>
      </c>
      <c r="B173" s="33">
        <v>3</v>
      </c>
      <c r="C173" s="19" t="s">
        <v>1264</v>
      </c>
      <c r="D173" s="23" t="str">
        <f>'Ramo Comercial'!C140</f>
        <v>INCLUIDO</v>
      </c>
      <c r="E173" s="91"/>
      <c r="F173" s="132">
        <v>0</v>
      </c>
      <c r="G173" s="132">
        <v>1</v>
      </c>
      <c r="H173" s="28"/>
      <c r="I173" s="28"/>
      <c r="J173" s="28"/>
      <c r="K173" s="28"/>
      <c r="L173" s="28"/>
      <c r="M173" s="68">
        <v>0</v>
      </c>
      <c r="N173" s="28"/>
      <c r="O173" s="83"/>
      <c r="P173" s="13" t="str">
        <f t="shared" si="183"/>
        <v>NO</v>
      </c>
      <c r="Q173" s="48">
        <f>IF(D173="INCLUIDO",IF(F173&lt;&gt;0,1,0),0)</f>
        <v>0</v>
      </c>
      <c r="T173" s="142">
        <f>G173</f>
        <v>1</v>
      </c>
      <c r="V173" s="153"/>
    </row>
    <row r="174" spans="1:22" ht="15" hidden="1" customHeight="1" x14ac:dyDescent="0.3">
      <c r="A174" s="34" t="s">
        <v>1261</v>
      </c>
      <c r="B174" s="36">
        <v>114</v>
      </c>
      <c r="C174" s="29" t="s">
        <v>1151</v>
      </c>
      <c r="D174" s="29" t="str">
        <f>D173</f>
        <v>INCLUIDO</v>
      </c>
      <c r="E174" s="27" t="s">
        <v>1186</v>
      </c>
      <c r="F174" s="20">
        <f>$F$173*S174</f>
        <v>0</v>
      </c>
      <c r="G174" s="21">
        <f>V174</f>
        <v>1</v>
      </c>
      <c r="H174" s="9">
        <f t="shared" ref="H174:H177" si="211">(IF(I174="$ Prima",G174,G174*F174/R174))*$U$9</f>
        <v>0</v>
      </c>
      <c r="I174" s="9" t="s">
        <v>1235</v>
      </c>
      <c r="J174" s="9">
        <f t="shared" ref="J174:J177" si="212">H174*$U$7</f>
        <v>0</v>
      </c>
      <c r="K174" s="9">
        <f t="shared" ref="K174:K177" si="213">(H174+J174)*$K$15</f>
        <v>0</v>
      </c>
      <c r="L174" s="9">
        <f t="shared" ref="L174:L177" si="214">ROUND(H174+J174+K174,2)</f>
        <v>0</v>
      </c>
      <c r="M174" s="11">
        <f>$M$173</f>
        <v>0</v>
      </c>
      <c r="N174" s="9">
        <f t="shared" ref="N174:N177" si="215">H174*M174</f>
        <v>0</v>
      </c>
      <c r="O174" s="12">
        <f t="shared" ref="O174:O177" si="216">N174</f>
        <v>0</v>
      </c>
      <c r="P174" s="13" t="str">
        <f t="shared" si="183"/>
        <v>NO</v>
      </c>
      <c r="Q174">
        <f>IF(D174="INCLUIDO",IF(F174&lt;&gt;0,1,0),0)</f>
        <v>0</v>
      </c>
      <c r="R174">
        <f>IF(I174="%o Al Millar",1000,IF(I174="% Al Porciento",100,IF(I174="$ Prima",G174)))</f>
        <v>100</v>
      </c>
      <c r="S174">
        <f t="shared" ref="S174:S177" si="217">IF(E174="Excluido",0,IF(D174="NO APLICA",0,1))</f>
        <v>0</v>
      </c>
      <c r="T174" s="152">
        <v>0.4</v>
      </c>
      <c r="U174" s="159">
        <f>IF(E174="Excluido",0,T173*T174)</f>
        <v>0</v>
      </c>
      <c r="V174" s="160">
        <f>IF(D173="NO APLICA",0,(U186-U176-U180-U184)+(T173-U186))</f>
        <v>1</v>
      </c>
    </row>
    <row r="175" spans="1:22" ht="15" hidden="1" customHeight="1" x14ac:dyDescent="0.3">
      <c r="A175" s="34" t="s">
        <v>1261</v>
      </c>
      <c r="B175" s="36"/>
      <c r="C175" s="81">
        <f>$O$12</f>
        <v>0</v>
      </c>
      <c r="D175" s="29" t="str">
        <f t="shared" si="197"/>
        <v>INCLUIDO</v>
      </c>
      <c r="E175" s="27" t="str">
        <f>E174</f>
        <v>Excluido</v>
      </c>
      <c r="F175" s="9">
        <f>(F174*$O$12)*S175</f>
        <v>0</v>
      </c>
      <c r="G175" s="10">
        <f>G174*0.35</f>
        <v>0.35</v>
      </c>
      <c r="H175" s="9">
        <f t="shared" si="211"/>
        <v>0</v>
      </c>
      <c r="I175" s="9" t="s">
        <v>1235</v>
      </c>
      <c r="J175" s="9">
        <f t="shared" si="212"/>
        <v>0</v>
      </c>
      <c r="K175" s="9">
        <f t="shared" si="213"/>
        <v>0</v>
      </c>
      <c r="L175" s="9">
        <f t="shared" si="214"/>
        <v>0</v>
      </c>
      <c r="M175" s="11">
        <f t="shared" ref="M175" si="218">$M$161</f>
        <v>5.8000000000000003E-2</v>
      </c>
      <c r="N175" s="9">
        <f t="shared" si="215"/>
        <v>0</v>
      </c>
      <c r="O175" s="12">
        <f t="shared" si="216"/>
        <v>0</v>
      </c>
      <c r="P175" s="13" t="str">
        <f t="shared" si="183"/>
        <v>NO</v>
      </c>
      <c r="Q175">
        <f>IF(D175="INCLUIDO",IF(F175&lt;&gt;0,1,0),0)</f>
        <v>0</v>
      </c>
      <c r="R175">
        <f>IF(I175="%o Al Millar",1000,IF(I175="% Al Porciento",100,IF(I175="$ Prima",G175)))</f>
        <v>100</v>
      </c>
      <c r="S175">
        <f t="shared" si="217"/>
        <v>0</v>
      </c>
      <c r="T175" s="152"/>
      <c r="U175" s="159"/>
      <c r="V175" s="160"/>
    </row>
    <row r="176" spans="1:22" ht="15" hidden="1" customHeight="1" x14ac:dyDescent="0.3">
      <c r="A176" s="34" t="s">
        <v>1261</v>
      </c>
      <c r="B176" s="36">
        <v>113</v>
      </c>
      <c r="C176" s="29" t="s">
        <v>1262</v>
      </c>
      <c r="D176" s="29" t="str">
        <f>D173</f>
        <v>INCLUIDO</v>
      </c>
      <c r="E176" s="27" t="s">
        <v>1186</v>
      </c>
      <c r="F176" s="20">
        <f>$F$173*S176</f>
        <v>0</v>
      </c>
      <c r="G176" s="21">
        <f>V176</f>
        <v>0</v>
      </c>
      <c r="H176" s="9">
        <f t="shared" si="211"/>
        <v>0</v>
      </c>
      <c r="I176" s="9" t="s">
        <v>1235</v>
      </c>
      <c r="J176" s="9">
        <f t="shared" si="212"/>
        <v>0</v>
      </c>
      <c r="K176" s="9">
        <f t="shared" si="213"/>
        <v>0</v>
      </c>
      <c r="L176" s="9">
        <f t="shared" si="214"/>
        <v>0</v>
      </c>
      <c r="M176" s="11">
        <f t="shared" ref="M176:M177" si="219">$M$173</f>
        <v>0</v>
      </c>
      <c r="N176" s="9">
        <f t="shared" si="215"/>
        <v>0</v>
      </c>
      <c r="O176" s="12">
        <f t="shared" si="216"/>
        <v>0</v>
      </c>
      <c r="P176" s="13" t="str">
        <f t="shared" si="183"/>
        <v>NO</v>
      </c>
      <c r="Q176">
        <f>IF(D176="INCLUIDO",IF(F176&lt;&gt;0,1,0),0)</f>
        <v>0</v>
      </c>
      <c r="R176">
        <f>IF(I176="%o Al Millar",1000,IF(I176="% Al Porciento",100,IF(I176="$ Prima",G176)))</f>
        <v>100</v>
      </c>
      <c r="S176">
        <f t="shared" si="217"/>
        <v>0</v>
      </c>
      <c r="T176" s="152">
        <v>0.1</v>
      </c>
      <c r="U176" s="159">
        <f>IF(E176="Excluido",0,$T$173*T176)</f>
        <v>0</v>
      </c>
      <c r="V176" s="160">
        <f>IF($F176=0,0,U176)</f>
        <v>0</v>
      </c>
    </row>
    <row r="177" spans="1:22" ht="15" hidden="1" customHeight="1" x14ac:dyDescent="0.3">
      <c r="A177" s="34" t="s">
        <v>1261</v>
      </c>
      <c r="B177" s="36"/>
      <c r="C177" s="81">
        <f>$O$12</f>
        <v>0</v>
      </c>
      <c r="D177" s="29" t="str">
        <f>D173</f>
        <v>INCLUIDO</v>
      </c>
      <c r="E177" s="27" t="str">
        <f>E176</f>
        <v>Excluido</v>
      </c>
      <c r="F177" s="9">
        <f>(F176*$O$12)*S177</f>
        <v>0</v>
      </c>
      <c r="G177" s="21">
        <v>0</v>
      </c>
      <c r="H177" s="9">
        <f t="shared" si="211"/>
        <v>0</v>
      </c>
      <c r="I177" s="9" t="s">
        <v>1235</v>
      </c>
      <c r="J177" s="9">
        <f t="shared" si="212"/>
        <v>0</v>
      </c>
      <c r="K177" s="9">
        <f t="shared" si="213"/>
        <v>0</v>
      </c>
      <c r="L177" s="9">
        <f t="shared" si="214"/>
        <v>0</v>
      </c>
      <c r="M177" s="11">
        <f t="shared" si="219"/>
        <v>0</v>
      </c>
      <c r="N177" s="9">
        <f t="shared" si="215"/>
        <v>0</v>
      </c>
      <c r="O177" s="12">
        <f t="shared" si="216"/>
        <v>0</v>
      </c>
      <c r="P177" s="13" t="str">
        <f t="shared" si="183"/>
        <v>NO</v>
      </c>
      <c r="Q177">
        <f>IF(D177="INCLUIDO",IF(F177&lt;&gt;0,1,0),0)</f>
        <v>0</v>
      </c>
      <c r="R177">
        <f>IF(I177="%o Al Millar",1000,IF(I177="% Al Porciento",100,IF(I177="$ Prima",G177)))</f>
        <v>100</v>
      </c>
      <c r="S177">
        <f t="shared" si="217"/>
        <v>0</v>
      </c>
      <c r="T177" s="154"/>
      <c r="V177" s="153"/>
    </row>
    <row r="178" spans="1:22" s="18" customFormat="1" ht="15" hidden="1" customHeight="1" x14ac:dyDescent="0.3">
      <c r="A178" s="24"/>
      <c r="B178" s="26"/>
      <c r="C178" s="15" t="s">
        <v>1177</v>
      </c>
      <c r="D178" s="38" t="str">
        <f>D177</f>
        <v>INCLUIDO</v>
      </c>
      <c r="E178" s="38"/>
      <c r="F178" s="16"/>
      <c r="G178" s="17"/>
      <c r="H178" s="16">
        <f>SUM(H174:H177)</f>
        <v>0</v>
      </c>
      <c r="I178" s="16"/>
      <c r="J178" s="16">
        <f t="shared" ref="J178:L178" si="220">SUM(J174:J177)</f>
        <v>0</v>
      </c>
      <c r="K178" s="16">
        <f t="shared" si="220"/>
        <v>0</v>
      </c>
      <c r="L178" s="16">
        <f t="shared" si="220"/>
        <v>0</v>
      </c>
      <c r="M178" s="16" t="s">
        <v>1178</v>
      </c>
      <c r="N178" s="16">
        <f t="shared" ref="N178:O178" si="221">SUM(N174:N177)</f>
        <v>0</v>
      </c>
      <c r="O178" s="84">
        <f t="shared" si="221"/>
        <v>0</v>
      </c>
      <c r="P178" s="13" t="str">
        <f t="shared" si="183"/>
        <v>NO</v>
      </c>
      <c r="Q178">
        <f>IF(D178="INCLUIDO",IF(H178&lt;&gt;0,1,0),0)</f>
        <v>0</v>
      </c>
      <c r="T178" s="167"/>
      <c r="V178" s="168"/>
    </row>
    <row r="179" spans="1:22" ht="15" hidden="1" customHeight="1" x14ac:dyDescent="0.3">
      <c r="A179" s="82">
        <v>906</v>
      </c>
      <c r="B179" s="33">
        <v>4</v>
      </c>
      <c r="C179" s="19" t="s">
        <v>1265</v>
      </c>
      <c r="D179" s="23" t="str">
        <f>D173</f>
        <v>INCLUIDO</v>
      </c>
      <c r="E179" s="91"/>
      <c r="F179" s="113">
        <v>0</v>
      </c>
      <c r="G179" s="132"/>
      <c r="H179" s="28"/>
      <c r="I179" s="28"/>
      <c r="J179" s="28"/>
      <c r="K179" s="28"/>
      <c r="L179" s="28"/>
      <c r="M179" s="68">
        <v>0</v>
      </c>
      <c r="N179" s="28"/>
      <c r="O179" s="83"/>
      <c r="P179" s="13" t="str">
        <f t="shared" si="183"/>
        <v>NO</v>
      </c>
      <c r="Q179" s="48">
        <f>IF(D179="INCLUIDO",IF(F179&lt;&gt;0,1,0),0)</f>
        <v>0</v>
      </c>
      <c r="T179" s="154"/>
      <c r="V179" s="153"/>
    </row>
    <row r="180" spans="1:22" ht="15" hidden="1" customHeight="1" x14ac:dyDescent="0.3">
      <c r="A180" s="34" t="s">
        <v>1261</v>
      </c>
      <c r="B180" s="36">
        <v>115</v>
      </c>
      <c r="C180" s="29" t="s">
        <v>1170</v>
      </c>
      <c r="D180" s="29" t="str">
        <f>D173</f>
        <v>INCLUIDO</v>
      </c>
      <c r="E180" s="27" t="s">
        <v>1186</v>
      </c>
      <c r="F180" s="20">
        <f>F179*S180</f>
        <v>0</v>
      </c>
      <c r="G180" s="21">
        <f>V180</f>
        <v>0</v>
      </c>
      <c r="H180" s="9">
        <f t="shared" ref="H180:H181" si="222">(IF(I180="$ Prima",G180,G180*F180/R180))*$U$9</f>
        <v>0</v>
      </c>
      <c r="I180" s="9" t="s">
        <v>1235</v>
      </c>
      <c r="J180" s="9">
        <f t="shared" ref="J180:J181" si="223">H180*$U$7</f>
        <v>0</v>
      </c>
      <c r="K180" s="9">
        <f t="shared" ref="K180:K181" si="224">(H180+J180)*$K$15</f>
        <v>0</v>
      </c>
      <c r="L180" s="9">
        <f t="shared" ref="L180:L181" si="225">ROUND(H180+J180+K180,2)</f>
        <v>0</v>
      </c>
      <c r="M180" s="11">
        <f>$M$179</f>
        <v>0</v>
      </c>
      <c r="N180" s="9">
        <f t="shared" ref="N180:N181" si="226">H180*M180</f>
        <v>0</v>
      </c>
      <c r="O180" s="12">
        <f t="shared" ref="O180:O181" si="227">N180</f>
        <v>0</v>
      </c>
      <c r="P180" s="13" t="str">
        <f t="shared" si="183"/>
        <v>NO</v>
      </c>
      <c r="Q180">
        <f>IF(D180="INCLUIDO",IF(F180&lt;&gt;0,1,0),0)</f>
        <v>0</v>
      </c>
      <c r="R180">
        <f>IF(I180="%o Al Millar",1000,IF(I180="% Al Porciento",100,IF(I180="$ Prima",G180)))</f>
        <v>100</v>
      </c>
      <c r="S180">
        <f t="shared" ref="S180:S181" si="228">IF(E180="Excluido",0,IF(D180="NO APLICA",0,1))</f>
        <v>0</v>
      </c>
      <c r="T180" s="152">
        <v>0.25</v>
      </c>
      <c r="U180" s="159">
        <f>IF(E180="Excluido",0,$T$173*T180)</f>
        <v>0</v>
      </c>
      <c r="V180" s="160">
        <f>IF($F180=0,0,U180)</f>
        <v>0</v>
      </c>
    </row>
    <row r="181" spans="1:22" ht="15" hidden="1" customHeight="1" x14ac:dyDescent="0.3">
      <c r="A181" s="34" t="s">
        <v>1261</v>
      </c>
      <c r="B181" s="36"/>
      <c r="C181" s="81">
        <f>$O$12</f>
        <v>0</v>
      </c>
      <c r="D181" s="29" t="str">
        <f>D173</f>
        <v>INCLUIDO</v>
      </c>
      <c r="E181" s="27" t="str">
        <f>E180</f>
        <v>Excluido</v>
      </c>
      <c r="F181" s="9">
        <f>(F180*$O$12)*S181</f>
        <v>0</v>
      </c>
      <c r="G181" s="21">
        <v>0</v>
      </c>
      <c r="H181" s="9">
        <f t="shared" si="222"/>
        <v>0</v>
      </c>
      <c r="I181" s="9" t="s">
        <v>1235</v>
      </c>
      <c r="J181" s="9">
        <f t="shared" si="223"/>
        <v>0</v>
      </c>
      <c r="K181" s="9">
        <f t="shared" si="224"/>
        <v>0</v>
      </c>
      <c r="L181" s="9">
        <f t="shared" si="225"/>
        <v>0</v>
      </c>
      <c r="M181" s="11">
        <f>$M$179</f>
        <v>0</v>
      </c>
      <c r="N181" s="9">
        <f t="shared" si="226"/>
        <v>0</v>
      </c>
      <c r="O181" s="12">
        <f t="shared" si="227"/>
        <v>0</v>
      </c>
      <c r="P181" s="13" t="str">
        <f t="shared" si="183"/>
        <v>NO</v>
      </c>
      <c r="Q181">
        <f>IF(D181="INCLUIDO",IF(F181&lt;&gt;0,1,0),0)</f>
        <v>0</v>
      </c>
      <c r="R181">
        <f>IF(I181="%o Al Millar",1000,IF(I181="% Al Porciento",100,IF(I181="$ Prima",G181)))</f>
        <v>100</v>
      </c>
      <c r="S181">
        <f t="shared" si="228"/>
        <v>0</v>
      </c>
      <c r="T181" s="154"/>
      <c r="V181" s="153"/>
    </row>
    <row r="182" spans="1:22" s="18" customFormat="1" ht="15" hidden="1" customHeight="1" x14ac:dyDescent="0.3">
      <c r="A182" s="24"/>
      <c r="B182" s="26"/>
      <c r="C182" s="15" t="s">
        <v>1177</v>
      </c>
      <c r="D182" s="38" t="str">
        <f>D181</f>
        <v>INCLUIDO</v>
      </c>
      <c r="E182" s="38"/>
      <c r="F182" s="16"/>
      <c r="G182" s="17"/>
      <c r="H182" s="16">
        <f>SUM(H180:H181)</f>
        <v>0</v>
      </c>
      <c r="I182" s="16"/>
      <c r="J182" s="16">
        <f t="shared" ref="J182:L182" si="229">SUM(J180:J181)</f>
        <v>0</v>
      </c>
      <c r="K182" s="16">
        <f t="shared" si="229"/>
        <v>0</v>
      </c>
      <c r="L182" s="16">
        <f t="shared" si="229"/>
        <v>0</v>
      </c>
      <c r="M182" s="16" t="s">
        <v>1178</v>
      </c>
      <c r="N182" s="16">
        <f t="shared" ref="N182:O182" si="230">SUM(N180:N181)</f>
        <v>0</v>
      </c>
      <c r="O182" s="84">
        <f t="shared" si="230"/>
        <v>0</v>
      </c>
      <c r="P182" s="13" t="str">
        <f t="shared" si="183"/>
        <v>NO</v>
      </c>
      <c r="Q182">
        <f>IF(D182="INCLUIDO",IF(H182&lt;&gt;0,1,0),0)</f>
        <v>0</v>
      </c>
      <c r="T182" s="167"/>
      <c r="V182" s="168"/>
    </row>
    <row r="183" spans="1:22" ht="15" hidden="1" customHeight="1" x14ac:dyDescent="0.3">
      <c r="A183" s="82">
        <v>906</v>
      </c>
      <c r="B183" s="33">
        <v>5</v>
      </c>
      <c r="C183" s="19" t="s">
        <v>1266</v>
      </c>
      <c r="D183" s="23" t="str">
        <f>D173</f>
        <v>INCLUIDO</v>
      </c>
      <c r="E183" s="91"/>
      <c r="F183" s="42">
        <v>0</v>
      </c>
      <c r="G183" s="43"/>
      <c r="H183" s="28"/>
      <c r="I183" s="28"/>
      <c r="J183" s="28"/>
      <c r="K183" s="28"/>
      <c r="L183" s="28"/>
      <c r="M183" s="68">
        <v>0</v>
      </c>
      <c r="N183" s="28"/>
      <c r="O183" s="83"/>
      <c r="P183" s="13" t="str">
        <f t="shared" si="183"/>
        <v>NO</v>
      </c>
      <c r="Q183" s="48">
        <f>IF(D183="INCLUIDO",IF(F183&lt;&gt;0,1,0),0)</f>
        <v>0</v>
      </c>
      <c r="T183" s="154"/>
      <c r="V183" s="153"/>
    </row>
    <row r="184" spans="1:22" ht="15" hidden="1" customHeight="1" x14ac:dyDescent="0.3">
      <c r="A184" s="34" t="s">
        <v>1261</v>
      </c>
      <c r="B184" s="36">
        <v>116</v>
      </c>
      <c r="C184" s="29" t="s">
        <v>1267</v>
      </c>
      <c r="D184" s="29" t="str">
        <f>D173</f>
        <v>INCLUIDO</v>
      </c>
      <c r="E184" s="27" t="s">
        <v>1186</v>
      </c>
      <c r="F184" s="20">
        <f>F183*S184</f>
        <v>0</v>
      </c>
      <c r="G184" s="21">
        <f>V184</f>
        <v>0</v>
      </c>
      <c r="H184" s="9">
        <f t="shared" ref="H184:H185" si="231">(IF(I184="$ Prima",G184,G184*F184/R184))*$U$9</f>
        <v>0</v>
      </c>
      <c r="I184" s="9" t="s">
        <v>1235</v>
      </c>
      <c r="J184" s="9">
        <f t="shared" ref="J184:J185" si="232">H184*$U$7</f>
        <v>0</v>
      </c>
      <c r="K184" s="9">
        <f t="shared" ref="K184:K185" si="233">(H184+J184)*$K$15</f>
        <v>0</v>
      </c>
      <c r="L184" s="9">
        <f t="shared" ref="L184:L185" si="234">ROUND(H184+J184+K184,2)</f>
        <v>0</v>
      </c>
      <c r="M184" s="11">
        <f>$M$183</f>
        <v>0</v>
      </c>
      <c r="N184" s="9">
        <f t="shared" ref="N184:N185" si="235">H184*M184</f>
        <v>0</v>
      </c>
      <c r="O184" s="12">
        <f t="shared" ref="O184:O185" si="236">N184</f>
        <v>0</v>
      </c>
      <c r="P184" s="13" t="str">
        <f t="shared" si="183"/>
        <v>NO</v>
      </c>
      <c r="Q184">
        <f>IF(D184="INCLUIDO",IF(F184&lt;&gt;0,1,0),0)</f>
        <v>0</v>
      </c>
      <c r="R184">
        <f>IF(I184="%o Al Millar",1000,IF(I184="% Al Porciento",100,IF(I184="$ Prima",G184)))</f>
        <v>100</v>
      </c>
      <c r="S184">
        <f t="shared" ref="S184:S185" si="237">IF(E184="Excluido",0,IF(D184="NO APLICA",0,1))</f>
        <v>0</v>
      </c>
      <c r="T184" s="152">
        <v>0.25</v>
      </c>
      <c r="U184" s="159">
        <f>IF(E184="Excluido",0,$T$173*T184)</f>
        <v>0</v>
      </c>
      <c r="V184" s="160">
        <f>IF($F184=0,0,U184)</f>
        <v>0</v>
      </c>
    </row>
    <row r="185" spans="1:22" ht="15" hidden="1" customHeight="1" thickBot="1" x14ac:dyDescent="0.35">
      <c r="A185" s="34" t="s">
        <v>1261</v>
      </c>
      <c r="B185" s="36"/>
      <c r="C185" s="81">
        <f>$O$12</f>
        <v>0</v>
      </c>
      <c r="D185" s="29" t="str">
        <f>D173</f>
        <v>INCLUIDO</v>
      </c>
      <c r="E185" s="27" t="str">
        <f>E184</f>
        <v>Excluido</v>
      </c>
      <c r="F185" s="9">
        <f>(F184*$O$12)*S185</f>
        <v>0</v>
      </c>
      <c r="G185" s="21">
        <v>0</v>
      </c>
      <c r="H185" s="9">
        <f t="shared" si="231"/>
        <v>0</v>
      </c>
      <c r="I185" s="9" t="s">
        <v>1235</v>
      </c>
      <c r="J185" s="9">
        <f t="shared" si="232"/>
        <v>0</v>
      </c>
      <c r="K185" s="9">
        <f t="shared" si="233"/>
        <v>0</v>
      </c>
      <c r="L185" s="9">
        <f t="shared" si="234"/>
        <v>0</v>
      </c>
      <c r="M185" s="11">
        <f>$M$183</f>
        <v>0</v>
      </c>
      <c r="N185" s="9">
        <f t="shared" si="235"/>
        <v>0</v>
      </c>
      <c r="O185" s="12">
        <f t="shared" si="236"/>
        <v>0</v>
      </c>
      <c r="P185" s="13" t="str">
        <f t="shared" si="183"/>
        <v>NO</v>
      </c>
      <c r="Q185">
        <f>IF(D185="INCLUIDO",IF(F185&lt;&gt;0,1,0),0)</f>
        <v>0</v>
      </c>
      <c r="R185">
        <f>IF(I185="%o Al Millar",1000,IF(I185="% Al Porciento",100,IF(I185="$ Prima",G185)))</f>
        <v>100</v>
      </c>
      <c r="S185">
        <f t="shared" si="237"/>
        <v>0</v>
      </c>
      <c r="T185" s="154"/>
      <c r="V185" s="153"/>
    </row>
    <row r="186" spans="1:22" s="18" customFormat="1" ht="15" hidden="1" customHeight="1" thickBot="1" x14ac:dyDescent="0.35">
      <c r="A186" s="24"/>
      <c r="B186" s="26"/>
      <c r="C186" s="15" t="s">
        <v>1177</v>
      </c>
      <c r="D186" s="38" t="str">
        <f>D185</f>
        <v>INCLUIDO</v>
      </c>
      <c r="E186" s="38"/>
      <c r="F186" s="16">
        <f>SUMIF(E174:E185,"Adicional",F174:F185)</f>
        <v>0</v>
      </c>
      <c r="G186" s="17"/>
      <c r="H186" s="16">
        <f>SUM(H184:H185)</f>
        <v>0</v>
      </c>
      <c r="I186" s="16"/>
      <c r="J186" s="16">
        <f t="shared" ref="J186:L186" si="238">SUM(J184:J185)</f>
        <v>0</v>
      </c>
      <c r="K186" s="16">
        <f t="shared" si="238"/>
        <v>0</v>
      </c>
      <c r="L186" s="16">
        <f t="shared" si="238"/>
        <v>0</v>
      </c>
      <c r="M186" s="16" t="s">
        <v>1178</v>
      </c>
      <c r="N186" s="16">
        <f t="shared" ref="N186:O186" si="239">SUM(N184:N185)</f>
        <v>0</v>
      </c>
      <c r="O186" s="84">
        <f t="shared" si="239"/>
        <v>0</v>
      </c>
      <c r="P186" s="13" t="str">
        <f t="shared" si="183"/>
        <v>NO</v>
      </c>
      <c r="Q186">
        <f>IF(D186="INCLUIDO",IF(H186&lt;&gt;0,1,0),0)</f>
        <v>0</v>
      </c>
      <c r="T186" s="143">
        <f>SUM(T174:T185)</f>
        <v>1</v>
      </c>
      <c r="U186" s="144">
        <f t="shared" ref="U186:V186" si="240">SUM(U174:U185)</f>
        <v>0</v>
      </c>
      <c r="V186" s="145">
        <f t="shared" si="240"/>
        <v>1</v>
      </c>
    </row>
    <row r="187" spans="1:22" ht="15" hidden="1" thickBot="1" x14ac:dyDescent="0.35">
      <c r="A187" s="82">
        <v>906</v>
      </c>
      <c r="B187" s="33">
        <v>6</v>
      </c>
      <c r="C187" s="19" t="s">
        <v>1268</v>
      </c>
      <c r="D187" s="23" t="str">
        <f>'Ramo Comercial'!C145</f>
        <v>INCLUIDO</v>
      </c>
      <c r="E187" s="91"/>
      <c r="F187" s="43">
        <v>0</v>
      </c>
      <c r="G187" s="211">
        <f>'COTIZACIÓN M.N.'!E80</f>
        <v>18</v>
      </c>
      <c r="H187" s="28"/>
      <c r="I187" s="28"/>
      <c r="J187" s="28"/>
      <c r="K187" s="28"/>
      <c r="L187" s="28"/>
      <c r="M187" s="68">
        <v>5.8000000000000003E-2</v>
      </c>
      <c r="N187" s="28"/>
      <c r="O187" s="83"/>
      <c r="P187" s="13" t="str">
        <f t="shared" si="183"/>
        <v>NO</v>
      </c>
      <c r="Q187" s="47">
        <f>IF(D187="INCLUIDO",IF(F188&lt;&gt;0,1,0),0)</f>
        <v>0</v>
      </c>
      <c r="T187" s="142">
        <f>G187</f>
        <v>18</v>
      </c>
      <c r="U187" s="150"/>
      <c r="V187" s="151"/>
    </row>
    <row r="188" spans="1:22" hidden="1" x14ac:dyDescent="0.3">
      <c r="A188" s="34" t="s">
        <v>1261</v>
      </c>
      <c r="B188" s="36">
        <v>256</v>
      </c>
      <c r="C188" s="29" t="s">
        <v>1269</v>
      </c>
      <c r="D188" s="29" t="str">
        <f>$D$187</f>
        <v>INCLUIDO</v>
      </c>
      <c r="E188" s="27" t="s">
        <v>1152</v>
      </c>
      <c r="F188" s="9">
        <f>F187*S188</f>
        <v>0</v>
      </c>
      <c r="G188" s="21">
        <f>V188</f>
        <v>13.139999999999999</v>
      </c>
      <c r="H188" s="9">
        <f>(((IF(I188="$ Prima",G188,G188*F188/R188))*$U$9)/365)*$J$15</f>
        <v>0</v>
      </c>
      <c r="I188" s="9" t="s">
        <v>1153</v>
      </c>
      <c r="J188" s="9">
        <f t="shared" ref="J188:J201" si="241">H188*$U$7</f>
        <v>0</v>
      </c>
      <c r="K188" s="9">
        <f t="shared" ref="K188:K201" si="242">(H188+J188)*$K$15</f>
        <v>0</v>
      </c>
      <c r="L188" s="9">
        <f t="shared" ref="L188:L201" si="243">ROUND(H188+J188+K188,2)</f>
        <v>0</v>
      </c>
      <c r="M188" s="11">
        <f>$M$187</f>
        <v>5.8000000000000003E-2</v>
      </c>
      <c r="N188" s="9">
        <f t="shared" ref="N188:N201" si="244">H188*M188</f>
        <v>0</v>
      </c>
      <c r="O188" s="12">
        <f t="shared" ref="O188:O201" si="245">N188</f>
        <v>0</v>
      </c>
      <c r="P188" s="13" t="str">
        <f t="shared" si="183"/>
        <v>NO</v>
      </c>
      <c r="Q188">
        <f t="shared" ref="Q188:Q201" si="246">IF(D188="INCLUIDO",IF(F188&lt;&gt;0,1,0),0)</f>
        <v>0</v>
      </c>
      <c r="R188">
        <f t="shared" ref="R188:R201" si="247">IF(I188="%o Al Millar",1000,IF(I188="% Al Porciento",100,IF(I188="$ Prima",G188)))</f>
        <v>1000</v>
      </c>
      <c r="S188">
        <f t="shared" ref="S188:S201" si="248">IF(E188="Excluido",0,IF(D188="NO APLICA",0,1))</f>
        <v>1</v>
      </c>
      <c r="T188" s="152">
        <v>0.73</v>
      </c>
      <c r="U188" s="159">
        <f>IF(E188="Excluido",0,$T$187*T188)</f>
        <v>13.14</v>
      </c>
      <c r="V188" s="160">
        <f>IF(D187="NO APLICA",0,(U210-U192-U194-U196-U198-U204-U208)+(T187-U210))</f>
        <v>13.139999999999999</v>
      </c>
    </row>
    <row r="189" spans="1:22" hidden="1" x14ac:dyDescent="0.3">
      <c r="A189" s="34" t="s">
        <v>1261</v>
      </c>
      <c r="B189" s="36"/>
      <c r="C189" s="81">
        <f>$O$12</f>
        <v>0</v>
      </c>
      <c r="D189" s="29" t="str">
        <f t="shared" ref="D189:D201" si="249">$D$187</f>
        <v>INCLUIDO</v>
      </c>
      <c r="E189" s="27" t="s">
        <v>1186</v>
      </c>
      <c r="F189" s="9">
        <f>(F188*$O$12)*S189</f>
        <v>0</v>
      </c>
      <c r="G189" s="21">
        <f>(G188*0.35)*S189</f>
        <v>0</v>
      </c>
      <c r="H189" s="9">
        <f t="shared" ref="H189:H201" si="250">(IF(I189="$ Prima",G189,G189*F189/R189))*$U$9</f>
        <v>0</v>
      </c>
      <c r="I189" s="9" t="s">
        <v>1153</v>
      </c>
      <c r="J189" s="9">
        <f t="shared" si="241"/>
        <v>0</v>
      </c>
      <c r="K189" s="9">
        <f t="shared" si="242"/>
        <v>0</v>
      </c>
      <c r="L189" s="9">
        <f t="shared" si="243"/>
        <v>0</v>
      </c>
      <c r="M189" s="11">
        <f>M188</f>
        <v>5.8000000000000003E-2</v>
      </c>
      <c r="N189" s="9">
        <f t="shared" si="244"/>
        <v>0</v>
      </c>
      <c r="O189" s="12">
        <f t="shared" si="245"/>
        <v>0</v>
      </c>
      <c r="P189" s="13" t="str">
        <f t="shared" si="183"/>
        <v>NO</v>
      </c>
      <c r="Q189">
        <f>IF(D189="INCLUIDO",IF(F189&lt;&gt;0,1,0),0)</f>
        <v>0</v>
      </c>
      <c r="R189">
        <f>IF(I189="%o Al Millar",1000,IF(I189="% Al Porciento",100,IF(I189="$ Prima",G189)))</f>
        <v>1000</v>
      </c>
      <c r="S189">
        <f t="shared" si="248"/>
        <v>0</v>
      </c>
      <c r="T189" s="152"/>
      <c r="U189" s="159"/>
      <c r="V189" s="160"/>
    </row>
    <row r="190" spans="1:22" ht="15" hidden="1" customHeight="1" x14ac:dyDescent="0.3">
      <c r="A190" s="34" t="s">
        <v>1261</v>
      </c>
      <c r="B190" s="36">
        <v>257</v>
      </c>
      <c r="C190" s="29" t="s">
        <v>1270</v>
      </c>
      <c r="D190" s="29" t="str">
        <f t="shared" si="249"/>
        <v>INCLUIDO</v>
      </c>
      <c r="E190" s="27" t="s">
        <v>1137</v>
      </c>
      <c r="F190" s="43">
        <v>0</v>
      </c>
      <c r="G190" s="132">
        <f>'COTIZACIÓN M.N.'!E81</f>
        <v>10</v>
      </c>
      <c r="H190" s="9">
        <f t="shared" si="250"/>
        <v>0</v>
      </c>
      <c r="I190" s="9" t="s">
        <v>1153</v>
      </c>
      <c r="J190" s="9">
        <f t="shared" si="241"/>
        <v>0</v>
      </c>
      <c r="K190" s="9">
        <f t="shared" si="242"/>
        <v>0</v>
      </c>
      <c r="L190" s="9">
        <f t="shared" si="243"/>
        <v>0</v>
      </c>
      <c r="M190" s="11">
        <f>$M$187</f>
        <v>5.8000000000000003E-2</v>
      </c>
      <c r="N190" s="9">
        <f t="shared" si="244"/>
        <v>0</v>
      </c>
      <c r="O190" s="12">
        <f t="shared" si="245"/>
        <v>0</v>
      </c>
      <c r="P190" s="13" t="str">
        <f t="shared" si="183"/>
        <v>NO</v>
      </c>
      <c r="Q190">
        <f t="shared" si="246"/>
        <v>0</v>
      </c>
      <c r="R190">
        <f t="shared" si="247"/>
        <v>1000</v>
      </c>
      <c r="S190">
        <f t="shared" si="248"/>
        <v>1</v>
      </c>
      <c r="T190" s="152"/>
      <c r="U190" s="159"/>
      <c r="V190" s="160"/>
    </row>
    <row r="191" spans="1:22" ht="15" hidden="1" customHeight="1" x14ac:dyDescent="0.3">
      <c r="A191" s="34" t="s">
        <v>1261</v>
      </c>
      <c r="B191" s="36"/>
      <c r="C191" s="81">
        <f>$O$12</f>
        <v>0</v>
      </c>
      <c r="D191" s="29" t="str">
        <f t="shared" si="249"/>
        <v>INCLUIDO</v>
      </c>
      <c r="E191" s="27" t="s">
        <v>1186</v>
      </c>
      <c r="F191" s="9">
        <f>(F190*$O$12)*S191</f>
        <v>0</v>
      </c>
      <c r="G191" s="21">
        <f>G190*0.35</f>
        <v>3.5</v>
      </c>
      <c r="H191" s="9">
        <f t="shared" si="250"/>
        <v>0</v>
      </c>
      <c r="I191" s="9" t="s">
        <v>1153</v>
      </c>
      <c r="J191" s="9">
        <f t="shared" si="241"/>
        <v>0</v>
      </c>
      <c r="K191" s="9">
        <f t="shared" si="242"/>
        <v>0</v>
      </c>
      <c r="L191" s="9">
        <f t="shared" si="243"/>
        <v>0</v>
      </c>
      <c r="M191" s="11">
        <f>$M$179</f>
        <v>0</v>
      </c>
      <c r="N191" s="9">
        <f t="shared" si="244"/>
        <v>0</v>
      </c>
      <c r="O191" s="12">
        <f t="shared" si="245"/>
        <v>0</v>
      </c>
      <c r="P191" s="13" t="str">
        <f t="shared" si="183"/>
        <v>NO</v>
      </c>
      <c r="Q191">
        <f>IF(D191="INCLUIDO",IF(F191&lt;&gt;0,1,0),0)</f>
        <v>0</v>
      </c>
      <c r="R191">
        <f>IF(I191="%o Al Millar",1000,IF(I191="% Al Porciento",100,IF(I191="$ Prima",G191)))</f>
        <v>1000</v>
      </c>
      <c r="S191">
        <f t="shared" si="248"/>
        <v>0</v>
      </c>
      <c r="T191" s="154"/>
      <c r="V191" s="153"/>
    </row>
    <row r="192" spans="1:22" hidden="1" x14ac:dyDescent="0.3">
      <c r="A192" s="34" t="s">
        <v>1261</v>
      </c>
      <c r="B192" s="36">
        <v>120</v>
      </c>
      <c r="C192" s="29" t="s">
        <v>1271</v>
      </c>
      <c r="D192" s="29" t="str">
        <f t="shared" si="249"/>
        <v>INCLUIDO</v>
      </c>
      <c r="E192" s="27" t="s">
        <v>1137</v>
      </c>
      <c r="F192" s="20">
        <f>(IF($E$190="Sublimite",$F$188,$F$188+$F$190))*S192</f>
        <v>0</v>
      </c>
      <c r="G192" s="21">
        <f>V192</f>
        <v>0</v>
      </c>
      <c r="H192" s="9">
        <f t="shared" si="250"/>
        <v>0</v>
      </c>
      <c r="I192" s="9" t="s">
        <v>1153</v>
      </c>
      <c r="J192" s="9">
        <f t="shared" si="241"/>
        <v>0</v>
      </c>
      <c r="K192" s="9">
        <f t="shared" si="242"/>
        <v>0</v>
      </c>
      <c r="L192" s="9">
        <f t="shared" si="243"/>
        <v>0</v>
      </c>
      <c r="M192" s="11">
        <f>$M$187</f>
        <v>5.8000000000000003E-2</v>
      </c>
      <c r="N192" s="9">
        <f t="shared" si="244"/>
        <v>0</v>
      </c>
      <c r="O192" s="12">
        <f t="shared" si="245"/>
        <v>0</v>
      </c>
      <c r="P192" s="13" t="str">
        <f t="shared" si="183"/>
        <v>NO</v>
      </c>
      <c r="Q192">
        <f t="shared" si="246"/>
        <v>0</v>
      </c>
      <c r="R192">
        <f t="shared" si="247"/>
        <v>1000</v>
      </c>
      <c r="S192">
        <f t="shared" si="248"/>
        <v>1</v>
      </c>
      <c r="T192" s="152">
        <v>0.1</v>
      </c>
      <c r="U192" s="159">
        <f>IF(E192="Excluido",0,$T$187*T192)</f>
        <v>1.8</v>
      </c>
      <c r="V192" s="160">
        <f>IF($F$187=0,0,U192)</f>
        <v>0</v>
      </c>
    </row>
    <row r="193" spans="1:22" hidden="1" x14ac:dyDescent="0.3">
      <c r="A193" s="34" t="s">
        <v>1261</v>
      </c>
      <c r="B193" s="36"/>
      <c r="C193" s="81">
        <f>$O$12</f>
        <v>0</v>
      </c>
      <c r="D193" s="29" t="str">
        <f t="shared" si="249"/>
        <v>INCLUIDO</v>
      </c>
      <c r="E193" s="27" t="s">
        <v>1186</v>
      </c>
      <c r="F193" s="9">
        <f>(F192*$O$12)*S193</f>
        <v>0</v>
      </c>
      <c r="G193" s="21">
        <f>G192*0.35</f>
        <v>0</v>
      </c>
      <c r="H193" s="9">
        <f t="shared" si="250"/>
        <v>0</v>
      </c>
      <c r="I193" s="9" t="s">
        <v>1153</v>
      </c>
      <c r="J193" s="9">
        <f t="shared" si="241"/>
        <v>0</v>
      </c>
      <c r="K193" s="9">
        <f t="shared" si="242"/>
        <v>0</v>
      </c>
      <c r="L193" s="9">
        <f t="shared" si="243"/>
        <v>0</v>
      </c>
      <c r="M193" s="11">
        <f>M192</f>
        <v>5.8000000000000003E-2</v>
      </c>
      <c r="N193" s="9">
        <f t="shared" si="244"/>
        <v>0</v>
      </c>
      <c r="O193" s="12">
        <f t="shared" si="245"/>
        <v>0</v>
      </c>
      <c r="P193" s="13" t="str">
        <f>IF(Q193=1,"SI","NO")</f>
        <v>NO</v>
      </c>
      <c r="Q193">
        <f>IF(D193="INCLUIDO",IF(F193&lt;&gt;0,1,0),0)</f>
        <v>0</v>
      </c>
      <c r="R193">
        <f>IF(I193="%o Al Millar",1000,IF(I193="% Al Porciento",100,IF(I193="$ Prima",G193)))</f>
        <v>1000</v>
      </c>
      <c r="S193">
        <f t="shared" si="248"/>
        <v>0</v>
      </c>
      <c r="T193" s="154"/>
      <c r="V193" s="153"/>
    </row>
    <row r="194" spans="1:22" hidden="1" x14ac:dyDescent="0.3">
      <c r="A194" s="34" t="s">
        <v>1261</v>
      </c>
      <c r="B194" s="36">
        <v>121</v>
      </c>
      <c r="C194" s="29" t="s">
        <v>1272</v>
      </c>
      <c r="D194" s="29" t="str">
        <f t="shared" si="249"/>
        <v>INCLUIDO</v>
      </c>
      <c r="E194" s="27" t="s">
        <v>1137</v>
      </c>
      <c r="F194" s="20">
        <f>(IF($E$190="Sublimite",$F$188,$F$188+$F$190))*S194</f>
        <v>0</v>
      </c>
      <c r="G194" s="21">
        <f>V194</f>
        <v>0</v>
      </c>
      <c r="H194" s="9">
        <f t="shared" si="250"/>
        <v>0</v>
      </c>
      <c r="I194" s="9" t="s">
        <v>1153</v>
      </c>
      <c r="J194" s="9">
        <f t="shared" si="241"/>
        <v>0</v>
      </c>
      <c r="K194" s="9">
        <f t="shared" si="242"/>
        <v>0</v>
      </c>
      <c r="L194" s="9">
        <f t="shared" si="243"/>
        <v>0</v>
      </c>
      <c r="M194" s="11">
        <f>$M$187</f>
        <v>5.8000000000000003E-2</v>
      </c>
      <c r="N194" s="9">
        <f t="shared" si="244"/>
        <v>0</v>
      </c>
      <c r="O194" s="12">
        <f t="shared" si="245"/>
        <v>0</v>
      </c>
      <c r="P194" s="13" t="str">
        <f t="shared" si="183"/>
        <v>NO</v>
      </c>
      <c r="Q194">
        <f t="shared" si="246"/>
        <v>0</v>
      </c>
      <c r="R194">
        <f t="shared" si="247"/>
        <v>1000</v>
      </c>
      <c r="S194">
        <f t="shared" si="248"/>
        <v>1</v>
      </c>
      <c r="T194" s="152">
        <v>0.05</v>
      </c>
      <c r="U194" s="159">
        <f>IF(E194="Excluido",0,$T$187*T194)</f>
        <v>0.9</v>
      </c>
      <c r="V194" s="160">
        <f>IF($F$187=0,0,U194)</f>
        <v>0</v>
      </c>
    </row>
    <row r="195" spans="1:22" hidden="1" x14ac:dyDescent="0.3">
      <c r="A195" s="34" t="s">
        <v>1261</v>
      </c>
      <c r="B195" s="36"/>
      <c r="C195" s="81">
        <f>$O$12</f>
        <v>0</v>
      </c>
      <c r="D195" s="29" t="str">
        <f t="shared" si="249"/>
        <v>INCLUIDO</v>
      </c>
      <c r="E195" s="27" t="s">
        <v>1186</v>
      </c>
      <c r="F195" s="9">
        <f>(F194*$O$12)*S195</f>
        <v>0</v>
      </c>
      <c r="G195" s="21">
        <f>G194*0.35</f>
        <v>0</v>
      </c>
      <c r="H195" s="9">
        <f t="shared" si="250"/>
        <v>0</v>
      </c>
      <c r="I195" s="9" t="s">
        <v>1153</v>
      </c>
      <c r="J195" s="9">
        <f t="shared" si="241"/>
        <v>0</v>
      </c>
      <c r="K195" s="9">
        <f t="shared" si="242"/>
        <v>0</v>
      </c>
      <c r="L195" s="9">
        <f t="shared" si="243"/>
        <v>0</v>
      </c>
      <c r="M195" s="11">
        <f>M194</f>
        <v>5.8000000000000003E-2</v>
      </c>
      <c r="N195" s="9">
        <f t="shared" si="244"/>
        <v>0</v>
      </c>
      <c r="O195" s="12">
        <f t="shared" si="245"/>
        <v>0</v>
      </c>
      <c r="P195" s="13" t="str">
        <f>IF(Q195=1,"SI","NO")</f>
        <v>NO</v>
      </c>
      <c r="Q195">
        <f>IF(D195="INCLUIDO",IF(F195&lt;&gt;0,1,0),0)</f>
        <v>0</v>
      </c>
      <c r="R195">
        <f>IF(I195="%o Al Millar",1000,IF(I195="% Al Porciento",100,IF(I195="$ Prima",G195)))</f>
        <v>1000</v>
      </c>
      <c r="S195">
        <f t="shared" si="248"/>
        <v>0</v>
      </c>
      <c r="T195" s="154"/>
      <c r="V195" s="153"/>
    </row>
    <row r="196" spans="1:22" hidden="1" x14ac:dyDescent="0.3">
      <c r="A196" s="34" t="s">
        <v>1261</v>
      </c>
      <c r="B196" s="36">
        <v>122</v>
      </c>
      <c r="C196" s="29" t="s">
        <v>1273</v>
      </c>
      <c r="D196" s="29" t="str">
        <f t="shared" si="249"/>
        <v>INCLUIDO</v>
      </c>
      <c r="E196" s="27" t="s">
        <v>1137</v>
      </c>
      <c r="F196" s="20">
        <f>(IF($E$190="Sublimite",$F$188,$F$188+$F$190))*S196</f>
        <v>0</v>
      </c>
      <c r="G196" s="21">
        <f>V196</f>
        <v>0</v>
      </c>
      <c r="H196" s="9">
        <f t="shared" si="250"/>
        <v>0</v>
      </c>
      <c r="I196" s="9" t="s">
        <v>1153</v>
      </c>
      <c r="J196" s="9">
        <f t="shared" si="241"/>
        <v>0</v>
      </c>
      <c r="K196" s="9">
        <f t="shared" si="242"/>
        <v>0</v>
      </c>
      <c r="L196" s="9">
        <f t="shared" si="243"/>
        <v>0</v>
      </c>
      <c r="M196" s="11">
        <f>$M$187</f>
        <v>5.8000000000000003E-2</v>
      </c>
      <c r="N196" s="9">
        <f t="shared" si="244"/>
        <v>0</v>
      </c>
      <c r="O196" s="12">
        <f t="shared" si="245"/>
        <v>0</v>
      </c>
      <c r="P196" s="13" t="str">
        <f t="shared" si="183"/>
        <v>NO</v>
      </c>
      <c r="Q196">
        <f t="shared" si="246"/>
        <v>0</v>
      </c>
      <c r="R196">
        <f t="shared" si="247"/>
        <v>1000</v>
      </c>
      <c r="S196">
        <f t="shared" si="248"/>
        <v>1</v>
      </c>
      <c r="T196" s="152">
        <v>0.05</v>
      </c>
      <c r="U196" s="159">
        <f>IF(E196="Excluido",0,$T$187*T196)</f>
        <v>0.9</v>
      </c>
      <c r="V196" s="160">
        <f>IF($F$187=0,0,U196)</f>
        <v>0</v>
      </c>
    </row>
    <row r="197" spans="1:22" hidden="1" x14ac:dyDescent="0.3">
      <c r="A197" s="34" t="s">
        <v>1261</v>
      </c>
      <c r="B197" s="36"/>
      <c r="C197" s="81">
        <f>$O$12</f>
        <v>0</v>
      </c>
      <c r="D197" s="29" t="str">
        <f t="shared" si="249"/>
        <v>INCLUIDO</v>
      </c>
      <c r="E197" s="27" t="s">
        <v>1186</v>
      </c>
      <c r="F197" s="9">
        <f>(F196*$O$12)*S197</f>
        <v>0</v>
      </c>
      <c r="G197" s="21">
        <f>G196*0.35</f>
        <v>0</v>
      </c>
      <c r="H197" s="9">
        <f t="shared" si="250"/>
        <v>0</v>
      </c>
      <c r="I197" s="9" t="s">
        <v>1153</v>
      </c>
      <c r="J197" s="9">
        <f t="shared" si="241"/>
        <v>0</v>
      </c>
      <c r="K197" s="9">
        <f t="shared" si="242"/>
        <v>0</v>
      </c>
      <c r="L197" s="9">
        <f t="shared" si="243"/>
        <v>0</v>
      </c>
      <c r="M197" s="11">
        <f>M196</f>
        <v>5.8000000000000003E-2</v>
      </c>
      <c r="N197" s="9">
        <f t="shared" si="244"/>
        <v>0</v>
      </c>
      <c r="O197" s="12">
        <f t="shared" si="245"/>
        <v>0</v>
      </c>
      <c r="P197" s="13" t="str">
        <f>IF(Q197=1,"SI","NO")</f>
        <v>NO</v>
      </c>
      <c r="Q197">
        <f>IF(D197="INCLUIDO",IF(F197&lt;&gt;0,1,0),0)</f>
        <v>0</v>
      </c>
      <c r="R197">
        <f>IF(I197="%o Al Millar",1000,IF(I197="% Al Porciento",100,IF(I197="$ Prima",G197)))</f>
        <v>1000</v>
      </c>
      <c r="S197">
        <f t="shared" si="248"/>
        <v>0</v>
      </c>
      <c r="T197" s="154"/>
      <c r="V197" s="153"/>
    </row>
    <row r="198" spans="1:22" ht="20.399999999999999" hidden="1" x14ac:dyDescent="0.3">
      <c r="A198" s="34" t="s">
        <v>1261</v>
      </c>
      <c r="B198" s="36">
        <v>119</v>
      </c>
      <c r="C198" s="29" t="s">
        <v>1274</v>
      </c>
      <c r="D198" s="29" t="str">
        <f t="shared" si="249"/>
        <v>INCLUIDO</v>
      </c>
      <c r="E198" s="27" t="s">
        <v>1137</v>
      </c>
      <c r="F198" s="20">
        <f>(IF($E$190="Sublimite",$F$188,$F$188+$F$190))*S198</f>
        <v>0</v>
      </c>
      <c r="G198" s="21">
        <f>V198</f>
        <v>0</v>
      </c>
      <c r="H198" s="9">
        <f t="shared" si="250"/>
        <v>0</v>
      </c>
      <c r="I198" s="9" t="s">
        <v>1153</v>
      </c>
      <c r="J198" s="9">
        <f t="shared" si="241"/>
        <v>0</v>
      </c>
      <c r="K198" s="9">
        <f t="shared" si="242"/>
        <v>0</v>
      </c>
      <c r="L198" s="9">
        <f t="shared" si="243"/>
        <v>0</v>
      </c>
      <c r="M198" s="11">
        <f>$M$187</f>
        <v>5.8000000000000003E-2</v>
      </c>
      <c r="N198" s="9">
        <f t="shared" si="244"/>
        <v>0</v>
      </c>
      <c r="O198" s="12">
        <f t="shared" si="245"/>
        <v>0</v>
      </c>
      <c r="P198" s="13" t="str">
        <f t="shared" si="183"/>
        <v>NO</v>
      </c>
      <c r="Q198">
        <f t="shared" si="246"/>
        <v>0</v>
      </c>
      <c r="R198">
        <f t="shared" si="247"/>
        <v>1000</v>
      </c>
      <c r="S198">
        <f t="shared" si="248"/>
        <v>1</v>
      </c>
      <c r="T198" s="152">
        <v>0.05</v>
      </c>
      <c r="U198" s="159">
        <f>IF(E198="Excluido",0,$T$187*T198)</f>
        <v>0.9</v>
      </c>
      <c r="V198" s="160">
        <f>IF($F$187=0,0,U198)</f>
        <v>0</v>
      </c>
    </row>
    <row r="199" spans="1:22" hidden="1" x14ac:dyDescent="0.3">
      <c r="A199" s="34" t="s">
        <v>1261</v>
      </c>
      <c r="B199" s="36"/>
      <c r="C199" s="81">
        <f>$O$12</f>
        <v>0</v>
      </c>
      <c r="D199" s="29" t="str">
        <f t="shared" si="249"/>
        <v>INCLUIDO</v>
      </c>
      <c r="E199" s="27" t="s">
        <v>1186</v>
      </c>
      <c r="F199" s="9">
        <f>(F198*$O$12)*S199</f>
        <v>0</v>
      </c>
      <c r="G199" s="21">
        <f>G198*0.35</f>
        <v>0</v>
      </c>
      <c r="H199" s="9">
        <f t="shared" si="250"/>
        <v>0</v>
      </c>
      <c r="I199" s="9" t="s">
        <v>1153</v>
      </c>
      <c r="J199" s="9">
        <f t="shared" si="241"/>
        <v>0</v>
      </c>
      <c r="K199" s="9">
        <f t="shared" si="242"/>
        <v>0</v>
      </c>
      <c r="L199" s="9">
        <f t="shared" si="243"/>
        <v>0</v>
      </c>
      <c r="M199" s="11">
        <f>M198</f>
        <v>5.8000000000000003E-2</v>
      </c>
      <c r="N199" s="9">
        <f t="shared" si="244"/>
        <v>0</v>
      </c>
      <c r="O199" s="12">
        <f t="shared" si="245"/>
        <v>0</v>
      </c>
      <c r="P199" s="13" t="str">
        <f>IF(Q199=1,"SI","NO")</f>
        <v>NO</v>
      </c>
      <c r="Q199">
        <f>IF(D199="INCLUIDO",IF(F199&lt;&gt;0,1,0),0)</f>
        <v>0</v>
      </c>
      <c r="R199">
        <f>IF(I199="%o Al Millar",1000,IF(I199="% Al Porciento",100,IF(I199="$ Prima",G199)))</f>
        <v>1000</v>
      </c>
      <c r="S199">
        <f t="shared" si="248"/>
        <v>0</v>
      </c>
      <c r="T199" s="154"/>
      <c r="V199" s="153"/>
    </row>
    <row r="200" spans="1:22" ht="15" hidden="1" customHeight="1" x14ac:dyDescent="0.3">
      <c r="A200" s="34" t="s">
        <v>1261</v>
      </c>
      <c r="B200" s="36">
        <v>258</v>
      </c>
      <c r="C200" s="29" t="s">
        <v>1275</v>
      </c>
      <c r="D200" s="29" t="str">
        <f t="shared" si="249"/>
        <v>INCLUIDO</v>
      </c>
      <c r="E200" s="27" t="s">
        <v>1186</v>
      </c>
      <c r="F200" s="20">
        <v>0</v>
      </c>
      <c r="G200" s="43">
        <v>0</v>
      </c>
      <c r="H200" s="9">
        <f t="shared" si="250"/>
        <v>0</v>
      </c>
      <c r="I200" s="9" t="s">
        <v>1153</v>
      </c>
      <c r="J200" s="9">
        <f t="shared" si="241"/>
        <v>0</v>
      </c>
      <c r="K200" s="9">
        <f t="shared" si="242"/>
        <v>0</v>
      </c>
      <c r="L200" s="9">
        <f t="shared" si="243"/>
        <v>0</v>
      </c>
      <c r="M200" s="11">
        <f>$M$187</f>
        <v>5.8000000000000003E-2</v>
      </c>
      <c r="N200" s="9">
        <f t="shared" si="244"/>
        <v>0</v>
      </c>
      <c r="O200" s="12">
        <f t="shared" si="245"/>
        <v>0</v>
      </c>
      <c r="P200" s="13" t="str">
        <f t="shared" si="183"/>
        <v>NO</v>
      </c>
      <c r="Q200">
        <f t="shared" si="246"/>
        <v>0</v>
      </c>
      <c r="R200">
        <f t="shared" si="247"/>
        <v>1000</v>
      </c>
      <c r="S200">
        <f t="shared" si="248"/>
        <v>0</v>
      </c>
      <c r="T200" s="152"/>
      <c r="U200" s="159"/>
      <c r="V200" s="160"/>
    </row>
    <row r="201" spans="1:22" ht="15" hidden="1" customHeight="1" x14ac:dyDescent="0.3">
      <c r="A201" s="34" t="s">
        <v>1261</v>
      </c>
      <c r="B201" s="36"/>
      <c r="C201" s="81">
        <f>$O$12</f>
        <v>0</v>
      </c>
      <c r="D201" s="29" t="str">
        <f t="shared" si="249"/>
        <v>INCLUIDO</v>
      </c>
      <c r="E201" s="27" t="s">
        <v>1186</v>
      </c>
      <c r="F201" s="9">
        <f>(F200*$O$12)*S201</f>
        <v>0</v>
      </c>
      <c r="G201" s="21">
        <f>G200*0.35</f>
        <v>0</v>
      </c>
      <c r="H201" s="9">
        <f t="shared" si="250"/>
        <v>0</v>
      </c>
      <c r="I201" s="9" t="s">
        <v>1153</v>
      </c>
      <c r="J201" s="9">
        <f t="shared" si="241"/>
        <v>0</v>
      </c>
      <c r="K201" s="9">
        <f t="shared" si="242"/>
        <v>0</v>
      </c>
      <c r="L201" s="9">
        <f t="shared" si="243"/>
        <v>0</v>
      </c>
      <c r="M201" s="11">
        <f>$M$187</f>
        <v>5.8000000000000003E-2</v>
      </c>
      <c r="N201" s="9">
        <f t="shared" si="244"/>
        <v>0</v>
      </c>
      <c r="O201" s="12">
        <f t="shared" si="245"/>
        <v>0</v>
      </c>
      <c r="P201" s="13" t="str">
        <f t="shared" si="183"/>
        <v>NO</v>
      </c>
      <c r="Q201">
        <f t="shared" si="246"/>
        <v>0</v>
      </c>
      <c r="R201">
        <f t="shared" si="247"/>
        <v>1000</v>
      </c>
      <c r="S201">
        <f t="shared" si="248"/>
        <v>0</v>
      </c>
      <c r="T201" s="154"/>
      <c r="V201" s="153"/>
    </row>
    <row r="202" spans="1:22" s="18" customFormat="1" hidden="1" x14ac:dyDescent="0.3">
      <c r="A202" s="24"/>
      <c r="B202" s="26"/>
      <c r="C202" s="15" t="s">
        <v>1177</v>
      </c>
      <c r="D202" s="38" t="str">
        <f>D201</f>
        <v>INCLUIDO</v>
      </c>
      <c r="E202" s="38"/>
      <c r="F202" s="16">
        <v>0</v>
      </c>
      <c r="G202" s="17"/>
      <c r="H202" s="16">
        <f>SUM(H188:H201)</f>
        <v>0</v>
      </c>
      <c r="I202" s="16"/>
      <c r="J202" s="16">
        <f>SUM(J188:J201)</f>
        <v>0</v>
      </c>
      <c r="K202" s="16">
        <f>SUM(K188:K201)</f>
        <v>0</v>
      </c>
      <c r="L202" s="16">
        <f>SUM(L188:L201)</f>
        <v>0</v>
      </c>
      <c r="M202" s="16" t="s">
        <v>1178</v>
      </c>
      <c r="N202" s="16">
        <f>SUM(N188:N201)</f>
        <v>0</v>
      </c>
      <c r="O202" s="84">
        <f>SUM(O188:O201)</f>
        <v>0</v>
      </c>
      <c r="P202" s="13" t="str">
        <f t="shared" si="183"/>
        <v>NO</v>
      </c>
      <c r="Q202">
        <f>IF(D202="INCLUIDO",IF(H202&lt;&gt;0,1,0),0)</f>
        <v>0</v>
      </c>
      <c r="T202" s="167"/>
      <c r="V202" s="168"/>
    </row>
    <row r="203" spans="1:22" hidden="1" x14ac:dyDescent="0.3">
      <c r="A203" s="82">
        <v>906</v>
      </c>
      <c r="B203" s="33">
        <v>7</v>
      </c>
      <c r="C203" s="19" t="s">
        <v>1276</v>
      </c>
      <c r="D203" s="23" t="str">
        <f>D187</f>
        <v>INCLUIDO</v>
      </c>
      <c r="E203" s="91"/>
      <c r="F203" s="28"/>
      <c r="G203" s="28"/>
      <c r="H203" s="28"/>
      <c r="I203" s="28"/>
      <c r="J203" s="28"/>
      <c r="K203" s="28"/>
      <c r="L203" s="28"/>
      <c r="M203" s="68">
        <v>5.8000000000000003E-2</v>
      </c>
      <c r="N203" s="28"/>
      <c r="O203" s="83"/>
      <c r="P203" s="13" t="str">
        <f t="shared" si="183"/>
        <v>NO</v>
      </c>
      <c r="Q203" s="47">
        <f>IF(D203="INCLUIDO",IF(F204&lt;&gt;0,1,0),0)</f>
        <v>0</v>
      </c>
      <c r="T203" s="154"/>
      <c r="V203" s="153"/>
    </row>
    <row r="204" spans="1:22" hidden="1" x14ac:dyDescent="0.3">
      <c r="A204" s="34" t="s">
        <v>1261</v>
      </c>
      <c r="B204" s="36">
        <v>126</v>
      </c>
      <c r="C204" s="29" t="s">
        <v>1170</v>
      </c>
      <c r="D204" s="29" t="str">
        <f t="shared" ref="D204:D205" si="251">$D$187</f>
        <v>INCLUIDO</v>
      </c>
      <c r="E204" s="27" t="s">
        <v>1137</v>
      </c>
      <c r="F204" s="20">
        <f>(IF($E$190="Sublimite",$F$188,$F$188+$F$190))*S204</f>
        <v>0</v>
      </c>
      <c r="G204" s="49">
        <f>G187*T204</f>
        <v>0.18</v>
      </c>
      <c r="H204" s="9">
        <f>(((IF(I204="$ Prima",G204,G204*F204/R204))*$U$9)/365)*$J$15</f>
        <v>0</v>
      </c>
      <c r="I204" s="9" t="s">
        <v>1153</v>
      </c>
      <c r="J204" s="9">
        <f t="shared" ref="J204:J205" si="252">H204*$U$7</f>
        <v>0</v>
      </c>
      <c r="K204" s="9">
        <f t="shared" ref="K204:K205" si="253">(H204+J204)*$K$15</f>
        <v>0</v>
      </c>
      <c r="L204" s="9">
        <f t="shared" ref="L204:L205" si="254">ROUND(H204+J204+K204,2)</f>
        <v>0</v>
      </c>
      <c r="M204" s="11">
        <f>$M$203</f>
        <v>5.8000000000000003E-2</v>
      </c>
      <c r="N204" s="9">
        <f t="shared" ref="N204:N205" si="255">H204*M204</f>
        <v>0</v>
      </c>
      <c r="O204" s="12">
        <f t="shared" ref="O204:O205" si="256">N204</f>
        <v>0</v>
      </c>
      <c r="P204" s="13" t="str">
        <f t="shared" si="183"/>
        <v>NO</v>
      </c>
      <c r="Q204">
        <f>IF(D204="INCLUIDO",IF(F204&lt;&gt;0,1,0),0)</f>
        <v>0</v>
      </c>
      <c r="R204">
        <f>IF(I204="%o Al Millar",1000,IF(I204="% Al Porciento",100,IF(I204="$ Prima",G204)))</f>
        <v>1000</v>
      </c>
      <c r="S204">
        <f t="shared" ref="S204:S205" si="257">IF(E204="Excluido",0,IF(D204="NO APLICA",0,1))</f>
        <v>1</v>
      </c>
      <c r="T204" s="152">
        <v>0.01</v>
      </c>
      <c r="U204" s="159">
        <f>IF(E204="Excluido",0,$T$187*T204)</f>
        <v>0.18</v>
      </c>
      <c r="V204" s="160">
        <f>IF($F$187=0,0,U204)</f>
        <v>0</v>
      </c>
    </row>
    <row r="205" spans="1:22" hidden="1" x14ac:dyDescent="0.3">
      <c r="A205" s="34" t="s">
        <v>1261</v>
      </c>
      <c r="B205" s="36"/>
      <c r="C205" s="81">
        <f>$O$12</f>
        <v>0</v>
      </c>
      <c r="D205" s="29" t="str">
        <f t="shared" si="251"/>
        <v>INCLUIDO</v>
      </c>
      <c r="E205" s="27" t="s">
        <v>1186</v>
      </c>
      <c r="F205" s="9">
        <f>(F204*$O$12)*S205</f>
        <v>0</v>
      </c>
      <c r="G205" s="21">
        <f>G204*0.35</f>
        <v>6.3E-2</v>
      </c>
      <c r="H205" s="9">
        <f t="shared" ref="H205" si="258">(IF(I205="$ Prima",G205,G205*F205/R205))*$U$9</f>
        <v>0</v>
      </c>
      <c r="I205" s="9" t="s">
        <v>1153</v>
      </c>
      <c r="J205" s="9">
        <f t="shared" si="252"/>
        <v>0</v>
      </c>
      <c r="K205" s="9">
        <f t="shared" si="253"/>
        <v>0</v>
      </c>
      <c r="L205" s="9">
        <f t="shared" si="254"/>
        <v>0</v>
      </c>
      <c r="M205" s="11">
        <f>$M$203</f>
        <v>5.8000000000000003E-2</v>
      </c>
      <c r="N205" s="9">
        <f t="shared" si="255"/>
        <v>0</v>
      </c>
      <c r="O205" s="12">
        <f t="shared" si="256"/>
        <v>0</v>
      </c>
      <c r="P205" s="13" t="str">
        <f t="shared" si="183"/>
        <v>NO</v>
      </c>
      <c r="Q205">
        <f>IF(D205="INCLUIDO",IF(F205&lt;&gt;0,1,0),0)</f>
        <v>0</v>
      </c>
      <c r="R205">
        <f>IF(I205="%o Al Millar",1000,IF(I205="% Al Porciento",100,IF(I205="$ Prima",G205)))</f>
        <v>1000</v>
      </c>
      <c r="S205">
        <f t="shared" si="257"/>
        <v>0</v>
      </c>
      <c r="T205" s="154"/>
      <c r="V205" s="153"/>
    </row>
    <row r="206" spans="1:22" s="18" customFormat="1" hidden="1" x14ac:dyDescent="0.3">
      <c r="A206" s="24"/>
      <c r="B206" s="26"/>
      <c r="C206" s="15" t="s">
        <v>1177</v>
      </c>
      <c r="D206" s="38" t="str">
        <f>D187</f>
        <v>INCLUIDO</v>
      </c>
      <c r="E206" s="38"/>
      <c r="F206" s="16">
        <f>SUMIF(E204:E205,"Adicional",F204:F205)</f>
        <v>0</v>
      </c>
      <c r="G206" s="17"/>
      <c r="H206" s="16">
        <f>SUM(H204:H205)</f>
        <v>0</v>
      </c>
      <c r="I206" s="16"/>
      <c r="J206" s="16">
        <f t="shared" ref="J206:L206" si="259">SUM(J204:J205)</f>
        <v>0</v>
      </c>
      <c r="K206" s="16">
        <f t="shared" si="259"/>
        <v>0</v>
      </c>
      <c r="L206" s="16">
        <f t="shared" si="259"/>
        <v>0</v>
      </c>
      <c r="M206" s="16" t="s">
        <v>1178</v>
      </c>
      <c r="N206" s="16">
        <f t="shared" ref="N206:O206" si="260">SUM(N204:N205)</f>
        <v>0</v>
      </c>
      <c r="O206" s="84">
        <f t="shared" si="260"/>
        <v>0</v>
      </c>
      <c r="P206" s="13" t="str">
        <f t="shared" si="183"/>
        <v>NO</v>
      </c>
      <c r="Q206">
        <f>IF(D206="INCLUIDO",IF(H206&lt;&gt;0,1,0),0)</f>
        <v>0</v>
      </c>
      <c r="T206" s="167"/>
      <c r="V206" s="168"/>
    </row>
    <row r="207" spans="1:22" hidden="1" x14ac:dyDescent="0.3">
      <c r="A207" s="82">
        <v>906</v>
      </c>
      <c r="B207" s="33">
        <v>8</v>
      </c>
      <c r="C207" s="19" t="s">
        <v>1277</v>
      </c>
      <c r="D207" s="23" t="str">
        <f>$D$187</f>
        <v>INCLUIDO</v>
      </c>
      <c r="E207" s="91"/>
      <c r="F207" s="28"/>
      <c r="G207" s="28"/>
      <c r="H207" s="28"/>
      <c r="I207" s="28"/>
      <c r="J207" s="28"/>
      <c r="K207" s="28"/>
      <c r="L207" s="28"/>
      <c r="M207" s="68">
        <v>5.8000000000000003E-2</v>
      </c>
      <c r="N207" s="28"/>
      <c r="O207" s="83"/>
      <c r="P207" s="13" t="str">
        <f t="shared" si="183"/>
        <v>NO</v>
      </c>
      <c r="Q207" s="47">
        <f>IF(D207="INCLUIDO",IF(F208&lt;&gt;0,1,0),0)</f>
        <v>0</v>
      </c>
      <c r="T207" s="154"/>
      <c r="V207" s="153"/>
    </row>
    <row r="208" spans="1:22" hidden="1" x14ac:dyDescent="0.3">
      <c r="A208" s="34" t="s">
        <v>1261</v>
      </c>
      <c r="B208" s="36">
        <v>127</v>
      </c>
      <c r="C208" s="29" t="s">
        <v>1267</v>
      </c>
      <c r="D208" s="29" t="str">
        <f t="shared" ref="D208:D209" si="261">$D$187</f>
        <v>INCLUIDO</v>
      </c>
      <c r="E208" s="27" t="s">
        <v>1137</v>
      </c>
      <c r="F208" s="20">
        <f>(IF($E$190="Sublimite",$F$188,$F$188+$F$190))*S208</f>
        <v>0</v>
      </c>
      <c r="G208" s="49">
        <f>G187*T208</f>
        <v>0.18</v>
      </c>
      <c r="H208" s="9">
        <f>(((IF(I208="$ Prima",G208,G208*F208/R208))*$U$9)/365)*$J$15</f>
        <v>0</v>
      </c>
      <c r="I208" s="9" t="s">
        <v>1153</v>
      </c>
      <c r="J208" s="9">
        <f t="shared" ref="J208:J209" si="262">H208*$U$7</f>
        <v>0</v>
      </c>
      <c r="K208" s="9">
        <f t="shared" ref="K208:K209" si="263">(H208+J208)*$K$15</f>
        <v>0</v>
      </c>
      <c r="L208" s="9">
        <f t="shared" ref="L208:L209" si="264">ROUND(H208+J208+K208,2)</f>
        <v>0</v>
      </c>
      <c r="M208" s="11">
        <f>$M$207</f>
        <v>5.8000000000000003E-2</v>
      </c>
      <c r="N208" s="9">
        <f t="shared" ref="N208:N209" si="265">H208*M208</f>
        <v>0</v>
      </c>
      <c r="O208" s="12">
        <f t="shared" ref="O208:O209" si="266">N208</f>
        <v>0</v>
      </c>
      <c r="P208" s="13" t="str">
        <f t="shared" si="183"/>
        <v>NO</v>
      </c>
      <c r="Q208">
        <f>IF(D208="INCLUIDO",IF(F208&lt;&gt;0,1,0),0)</f>
        <v>0</v>
      </c>
      <c r="R208">
        <f>IF(I208="%o Al Millar",1000,IF(I208="% Al Porciento",100,IF(I208="$ Prima",G208)))</f>
        <v>1000</v>
      </c>
      <c r="S208">
        <f t="shared" ref="S208:S209" si="267">IF(E208="Excluido",0,IF(D208="NO APLICA",0,1))</f>
        <v>1</v>
      </c>
      <c r="T208" s="152">
        <v>0.01</v>
      </c>
      <c r="U208" s="159">
        <f>IF(E208="Excluido",0,$T$187*T208)</f>
        <v>0.18</v>
      </c>
      <c r="V208" s="160">
        <f>IF($F$187=0,0,U208)</f>
        <v>0</v>
      </c>
    </row>
    <row r="209" spans="1:22" ht="15" hidden="1" thickBot="1" x14ac:dyDescent="0.35">
      <c r="A209" s="34" t="s">
        <v>1261</v>
      </c>
      <c r="B209" s="36"/>
      <c r="C209" s="81">
        <f>$O$12</f>
        <v>0</v>
      </c>
      <c r="D209" s="29" t="str">
        <f t="shared" si="261"/>
        <v>INCLUIDO</v>
      </c>
      <c r="E209" s="27" t="s">
        <v>1186</v>
      </c>
      <c r="F209" s="9">
        <f>(F208*$O$12)*S209</f>
        <v>0</v>
      </c>
      <c r="G209" s="21">
        <f>G208*0.35</f>
        <v>6.3E-2</v>
      </c>
      <c r="H209" s="9">
        <f t="shared" ref="H209" si="268">(IF(I209="$ Prima",G209,G209*F209/R209))*$U$9</f>
        <v>0</v>
      </c>
      <c r="I209" s="9" t="s">
        <v>1153</v>
      </c>
      <c r="J209" s="9">
        <f t="shared" si="262"/>
        <v>0</v>
      </c>
      <c r="K209" s="9">
        <f t="shared" si="263"/>
        <v>0</v>
      </c>
      <c r="L209" s="9">
        <f t="shared" si="264"/>
        <v>0</v>
      </c>
      <c r="M209" s="11">
        <f>$M$207</f>
        <v>5.8000000000000003E-2</v>
      </c>
      <c r="N209" s="9">
        <f t="shared" si="265"/>
        <v>0</v>
      </c>
      <c r="O209" s="12">
        <f t="shared" si="266"/>
        <v>0</v>
      </c>
      <c r="P209" s="13" t="str">
        <f t="shared" si="183"/>
        <v>NO</v>
      </c>
      <c r="Q209">
        <f>IF(D209="INCLUIDO",IF(F209&lt;&gt;0,1,0),0)</f>
        <v>0</v>
      </c>
      <c r="R209">
        <f>IF(I209="%o Al Millar",1000,IF(I209="% Al Porciento",100,IF(I209="$ Prima",G209)))</f>
        <v>1000</v>
      </c>
      <c r="S209">
        <f t="shared" si="267"/>
        <v>0</v>
      </c>
      <c r="T209" s="164"/>
      <c r="U209" s="165"/>
      <c r="V209" s="166"/>
    </row>
    <row r="210" spans="1:22" s="18" customFormat="1" ht="15" hidden="1" thickBot="1" x14ac:dyDescent="0.35">
      <c r="A210" s="24"/>
      <c r="B210" s="26"/>
      <c r="C210" s="15" t="s">
        <v>1177</v>
      </c>
      <c r="D210" s="38" t="str">
        <f>D209</f>
        <v>INCLUIDO</v>
      </c>
      <c r="E210" s="38"/>
      <c r="F210" s="16">
        <f>SUMIF(E208:E209,"Adicional",F208:F209)</f>
        <v>0</v>
      </c>
      <c r="G210" s="17"/>
      <c r="H210" s="16">
        <f>SUM(H208:H209)</f>
        <v>0</v>
      </c>
      <c r="I210" s="16"/>
      <c r="J210" s="16">
        <f t="shared" ref="J210:L210" si="269">SUM(J208:J209)</f>
        <v>0</v>
      </c>
      <c r="K210" s="16">
        <f t="shared" si="269"/>
        <v>0</v>
      </c>
      <c r="L210" s="16">
        <f t="shared" si="269"/>
        <v>0</v>
      </c>
      <c r="M210" s="16" t="s">
        <v>1178</v>
      </c>
      <c r="N210" s="16">
        <f t="shared" ref="N210:O210" si="270">SUM(N208:N209)</f>
        <v>0</v>
      </c>
      <c r="O210" s="84">
        <f t="shared" si="270"/>
        <v>0</v>
      </c>
      <c r="P210" s="13" t="str">
        <f t="shared" si="183"/>
        <v>NO</v>
      </c>
      <c r="Q210">
        <f>IF(D210="INCLUIDO",IF(H210&lt;&gt;0,1,0),0)</f>
        <v>0</v>
      </c>
      <c r="T210" s="143">
        <f>SUM(T188:T209)</f>
        <v>1</v>
      </c>
      <c r="U210" s="144">
        <f>SUM(U188:U209)</f>
        <v>18</v>
      </c>
      <c r="V210" s="145">
        <f>SUM(V188:V209)</f>
        <v>13.139999999999999</v>
      </c>
    </row>
    <row r="211" spans="1:22" ht="15" hidden="1" customHeight="1" x14ac:dyDescent="0.3">
      <c r="A211" s="82">
        <v>906</v>
      </c>
      <c r="B211" s="33">
        <v>9</v>
      </c>
      <c r="C211" s="19" t="s">
        <v>1278</v>
      </c>
      <c r="D211" s="23" t="str">
        <f>$D$187</f>
        <v>INCLUIDO</v>
      </c>
      <c r="E211" s="91"/>
      <c r="F211" s="43">
        <v>0</v>
      </c>
      <c r="G211" s="43">
        <v>0</v>
      </c>
      <c r="H211" s="28"/>
      <c r="I211" s="28"/>
      <c r="J211" s="28"/>
      <c r="K211" s="28"/>
      <c r="L211" s="28"/>
      <c r="M211" s="68">
        <v>0</v>
      </c>
      <c r="N211" s="28"/>
      <c r="O211" s="83"/>
      <c r="P211" s="13" t="str">
        <f t="shared" si="183"/>
        <v>NO</v>
      </c>
      <c r="Q211" s="48">
        <f>IF(D211="INCLUIDO",IF(F211&lt;&gt;0,1,0),0)</f>
        <v>0</v>
      </c>
    </row>
    <row r="212" spans="1:22" ht="15" hidden="1" customHeight="1" x14ac:dyDescent="0.3">
      <c r="A212" s="34" t="s">
        <v>1261</v>
      </c>
      <c r="B212" s="36">
        <v>128</v>
      </c>
      <c r="C212" s="29" t="s">
        <v>1279</v>
      </c>
      <c r="D212" s="29" t="str">
        <f>$D$187</f>
        <v>INCLUIDO</v>
      </c>
      <c r="E212" s="27" t="s">
        <v>1186</v>
      </c>
      <c r="F212" s="20">
        <f>F211*S212</f>
        <v>0</v>
      </c>
      <c r="G212" s="21">
        <v>0</v>
      </c>
      <c r="H212" s="9">
        <f>(IF(I212="$ Prima",G212,G212*F212/R212))*$U$9</f>
        <v>0</v>
      </c>
      <c r="I212" s="9" t="s">
        <v>1153</v>
      </c>
      <c r="J212" s="9">
        <f>H212*$U$7</f>
        <v>0</v>
      </c>
      <c r="K212" s="9">
        <f>(H212+J212)*$K$15</f>
        <v>0</v>
      </c>
      <c r="L212" s="9">
        <f>ROUND(H212+J212+K212,2)</f>
        <v>0</v>
      </c>
      <c r="M212" s="11">
        <f>M211</f>
        <v>0</v>
      </c>
      <c r="N212" s="9">
        <f>H212*M212</f>
        <v>0</v>
      </c>
      <c r="O212" s="12">
        <f>N212</f>
        <v>0</v>
      </c>
      <c r="P212" s="13" t="str">
        <f t="shared" si="183"/>
        <v>NO</v>
      </c>
      <c r="Q212">
        <f>IF(D212="INCLUIDO",IF(F212&lt;&gt;0,1,0),0)</f>
        <v>0</v>
      </c>
      <c r="R212">
        <f>IF(I212="%o Al Millar",1000,IF(I212="% Al Porciento",100,IF(I212="$ Prima",G212)))</f>
        <v>1000</v>
      </c>
      <c r="S212">
        <f t="shared" ref="S212" si="271">IF(E212="Excluido",0,IF(D212="NO APLICA",0,1))</f>
        <v>0</v>
      </c>
    </row>
    <row r="213" spans="1:22" s="18" customFormat="1" ht="15" hidden="1" customHeight="1" x14ac:dyDescent="0.3">
      <c r="A213" s="24"/>
      <c r="B213" s="26"/>
      <c r="C213" s="15" t="s">
        <v>1177</v>
      </c>
      <c r="D213" s="38" t="str">
        <f>D212</f>
        <v>INCLUIDO</v>
      </c>
      <c r="E213" s="38"/>
      <c r="F213" s="16">
        <f>SUMIF(E212,"Adicional",F212)</f>
        <v>0</v>
      </c>
      <c r="G213" s="17"/>
      <c r="H213" s="16">
        <f>SUM(H212)</f>
        <v>0</v>
      </c>
      <c r="I213" s="16"/>
      <c r="J213" s="16">
        <f t="shared" ref="J213:L213" si="272">SUM(J212)</f>
        <v>0</v>
      </c>
      <c r="K213" s="16">
        <f t="shared" si="272"/>
        <v>0</v>
      </c>
      <c r="L213" s="16">
        <f t="shared" si="272"/>
        <v>0</v>
      </c>
      <c r="M213" s="16" t="s">
        <v>1178</v>
      </c>
      <c r="N213" s="16">
        <f t="shared" ref="N213:O213" si="273">SUM(N212)</f>
        <v>0</v>
      </c>
      <c r="O213" s="84">
        <f t="shared" si="273"/>
        <v>0</v>
      </c>
      <c r="P213" s="13" t="str">
        <f t="shared" si="183"/>
        <v>NO</v>
      </c>
      <c r="Q213">
        <f>IF(D213="INCLUIDO",IF(H213&lt;&gt;0,1,0),0)</f>
        <v>0</v>
      </c>
    </row>
    <row r="214" spans="1:22" ht="15" hidden="1" customHeight="1" x14ac:dyDescent="0.3">
      <c r="A214" s="82">
        <v>906</v>
      </c>
      <c r="B214" s="33">
        <v>10</v>
      </c>
      <c r="C214" s="19" t="s">
        <v>1280</v>
      </c>
      <c r="D214" s="23" t="str">
        <f>$D$187</f>
        <v>INCLUIDO</v>
      </c>
      <c r="E214" s="91"/>
      <c r="F214" s="43">
        <v>0</v>
      </c>
      <c r="G214" s="43">
        <v>0</v>
      </c>
      <c r="H214" s="28"/>
      <c r="I214" s="28"/>
      <c r="J214" s="28"/>
      <c r="K214" s="28"/>
      <c r="L214" s="28"/>
      <c r="M214" s="68">
        <v>0</v>
      </c>
      <c r="N214" s="28"/>
      <c r="O214" s="83"/>
      <c r="P214" s="13" t="str">
        <f t="shared" si="183"/>
        <v>NO</v>
      </c>
      <c r="Q214" s="48">
        <f>IF(D214="INCLUIDO",IF(F214&lt;&gt;0,1,0),0)</f>
        <v>0</v>
      </c>
    </row>
    <row r="215" spans="1:22" ht="15" hidden="1" customHeight="1" x14ac:dyDescent="0.3">
      <c r="A215" s="34" t="s">
        <v>1281</v>
      </c>
      <c r="B215" s="36">
        <v>129</v>
      </c>
      <c r="C215" s="29" t="s">
        <v>1282</v>
      </c>
      <c r="D215" s="29" t="str">
        <f t="shared" ref="D215" si="274">$D$187</f>
        <v>INCLUIDO</v>
      </c>
      <c r="E215" s="27" t="s">
        <v>1186</v>
      </c>
      <c r="F215" s="20">
        <f>F214*S215</f>
        <v>0</v>
      </c>
      <c r="G215" s="21">
        <v>0</v>
      </c>
      <c r="H215" s="9">
        <f>(IF(I215="$ Prima",G215,G215*F215/R215))*$U$9</f>
        <v>0</v>
      </c>
      <c r="I215" s="9" t="s">
        <v>1153</v>
      </c>
      <c r="J215" s="9">
        <f>H215*$U$7</f>
        <v>0</v>
      </c>
      <c r="K215" s="9">
        <f>(H215+J215)*$K$15</f>
        <v>0</v>
      </c>
      <c r="L215" s="9">
        <f>ROUND(H215+J215+K215,2)</f>
        <v>0</v>
      </c>
      <c r="M215" s="11">
        <f>M214</f>
        <v>0</v>
      </c>
      <c r="N215" s="9">
        <f>H215*M215</f>
        <v>0</v>
      </c>
      <c r="O215" s="12">
        <f>N215</f>
        <v>0</v>
      </c>
      <c r="P215" s="13" t="str">
        <f t="shared" si="183"/>
        <v>NO</v>
      </c>
      <c r="Q215">
        <f>IF(D215="INCLUIDO",IF(F215&lt;&gt;0,1,0),0)</f>
        <v>0</v>
      </c>
      <c r="R215">
        <f>IF(I215="%o Al Millar",1000,IF(I215="% Al Porciento",100,IF(I215="$ Prima",G215)))</f>
        <v>1000</v>
      </c>
      <c r="S215">
        <f t="shared" ref="S215" si="275">IF(E215="Excluido",0,IF(D215="NO APLICA",0,1))</f>
        <v>0</v>
      </c>
    </row>
    <row r="216" spans="1:22" s="18" customFormat="1" ht="15" hidden="1" customHeight="1" x14ac:dyDescent="0.3">
      <c r="A216" s="24"/>
      <c r="B216" s="26"/>
      <c r="C216" s="15" t="s">
        <v>1177</v>
      </c>
      <c r="D216" s="38" t="str">
        <f>D215</f>
        <v>INCLUIDO</v>
      </c>
      <c r="E216" s="38"/>
      <c r="F216" s="16">
        <f>SUMIF(E188:E215,"Adicional",F188:F215)</f>
        <v>0</v>
      </c>
      <c r="G216" s="17"/>
      <c r="H216" s="16">
        <f>SUM(H215)</f>
        <v>0</v>
      </c>
      <c r="I216" s="16"/>
      <c r="J216" s="16">
        <f t="shared" ref="J216:L216" si="276">SUM(J215)</f>
        <v>0</v>
      </c>
      <c r="K216" s="16">
        <f t="shared" si="276"/>
        <v>0</v>
      </c>
      <c r="L216" s="16">
        <f t="shared" si="276"/>
        <v>0</v>
      </c>
      <c r="M216" s="16" t="s">
        <v>1178</v>
      </c>
      <c r="N216" s="16">
        <f t="shared" ref="N216:O216" si="277">SUM(N215)</f>
        <v>0</v>
      </c>
      <c r="O216" s="84">
        <f t="shared" si="277"/>
        <v>0</v>
      </c>
      <c r="P216" s="13" t="str">
        <f t="shared" si="183"/>
        <v>NO</v>
      </c>
      <c r="Q216">
        <f>IF(D216="INCLUIDO",IF(H216&lt;&gt;0,1,0),0)</f>
        <v>0</v>
      </c>
    </row>
    <row r="217" spans="1:22" ht="15" hidden="1" customHeight="1" thickBot="1" x14ac:dyDescent="0.35">
      <c r="A217" s="82">
        <v>906</v>
      </c>
      <c r="B217" s="33">
        <v>11</v>
      </c>
      <c r="C217" s="19" t="s">
        <v>1283</v>
      </c>
      <c r="D217" s="23" t="str">
        <f>'Ramo Comercial'!C152</f>
        <v>NO APLICA</v>
      </c>
      <c r="E217" s="91"/>
      <c r="F217" s="113">
        <v>0</v>
      </c>
      <c r="G217" s="113">
        <v>1.2</v>
      </c>
      <c r="H217" s="28"/>
      <c r="I217" s="28"/>
      <c r="J217" s="28"/>
      <c r="K217" s="28"/>
      <c r="L217" s="28"/>
      <c r="M217" s="68">
        <v>0</v>
      </c>
      <c r="N217" s="28"/>
      <c r="O217" s="83"/>
      <c r="P217" s="13" t="str">
        <f t="shared" si="183"/>
        <v>NO</v>
      </c>
      <c r="Q217">
        <f>IF(D217="INCLUIDO",IF(F217&lt;&gt;0,1,0),0)</f>
        <v>0</v>
      </c>
      <c r="T217" s="142">
        <f>G217</f>
        <v>1.2</v>
      </c>
      <c r="U217" s="150"/>
      <c r="V217" s="151"/>
    </row>
    <row r="218" spans="1:22" ht="15" hidden="1" customHeight="1" x14ac:dyDescent="0.3">
      <c r="A218" s="34" t="s">
        <v>1261</v>
      </c>
      <c r="B218" s="36">
        <v>131</v>
      </c>
      <c r="C218" s="29" t="s">
        <v>1151</v>
      </c>
      <c r="D218" s="29" t="str">
        <f>$D$217</f>
        <v>NO APLICA</v>
      </c>
      <c r="E218" s="27" t="s">
        <v>1152</v>
      </c>
      <c r="F218" s="20">
        <f>F217*S218</f>
        <v>0</v>
      </c>
      <c r="G218" s="21">
        <f>V218</f>
        <v>0</v>
      </c>
      <c r="H218" s="9">
        <f t="shared" ref="H218:H219" si="278">(IF(I218="$ Prima",G218,G218*F218/R218))*$U$9</f>
        <v>0</v>
      </c>
      <c r="I218" s="9" t="s">
        <v>1153</v>
      </c>
      <c r="J218" s="9">
        <f t="shared" ref="J218:J219" si="279">H218*$U$7</f>
        <v>0</v>
      </c>
      <c r="K218" s="9">
        <f t="shared" ref="K218:K219" si="280">(H218+J218)*$K$15</f>
        <v>0</v>
      </c>
      <c r="L218" s="9">
        <f t="shared" ref="L218:L219" si="281">ROUND(H218+J218+K218,2)</f>
        <v>0</v>
      </c>
      <c r="M218" s="11">
        <f>$M$217</f>
        <v>0</v>
      </c>
      <c r="N218" s="9">
        <f t="shared" ref="N218:N219" si="282">H218*M218</f>
        <v>0</v>
      </c>
      <c r="O218" s="12">
        <f t="shared" ref="O218:O219" si="283">N218</f>
        <v>0</v>
      </c>
      <c r="P218" s="13" t="str">
        <f t="shared" si="183"/>
        <v>NO</v>
      </c>
      <c r="Q218" s="48">
        <f>IF(D218="INCLUIDO",IF(F218&lt;&gt;0,1,0),0)</f>
        <v>0</v>
      </c>
      <c r="R218">
        <f>IF(I218="%o Al Millar",1000,IF(I218="% Al Porciento",100,IF(I218="$ Prima",G218)))</f>
        <v>1000</v>
      </c>
      <c r="S218">
        <f t="shared" ref="S218:S219" si="284">IF(E218="Excluido",0,IF(D218="NO APLICA",0,1))</f>
        <v>0</v>
      </c>
      <c r="T218" s="152">
        <v>0.7</v>
      </c>
      <c r="U218" s="159">
        <f>IF(E218="Excluido",0,T217*T218)</f>
        <v>0.84</v>
      </c>
      <c r="V218" s="160">
        <f>IF(D217="NO APLICA",0,(U220-U219)+(T217-U220))</f>
        <v>0</v>
      </c>
    </row>
    <row r="219" spans="1:22" ht="15" hidden="1" customHeight="1" thickBot="1" x14ac:dyDescent="0.35">
      <c r="A219" s="34" t="s">
        <v>1261</v>
      </c>
      <c r="B219" s="36">
        <v>130</v>
      </c>
      <c r="C219" s="29" t="s">
        <v>1262</v>
      </c>
      <c r="D219" s="29" t="str">
        <f>$D$217</f>
        <v>NO APLICA</v>
      </c>
      <c r="E219" s="27" t="s">
        <v>1137</v>
      </c>
      <c r="F219" s="20">
        <f>F218*S219</f>
        <v>0</v>
      </c>
      <c r="G219" s="21">
        <f>V219</f>
        <v>0</v>
      </c>
      <c r="H219" s="9">
        <f t="shared" si="278"/>
        <v>0</v>
      </c>
      <c r="I219" s="9" t="s">
        <v>1153</v>
      </c>
      <c r="J219" s="9">
        <f t="shared" si="279"/>
        <v>0</v>
      </c>
      <c r="K219" s="9">
        <f t="shared" si="280"/>
        <v>0</v>
      </c>
      <c r="L219" s="9">
        <f t="shared" si="281"/>
        <v>0</v>
      </c>
      <c r="M219" s="11">
        <f>$M$217</f>
        <v>0</v>
      </c>
      <c r="N219" s="9">
        <f t="shared" si="282"/>
        <v>0</v>
      </c>
      <c r="O219" s="12">
        <f t="shared" si="283"/>
        <v>0</v>
      </c>
      <c r="P219" s="13" t="str">
        <f t="shared" ref="P219:P289" si="285">IF(Q219=1,"SI","NO")</f>
        <v>NO</v>
      </c>
      <c r="Q219">
        <f>IF(D219="INCLUIDO",IF(F219&lt;&gt;0,1,0),0)</f>
        <v>0</v>
      </c>
      <c r="R219">
        <f>IF(I219="%o Al Millar",1000,IF(I219="% Al Porciento",100,IF(I219="$ Prima",G219)))</f>
        <v>1000</v>
      </c>
      <c r="S219">
        <f t="shared" si="284"/>
        <v>0</v>
      </c>
      <c r="T219" s="152">
        <v>0.3</v>
      </c>
      <c r="U219" s="159">
        <f>IF(E219="Excluido",0,T217*T219)</f>
        <v>0.36</v>
      </c>
      <c r="V219" s="160">
        <f>IF($F219=0,0,U219)</f>
        <v>0</v>
      </c>
    </row>
    <row r="220" spans="1:22" s="18" customFormat="1" ht="15" hidden="1" customHeight="1" thickBot="1" x14ac:dyDescent="0.35">
      <c r="A220" s="24"/>
      <c r="B220" s="26"/>
      <c r="C220" s="15" t="s">
        <v>1177</v>
      </c>
      <c r="D220" s="38" t="str">
        <f>D219</f>
        <v>NO APLICA</v>
      </c>
      <c r="E220" s="38"/>
      <c r="F220" s="16">
        <v>0</v>
      </c>
      <c r="G220" s="17"/>
      <c r="H220" s="16">
        <f>SUM(H218:H219)</f>
        <v>0</v>
      </c>
      <c r="I220" s="16"/>
      <c r="J220" s="16">
        <f t="shared" ref="J220:L220" si="286">SUM(J218:J219)</f>
        <v>0</v>
      </c>
      <c r="K220" s="16">
        <f t="shared" si="286"/>
        <v>0</v>
      </c>
      <c r="L220" s="16">
        <f t="shared" si="286"/>
        <v>0</v>
      </c>
      <c r="M220" s="16" t="s">
        <v>1178</v>
      </c>
      <c r="N220" s="16">
        <f t="shared" ref="N220:O220" si="287">SUM(N218:N219)</f>
        <v>0</v>
      </c>
      <c r="O220" s="84">
        <f t="shared" si="287"/>
        <v>0</v>
      </c>
      <c r="P220" s="13" t="str">
        <f t="shared" si="285"/>
        <v>NO</v>
      </c>
      <c r="Q220">
        <f>IF(D220="INCLUIDO",IF(H220&lt;&gt;0,1,0),0)</f>
        <v>0</v>
      </c>
      <c r="T220" s="143">
        <f>SUM(T218:T219)</f>
        <v>1</v>
      </c>
      <c r="U220" s="144">
        <f>SUM(U218:U219)</f>
        <v>1.2</v>
      </c>
      <c r="V220" s="145">
        <f>SUM(V218:V219)</f>
        <v>0</v>
      </c>
    </row>
    <row r="221" spans="1:22" ht="15" hidden="1" customHeight="1" x14ac:dyDescent="0.3">
      <c r="A221" s="82">
        <v>906</v>
      </c>
      <c r="B221" s="33">
        <v>12</v>
      </c>
      <c r="C221" s="19" t="s">
        <v>1284</v>
      </c>
      <c r="D221" s="23" t="str">
        <f>D217</f>
        <v>NO APLICA</v>
      </c>
      <c r="E221" s="91"/>
      <c r="F221" s="28"/>
      <c r="G221" s="28"/>
      <c r="H221" s="28"/>
      <c r="I221" s="28"/>
      <c r="J221" s="28"/>
      <c r="K221" s="28"/>
      <c r="L221" s="28"/>
      <c r="M221" s="68">
        <v>0</v>
      </c>
      <c r="N221" s="28"/>
      <c r="O221" s="83"/>
      <c r="P221" s="13" t="str">
        <f t="shared" si="285"/>
        <v>NO</v>
      </c>
      <c r="Q221" s="47">
        <f>IF(D221="INCLUIDO",IF(F222&lt;&gt;0,1,0),0)</f>
        <v>0</v>
      </c>
    </row>
    <row r="222" spans="1:22" ht="15" hidden="1" customHeight="1" x14ac:dyDescent="0.3">
      <c r="A222" s="34" t="s">
        <v>1261</v>
      </c>
      <c r="B222" s="36">
        <v>132</v>
      </c>
      <c r="C222" s="29" t="s">
        <v>1170</v>
      </c>
      <c r="D222" s="29" t="str">
        <f>$D$217</f>
        <v>NO APLICA</v>
      </c>
      <c r="E222" s="27" t="s">
        <v>1186</v>
      </c>
      <c r="F222" s="20">
        <f>F218*S222</f>
        <v>0</v>
      </c>
      <c r="G222" s="21">
        <v>0</v>
      </c>
      <c r="H222" s="9">
        <f>(IF(I222="$ Prima",G222,G222*F222/R222))*$U$9</f>
        <v>0</v>
      </c>
      <c r="I222" s="9" t="s">
        <v>1153</v>
      </c>
      <c r="J222" s="9">
        <f>H222*$U$7</f>
        <v>0</v>
      </c>
      <c r="K222" s="9">
        <f>(H222+J222)*$K$15</f>
        <v>0</v>
      </c>
      <c r="L222" s="9">
        <f>ROUND(H222+J222+K222,2)</f>
        <v>0</v>
      </c>
      <c r="M222" s="11">
        <f>M221</f>
        <v>0</v>
      </c>
      <c r="N222" s="9">
        <f>H222*M222</f>
        <v>0</v>
      </c>
      <c r="O222" s="12">
        <f>N222</f>
        <v>0</v>
      </c>
      <c r="P222" s="13" t="str">
        <f t="shared" si="285"/>
        <v>NO</v>
      </c>
      <c r="Q222">
        <f>IF(D222="INCLUIDO",IF(F222&lt;&gt;0,1,0),0)</f>
        <v>0</v>
      </c>
      <c r="R222">
        <f>IF(I222="%o Al Millar",1000,IF(I222="% Al Porciento",100,IF(I222="$ Prima",G222)))</f>
        <v>1000</v>
      </c>
      <c r="S222">
        <f t="shared" ref="S222" si="288">IF(E222="Excluido",0,IF(D222="NO APLICA",0,1))</f>
        <v>0</v>
      </c>
    </row>
    <row r="223" spans="1:22" s="18" customFormat="1" ht="15" hidden="1" customHeight="1" x14ac:dyDescent="0.3">
      <c r="A223" s="24"/>
      <c r="B223" s="26"/>
      <c r="C223" s="15" t="s">
        <v>1177</v>
      </c>
      <c r="D223" s="38" t="str">
        <f>D222</f>
        <v>NO APLICA</v>
      </c>
      <c r="E223" s="38"/>
      <c r="F223" s="16">
        <f>SUMIF(E222,"Adicional",F222)</f>
        <v>0</v>
      </c>
      <c r="G223" s="17"/>
      <c r="H223" s="16">
        <f>SUM(H222)</f>
        <v>0</v>
      </c>
      <c r="I223" s="16"/>
      <c r="J223" s="16">
        <f t="shared" ref="J223:L223" si="289">SUM(J222)</f>
        <v>0</v>
      </c>
      <c r="K223" s="16">
        <f t="shared" si="289"/>
        <v>0</v>
      </c>
      <c r="L223" s="16">
        <f t="shared" si="289"/>
        <v>0</v>
      </c>
      <c r="M223" s="16" t="s">
        <v>1178</v>
      </c>
      <c r="N223" s="16">
        <f t="shared" ref="N223:O223" si="290">SUM(N222)</f>
        <v>0</v>
      </c>
      <c r="O223" s="84">
        <f t="shared" si="290"/>
        <v>0</v>
      </c>
      <c r="P223" s="13" t="str">
        <f t="shared" si="285"/>
        <v>NO</v>
      </c>
      <c r="Q223">
        <f>IF(D223="INCLUIDO",IF(H223&lt;&gt;0,1,0),0)</f>
        <v>0</v>
      </c>
    </row>
    <row r="224" spans="1:22" ht="15" hidden="1" customHeight="1" x14ac:dyDescent="0.3">
      <c r="A224" s="82">
        <v>906</v>
      </c>
      <c r="B224" s="33">
        <v>13</v>
      </c>
      <c r="C224" s="19" t="s">
        <v>1285</v>
      </c>
      <c r="D224" s="23" t="str">
        <f>D217</f>
        <v>NO APLICA</v>
      </c>
      <c r="E224" s="91"/>
      <c r="F224" s="28"/>
      <c r="G224" s="28"/>
      <c r="H224" s="28"/>
      <c r="I224" s="28"/>
      <c r="J224" s="28"/>
      <c r="K224" s="28"/>
      <c r="L224" s="28"/>
      <c r="M224" s="68">
        <v>0</v>
      </c>
      <c r="N224" s="28"/>
      <c r="O224" s="83"/>
      <c r="P224" s="13" t="str">
        <f t="shared" si="285"/>
        <v>NO</v>
      </c>
      <c r="Q224" s="47">
        <f>IF(D224="INCLUIDO",IF(F225&lt;&gt;0,1,0),0)</f>
        <v>0</v>
      </c>
    </row>
    <row r="225" spans="1:22" ht="15" hidden="1" customHeight="1" x14ac:dyDescent="0.3">
      <c r="A225" s="34" t="s">
        <v>1261</v>
      </c>
      <c r="B225" s="36">
        <v>133</v>
      </c>
      <c r="C225" s="29" t="s">
        <v>1267</v>
      </c>
      <c r="D225" s="29" t="str">
        <f>$D$217</f>
        <v>NO APLICA</v>
      </c>
      <c r="E225" s="27" t="s">
        <v>1186</v>
      </c>
      <c r="F225" s="20">
        <f>F218*S225</f>
        <v>0</v>
      </c>
      <c r="G225" s="21">
        <v>0</v>
      </c>
      <c r="H225" s="9">
        <f>(IF(I225="$ Prima",G225,G225*F225/R225))*$U$9</f>
        <v>0</v>
      </c>
      <c r="I225" s="9" t="s">
        <v>1153</v>
      </c>
      <c r="J225" s="9">
        <f>H225*$U$7</f>
        <v>0</v>
      </c>
      <c r="K225" s="9">
        <f>(H225+J225)*$K$15</f>
        <v>0</v>
      </c>
      <c r="L225" s="9">
        <f>ROUND(H225+J225+K225,2)</f>
        <v>0</v>
      </c>
      <c r="M225" s="11">
        <f>M224</f>
        <v>0</v>
      </c>
      <c r="N225" s="9">
        <f>H225*M225</f>
        <v>0</v>
      </c>
      <c r="O225" s="12">
        <f>N225</f>
        <v>0</v>
      </c>
      <c r="P225" s="13" t="str">
        <f t="shared" si="285"/>
        <v>NO</v>
      </c>
      <c r="Q225">
        <f>IF(D225="INCLUIDO",IF(F225&lt;&gt;0,1,0),0)</f>
        <v>0</v>
      </c>
      <c r="R225">
        <f>IF(I225="%o Al Millar",1000,IF(I225="% Al Porciento",100,IF(I225="$ Prima",G225)))</f>
        <v>1000</v>
      </c>
      <c r="S225">
        <f t="shared" ref="S225" si="291">IF(E225="Excluido",0,IF(D225="NO APLICA",0,1))</f>
        <v>0</v>
      </c>
    </row>
    <row r="226" spans="1:22" s="18" customFormat="1" ht="15" hidden="1" customHeight="1" thickBot="1" x14ac:dyDescent="0.35">
      <c r="A226" s="24"/>
      <c r="B226" s="26"/>
      <c r="C226" s="15" t="s">
        <v>1177</v>
      </c>
      <c r="D226" s="38" t="str">
        <f>D225</f>
        <v>NO APLICA</v>
      </c>
      <c r="E226" s="38"/>
      <c r="F226" s="16">
        <f>SUMIF(E218:E225,"Adicional",F218:F225)</f>
        <v>0</v>
      </c>
      <c r="G226" s="17"/>
      <c r="H226" s="16">
        <f>SUM(H225)</f>
        <v>0</v>
      </c>
      <c r="I226" s="16"/>
      <c r="J226" s="16">
        <f t="shared" ref="J226:L226" si="292">SUM(J225)</f>
        <v>0</v>
      </c>
      <c r="K226" s="16">
        <f t="shared" si="292"/>
        <v>0</v>
      </c>
      <c r="L226" s="16">
        <f t="shared" si="292"/>
        <v>0</v>
      </c>
      <c r="M226" s="16" t="s">
        <v>1178</v>
      </c>
      <c r="N226" s="16">
        <f t="shared" ref="N226:O226" si="293">SUM(N225)</f>
        <v>0</v>
      </c>
      <c r="O226" s="84">
        <f t="shared" si="293"/>
        <v>0</v>
      </c>
      <c r="P226" s="13" t="str">
        <f t="shared" si="285"/>
        <v>NO</v>
      </c>
      <c r="Q226">
        <f>IF(D226="INCLUIDO",IF(H226&lt;&gt;0,1,0),0)</f>
        <v>0</v>
      </c>
    </row>
    <row r="227" spans="1:22" ht="15" hidden="1" customHeight="1" thickBot="1" x14ac:dyDescent="0.35">
      <c r="A227" s="82">
        <v>906</v>
      </c>
      <c r="B227" s="33">
        <v>14</v>
      </c>
      <c r="C227" s="19" t="s">
        <v>1286</v>
      </c>
      <c r="D227" s="23" t="str">
        <f>'Ramo Comercial'!C157</f>
        <v>NO APLICA</v>
      </c>
      <c r="E227" s="91"/>
      <c r="F227" s="113">
        <v>0</v>
      </c>
      <c r="G227" s="113">
        <v>1.2</v>
      </c>
      <c r="H227" s="28"/>
      <c r="I227" s="28"/>
      <c r="J227" s="28"/>
      <c r="K227" s="28"/>
      <c r="L227" s="28"/>
      <c r="M227" s="68">
        <v>0.15</v>
      </c>
      <c r="N227" s="28"/>
      <c r="O227" s="83"/>
      <c r="P227" s="13" t="str">
        <f t="shared" si="285"/>
        <v>NO</v>
      </c>
      <c r="Q227" s="48">
        <f>IF(D227="INCLUIDO",IF(F227&lt;&gt;0,1,0),0)</f>
        <v>0</v>
      </c>
      <c r="T227" s="142">
        <f>G227</f>
        <v>1.2</v>
      </c>
      <c r="U227" s="150"/>
      <c r="V227" s="151"/>
    </row>
    <row r="228" spans="1:22" ht="15" hidden="1" customHeight="1" x14ac:dyDescent="0.3">
      <c r="A228" s="34" t="s">
        <v>1261</v>
      </c>
      <c r="B228" s="36">
        <v>134</v>
      </c>
      <c r="C228" s="29" t="s">
        <v>1151</v>
      </c>
      <c r="D228" s="29" t="str">
        <f>$D$227</f>
        <v>NO APLICA</v>
      </c>
      <c r="E228" s="27" t="s">
        <v>1152</v>
      </c>
      <c r="F228" s="20">
        <f>F227*S228</f>
        <v>0</v>
      </c>
      <c r="G228" s="21">
        <f>V228</f>
        <v>0</v>
      </c>
      <c r="H228" s="9">
        <f>(IF(I228="$ Prima",G228,G228*F228/R228))*$U$9</f>
        <v>0</v>
      </c>
      <c r="I228" s="9" t="s">
        <v>1287</v>
      </c>
      <c r="J228" s="9">
        <f t="shared" ref="J228:J229" si="294">H228*$U$7</f>
        <v>0</v>
      </c>
      <c r="K228" s="9">
        <f t="shared" ref="K228:K229" si="295">(H228+J228)*$K$15</f>
        <v>0</v>
      </c>
      <c r="L228" s="9">
        <f t="shared" ref="L228:L229" si="296">ROUND(H228+J228+K228,2)</f>
        <v>0</v>
      </c>
      <c r="M228" s="11">
        <f>$M$227</f>
        <v>0.15</v>
      </c>
      <c r="N228" s="9">
        <f t="shared" ref="N228:N229" si="297">H228*M228</f>
        <v>0</v>
      </c>
      <c r="O228" s="12">
        <f t="shared" ref="O228:O229" si="298">N228</f>
        <v>0</v>
      </c>
      <c r="P228" s="13" t="str">
        <f t="shared" si="285"/>
        <v>NO</v>
      </c>
      <c r="Q228">
        <f>IF(D228="INCLUIDO",IF(F228&lt;&gt;0,1,0),0)</f>
        <v>0</v>
      </c>
      <c r="R228">
        <f>IF(I228="%o Al Millar",1000,IF(I228="% Al Porciento",100,IF(I228="$ Prima",G228)))</f>
        <v>0</v>
      </c>
      <c r="S228">
        <f t="shared" ref="S228:S229" si="299">IF(E228="Excluido",0,IF(D228="NO APLICA",0,1))</f>
        <v>0</v>
      </c>
      <c r="T228" s="152">
        <v>0.7</v>
      </c>
      <c r="U228" s="159">
        <f>IF(E228="Excluido",0,T227*T228)</f>
        <v>0.84</v>
      </c>
      <c r="V228" s="160">
        <f>IF(D227="NO APLICA",0,(U230-U229)+(T227-U230))</f>
        <v>0</v>
      </c>
    </row>
    <row r="229" spans="1:22" ht="15" hidden="1" customHeight="1" thickBot="1" x14ac:dyDescent="0.35">
      <c r="A229" s="34" t="s">
        <v>1261</v>
      </c>
      <c r="B229" s="36">
        <v>135</v>
      </c>
      <c r="C229" s="29" t="s">
        <v>1262</v>
      </c>
      <c r="D229" s="29" t="str">
        <f>$D$227</f>
        <v>NO APLICA</v>
      </c>
      <c r="E229" s="27" t="s">
        <v>1137</v>
      </c>
      <c r="F229" s="20">
        <f>F228*S229</f>
        <v>0</v>
      </c>
      <c r="G229" s="21">
        <f>V229</f>
        <v>0</v>
      </c>
      <c r="H229" s="9">
        <f>(IF(I229="$ Prima",G229,G229*F229/R229))*$U$9</f>
        <v>0</v>
      </c>
      <c r="I229" s="9" t="s">
        <v>1153</v>
      </c>
      <c r="J229" s="9">
        <f t="shared" si="294"/>
        <v>0</v>
      </c>
      <c r="K229" s="9">
        <f t="shared" si="295"/>
        <v>0</v>
      </c>
      <c r="L229" s="9">
        <f t="shared" si="296"/>
        <v>0</v>
      </c>
      <c r="M229" s="11">
        <f>$M$227</f>
        <v>0.15</v>
      </c>
      <c r="N229" s="9">
        <f t="shared" si="297"/>
        <v>0</v>
      </c>
      <c r="O229" s="12">
        <f t="shared" si="298"/>
        <v>0</v>
      </c>
      <c r="P229" s="13" t="str">
        <f t="shared" si="285"/>
        <v>NO</v>
      </c>
      <c r="Q229">
        <f>IF(D229="INCLUIDO",IF(F229&lt;&gt;0,1,0),0)</f>
        <v>0</v>
      </c>
      <c r="R229">
        <f>IF(I229="%o Al Millar",1000,IF(I229="% Al Porciento",100,IF(I229="$ Prima",G229)))</f>
        <v>1000</v>
      </c>
      <c r="S229">
        <f t="shared" si="299"/>
        <v>0</v>
      </c>
      <c r="T229" s="152">
        <v>0.3</v>
      </c>
      <c r="U229" s="159">
        <f>IF(E229="Excluido",0,T227*T229)</f>
        <v>0.36</v>
      </c>
      <c r="V229" s="160">
        <f>IF($F229=0,0,U229)</f>
        <v>0</v>
      </c>
    </row>
    <row r="230" spans="1:22" s="18" customFormat="1" ht="15" hidden="1" customHeight="1" thickBot="1" x14ac:dyDescent="0.35">
      <c r="A230" s="24"/>
      <c r="B230" s="26"/>
      <c r="C230" s="15" t="s">
        <v>1177</v>
      </c>
      <c r="D230" s="38" t="str">
        <f>D229</f>
        <v>NO APLICA</v>
      </c>
      <c r="E230" s="38"/>
      <c r="F230" s="16">
        <v>0</v>
      </c>
      <c r="G230" s="17"/>
      <c r="H230" s="16">
        <f>SUM(H228:H229)</f>
        <v>0</v>
      </c>
      <c r="I230" s="16"/>
      <c r="J230" s="16">
        <f t="shared" ref="J230:L230" si="300">SUM(J228:J229)</f>
        <v>0</v>
      </c>
      <c r="K230" s="16">
        <f t="shared" si="300"/>
        <v>0</v>
      </c>
      <c r="L230" s="16">
        <f t="shared" si="300"/>
        <v>0</v>
      </c>
      <c r="M230" s="16" t="s">
        <v>1178</v>
      </c>
      <c r="N230" s="16">
        <f t="shared" ref="N230:O230" si="301">SUM(N228:N229)</f>
        <v>0</v>
      </c>
      <c r="O230" s="84">
        <f t="shared" si="301"/>
        <v>0</v>
      </c>
      <c r="P230" s="13" t="str">
        <f t="shared" si="285"/>
        <v>NO</v>
      </c>
      <c r="Q230">
        <f>IF(D230="INCLUIDO",IF(H230&lt;&gt;0,1,0),0)</f>
        <v>0</v>
      </c>
      <c r="T230" s="143">
        <f>SUM(T228:T229)</f>
        <v>1</v>
      </c>
      <c r="U230" s="144">
        <f>SUM(U228:U229)</f>
        <v>1.2</v>
      </c>
      <c r="V230" s="145">
        <f>SUM(V228:V229)</f>
        <v>0</v>
      </c>
    </row>
    <row r="231" spans="1:22" ht="15" hidden="1" customHeight="1" x14ac:dyDescent="0.3">
      <c r="A231" s="82">
        <v>906</v>
      </c>
      <c r="B231" s="33">
        <v>15</v>
      </c>
      <c r="C231" s="19" t="s">
        <v>1288</v>
      </c>
      <c r="D231" s="23" t="str">
        <f>D227</f>
        <v>NO APLICA</v>
      </c>
      <c r="E231" s="91"/>
      <c r="F231" s="28"/>
      <c r="G231" s="28"/>
      <c r="H231" s="28"/>
      <c r="I231" s="28"/>
      <c r="J231" s="28"/>
      <c r="K231" s="28"/>
      <c r="L231" s="28"/>
      <c r="M231" s="68">
        <v>0.05</v>
      </c>
      <c r="N231" s="28"/>
      <c r="O231" s="83"/>
      <c r="P231" s="13" t="str">
        <f t="shared" si="285"/>
        <v>NO</v>
      </c>
      <c r="Q231" s="47">
        <f>IF(D231="INCLUIDO",IF(F232&lt;&gt;0,1,0),0)</f>
        <v>0</v>
      </c>
    </row>
    <row r="232" spans="1:22" ht="15" hidden="1" customHeight="1" x14ac:dyDescent="0.3">
      <c r="A232" s="34" t="s">
        <v>1261</v>
      </c>
      <c r="B232" s="36">
        <v>136</v>
      </c>
      <c r="C232" s="29" t="s">
        <v>1170</v>
      </c>
      <c r="D232" s="29" t="str">
        <f>$D$227</f>
        <v>NO APLICA</v>
      </c>
      <c r="E232" s="27" t="s">
        <v>1137</v>
      </c>
      <c r="F232" s="20">
        <f>F228*S232</f>
        <v>0</v>
      </c>
      <c r="G232" s="21">
        <v>0</v>
      </c>
      <c r="H232" s="9">
        <f>(IF(I232="$ Prima",G232,G232*F232/R232))*$U$9</f>
        <v>0</v>
      </c>
      <c r="I232" s="9" t="s">
        <v>1287</v>
      </c>
      <c r="J232" s="9">
        <f>H232*$U$7</f>
        <v>0</v>
      </c>
      <c r="K232" s="9">
        <f>(H232+J232)*$K$15</f>
        <v>0</v>
      </c>
      <c r="L232" s="9">
        <f>ROUND(H232+J232+K232,2)</f>
        <v>0</v>
      </c>
      <c r="M232" s="11">
        <f>M231</f>
        <v>0.05</v>
      </c>
      <c r="N232" s="9">
        <f>H232*M232</f>
        <v>0</v>
      </c>
      <c r="O232" s="12">
        <f>N232</f>
        <v>0</v>
      </c>
      <c r="P232" s="13" t="str">
        <f t="shared" si="285"/>
        <v>NO</v>
      </c>
      <c r="Q232">
        <f>IF(D232="INCLUIDO",IF(F232&lt;&gt;0,1,0),0)</f>
        <v>0</v>
      </c>
      <c r="R232">
        <f>IF(I232="%o Al Millar",1000,IF(I232="% Al Porciento",100,IF(I232="$ Prima",G232)))</f>
        <v>0</v>
      </c>
      <c r="S232">
        <f t="shared" ref="S232" si="302">IF(E232="Excluido",0,IF(D232="NO APLICA",0,1))</f>
        <v>0</v>
      </c>
    </row>
    <row r="233" spans="1:22" s="18" customFormat="1" ht="15" hidden="1" customHeight="1" x14ac:dyDescent="0.3">
      <c r="A233" s="24"/>
      <c r="B233" s="26"/>
      <c r="C233" s="15" t="s">
        <v>1177</v>
      </c>
      <c r="D233" s="38" t="str">
        <f>D232</f>
        <v>NO APLICA</v>
      </c>
      <c r="E233" s="38"/>
      <c r="F233" s="16">
        <f>SUMIF(E232,"Adicional",F232)</f>
        <v>0</v>
      </c>
      <c r="G233" s="17"/>
      <c r="H233" s="16">
        <f>SUM(H232)</f>
        <v>0</v>
      </c>
      <c r="I233" s="16"/>
      <c r="J233" s="16">
        <f t="shared" ref="J233:L233" si="303">SUM(J232)</f>
        <v>0</v>
      </c>
      <c r="K233" s="16">
        <f t="shared" si="303"/>
        <v>0</v>
      </c>
      <c r="L233" s="16">
        <f t="shared" si="303"/>
        <v>0</v>
      </c>
      <c r="M233" s="16" t="s">
        <v>1178</v>
      </c>
      <c r="N233" s="16">
        <f t="shared" ref="N233:O233" si="304">SUM(N232)</f>
        <v>0</v>
      </c>
      <c r="O233" s="84">
        <f t="shared" si="304"/>
        <v>0</v>
      </c>
      <c r="P233" s="13" t="str">
        <f t="shared" si="285"/>
        <v>NO</v>
      </c>
      <c r="Q233">
        <f>IF(D233="INCLUIDO",IF(H233&lt;&gt;0,1,0),0)</f>
        <v>0</v>
      </c>
    </row>
    <row r="234" spans="1:22" ht="15" hidden="1" customHeight="1" x14ac:dyDescent="0.3">
      <c r="A234" s="82">
        <v>906</v>
      </c>
      <c r="B234" s="33">
        <v>16</v>
      </c>
      <c r="C234" s="19" t="s">
        <v>1289</v>
      </c>
      <c r="D234" s="23" t="str">
        <f>D227</f>
        <v>NO APLICA</v>
      </c>
      <c r="E234" s="91"/>
      <c r="F234" s="28"/>
      <c r="G234" s="28"/>
      <c r="H234" s="28"/>
      <c r="I234" s="28"/>
      <c r="J234" s="28"/>
      <c r="K234" s="28"/>
      <c r="L234" s="28"/>
      <c r="M234" s="68">
        <v>0.05</v>
      </c>
      <c r="N234" s="28"/>
      <c r="O234" s="83"/>
      <c r="P234" s="13" t="str">
        <f t="shared" si="285"/>
        <v>NO</v>
      </c>
      <c r="Q234" s="47" t="b">
        <f>IF(D234="INCLUIDO",IF(F235&lt;&gt;0,1,0))</f>
        <v>0</v>
      </c>
    </row>
    <row r="235" spans="1:22" ht="15" hidden="1" customHeight="1" x14ac:dyDescent="0.3">
      <c r="A235" s="34" t="s">
        <v>1261</v>
      </c>
      <c r="B235" s="36">
        <v>137</v>
      </c>
      <c r="C235" s="29" t="s">
        <v>1267</v>
      </c>
      <c r="D235" s="29" t="str">
        <f>$D$227</f>
        <v>NO APLICA</v>
      </c>
      <c r="E235" s="27" t="s">
        <v>1137</v>
      </c>
      <c r="F235" s="20">
        <f>F228*S235</f>
        <v>0</v>
      </c>
      <c r="G235" s="21">
        <v>0</v>
      </c>
      <c r="H235" s="9">
        <f>(IF(I235="$ Prima",G235,G235*F235/R235))*$U$9</f>
        <v>0</v>
      </c>
      <c r="I235" s="9" t="s">
        <v>1287</v>
      </c>
      <c r="J235" s="9">
        <f>H235*$U$7</f>
        <v>0</v>
      </c>
      <c r="K235" s="9">
        <f>(H235+J235)*$K$15</f>
        <v>0</v>
      </c>
      <c r="L235" s="9">
        <f>ROUND(H235+J235+K235,2)</f>
        <v>0</v>
      </c>
      <c r="M235" s="11">
        <f>M234</f>
        <v>0.05</v>
      </c>
      <c r="N235" s="9">
        <f>H235*M235</f>
        <v>0</v>
      </c>
      <c r="O235" s="12">
        <f>N235</f>
        <v>0</v>
      </c>
      <c r="P235" s="13" t="str">
        <f t="shared" si="285"/>
        <v>NO</v>
      </c>
      <c r="Q235">
        <f>IF(D235="INCLUIDO",IF(F235&lt;&gt;0,1,0),0)</f>
        <v>0</v>
      </c>
      <c r="R235">
        <f>IF(I235="%o Al Millar",1000,IF(I235="% Al Porciento",100,IF(I235="$ Prima",G235)))</f>
        <v>0</v>
      </c>
      <c r="S235">
        <f t="shared" ref="S235" si="305">IF(E235="Excluido",0,IF(D235="NO APLICA",0,1))</f>
        <v>0</v>
      </c>
    </row>
    <row r="236" spans="1:22" s="18" customFormat="1" ht="15" hidden="1" customHeight="1" thickBot="1" x14ac:dyDescent="0.35">
      <c r="A236" s="24"/>
      <c r="B236" s="26"/>
      <c r="C236" s="15" t="s">
        <v>1177</v>
      </c>
      <c r="D236" s="38" t="str">
        <f>D235</f>
        <v>NO APLICA</v>
      </c>
      <c r="E236" s="38"/>
      <c r="F236" s="16">
        <f>SUMIF(E228:E235,"Adicional",F228:F235)</f>
        <v>0</v>
      </c>
      <c r="G236" s="17"/>
      <c r="H236" s="16">
        <f>SUM(H235)</f>
        <v>0</v>
      </c>
      <c r="I236" s="16"/>
      <c r="J236" s="16">
        <f t="shared" ref="J236:L236" si="306">SUM(J235)</f>
        <v>0</v>
      </c>
      <c r="K236" s="16">
        <f t="shared" si="306"/>
        <v>0</v>
      </c>
      <c r="L236" s="16">
        <f t="shared" si="306"/>
        <v>0</v>
      </c>
      <c r="M236" s="16" t="s">
        <v>1178</v>
      </c>
      <c r="N236" s="16">
        <f t="shared" ref="N236:O236" si="307">SUM(N235)</f>
        <v>0</v>
      </c>
      <c r="O236" s="84">
        <f t="shared" si="307"/>
        <v>0</v>
      </c>
      <c r="P236" s="13" t="str">
        <f t="shared" si="285"/>
        <v>NO</v>
      </c>
      <c r="Q236">
        <f>IF(D236="INCLUIDO",IF(H236&lt;&gt;0,1,0),0)</f>
        <v>0</v>
      </c>
    </row>
    <row r="237" spans="1:22" ht="15" hidden="1" customHeight="1" thickBot="1" x14ac:dyDescent="0.35">
      <c r="A237" s="82">
        <v>908</v>
      </c>
      <c r="B237" s="33">
        <v>1</v>
      </c>
      <c r="C237" s="19" t="s">
        <v>1290</v>
      </c>
      <c r="D237" s="23" t="str">
        <f>'Ramo Comercial'!C168</f>
        <v>NO APLICA</v>
      </c>
      <c r="E237" s="91"/>
      <c r="F237" s="113">
        <v>0</v>
      </c>
      <c r="G237" s="113">
        <v>1.2</v>
      </c>
      <c r="H237" s="28"/>
      <c r="I237" s="28"/>
      <c r="J237" s="28"/>
      <c r="K237" s="28"/>
      <c r="L237" s="28"/>
      <c r="M237" s="68">
        <v>0</v>
      </c>
      <c r="N237" s="28"/>
      <c r="O237" s="83"/>
      <c r="P237" s="13" t="str">
        <f t="shared" si="285"/>
        <v>NO</v>
      </c>
      <c r="Q237" s="48">
        <f>IF(D237="INCLUIDO",IF(F237&lt;&gt;0,1,0),0)</f>
        <v>0</v>
      </c>
      <c r="T237" s="142">
        <f>G237</f>
        <v>1.2</v>
      </c>
      <c r="U237" s="150"/>
      <c r="V237" s="151"/>
    </row>
    <row r="238" spans="1:22" ht="15" hidden="1" customHeight="1" x14ac:dyDescent="0.3">
      <c r="A238" s="34" t="s">
        <v>1291</v>
      </c>
      <c r="B238" s="36">
        <v>138</v>
      </c>
      <c r="C238" s="29" t="s">
        <v>1292</v>
      </c>
      <c r="D238" s="29" t="str">
        <f>D237</f>
        <v>NO APLICA</v>
      </c>
      <c r="E238" s="27" t="s">
        <v>1152</v>
      </c>
      <c r="F238" s="20">
        <f>F237*S238</f>
        <v>0</v>
      </c>
      <c r="G238" s="21">
        <f>V238</f>
        <v>0</v>
      </c>
      <c r="H238" s="9">
        <f t="shared" ref="H238:H239" si="308">(IF(I238="$ Prima",G238,G238*F238/R238))*$U$9</f>
        <v>0</v>
      </c>
      <c r="I238" s="9" t="s">
        <v>1287</v>
      </c>
      <c r="J238" s="9">
        <f t="shared" ref="J238:J239" si="309">H238*$U$7</f>
        <v>0</v>
      </c>
      <c r="K238" s="9">
        <f t="shared" ref="K238:K239" si="310">(H238+J238)*$K$15</f>
        <v>0</v>
      </c>
      <c r="L238" s="9">
        <f t="shared" ref="L238:L239" si="311">ROUND(H238+J238+K238,2)</f>
        <v>0</v>
      </c>
      <c r="M238" s="11">
        <f>$M$237</f>
        <v>0</v>
      </c>
      <c r="N238" s="9">
        <f t="shared" ref="N238:N239" si="312">H238*M238</f>
        <v>0</v>
      </c>
      <c r="O238" s="12">
        <f t="shared" ref="O238:O239" si="313">N238</f>
        <v>0</v>
      </c>
      <c r="P238" s="13" t="str">
        <f t="shared" si="285"/>
        <v>NO</v>
      </c>
      <c r="Q238">
        <f>IF(D238="INCLUIDO",IF(F238&lt;&gt;0,1,0),0)</f>
        <v>0</v>
      </c>
      <c r="R238">
        <f>IF(I238="%o Al Millar",1000,IF(I238="% Al Porciento",100,IF(I238="$ Prima",G238)))</f>
        <v>0</v>
      </c>
      <c r="S238">
        <f t="shared" ref="S238:S239" si="314">IF(E238="Excluido",0,IF(D238="NO APLICA",0,1))</f>
        <v>0</v>
      </c>
      <c r="T238" s="152">
        <v>0.7</v>
      </c>
      <c r="U238" s="159">
        <f>IF(E238="Excluido",0,T237*T238)</f>
        <v>0.84</v>
      </c>
      <c r="V238" s="160">
        <f>IF(D237="NO APLICA",0,(U240-U239)+(T237-U240))</f>
        <v>0</v>
      </c>
    </row>
    <row r="239" spans="1:22" ht="15" hidden="1" customHeight="1" thickBot="1" x14ac:dyDescent="0.35">
      <c r="A239" s="34" t="s">
        <v>1291</v>
      </c>
      <c r="B239" s="36">
        <v>254</v>
      </c>
      <c r="C239" s="29" t="s">
        <v>1293</v>
      </c>
      <c r="D239" s="29" t="str">
        <f>D237</f>
        <v>NO APLICA</v>
      </c>
      <c r="E239" s="27" t="s">
        <v>1152</v>
      </c>
      <c r="F239" s="20">
        <f>F238*S239</f>
        <v>0</v>
      </c>
      <c r="G239" s="21">
        <f>V239</f>
        <v>0</v>
      </c>
      <c r="H239" s="9">
        <f t="shared" si="308"/>
        <v>0</v>
      </c>
      <c r="I239" s="9" t="s">
        <v>1287</v>
      </c>
      <c r="J239" s="9">
        <f t="shared" si="309"/>
        <v>0</v>
      </c>
      <c r="K239" s="9">
        <f t="shared" si="310"/>
        <v>0</v>
      </c>
      <c r="L239" s="9">
        <f t="shared" si="311"/>
        <v>0</v>
      </c>
      <c r="M239" s="11">
        <f>$M$237</f>
        <v>0</v>
      </c>
      <c r="N239" s="9">
        <f t="shared" si="312"/>
        <v>0</v>
      </c>
      <c r="O239" s="12">
        <f t="shared" si="313"/>
        <v>0</v>
      </c>
      <c r="P239" s="13" t="str">
        <f t="shared" si="285"/>
        <v>NO</v>
      </c>
      <c r="Q239">
        <f>IF(D239="INCLUIDO",IF(F239&lt;&gt;0,1,0),0)</f>
        <v>0</v>
      </c>
      <c r="R239">
        <f>IF(I239="%o Al Millar",1000,IF(I239="% Al Porciento",100,IF(I239="$ Prima",G239)))</f>
        <v>0</v>
      </c>
      <c r="S239">
        <f t="shared" si="314"/>
        <v>0</v>
      </c>
      <c r="T239" s="152">
        <v>0.3</v>
      </c>
      <c r="U239" s="159">
        <f>IF(E239="Excluido",0,T237*T239)</f>
        <v>0.36</v>
      </c>
      <c r="V239" s="160">
        <f>IF($F239=0,0,U239)</f>
        <v>0</v>
      </c>
    </row>
    <row r="240" spans="1:22" s="18" customFormat="1" ht="15" hidden="1" customHeight="1" thickBot="1" x14ac:dyDescent="0.35">
      <c r="A240" s="24"/>
      <c r="B240" s="26"/>
      <c r="C240" s="15" t="s">
        <v>1177</v>
      </c>
      <c r="D240" s="38" t="str">
        <f>D239</f>
        <v>NO APLICA</v>
      </c>
      <c r="E240" s="38"/>
      <c r="F240" s="16">
        <f>SUMIF(E238:E239,"Adicional",F238:F239)</f>
        <v>0</v>
      </c>
      <c r="G240" s="17"/>
      <c r="H240" s="16">
        <f>SUM(H238:H239)</f>
        <v>0</v>
      </c>
      <c r="I240" s="16"/>
      <c r="J240" s="16">
        <f t="shared" ref="J240:L240" si="315">SUM(J238:J239)</f>
        <v>0</v>
      </c>
      <c r="K240" s="16">
        <f t="shared" si="315"/>
        <v>0</v>
      </c>
      <c r="L240" s="16">
        <f t="shared" si="315"/>
        <v>0</v>
      </c>
      <c r="M240" s="16" t="s">
        <v>1178</v>
      </c>
      <c r="N240" s="16">
        <f t="shared" ref="N240:O240" si="316">SUM(N238:N239)</f>
        <v>0</v>
      </c>
      <c r="O240" s="84">
        <f t="shared" si="316"/>
        <v>0</v>
      </c>
      <c r="P240" s="13" t="str">
        <f t="shared" si="285"/>
        <v>NO</v>
      </c>
      <c r="Q240">
        <f>IF(D240="INCLUIDO",IF(H240&lt;&gt;0,1,0),0)</f>
        <v>0</v>
      </c>
      <c r="T240" s="143">
        <f>SUM(T238:T239)</f>
        <v>1</v>
      </c>
      <c r="U240" s="144">
        <f>SUM(U238:U239)</f>
        <v>1.2</v>
      </c>
      <c r="V240" s="145">
        <f>SUM(V238:V239)</f>
        <v>0</v>
      </c>
    </row>
    <row r="241" spans="1:29" hidden="1" x14ac:dyDescent="0.3">
      <c r="A241" s="82">
        <v>909</v>
      </c>
      <c r="B241" s="33">
        <v>1</v>
      </c>
      <c r="C241" s="19" t="s">
        <v>1294</v>
      </c>
      <c r="D241" s="23" t="str">
        <f>'Ramo Comercial'!E162</f>
        <v>INCLUIDO</v>
      </c>
      <c r="E241" s="91"/>
      <c r="F241" s="132">
        <f>'COTIZACIÓN M.N.'!D91</f>
        <v>0</v>
      </c>
      <c r="G241" s="132">
        <f>'COTIZACIÓN M.N.'!F91</f>
        <v>0</v>
      </c>
      <c r="H241" s="28"/>
      <c r="I241" s="28"/>
      <c r="J241" s="28"/>
      <c r="K241" s="28"/>
      <c r="L241" s="28"/>
      <c r="M241" s="68">
        <f>'COTIZACIÓN M.N.'!G91</f>
        <v>0.1</v>
      </c>
      <c r="N241" s="28"/>
      <c r="O241" s="83"/>
      <c r="P241" s="13" t="str">
        <f t="shared" si="285"/>
        <v>NO</v>
      </c>
      <c r="Q241" s="47">
        <f>IF(D241="INCLUIDO",IF(F242&lt;&gt;0,1,0),0)</f>
        <v>0</v>
      </c>
      <c r="T241" s="112">
        <f>G241*T272</f>
        <v>0</v>
      </c>
    </row>
    <row r="242" spans="1:29" hidden="1" x14ac:dyDescent="0.3">
      <c r="A242" s="34" t="s">
        <v>1295</v>
      </c>
      <c r="B242" s="36">
        <v>139</v>
      </c>
      <c r="C242" s="29" t="s">
        <v>1296</v>
      </c>
      <c r="D242" s="29" t="str">
        <f>'Ramo Comercial'!C162</f>
        <v>INCLUIDO</v>
      </c>
      <c r="E242" s="27" t="s">
        <v>1137</v>
      </c>
      <c r="F242" s="43">
        <f>F$241*S242</f>
        <v>0</v>
      </c>
      <c r="G242" s="114">
        <f>V242</f>
        <v>0</v>
      </c>
      <c r="H242" s="9">
        <f t="shared" ref="H242:H271" si="317">(IF(I242="$ Prima",G242,G242*F242/R242))*$U$9</f>
        <v>0</v>
      </c>
      <c r="I242" s="9" t="s">
        <v>1287</v>
      </c>
      <c r="J242" s="9">
        <f t="shared" ref="J242:J271" si="318">H242*$U$7</f>
        <v>0</v>
      </c>
      <c r="K242" s="9">
        <f t="shared" ref="K242:K271" si="319">(H242+J242)*$K$15</f>
        <v>0</v>
      </c>
      <c r="L242" s="9">
        <f t="shared" ref="L242:L271" si="320">ROUND(H242+J242+K242,2)</f>
        <v>0</v>
      </c>
      <c r="M242" s="11">
        <f>$M$241</f>
        <v>0.1</v>
      </c>
      <c r="N242" s="9">
        <f t="shared" ref="N242:N271" si="321">H242*M242</f>
        <v>0</v>
      </c>
      <c r="O242" s="12">
        <f t="shared" ref="O242:O271" si="322">N242</f>
        <v>0</v>
      </c>
      <c r="P242" s="13" t="str">
        <f t="shared" si="285"/>
        <v>NO</v>
      </c>
      <c r="Q242">
        <f t="shared" ref="Q242:Q271" si="323">IF(D242="INCLUIDO",IF(F242&lt;&gt;0,1,0),0)</f>
        <v>0</v>
      </c>
      <c r="R242">
        <f t="shared" ref="R242:R271" si="324">IF(I242="%o Al Millar",1000,IF(I242="% Al Porciento",100,IF(I242="$ Prima",G242)))</f>
        <v>0</v>
      </c>
      <c r="S242">
        <f t="shared" ref="S242:S271" si="325">IF(E242="Excluido",0,IF(D242="NO APLICA",0,1))</f>
        <v>1</v>
      </c>
      <c r="T242" s="110">
        <f>VLOOKUP(B242,DesgloseRC!$E$48:$F$88,2,FALSE)</f>
        <v>0.25</v>
      </c>
      <c r="U242" s="111">
        <f>IF(E242="Excluido",0,T241*T242)</f>
        <v>0</v>
      </c>
      <c r="V242" s="160">
        <f>IF(D241="NO APLICA",0,(U272-(SUM(U243:U271))+(T241-U272)))</f>
        <v>0</v>
      </c>
      <c r="W242" s="110"/>
      <c r="X242" s="110"/>
      <c r="Y242" s="110"/>
      <c r="Z242" s="110"/>
      <c r="AA242" s="110"/>
      <c r="AB242" s="110"/>
      <c r="AC242" s="110"/>
    </row>
    <row r="243" spans="1:29" ht="15" hidden="1" customHeight="1" x14ac:dyDescent="0.3">
      <c r="A243" s="34" t="s">
        <v>1295</v>
      </c>
      <c r="B243" s="36">
        <v>140</v>
      </c>
      <c r="C243" s="29" t="s">
        <v>1297</v>
      </c>
      <c r="D243" s="29" t="str">
        <f>$D$242</f>
        <v>INCLUIDO</v>
      </c>
      <c r="E243" s="27" t="s">
        <v>1186</v>
      </c>
      <c r="F243" s="43">
        <f t="shared" ref="F243:F271" si="326">F$241*S243</f>
        <v>0</v>
      </c>
      <c r="G243" s="114">
        <f t="shared" ref="G243:G271" si="327">V243</f>
        <v>0</v>
      </c>
      <c r="H243" s="9">
        <f t="shared" si="317"/>
        <v>0</v>
      </c>
      <c r="I243" s="9" t="s">
        <v>1287</v>
      </c>
      <c r="J243" s="9">
        <f t="shared" si="318"/>
        <v>0</v>
      </c>
      <c r="K243" s="9">
        <f t="shared" si="319"/>
        <v>0</v>
      </c>
      <c r="L243" s="9">
        <f t="shared" si="320"/>
        <v>0</v>
      </c>
      <c r="M243" s="11">
        <f t="shared" ref="M243:M271" si="328">$M$241</f>
        <v>0.1</v>
      </c>
      <c r="N243" s="9">
        <f t="shared" si="321"/>
        <v>0</v>
      </c>
      <c r="O243" s="12">
        <f t="shared" si="322"/>
        <v>0</v>
      </c>
      <c r="P243" s="13" t="str">
        <f t="shared" si="285"/>
        <v>NO</v>
      </c>
      <c r="Q243">
        <f t="shared" si="323"/>
        <v>0</v>
      </c>
      <c r="R243">
        <f t="shared" si="324"/>
        <v>0</v>
      </c>
      <c r="S243">
        <f t="shared" si="325"/>
        <v>0</v>
      </c>
      <c r="T243" s="110">
        <f>VLOOKUP(B243,DesgloseRC!$E$48:$F$88,2,FALSE)</f>
        <v>0.05</v>
      </c>
      <c r="U243" s="111">
        <f>IF(E243="Excluido",0,$T$241*T243)</f>
        <v>0</v>
      </c>
      <c r="V243" s="111">
        <f>IF(F243=0,0,U243)</f>
        <v>0</v>
      </c>
      <c r="W243" s="110"/>
      <c r="X243" s="110"/>
      <c r="Y243" s="110"/>
      <c r="Z243" s="110"/>
      <c r="AA243" s="110"/>
      <c r="AB243" s="110"/>
      <c r="AC243" s="110"/>
    </row>
    <row r="244" spans="1:29" ht="15" hidden="1" customHeight="1" x14ac:dyDescent="0.3">
      <c r="A244" s="34" t="s">
        <v>1295</v>
      </c>
      <c r="B244" s="36">
        <v>153</v>
      </c>
      <c r="C244" s="29" t="s">
        <v>1298</v>
      </c>
      <c r="D244" s="29" t="str">
        <f t="shared" ref="D244:D269" si="329">$D$242</f>
        <v>INCLUIDO</v>
      </c>
      <c r="E244" s="27" t="s">
        <v>1186</v>
      </c>
      <c r="F244" s="43">
        <f t="shared" si="326"/>
        <v>0</v>
      </c>
      <c r="G244" s="114">
        <f t="shared" si="327"/>
        <v>0</v>
      </c>
      <c r="H244" s="9">
        <f t="shared" si="317"/>
        <v>0</v>
      </c>
      <c r="I244" s="9" t="s">
        <v>1287</v>
      </c>
      <c r="J244" s="9">
        <f t="shared" si="318"/>
        <v>0</v>
      </c>
      <c r="K244" s="9">
        <f t="shared" si="319"/>
        <v>0</v>
      </c>
      <c r="L244" s="9">
        <f t="shared" si="320"/>
        <v>0</v>
      </c>
      <c r="M244" s="11">
        <f t="shared" si="328"/>
        <v>0.1</v>
      </c>
      <c r="N244" s="9">
        <f t="shared" si="321"/>
        <v>0</v>
      </c>
      <c r="O244" s="12">
        <f t="shared" si="322"/>
        <v>0</v>
      </c>
      <c r="P244" s="13" t="str">
        <f t="shared" si="285"/>
        <v>NO</v>
      </c>
      <c r="Q244">
        <f t="shared" si="323"/>
        <v>0</v>
      </c>
      <c r="R244">
        <f t="shared" si="324"/>
        <v>0</v>
      </c>
      <c r="S244">
        <f t="shared" si="325"/>
        <v>0</v>
      </c>
      <c r="T244" s="110">
        <f>VLOOKUP(B244,DesgloseRC!$E$48:$F$88,2,FALSE)</f>
        <v>0</v>
      </c>
      <c r="U244" s="111">
        <f t="shared" ref="U244:U271" si="330">IF(E244="Excluido",0,$T$241*T244)</f>
        <v>0</v>
      </c>
      <c r="V244" s="111">
        <f t="shared" ref="V244:V271" si="331">IF(F244=0,0,U244)</f>
        <v>0</v>
      </c>
      <c r="AA244" s="110"/>
      <c r="AC244" s="110"/>
    </row>
    <row r="245" spans="1:29" ht="15" hidden="1" customHeight="1" x14ac:dyDescent="0.3">
      <c r="A245" s="34" t="s">
        <v>1295</v>
      </c>
      <c r="B245" s="36">
        <v>154</v>
      </c>
      <c r="C245" s="29" t="s">
        <v>1299</v>
      </c>
      <c r="D245" s="29" t="str">
        <f t="shared" si="329"/>
        <v>INCLUIDO</v>
      </c>
      <c r="E245" s="27" t="s">
        <v>1186</v>
      </c>
      <c r="F245" s="43">
        <f t="shared" si="326"/>
        <v>0</v>
      </c>
      <c r="G245" s="114">
        <f t="shared" si="327"/>
        <v>0</v>
      </c>
      <c r="H245" s="9">
        <f t="shared" si="317"/>
        <v>0</v>
      </c>
      <c r="I245" s="9" t="s">
        <v>1287</v>
      </c>
      <c r="J245" s="9">
        <f t="shared" si="318"/>
        <v>0</v>
      </c>
      <c r="K245" s="9">
        <f t="shared" si="319"/>
        <v>0</v>
      </c>
      <c r="L245" s="9">
        <f t="shared" si="320"/>
        <v>0</v>
      </c>
      <c r="M245" s="11">
        <f t="shared" si="328"/>
        <v>0.1</v>
      </c>
      <c r="N245" s="9">
        <f t="shared" si="321"/>
        <v>0</v>
      </c>
      <c r="O245" s="12">
        <f t="shared" si="322"/>
        <v>0</v>
      </c>
      <c r="P245" s="13" t="str">
        <f t="shared" si="285"/>
        <v>NO</v>
      </c>
      <c r="Q245">
        <f t="shared" si="323"/>
        <v>0</v>
      </c>
      <c r="R245">
        <f t="shared" si="324"/>
        <v>0</v>
      </c>
      <c r="S245">
        <f t="shared" si="325"/>
        <v>0</v>
      </c>
      <c r="T245" s="110">
        <f>VLOOKUP(B245,DesgloseRC!$E$48:$F$88,2,FALSE)</f>
        <v>0</v>
      </c>
      <c r="U245" s="111">
        <f t="shared" si="330"/>
        <v>0</v>
      </c>
      <c r="V245" s="111">
        <f t="shared" si="331"/>
        <v>0</v>
      </c>
      <c r="AA245" s="110"/>
      <c r="AC245" s="110"/>
    </row>
    <row r="246" spans="1:29" ht="22.5" hidden="1" customHeight="1" x14ac:dyDescent="0.3">
      <c r="A246" s="34" t="s">
        <v>1295</v>
      </c>
      <c r="B246" s="36">
        <v>152</v>
      </c>
      <c r="C246" s="29" t="s">
        <v>1300</v>
      </c>
      <c r="D246" s="29" t="str">
        <f t="shared" si="329"/>
        <v>INCLUIDO</v>
      </c>
      <c r="E246" s="27" t="s">
        <v>1186</v>
      </c>
      <c r="F246" s="43">
        <f t="shared" si="326"/>
        <v>0</v>
      </c>
      <c r="G246" s="114">
        <f t="shared" si="327"/>
        <v>0</v>
      </c>
      <c r="H246" s="9">
        <f t="shared" si="317"/>
        <v>0</v>
      </c>
      <c r="I246" s="9" t="s">
        <v>1287</v>
      </c>
      <c r="J246" s="9">
        <f t="shared" si="318"/>
        <v>0</v>
      </c>
      <c r="K246" s="9">
        <f t="shared" si="319"/>
        <v>0</v>
      </c>
      <c r="L246" s="9">
        <f t="shared" si="320"/>
        <v>0</v>
      </c>
      <c r="M246" s="11">
        <f t="shared" si="328"/>
        <v>0.1</v>
      </c>
      <c r="N246" s="9">
        <f t="shared" si="321"/>
        <v>0</v>
      </c>
      <c r="O246" s="12">
        <f t="shared" si="322"/>
        <v>0</v>
      </c>
      <c r="P246" s="13" t="str">
        <f t="shared" si="285"/>
        <v>NO</v>
      </c>
      <c r="Q246">
        <f t="shared" si="323"/>
        <v>0</v>
      </c>
      <c r="R246">
        <f t="shared" si="324"/>
        <v>0</v>
      </c>
      <c r="S246">
        <f t="shared" si="325"/>
        <v>0</v>
      </c>
      <c r="T246" s="110">
        <f>VLOOKUP(B246,DesgloseRC!$E$48:$F$88,2,FALSE)</f>
        <v>0</v>
      </c>
      <c r="U246" s="111">
        <f t="shared" si="330"/>
        <v>0</v>
      </c>
      <c r="V246" s="111">
        <f t="shared" si="331"/>
        <v>0</v>
      </c>
      <c r="AA246" s="110"/>
      <c r="AC246" s="110"/>
    </row>
    <row r="247" spans="1:29" ht="15" hidden="1" customHeight="1" x14ac:dyDescent="0.3">
      <c r="A247" s="34" t="s">
        <v>1295</v>
      </c>
      <c r="B247" s="36">
        <v>151</v>
      </c>
      <c r="C247" s="29" t="s">
        <v>1301</v>
      </c>
      <c r="D247" s="29" t="str">
        <f t="shared" si="329"/>
        <v>INCLUIDO</v>
      </c>
      <c r="E247" s="27" t="s">
        <v>1186</v>
      </c>
      <c r="F247" s="43">
        <f t="shared" si="326"/>
        <v>0</v>
      </c>
      <c r="G247" s="114">
        <f t="shared" si="327"/>
        <v>0</v>
      </c>
      <c r="H247" s="9">
        <f t="shared" si="317"/>
        <v>0</v>
      </c>
      <c r="I247" s="9" t="s">
        <v>1287</v>
      </c>
      <c r="J247" s="9">
        <f t="shared" si="318"/>
        <v>0</v>
      </c>
      <c r="K247" s="9">
        <f t="shared" si="319"/>
        <v>0</v>
      </c>
      <c r="L247" s="9">
        <f t="shared" si="320"/>
        <v>0</v>
      </c>
      <c r="M247" s="11">
        <f t="shared" si="328"/>
        <v>0.1</v>
      </c>
      <c r="N247" s="9">
        <f t="shared" si="321"/>
        <v>0</v>
      </c>
      <c r="O247" s="12">
        <f t="shared" si="322"/>
        <v>0</v>
      </c>
      <c r="P247" s="13" t="str">
        <f t="shared" si="285"/>
        <v>NO</v>
      </c>
      <c r="Q247">
        <f t="shared" si="323"/>
        <v>0</v>
      </c>
      <c r="R247">
        <f t="shared" si="324"/>
        <v>0</v>
      </c>
      <c r="S247">
        <f t="shared" si="325"/>
        <v>0</v>
      </c>
      <c r="T247" s="110">
        <f>VLOOKUP(B247,DesgloseRC!$E$48:$F$88,2,FALSE)</f>
        <v>0.1</v>
      </c>
      <c r="U247" s="111">
        <f t="shared" si="330"/>
        <v>0</v>
      </c>
      <c r="V247" s="111">
        <f t="shared" si="331"/>
        <v>0</v>
      </c>
      <c r="AC247" s="110"/>
    </row>
    <row r="248" spans="1:29" ht="15" hidden="1" customHeight="1" x14ac:dyDescent="0.3">
      <c r="A248" s="34" t="s">
        <v>1295</v>
      </c>
      <c r="B248" s="36">
        <v>141</v>
      </c>
      <c r="C248" s="29" t="s">
        <v>1302</v>
      </c>
      <c r="D248" s="29" t="str">
        <f t="shared" si="329"/>
        <v>INCLUIDO</v>
      </c>
      <c r="E248" s="27" t="s">
        <v>1186</v>
      </c>
      <c r="F248" s="43">
        <f t="shared" si="326"/>
        <v>0</v>
      </c>
      <c r="G248" s="114">
        <f t="shared" si="327"/>
        <v>0</v>
      </c>
      <c r="H248" s="9">
        <f t="shared" si="317"/>
        <v>0</v>
      </c>
      <c r="I248" s="9" t="s">
        <v>1287</v>
      </c>
      <c r="J248" s="9">
        <f t="shared" si="318"/>
        <v>0</v>
      </c>
      <c r="K248" s="9">
        <f t="shared" si="319"/>
        <v>0</v>
      </c>
      <c r="L248" s="9">
        <f t="shared" si="320"/>
        <v>0</v>
      </c>
      <c r="M248" s="11">
        <f t="shared" si="328"/>
        <v>0.1</v>
      </c>
      <c r="N248" s="9">
        <f t="shared" si="321"/>
        <v>0</v>
      </c>
      <c r="O248" s="12">
        <f t="shared" si="322"/>
        <v>0</v>
      </c>
      <c r="P248" s="13" t="str">
        <f t="shared" si="285"/>
        <v>NO</v>
      </c>
      <c r="Q248">
        <f t="shared" si="323"/>
        <v>0</v>
      </c>
      <c r="R248">
        <f t="shared" si="324"/>
        <v>0</v>
      </c>
      <c r="S248">
        <f t="shared" si="325"/>
        <v>0</v>
      </c>
      <c r="T248" s="110">
        <f>VLOOKUP(B248,DesgloseRC!$E$48:$F$88,2,FALSE)</f>
        <v>0.03</v>
      </c>
      <c r="U248" s="111">
        <f t="shared" si="330"/>
        <v>0</v>
      </c>
      <c r="V248" s="111">
        <f t="shared" si="331"/>
        <v>0</v>
      </c>
      <c r="Z248" s="110"/>
      <c r="AC248" s="110"/>
    </row>
    <row r="249" spans="1:29" ht="22.5" hidden="1" customHeight="1" x14ac:dyDescent="0.3">
      <c r="A249" s="34" t="s">
        <v>1295</v>
      </c>
      <c r="B249" s="36">
        <v>142</v>
      </c>
      <c r="C249" s="29" t="s">
        <v>1303</v>
      </c>
      <c r="D249" s="29" t="str">
        <f t="shared" si="329"/>
        <v>INCLUIDO</v>
      </c>
      <c r="E249" s="27" t="s">
        <v>1186</v>
      </c>
      <c r="F249" s="43">
        <f t="shared" si="326"/>
        <v>0</v>
      </c>
      <c r="G249" s="114">
        <f t="shared" si="327"/>
        <v>0</v>
      </c>
      <c r="H249" s="9">
        <f t="shared" si="317"/>
        <v>0</v>
      </c>
      <c r="I249" s="9" t="s">
        <v>1287</v>
      </c>
      <c r="J249" s="9">
        <f t="shared" si="318"/>
        <v>0</v>
      </c>
      <c r="K249" s="9">
        <f t="shared" si="319"/>
        <v>0</v>
      </c>
      <c r="L249" s="9">
        <f t="shared" si="320"/>
        <v>0</v>
      </c>
      <c r="M249" s="11">
        <f t="shared" si="328"/>
        <v>0.1</v>
      </c>
      <c r="N249" s="9">
        <f t="shared" si="321"/>
        <v>0</v>
      </c>
      <c r="O249" s="12">
        <f t="shared" si="322"/>
        <v>0</v>
      </c>
      <c r="P249" s="13" t="str">
        <f t="shared" si="285"/>
        <v>NO</v>
      </c>
      <c r="Q249">
        <f t="shared" si="323"/>
        <v>0</v>
      </c>
      <c r="R249">
        <f t="shared" si="324"/>
        <v>0</v>
      </c>
      <c r="S249">
        <f t="shared" si="325"/>
        <v>0</v>
      </c>
      <c r="T249" s="110">
        <f>VLOOKUP(B249,DesgloseRC!$E$48:$F$88,2,FALSE)</f>
        <v>0.03</v>
      </c>
      <c r="U249" s="111">
        <f t="shared" si="330"/>
        <v>0</v>
      </c>
      <c r="V249" s="111">
        <f t="shared" si="331"/>
        <v>0</v>
      </c>
      <c r="AC249" s="110"/>
    </row>
    <row r="250" spans="1:29" ht="15" hidden="1" customHeight="1" x14ac:dyDescent="0.3">
      <c r="A250" s="34" t="s">
        <v>1295</v>
      </c>
      <c r="B250" s="36">
        <v>143</v>
      </c>
      <c r="C250" s="29" t="s">
        <v>1304</v>
      </c>
      <c r="D250" s="29" t="str">
        <f t="shared" si="329"/>
        <v>INCLUIDO</v>
      </c>
      <c r="E250" s="27" t="s">
        <v>1186</v>
      </c>
      <c r="F250" s="43">
        <v>0</v>
      </c>
      <c r="G250" s="114">
        <f t="shared" si="327"/>
        <v>0</v>
      </c>
      <c r="H250" s="9">
        <f t="shared" si="317"/>
        <v>0</v>
      </c>
      <c r="I250" s="9" t="s">
        <v>1287</v>
      </c>
      <c r="J250" s="9">
        <f t="shared" si="318"/>
        <v>0</v>
      </c>
      <c r="K250" s="9">
        <f t="shared" si="319"/>
        <v>0</v>
      </c>
      <c r="L250" s="9">
        <f t="shared" si="320"/>
        <v>0</v>
      </c>
      <c r="M250" s="11">
        <f t="shared" si="328"/>
        <v>0.1</v>
      </c>
      <c r="N250" s="9">
        <f t="shared" si="321"/>
        <v>0</v>
      </c>
      <c r="O250" s="12">
        <f t="shared" si="322"/>
        <v>0</v>
      </c>
      <c r="P250" s="13" t="str">
        <f t="shared" si="285"/>
        <v>NO</v>
      </c>
      <c r="Q250">
        <f t="shared" si="323"/>
        <v>0</v>
      </c>
      <c r="R250">
        <f t="shared" si="324"/>
        <v>0</v>
      </c>
      <c r="S250">
        <f t="shared" si="325"/>
        <v>0</v>
      </c>
      <c r="T250" s="110">
        <f>VLOOKUP(B250,DesgloseRC!$E$48:$F$88,2,FALSE)</f>
        <v>0.03</v>
      </c>
      <c r="U250" s="111">
        <f t="shared" si="330"/>
        <v>0</v>
      </c>
      <c r="V250" s="111">
        <f t="shared" si="331"/>
        <v>0</v>
      </c>
      <c r="Z250" s="110"/>
      <c r="AB250" s="110"/>
      <c r="AC250" s="110"/>
    </row>
    <row r="251" spans="1:29" ht="22.5" hidden="1" customHeight="1" x14ac:dyDescent="0.3">
      <c r="A251" s="34" t="s">
        <v>1295</v>
      </c>
      <c r="B251" s="36">
        <v>144</v>
      </c>
      <c r="C251" s="29" t="s">
        <v>1305</v>
      </c>
      <c r="D251" s="29" t="str">
        <f t="shared" si="329"/>
        <v>INCLUIDO</v>
      </c>
      <c r="E251" s="27" t="s">
        <v>1186</v>
      </c>
      <c r="F251" s="43">
        <f t="shared" si="326"/>
        <v>0</v>
      </c>
      <c r="G251" s="114">
        <f t="shared" si="327"/>
        <v>0</v>
      </c>
      <c r="H251" s="9">
        <f t="shared" si="317"/>
        <v>0</v>
      </c>
      <c r="I251" s="9" t="s">
        <v>1287</v>
      </c>
      <c r="J251" s="9">
        <f t="shared" si="318"/>
        <v>0</v>
      </c>
      <c r="K251" s="9">
        <f t="shared" si="319"/>
        <v>0</v>
      </c>
      <c r="L251" s="9">
        <f t="shared" si="320"/>
        <v>0</v>
      </c>
      <c r="M251" s="11">
        <f t="shared" si="328"/>
        <v>0.1</v>
      </c>
      <c r="N251" s="9">
        <f t="shared" si="321"/>
        <v>0</v>
      </c>
      <c r="O251" s="12">
        <f t="shared" si="322"/>
        <v>0</v>
      </c>
      <c r="P251" s="13" t="str">
        <f t="shared" si="285"/>
        <v>NO</v>
      </c>
      <c r="Q251">
        <f t="shared" si="323"/>
        <v>0</v>
      </c>
      <c r="R251">
        <f t="shared" si="324"/>
        <v>0</v>
      </c>
      <c r="S251">
        <f t="shared" si="325"/>
        <v>0</v>
      </c>
      <c r="T251" s="110">
        <f>VLOOKUP(B251,DesgloseRC!$E$48:$F$88,2,FALSE)</f>
        <v>0.03</v>
      </c>
      <c r="U251" s="111">
        <f t="shared" si="330"/>
        <v>0</v>
      </c>
      <c r="V251" s="111">
        <f t="shared" si="331"/>
        <v>0</v>
      </c>
      <c r="Z251" s="110"/>
      <c r="AC251" s="110"/>
    </row>
    <row r="252" spans="1:29" ht="15" hidden="1" customHeight="1" x14ac:dyDescent="0.3">
      <c r="A252" s="34" t="s">
        <v>1295</v>
      </c>
      <c r="B252" s="36">
        <v>145</v>
      </c>
      <c r="C252" s="29" t="s">
        <v>1306</v>
      </c>
      <c r="D252" s="29" t="str">
        <f t="shared" si="329"/>
        <v>INCLUIDO</v>
      </c>
      <c r="E252" s="27" t="s">
        <v>1186</v>
      </c>
      <c r="F252" s="43">
        <f t="shared" si="326"/>
        <v>0</v>
      </c>
      <c r="G252" s="114">
        <f t="shared" si="327"/>
        <v>0</v>
      </c>
      <c r="H252" s="9">
        <f t="shared" si="317"/>
        <v>0</v>
      </c>
      <c r="I252" s="9" t="s">
        <v>1287</v>
      </c>
      <c r="J252" s="9">
        <f t="shared" si="318"/>
        <v>0</v>
      </c>
      <c r="K252" s="9">
        <f t="shared" si="319"/>
        <v>0</v>
      </c>
      <c r="L252" s="9">
        <f t="shared" si="320"/>
        <v>0</v>
      </c>
      <c r="M252" s="11">
        <f t="shared" si="328"/>
        <v>0.1</v>
      </c>
      <c r="N252" s="9">
        <f t="shared" si="321"/>
        <v>0</v>
      </c>
      <c r="O252" s="12">
        <f t="shared" si="322"/>
        <v>0</v>
      </c>
      <c r="P252" s="13" t="str">
        <f t="shared" si="285"/>
        <v>NO</v>
      </c>
      <c r="Q252">
        <f t="shared" si="323"/>
        <v>0</v>
      </c>
      <c r="R252">
        <f t="shared" si="324"/>
        <v>0</v>
      </c>
      <c r="S252">
        <f t="shared" si="325"/>
        <v>0</v>
      </c>
      <c r="T252" s="110">
        <f>VLOOKUP(B252,DesgloseRC!$E$48:$F$88,2,FALSE)</f>
        <v>0.03</v>
      </c>
      <c r="U252" s="111">
        <f t="shared" si="330"/>
        <v>0</v>
      </c>
      <c r="V252" s="111">
        <f t="shared" si="331"/>
        <v>0</v>
      </c>
      <c r="Z252" s="110"/>
      <c r="AC252" s="110"/>
    </row>
    <row r="253" spans="1:29" ht="15" hidden="1" customHeight="1" x14ac:dyDescent="0.3">
      <c r="A253" s="34" t="s">
        <v>1295</v>
      </c>
      <c r="B253" s="36">
        <v>146</v>
      </c>
      <c r="C253" s="29" t="s">
        <v>1307</v>
      </c>
      <c r="D253" s="29" t="str">
        <f t="shared" si="329"/>
        <v>INCLUIDO</v>
      </c>
      <c r="E253" s="27" t="s">
        <v>1186</v>
      </c>
      <c r="F253" s="43">
        <f t="shared" si="326"/>
        <v>0</v>
      </c>
      <c r="G253" s="114">
        <f t="shared" si="327"/>
        <v>0</v>
      </c>
      <c r="H253" s="9">
        <f t="shared" si="317"/>
        <v>0</v>
      </c>
      <c r="I253" s="9" t="s">
        <v>1287</v>
      </c>
      <c r="J253" s="9">
        <f t="shared" si="318"/>
        <v>0</v>
      </c>
      <c r="K253" s="9">
        <f t="shared" si="319"/>
        <v>0</v>
      </c>
      <c r="L253" s="9">
        <f t="shared" si="320"/>
        <v>0</v>
      </c>
      <c r="M253" s="11">
        <f t="shared" si="328"/>
        <v>0.1</v>
      </c>
      <c r="N253" s="9">
        <f t="shared" si="321"/>
        <v>0</v>
      </c>
      <c r="O253" s="12">
        <f t="shared" si="322"/>
        <v>0</v>
      </c>
      <c r="P253" s="13" t="str">
        <f t="shared" si="285"/>
        <v>NO</v>
      </c>
      <c r="Q253">
        <f t="shared" si="323"/>
        <v>0</v>
      </c>
      <c r="R253">
        <f t="shared" si="324"/>
        <v>0</v>
      </c>
      <c r="S253">
        <f t="shared" si="325"/>
        <v>0</v>
      </c>
      <c r="T253" s="110">
        <f>VLOOKUP(B253,DesgloseRC!$E$48:$F$88,2,FALSE)</f>
        <v>0</v>
      </c>
      <c r="U253" s="111">
        <f t="shared" si="330"/>
        <v>0</v>
      </c>
      <c r="V253" s="111">
        <f t="shared" si="331"/>
        <v>0</v>
      </c>
    </row>
    <row r="254" spans="1:29" ht="15" hidden="1" customHeight="1" x14ac:dyDescent="0.3">
      <c r="A254" s="34" t="s">
        <v>1295</v>
      </c>
      <c r="B254" s="36">
        <v>147</v>
      </c>
      <c r="C254" s="29" t="s">
        <v>1308</v>
      </c>
      <c r="D254" s="29" t="str">
        <f t="shared" si="329"/>
        <v>INCLUIDO</v>
      </c>
      <c r="E254" s="27" t="s">
        <v>1186</v>
      </c>
      <c r="F254" s="43">
        <f t="shared" si="326"/>
        <v>0</v>
      </c>
      <c r="G254" s="114">
        <f t="shared" si="327"/>
        <v>0</v>
      </c>
      <c r="H254" s="9">
        <f t="shared" si="317"/>
        <v>0</v>
      </c>
      <c r="I254" s="9" t="s">
        <v>1287</v>
      </c>
      <c r="J254" s="9">
        <f t="shared" si="318"/>
        <v>0</v>
      </c>
      <c r="K254" s="9">
        <f t="shared" si="319"/>
        <v>0</v>
      </c>
      <c r="L254" s="9">
        <f t="shared" si="320"/>
        <v>0</v>
      </c>
      <c r="M254" s="11">
        <f t="shared" si="328"/>
        <v>0.1</v>
      </c>
      <c r="N254" s="9">
        <f t="shared" si="321"/>
        <v>0</v>
      </c>
      <c r="O254" s="12">
        <f t="shared" si="322"/>
        <v>0</v>
      </c>
      <c r="P254" s="13" t="str">
        <f t="shared" si="285"/>
        <v>NO</v>
      </c>
      <c r="Q254">
        <f t="shared" si="323"/>
        <v>0</v>
      </c>
      <c r="R254">
        <f t="shared" si="324"/>
        <v>0</v>
      </c>
      <c r="S254">
        <f t="shared" si="325"/>
        <v>0</v>
      </c>
      <c r="T254" s="110">
        <f>VLOOKUP(B254,DesgloseRC!$E$48:$F$88,2,FALSE)</f>
        <v>0</v>
      </c>
      <c r="U254" s="111">
        <f t="shared" si="330"/>
        <v>0</v>
      </c>
      <c r="V254" s="111">
        <f t="shared" si="331"/>
        <v>0</v>
      </c>
    </row>
    <row r="255" spans="1:29" ht="15" hidden="1" customHeight="1" x14ac:dyDescent="0.3">
      <c r="A255" s="34" t="s">
        <v>1295</v>
      </c>
      <c r="B255" s="36">
        <v>148</v>
      </c>
      <c r="C255" s="29" t="s">
        <v>1309</v>
      </c>
      <c r="D255" s="29" t="str">
        <f t="shared" si="329"/>
        <v>INCLUIDO</v>
      </c>
      <c r="E255" s="27" t="s">
        <v>1186</v>
      </c>
      <c r="F255" s="43">
        <f t="shared" si="326"/>
        <v>0</v>
      </c>
      <c r="G255" s="114">
        <f t="shared" si="327"/>
        <v>0</v>
      </c>
      <c r="H255" s="9">
        <f t="shared" si="317"/>
        <v>0</v>
      </c>
      <c r="I255" s="9" t="s">
        <v>1287</v>
      </c>
      <c r="J255" s="9">
        <f t="shared" si="318"/>
        <v>0</v>
      </c>
      <c r="K255" s="9">
        <f t="shared" si="319"/>
        <v>0</v>
      </c>
      <c r="L255" s="9">
        <f t="shared" si="320"/>
        <v>0</v>
      </c>
      <c r="M255" s="11">
        <f t="shared" si="328"/>
        <v>0.1</v>
      </c>
      <c r="N255" s="9">
        <f t="shared" si="321"/>
        <v>0</v>
      </c>
      <c r="O255" s="12">
        <f t="shared" si="322"/>
        <v>0</v>
      </c>
      <c r="P255" s="13" t="str">
        <f t="shared" si="285"/>
        <v>NO</v>
      </c>
      <c r="Q255">
        <f t="shared" si="323"/>
        <v>0</v>
      </c>
      <c r="R255">
        <f t="shared" si="324"/>
        <v>0</v>
      </c>
      <c r="S255">
        <f t="shared" si="325"/>
        <v>0</v>
      </c>
      <c r="T255" s="110">
        <f>VLOOKUP(B255,DesgloseRC!$E$48:$F$88,2,FALSE)</f>
        <v>0.1</v>
      </c>
      <c r="U255" s="111">
        <f t="shared" si="330"/>
        <v>0</v>
      </c>
      <c r="V255" s="111">
        <f t="shared" si="331"/>
        <v>0</v>
      </c>
      <c r="AC255" s="110"/>
    </row>
    <row r="256" spans="1:29" ht="15" hidden="1" customHeight="1" x14ac:dyDescent="0.3">
      <c r="A256" s="34" t="s">
        <v>1295</v>
      </c>
      <c r="B256" s="36">
        <v>156</v>
      </c>
      <c r="C256" s="29" t="s">
        <v>1310</v>
      </c>
      <c r="D256" s="29" t="str">
        <f t="shared" si="329"/>
        <v>INCLUIDO</v>
      </c>
      <c r="E256" s="27" t="s">
        <v>1186</v>
      </c>
      <c r="F256" s="43">
        <v>0</v>
      </c>
      <c r="G256" s="114">
        <f t="shared" si="327"/>
        <v>0</v>
      </c>
      <c r="H256" s="9">
        <f t="shared" si="317"/>
        <v>0</v>
      </c>
      <c r="I256" s="9" t="s">
        <v>1287</v>
      </c>
      <c r="J256" s="9">
        <f t="shared" si="318"/>
        <v>0</v>
      </c>
      <c r="K256" s="9">
        <f t="shared" si="319"/>
        <v>0</v>
      </c>
      <c r="L256" s="9">
        <f t="shared" si="320"/>
        <v>0</v>
      </c>
      <c r="M256" s="11">
        <f t="shared" si="328"/>
        <v>0.1</v>
      </c>
      <c r="N256" s="9">
        <f t="shared" si="321"/>
        <v>0</v>
      </c>
      <c r="O256" s="12">
        <f t="shared" si="322"/>
        <v>0</v>
      </c>
      <c r="P256" s="13" t="str">
        <f t="shared" si="285"/>
        <v>NO</v>
      </c>
      <c r="Q256">
        <f t="shared" si="323"/>
        <v>0</v>
      </c>
      <c r="R256">
        <f t="shared" si="324"/>
        <v>0</v>
      </c>
      <c r="S256">
        <f t="shared" si="325"/>
        <v>0</v>
      </c>
      <c r="T256" s="110">
        <f>VLOOKUP(B256,DesgloseRC!$E$48:$F$88,2,FALSE)</f>
        <v>0.05</v>
      </c>
      <c r="U256" s="111">
        <f t="shared" si="330"/>
        <v>0</v>
      </c>
      <c r="V256" s="111">
        <f t="shared" si="331"/>
        <v>0</v>
      </c>
    </row>
    <row r="257" spans="1:29" ht="22.5" hidden="1" customHeight="1" x14ac:dyDescent="0.3">
      <c r="A257" s="34" t="s">
        <v>1295</v>
      </c>
      <c r="B257" s="36">
        <v>225</v>
      </c>
      <c r="C257" s="29" t="s">
        <v>1311</v>
      </c>
      <c r="D257" s="29" t="str">
        <f t="shared" si="329"/>
        <v>INCLUIDO</v>
      </c>
      <c r="E257" s="27" t="s">
        <v>1186</v>
      </c>
      <c r="F257" s="43">
        <f t="shared" si="326"/>
        <v>0</v>
      </c>
      <c r="G257" s="114">
        <f t="shared" si="327"/>
        <v>0</v>
      </c>
      <c r="H257" s="9">
        <f t="shared" si="317"/>
        <v>0</v>
      </c>
      <c r="I257" s="9" t="s">
        <v>1287</v>
      </c>
      <c r="J257" s="9">
        <f t="shared" si="318"/>
        <v>0</v>
      </c>
      <c r="K257" s="9">
        <f t="shared" si="319"/>
        <v>0</v>
      </c>
      <c r="L257" s="9">
        <f t="shared" si="320"/>
        <v>0</v>
      </c>
      <c r="M257" s="11">
        <f t="shared" si="328"/>
        <v>0.1</v>
      </c>
      <c r="N257" s="9">
        <f t="shared" si="321"/>
        <v>0</v>
      </c>
      <c r="O257" s="12">
        <f t="shared" si="322"/>
        <v>0</v>
      </c>
      <c r="P257" s="13" t="str">
        <f t="shared" si="285"/>
        <v>NO</v>
      </c>
      <c r="Q257">
        <f t="shared" si="323"/>
        <v>0</v>
      </c>
      <c r="R257">
        <f t="shared" si="324"/>
        <v>0</v>
      </c>
      <c r="S257">
        <f t="shared" si="325"/>
        <v>0</v>
      </c>
      <c r="T257" s="110">
        <f>VLOOKUP(B257,DesgloseRC!$E$48:$F$88,2,FALSE)</f>
        <v>7.0000000000000007E-2</v>
      </c>
      <c r="U257" s="111">
        <f t="shared" si="330"/>
        <v>0</v>
      </c>
      <c r="V257" s="111">
        <f t="shared" si="331"/>
        <v>0</v>
      </c>
      <c r="AA257" s="110"/>
    </row>
    <row r="258" spans="1:29" ht="15" hidden="1" customHeight="1" x14ac:dyDescent="0.3">
      <c r="A258" s="34" t="s">
        <v>1295</v>
      </c>
      <c r="B258" s="36">
        <v>226</v>
      </c>
      <c r="C258" s="29" t="s">
        <v>1312</v>
      </c>
      <c r="D258" s="29" t="str">
        <f t="shared" si="329"/>
        <v>INCLUIDO</v>
      </c>
      <c r="E258" s="27" t="s">
        <v>1186</v>
      </c>
      <c r="F258" s="43">
        <f t="shared" si="326"/>
        <v>0</v>
      </c>
      <c r="G258" s="114">
        <f t="shared" si="327"/>
        <v>0</v>
      </c>
      <c r="H258" s="9">
        <f t="shared" si="317"/>
        <v>0</v>
      </c>
      <c r="I258" s="9" t="s">
        <v>1287</v>
      </c>
      <c r="J258" s="9">
        <f t="shared" si="318"/>
        <v>0</v>
      </c>
      <c r="K258" s="9">
        <f t="shared" si="319"/>
        <v>0</v>
      </c>
      <c r="L258" s="9">
        <f t="shared" si="320"/>
        <v>0</v>
      </c>
      <c r="M258" s="11">
        <f t="shared" si="328"/>
        <v>0.1</v>
      </c>
      <c r="N258" s="9">
        <f t="shared" si="321"/>
        <v>0</v>
      </c>
      <c r="O258" s="12">
        <f t="shared" si="322"/>
        <v>0</v>
      </c>
      <c r="P258" s="13" t="str">
        <f t="shared" si="285"/>
        <v>NO</v>
      </c>
      <c r="Q258">
        <f t="shared" si="323"/>
        <v>0</v>
      </c>
      <c r="R258">
        <f t="shared" si="324"/>
        <v>0</v>
      </c>
      <c r="S258">
        <f t="shared" si="325"/>
        <v>0</v>
      </c>
      <c r="T258" s="110">
        <f>VLOOKUP(B258,DesgloseRC!$E$48:$F$88,2,FALSE)</f>
        <v>0.1</v>
      </c>
      <c r="U258" s="111">
        <f t="shared" si="330"/>
        <v>0</v>
      </c>
      <c r="V258" s="111">
        <f t="shared" si="331"/>
        <v>0</v>
      </c>
      <c r="AA258" s="110"/>
    </row>
    <row r="259" spans="1:29" ht="15" hidden="1" customHeight="1" x14ac:dyDescent="0.3">
      <c r="A259" s="34" t="s">
        <v>1295</v>
      </c>
      <c r="B259" s="36">
        <v>228</v>
      </c>
      <c r="C259" s="29" t="s">
        <v>1313</v>
      </c>
      <c r="D259" s="29" t="str">
        <f t="shared" si="329"/>
        <v>INCLUIDO</v>
      </c>
      <c r="E259" s="27" t="s">
        <v>1186</v>
      </c>
      <c r="F259" s="43">
        <f t="shared" si="326"/>
        <v>0</v>
      </c>
      <c r="G259" s="114">
        <f t="shared" si="327"/>
        <v>0</v>
      </c>
      <c r="H259" s="9">
        <f t="shared" si="317"/>
        <v>0</v>
      </c>
      <c r="I259" s="9" t="s">
        <v>1287</v>
      </c>
      <c r="J259" s="9">
        <f t="shared" si="318"/>
        <v>0</v>
      </c>
      <c r="K259" s="9">
        <f t="shared" si="319"/>
        <v>0</v>
      </c>
      <c r="L259" s="9">
        <f t="shared" si="320"/>
        <v>0</v>
      </c>
      <c r="M259" s="11">
        <f t="shared" si="328"/>
        <v>0.1</v>
      </c>
      <c r="N259" s="9">
        <f t="shared" si="321"/>
        <v>0</v>
      </c>
      <c r="O259" s="12">
        <f t="shared" si="322"/>
        <v>0</v>
      </c>
      <c r="P259" s="13" t="str">
        <f t="shared" si="285"/>
        <v>NO</v>
      </c>
      <c r="Q259">
        <f t="shared" si="323"/>
        <v>0</v>
      </c>
      <c r="R259">
        <f t="shared" si="324"/>
        <v>0</v>
      </c>
      <c r="S259">
        <f t="shared" si="325"/>
        <v>0</v>
      </c>
      <c r="T259" s="110">
        <f>VLOOKUP(B259,DesgloseRC!$E$48:$F$88,2,FALSE)</f>
        <v>0.04</v>
      </c>
      <c r="U259" s="111">
        <f t="shared" si="330"/>
        <v>0</v>
      </c>
      <c r="V259" s="111">
        <f t="shared" si="331"/>
        <v>0</v>
      </c>
    </row>
    <row r="260" spans="1:29" ht="33.75" hidden="1" customHeight="1" x14ac:dyDescent="0.3">
      <c r="A260" s="34" t="s">
        <v>1295</v>
      </c>
      <c r="B260" s="36">
        <v>281</v>
      </c>
      <c r="C260" s="29" t="s">
        <v>1314</v>
      </c>
      <c r="D260" s="29" t="str">
        <f t="shared" si="329"/>
        <v>INCLUIDO</v>
      </c>
      <c r="E260" s="27" t="s">
        <v>1186</v>
      </c>
      <c r="F260" s="43">
        <f t="shared" si="326"/>
        <v>0</v>
      </c>
      <c r="G260" s="114">
        <f t="shared" si="327"/>
        <v>0</v>
      </c>
      <c r="H260" s="9">
        <f t="shared" si="317"/>
        <v>0</v>
      </c>
      <c r="I260" s="9" t="s">
        <v>1287</v>
      </c>
      <c r="J260" s="9">
        <f t="shared" si="318"/>
        <v>0</v>
      </c>
      <c r="K260" s="9">
        <f t="shared" si="319"/>
        <v>0</v>
      </c>
      <c r="L260" s="9">
        <f t="shared" si="320"/>
        <v>0</v>
      </c>
      <c r="M260" s="11">
        <f t="shared" si="328"/>
        <v>0.1</v>
      </c>
      <c r="N260" s="9">
        <f t="shared" si="321"/>
        <v>0</v>
      </c>
      <c r="O260" s="12">
        <f t="shared" si="322"/>
        <v>0</v>
      </c>
      <c r="P260" s="13" t="str">
        <f t="shared" si="285"/>
        <v>NO</v>
      </c>
      <c r="Q260">
        <f t="shared" si="323"/>
        <v>0</v>
      </c>
      <c r="R260">
        <f t="shared" si="324"/>
        <v>0</v>
      </c>
      <c r="S260">
        <f t="shared" si="325"/>
        <v>0</v>
      </c>
      <c r="T260" s="110">
        <f>VLOOKUP(B260,DesgloseRC!$E$48:$F$88,2,FALSE)</f>
        <v>0.04</v>
      </c>
      <c r="U260" s="111">
        <f t="shared" si="330"/>
        <v>0</v>
      </c>
      <c r="V260" s="111">
        <f t="shared" si="331"/>
        <v>0</v>
      </c>
      <c r="Z260" s="110"/>
      <c r="AC260" s="110"/>
    </row>
    <row r="261" spans="1:29" ht="33.75" hidden="1" customHeight="1" x14ac:dyDescent="0.3">
      <c r="A261" s="34" t="s">
        <v>1295</v>
      </c>
      <c r="B261" s="36">
        <v>282</v>
      </c>
      <c r="C261" s="29" t="s">
        <v>1315</v>
      </c>
      <c r="D261" s="29" t="str">
        <f t="shared" si="329"/>
        <v>INCLUIDO</v>
      </c>
      <c r="E261" s="27" t="s">
        <v>1186</v>
      </c>
      <c r="F261" s="43">
        <f t="shared" si="326"/>
        <v>0</v>
      </c>
      <c r="G261" s="114">
        <f t="shared" si="327"/>
        <v>0</v>
      </c>
      <c r="H261" s="9">
        <f t="shared" si="317"/>
        <v>0</v>
      </c>
      <c r="I261" s="9" t="s">
        <v>1287</v>
      </c>
      <c r="J261" s="9">
        <f t="shared" si="318"/>
        <v>0</v>
      </c>
      <c r="K261" s="9">
        <f t="shared" si="319"/>
        <v>0</v>
      </c>
      <c r="L261" s="9">
        <f t="shared" si="320"/>
        <v>0</v>
      </c>
      <c r="M261" s="11">
        <f t="shared" si="328"/>
        <v>0.1</v>
      </c>
      <c r="N261" s="9">
        <f t="shared" si="321"/>
        <v>0</v>
      </c>
      <c r="O261" s="12">
        <f t="shared" si="322"/>
        <v>0</v>
      </c>
      <c r="P261" s="13" t="str">
        <f t="shared" si="285"/>
        <v>NO</v>
      </c>
      <c r="Q261">
        <f t="shared" si="323"/>
        <v>0</v>
      </c>
      <c r="R261">
        <f t="shared" si="324"/>
        <v>0</v>
      </c>
      <c r="S261">
        <f t="shared" si="325"/>
        <v>0</v>
      </c>
      <c r="T261" s="110">
        <f>VLOOKUP(B261,DesgloseRC!$E$48:$F$88,2,FALSE)</f>
        <v>0</v>
      </c>
      <c r="U261" s="111">
        <f t="shared" si="330"/>
        <v>0</v>
      </c>
      <c r="V261" s="111">
        <f t="shared" si="331"/>
        <v>0</v>
      </c>
      <c r="AA261" s="110"/>
      <c r="AB261" s="110"/>
      <c r="AC261" s="110"/>
    </row>
    <row r="262" spans="1:29" ht="33.75" hidden="1" customHeight="1" x14ac:dyDescent="0.3">
      <c r="A262" s="34" t="s">
        <v>1295</v>
      </c>
      <c r="B262" s="36">
        <v>283</v>
      </c>
      <c r="C262" s="29" t="s">
        <v>1316</v>
      </c>
      <c r="D262" s="29" t="str">
        <f t="shared" si="329"/>
        <v>INCLUIDO</v>
      </c>
      <c r="E262" s="27" t="s">
        <v>1186</v>
      </c>
      <c r="F262" s="43">
        <f t="shared" si="326"/>
        <v>0</v>
      </c>
      <c r="G262" s="114">
        <f t="shared" si="327"/>
        <v>0</v>
      </c>
      <c r="H262" s="9">
        <f t="shared" si="317"/>
        <v>0</v>
      </c>
      <c r="I262" s="9" t="s">
        <v>1287</v>
      </c>
      <c r="J262" s="9">
        <f t="shared" si="318"/>
        <v>0</v>
      </c>
      <c r="K262" s="9">
        <f t="shared" si="319"/>
        <v>0</v>
      </c>
      <c r="L262" s="9">
        <f t="shared" si="320"/>
        <v>0</v>
      </c>
      <c r="M262" s="11">
        <f t="shared" si="328"/>
        <v>0.1</v>
      </c>
      <c r="N262" s="9">
        <f t="shared" si="321"/>
        <v>0</v>
      </c>
      <c r="O262" s="12">
        <f t="shared" si="322"/>
        <v>0</v>
      </c>
      <c r="P262" s="13" t="str">
        <f t="shared" si="285"/>
        <v>NO</v>
      </c>
      <c r="Q262">
        <f t="shared" si="323"/>
        <v>0</v>
      </c>
      <c r="R262">
        <f t="shared" si="324"/>
        <v>0</v>
      </c>
      <c r="S262">
        <f t="shared" si="325"/>
        <v>0</v>
      </c>
      <c r="T262" s="110">
        <f>VLOOKUP(B262,DesgloseRC!$E$48:$F$88,2,FALSE)</f>
        <v>0</v>
      </c>
      <c r="U262" s="111">
        <f t="shared" si="330"/>
        <v>0</v>
      </c>
      <c r="V262" s="111">
        <f t="shared" si="331"/>
        <v>0</v>
      </c>
    </row>
    <row r="263" spans="1:29" ht="15" hidden="1" customHeight="1" x14ac:dyDescent="0.3">
      <c r="A263" s="34" t="s">
        <v>1295</v>
      </c>
      <c r="B263" s="36">
        <v>284</v>
      </c>
      <c r="C263" s="29" t="s">
        <v>1317</v>
      </c>
      <c r="D263" s="29" t="str">
        <f t="shared" si="329"/>
        <v>INCLUIDO</v>
      </c>
      <c r="E263" s="27" t="s">
        <v>1186</v>
      </c>
      <c r="F263" s="43">
        <f t="shared" si="326"/>
        <v>0</v>
      </c>
      <c r="G263" s="114">
        <f t="shared" si="327"/>
        <v>0</v>
      </c>
      <c r="H263" s="9">
        <f t="shared" si="317"/>
        <v>0</v>
      </c>
      <c r="I263" s="9" t="s">
        <v>1287</v>
      </c>
      <c r="J263" s="9">
        <f t="shared" si="318"/>
        <v>0</v>
      </c>
      <c r="K263" s="9">
        <f t="shared" si="319"/>
        <v>0</v>
      </c>
      <c r="L263" s="9">
        <f t="shared" si="320"/>
        <v>0</v>
      </c>
      <c r="M263" s="11">
        <f t="shared" si="328"/>
        <v>0.1</v>
      </c>
      <c r="N263" s="9">
        <f t="shared" si="321"/>
        <v>0</v>
      </c>
      <c r="O263" s="12">
        <f t="shared" si="322"/>
        <v>0</v>
      </c>
      <c r="P263" s="13" t="str">
        <f t="shared" si="285"/>
        <v>NO</v>
      </c>
      <c r="Q263">
        <f t="shared" si="323"/>
        <v>0</v>
      </c>
      <c r="R263">
        <f t="shared" si="324"/>
        <v>0</v>
      </c>
      <c r="S263">
        <f t="shared" si="325"/>
        <v>0</v>
      </c>
      <c r="T263" s="110">
        <f>VLOOKUP(B263,DesgloseRC!$E$48:$F$88,2,FALSE)</f>
        <v>0</v>
      </c>
      <c r="U263" s="111">
        <f t="shared" si="330"/>
        <v>0</v>
      </c>
      <c r="V263" s="111">
        <f t="shared" si="331"/>
        <v>0</v>
      </c>
    </row>
    <row r="264" spans="1:29" ht="36.75" hidden="1" customHeight="1" x14ac:dyDescent="0.3">
      <c r="A264" s="34" t="s">
        <v>1295</v>
      </c>
      <c r="B264" s="36">
        <v>285</v>
      </c>
      <c r="C264" s="29" t="s">
        <v>1318</v>
      </c>
      <c r="D264" s="29" t="str">
        <f t="shared" si="329"/>
        <v>INCLUIDO</v>
      </c>
      <c r="E264" s="27" t="s">
        <v>1186</v>
      </c>
      <c r="F264" s="43">
        <f t="shared" si="326"/>
        <v>0</v>
      </c>
      <c r="G264" s="114">
        <f t="shared" si="327"/>
        <v>0</v>
      </c>
      <c r="H264" s="9">
        <f t="shared" si="317"/>
        <v>0</v>
      </c>
      <c r="I264" s="9" t="s">
        <v>1287</v>
      </c>
      <c r="J264" s="9">
        <f t="shared" si="318"/>
        <v>0</v>
      </c>
      <c r="K264" s="9">
        <f t="shared" si="319"/>
        <v>0</v>
      </c>
      <c r="L264" s="9">
        <f t="shared" si="320"/>
        <v>0</v>
      </c>
      <c r="M264" s="11">
        <f t="shared" si="328"/>
        <v>0.1</v>
      </c>
      <c r="N264" s="9">
        <f t="shared" si="321"/>
        <v>0</v>
      </c>
      <c r="O264" s="12">
        <f t="shared" si="322"/>
        <v>0</v>
      </c>
      <c r="P264" s="13" t="str">
        <f t="shared" si="285"/>
        <v>NO</v>
      </c>
      <c r="Q264">
        <f t="shared" si="323"/>
        <v>0</v>
      </c>
      <c r="R264">
        <f t="shared" si="324"/>
        <v>0</v>
      </c>
      <c r="S264">
        <f t="shared" si="325"/>
        <v>0</v>
      </c>
      <c r="T264" s="110">
        <f>VLOOKUP(B264,DesgloseRC!$E$48:$F$88,2,FALSE)</f>
        <v>0</v>
      </c>
      <c r="U264" s="111">
        <f t="shared" si="330"/>
        <v>0</v>
      </c>
      <c r="V264" s="111">
        <f t="shared" si="331"/>
        <v>0</v>
      </c>
      <c r="AB264" s="110"/>
      <c r="AC264" s="110"/>
    </row>
    <row r="265" spans="1:29" ht="33.75" hidden="1" customHeight="1" x14ac:dyDescent="0.3">
      <c r="A265" s="34" t="s">
        <v>1295</v>
      </c>
      <c r="B265" s="36">
        <v>286</v>
      </c>
      <c r="C265" s="29" t="s">
        <v>1319</v>
      </c>
      <c r="D265" s="29" t="str">
        <f t="shared" si="329"/>
        <v>INCLUIDO</v>
      </c>
      <c r="E265" s="27" t="s">
        <v>1186</v>
      </c>
      <c r="F265" s="43">
        <f t="shared" si="326"/>
        <v>0</v>
      </c>
      <c r="G265" s="114">
        <f t="shared" si="327"/>
        <v>0</v>
      </c>
      <c r="H265" s="9">
        <f t="shared" si="317"/>
        <v>0</v>
      </c>
      <c r="I265" s="9" t="s">
        <v>1287</v>
      </c>
      <c r="J265" s="9">
        <f t="shared" si="318"/>
        <v>0</v>
      </c>
      <c r="K265" s="9">
        <f t="shared" si="319"/>
        <v>0</v>
      </c>
      <c r="L265" s="9">
        <f t="shared" si="320"/>
        <v>0</v>
      </c>
      <c r="M265" s="11">
        <f t="shared" si="328"/>
        <v>0.1</v>
      </c>
      <c r="N265" s="9">
        <f t="shared" si="321"/>
        <v>0</v>
      </c>
      <c r="O265" s="12">
        <f t="shared" si="322"/>
        <v>0</v>
      </c>
      <c r="P265" s="13" t="str">
        <f t="shared" si="285"/>
        <v>NO</v>
      </c>
      <c r="Q265">
        <f t="shared" si="323"/>
        <v>0</v>
      </c>
      <c r="R265">
        <f t="shared" si="324"/>
        <v>0</v>
      </c>
      <c r="S265">
        <f t="shared" si="325"/>
        <v>0</v>
      </c>
      <c r="T265" s="110">
        <f>VLOOKUP(B265,DesgloseRC!$E$48:$F$88,2,FALSE)</f>
        <v>0</v>
      </c>
      <c r="U265" s="111">
        <f t="shared" si="330"/>
        <v>0</v>
      </c>
      <c r="V265" s="111">
        <f t="shared" si="331"/>
        <v>0</v>
      </c>
    </row>
    <row r="266" spans="1:29" ht="15" hidden="1" customHeight="1" x14ac:dyDescent="0.3">
      <c r="A266" s="34" t="s">
        <v>1295</v>
      </c>
      <c r="B266" s="36">
        <v>227</v>
      </c>
      <c r="C266" s="29" t="s">
        <v>1293</v>
      </c>
      <c r="D266" s="29" t="str">
        <f t="shared" si="329"/>
        <v>INCLUIDO</v>
      </c>
      <c r="E266" s="27" t="s">
        <v>1186</v>
      </c>
      <c r="F266" s="43">
        <f t="shared" si="326"/>
        <v>0</v>
      </c>
      <c r="G266" s="114">
        <f t="shared" si="327"/>
        <v>0</v>
      </c>
      <c r="H266" s="9">
        <f t="shared" si="317"/>
        <v>0</v>
      </c>
      <c r="I266" s="9" t="s">
        <v>1287</v>
      </c>
      <c r="J266" s="9">
        <f t="shared" si="318"/>
        <v>0</v>
      </c>
      <c r="K266" s="9">
        <f t="shared" si="319"/>
        <v>0</v>
      </c>
      <c r="L266" s="9">
        <f t="shared" si="320"/>
        <v>0</v>
      </c>
      <c r="M266" s="11">
        <f t="shared" si="328"/>
        <v>0.1</v>
      </c>
      <c r="N266" s="9">
        <f t="shared" si="321"/>
        <v>0</v>
      </c>
      <c r="O266" s="12">
        <f t="shared" si="322"/>
        <v>0</v>
      </c>
      <c r="P266" s="13" t="str">
        <f t="shared" si="285"/>
        <v>NO</v>
      </c>
      <c r="Q266">
        <f t="shared" si="323"/>
        <v>0</v>
      </c>
      <c r="R266">
        <f t="shared" si="324"/>
        <v>0</v>
      </c>
      <c r="S266">
        <f t="shared" si="325"/>
        <v>0</v>
      </c>
      <c r="T266" s="110">
        <f>VLOOKUP(B266,DesgloseRC!$E$48:$F$88,2,FALSE)</f>
        <v>0.05</v>
      </c>
      <c r="U266" s="111">
        <f t="shared" si="330"/>
        <v>0</v>
      </c>
      <c r="V266" s="111">
        <f t="shared" si="331"/>
        <v>0</v>
      </c>
      <c r="W266" s="110"/>
      <c r="X266" s="110"/>
      <c r="Y266" s="110"/>
      <c r="Z266" s="110"/>
      <c r="AA266" s="110"/>
      <c r="AB266" s="110"/>
    </row>
    <row r="267" spans="1:29" ht="21.75" hidden="1" customHeight="1" x14ac:dyDescent="0.3">
      <c r="A267" s="34" t="s">
        <v>1295</v>
      </c>
      <c r="B267" s="36">
        <v>303</v>
      </c>
      <c r="C267" s="29" t="s">
        <v>1320</v>
      </c>
      <c r="D267" s="29" t="str">
        <f t="shared" si="329"/>
        <v>INCLUIDO</v>
      </c>
      <c r="E267" s="27" t="s">
        <v>1186</v>
      </c>
      <c r="F267" s="43">
        <f t="shared" si="326"/>
        <v>0</v>
      </c>
      <c r="G267" s="21">
        <f t="shared" si="327"/>
        <v>0</v>
      </c>
      <c r="H267" s="9">
        <f t="shared" si="317"/>
        <v>0</v>
      </c>
      <c r="I267" s="9" t="s">
        <v>1287</v>
      </c>
      <c r="J267" s="9">
        <f t="shared" si="318"/>
        <v>0</v>
      </c>
      <c r="K267" s="9">
        <f t="shared" si="319"/>
        <v>0</v>
      </c>
      <c r="L267" s="9">
        <f t="shared" si="320"/>
        <v>0</v>
      </c>
      <c r="M267" s="11">
        <f t="shared" si="328"/>
        <v>0.1</v>
      </c>
      <c r="N267" s="9">
        <f t="shared" si="321"/>
        <v>0</v>
      </c>
      <c r="O267" s="12">
        <f t="shared" si="322"/>
        <v>0</v>
      </c>
      <c r="P267" s="13" t="str">
        <f t="shared" si="285"/>
        <v>NO</v>
      </c>
      <c r="Q267">
        <f t="shared" si="323"/>
        <v>0</v>
      </c>
      <c r="R267">
        <f t="shared" si="324"/>
        <v>0</v>
      </c>
      <c r="S267">
        <f t="shared" si="325"/>
        <v>0</v>
      </c>
      <c r="T267" s="110">
        <f>VLOOKUP(B267,DesgloseRC!$E$48:$F$88,2,FALSE)</f>
        <v>0</v>
      </c>
      <c r="U267" s="111">
        <f t="shared" si="330"/>
        <v>0</v>
      </c>
      <c r="V267" s="111">
        <f t="shared" si="331"/>
        <v>0</v>
      </c>
      <c r="W267" s="110"/>
      <c r="X267" s="110"/>
      <c r="Y267" s="110"/>
      <c r="Z267" s="110"/>
      <c r="AA267" s="110"/>
      <c r="AB267" s="110"/>
    </row>
    <row r="268" spans="1:29" ht="15" hidden="1" customHeight="1" x14ac:dyDescent="0.3">
      <c r="A268" s="34" t="s">
        <v>1295</v>
      </c>
      <c r="B268" s="36">
        <v>155</v>
      </c>
      <c r="C268" s="29" t="s">
        <v>1321</v>
      </c>
      <c r="D268" s="29" t="str">
        <f t="shared" si="329"/>
        <v>INCLUIDO</v>
      </c>
      <c r="E268" s="27" t="s">
        <v>1186</v>
      </c>
      <c r="F268" s="43">
        <f t="shared" si="326"/>
        <v>0</v>
      </c>
      <c r="G268" s="21">
        <f t="shared" si="327"/>
        <v>0</v>
      </c>
      <c r="H268" s="9">
        <f t="shared" si="317"/>
        <v>0</v>
      </c>
      <c r="I268" s="9" t="s">
        <v>1287</v>
      </c>
      <c r="J268" s="9">
        <f t="shared" si="318"/>
        <v>0</v>
      </c>
      <c r="K268" s="9">
        <f t="shared" si="319"/>
        <v>0</v>
      </c>
      <c r="L268" s="9">
        <f t="shared" si="320"/>
        <v>0</v>
      </c>
      <c r="M268" s="11">
        <f t="shared" si="328"/>
        <v>0.1</v>
      </c>
      <c r="N268" s="9">
        <f t="shared" si="321"/>
        <v>0</v>
      </c>
      <c r="O268" s="12">
        <f t="shared" si="322"/>
        <v>0</v>
      </c>
      <c r="P268" s="13" t="str">
        <f t="shared" si="285"/>
        <v>NO</v>
      </c>
      <c r="Q268">
        <f t="shared" si="323"/>
        <v>0</v>
      </c>
      <c r="R268">
        <f t="shared" si="324"/>
        <v>0</v>
      </c>
      <c r="S268">
        <f t="shared" si="325"/>
        <v>0</v>
      </c>
      <c r="T268" s="110">
        <f>VLOOKUP(B268,DesgloseRC!$E$48:$F$88,2,FALSE)</f>
        <v>0</v>
      </c>
      <c r="U268" s="111">
        <f t="shared" si="330"/>
        <v>0</v>
      </c>
      <c r="V268" s="111">
        <f t="shared" si="331"/>
        <v>0</v>
      </c>
    </row>
    <row r="269" spans="1:29" ht="15" hidden="1" customHeight="1" x14ac:dyDescent="0.3">
      <c r="A269" s="34" t="s">
        <v>1295</v>
      </c>
      <c r="B269" s="36">
        <v>149</v>
      </c>
      <c r="C269" s="29" t="s">
        <v>1322</v>
      </c>
      <c r="D269" s="29" t="str">
        <f t="shared" si="329"/>
        <v>INCLUIDO</v>
      </c>
      <c r="E269" s="27" t="s">
        <v>1186</v>
      </c>
      <c r="F269" s="43">
        <f t="shared" si="326"/>
        <v>0</v>
      </c>
      <c r="G269" s="21">
        <f t="shared" si="327"/>
        <v>0</v>
      </c>
      <c r="H269" s="9">
        <f t="shared" si="317"/>
        <v>0</v>
      </c>
      <c r="I269" s="9" t="s">
        <v>1287</v>
      </c>
      <c r="J269" s="9">
        <f t="shared" si="318"/>
        <v>0</v>
      </c>
      <c r="K269" s="9">
        <f t="shared" si="319"/>
        <v>0</v>
      </c>
      <c r="L269" s="9">
        <f t="shared" si="320"/>
        <v>0</v>
      </c>
      <c r="M269" s="11">
        <f t="shared" si="328"/>
        <v>0.1</v>
      </c>
      <c r="N269" s="9">
        <f t="shared" si="321"/>
        <v>0</v>
      </c>
      <c r="O269" s="12">
        <f t="shared" si="322"/>
        <v>0</v>
      </c>
      <c r="P269" s="13" t="str">
        <f t="shared" si="285"/>
        <v>NO</v>
      </c>
      <c r="Q269">
        <f t="shared" si="323"/>
        <v>0</v>
      </c>
      <c r="R269">
        <f t="shared" si="324"/>
        <v>0</v>
      </c>
      <c r="S269">
        <f t="shared" si="325"/>
        <v>0</v>
      </c>
      <c r="T269" s="110">
        <f>VLOOKUP(B269,DesgloseRC!$E$48:$F$88,2,FALSE)</f>
        <v>0</v>
      </c>
      <c r="U269" s="111">
        <f t="shared" si="330"/>
        <v>0</v>
      </c>
      <c r="V269" s="111">
        <f t="shared" si="331"/>
        <v>0</v>
      </c>
    </row>
    <row r="270" spans="1:29" ht="15" hidden="1" customHeight="1" x14ac:dyDescent="0.3">
      <c r="A270" s="34" t="s">
        <v>1295</v>
      </c>
      <c r="B270" s="36">
        <v>150</v>
      </c>
      <c r="C270" s="29" t="s">
        <v>1323</v>
      </c>
      <c r="D270" s="29" t="str">
        <f>D269</f>
        <v>INCLUIDO</v>
      </c>
      <c r="E270" s="27" t="str">
        <f>E269</f>
        <v>Excluido</v>
      </c>
      <c r="F270" s="43">
        <f t="shared" si="326"/>
        <v>0</v>
      </c>
      <c r="G270" s="21">
        <f t="shared" si="327"/>
        <v>0</v>
      </c>
      <c r="H270" s="9">
        <f t="shared" si="317"/>
        <v>0</v>
      </c>
      <c r="I270" s="9" t="s">
        <v>1287</v>
      </c>
      <c r="J270" s="9">
        <f t="shared" si="318"/>
        <v>0</v>
      </c>
      <c r="K270" s="9">
        <f t="shared" si="319"/>
        <v>0</v>
      </c>
      <c r="L270" s="9">
        <f t="shared" si="320"/>
        <v>0</v>
      </c>
      <c r="M270" s="11">
        <f t="shared" si="328"/>
        <v>0.1</v>
      </c>
      <c r="N270" s="9">
        <f t="shared" si="321"/>
        <v>0</v>
      </c>
      <c r="O270" s="12">
        <f t="shared" si="322"/>
        <v>0</v>
      </c>
      <c r="P270" s="13" t="str">
        <f t="shared" si="285"/>
        <v>NO</v>
      </c>
      <c r="Q270">
        <f t="shared" si="323"/>
        <v>0</v>
      </c>
      <c r="R270">
        <f t="shared" si="324"/>
        <v>0</v>
      </c>
      <c r="S270">
        <f t="shared" si="325"/>
        <v>0</v>
      </c>
      <c r="T270" s="110">
        <f>VLOOKUP(B270,DesgloseRC!$E$48:$F$88,2,FALSE)</f>
        <v>0</v>
      </c>
      <c r="U270" s="111">
        <f t="shared" si="330"/>
        <v>0</v>
      </c>
      <c r="V270" s="111">
        <f t="shared" si="331"/>
        <v>0</v>
      </c>
    </row>
    <row r="271" spans="1:29" ht="15" hidden="1" customHeight="1" x14ac:dyDescent="0.3">
      <c r="A271" s="34" t="s">
        <v>1295</v>
      </c>
      <c r="B271" s="36">
        <v>157</v>
      </c>
      <c r="C271" s="29" t="s">
        <v>1324</v>
      </c>
      <c r="D271" s="29" t="str">
        <f>D269</f>
        <v>INCLUIDO</v>
      </c>
      <c r="E271" s="27" t="str">
        <f>E269</f>
        <v>Excluido</v>
      </c>
      <c r="F271" s="43">
        <f t="shared" si="326"/>
        <v>0</v>
      </c>
      <c r="G271" s="21">
        <f t="shared" si="327"/>
        <v>0</v>
      </c>
      <c r="H271" s="9">
        <f t="shared" si="317"/>
        <v>0</v>
      </c>
      <c r="I271" s="9" t="s">
        <v>1287</v>
      </c>
      <c r="J271" s="9">
        <f t="shared" si="318"/>
        <v>0</v>
      </c>
      <c r="K271" s="9">
        <f t="shared" si="319"/>
        <v>0</v>
      </c>
      <c r="L271" s="9">
        <f t="shared" si="320"/>
        <v>0</v>
      </c>
      <c r="M271" s="11">
        <f t="shared" si="328"/>
        <v>0.1</v>
      </c>
      <c r="N271" s="9">
        <f t="shared" si="321"/>
        <v>0</v>
      </c>
      <c r="O271" s="12">
        <f t="shared" si="322"/>
        <v>0</v>
      </c>
      <c r="P271" s="13" t="str">
        <f t="shared" si="285"/>
        <v>NO</v>
      </c>
      <c r="Q271">
        <f t="shared" si="323"/>
        <v>0</v>
      </c>
      <c r="R271">
        <f t="shared" si="324"/>
        <v>0</v>
      </c>
      <c r="S271">
        <f t="shared" si="325"/>
        <v>0</v>
      </c>
      <c r="T271" s="110">
        <f>VLOOKUP(B271,DesgloseRC!$E$48:$F$88,2,FALSE)</f>
        <v>0</v>
      </c>
      <c r="U271" s="111">
        <f t="shared" si="330"/>
        <v>0</v>
      </c>
      <c r="V271" s="111">
        <f t="shared" si="331"/>
        <v>0</v>
      </c>
    </row>
    <row r="272" spans="1:29" s="18" customFormat="1" ht="15" hidden="1" customHeight="1" x14ac:dyDescent="0.3">
      <c r="A272" s="24"/>
      <c r="B272" s="26"/>
      <c r="C272" s="15" t="s">
        <v>1177</v>
      </c>
      <c r="D272" s="38" t="str">
        <f>D241</f>
        <v>INCLUIDO</v>
      </c>
      <c r="E272" s="38"/>
      <c r="F272" s="16">
        <f>SUMIF(E242:E271,"Adicional",F242:F271)</f>
        <v>0</v>
      </c>
      <c r="G272" s="17"/>
      <c r="H272" s="16">
        <f>SUM(H242:H271)</f>
        <v>0</v>
      </c>
      <c r="I272" s="16"/>
      <c r="J272" s="16">
        <f t="shared" ref="J272:L272" si="332">SUM(J242:J271)</f>
        <v>0</v>
      </c>
      <c r="K272" s="16">
        <f t="shared" si="332"/>
        <v>0</v>
      </c>
      <c r="L272" s="16">
        <f t="shared" si="332"/>
        <v>0</v>
      </c>
      <c r="M272" s="16" t="s">
        <v>1178</v>
      </c>
      <c r="N272" s="16">
        <f t="shared" ref="N272:O272" si="333">SUM(N242:N271)</f>
        <v>0</v>
      </c>
      <c r="O272" s="84">
        <f t="shared" si="333"/>
        <v>0</v>
      </c>
      <c r="P272" s="13" t="str">
        <f t="shared" si="285"/>
        <v>NO</v>
      </c>
      <c r="Q272">
        <f>IF(D272="INCLUIDO",IF(H272&lt;&gt;0,1,0),0)</f>
        <v>0</v>
      </c>
      <c r="T272" s="141">
        <f>SUM(T242:T271)</f>
        <v>1.0000000000000002</v>
      </c>
      <c r="U272" s="200">
        <f>SUM(U242:U271)</f>
        <v>0</v>
      </c>
      <c r="V272" s="112">
        <f>SUM(V242:V271)</f>
        <v>0</v>
      </c>
    </row>
    <row r="273" spans="1:23" ht="15" hidden="1" customHeight="1" thickBot="1" x14ac:dyDescent="0.35">
      <c r="A273" s="82">
        <v>911</v>
      </c>
      <c r="B273" s="33">
        <v>1</v>
      </c>
      <c r="C273" s="19" t="s">
        <v>1325</v>
      </c>
      <c r="D273" s="23" t="str">
        <f>'Ramo Comercial'!C163</f>
        <v>NO APLICA</v>
      </c>
      <c r="E273" s="91"/>
      <c r="F273" s="113">
        <f>F241</f>
        <v>0</v>
      </c>
      <c r="G273" s="28"/>
      <c r="H273" s="28"/>
      <c r="I273" s="28"/>
      <c r="J273" s="28"/>
      <c r="K273" s="28"/>
      <c r="L273" s="28"/>
      <c r="M273" s="68">
        <v>0</v>
      </c>
      <c r="N273" s="28"/>
      <c r="O273" s="83"/>
      <c r="P273" s="13" t="str">
        <f t="shared" si="285"/>
        <v>NO</v>
      </c>
      <c r="Q273" s="48">
        <f>IF(D273="INCLUIDO",IF(F273&lt;&gt;0,1,0),0)</f>
        <v>0</v>
      </c>
      <c r="T273" s="142">
        <f>G241*T276</f>
        <v>0</v>
      </c>
    </row>
    <row r="274" spans="1:23" ht="15" hidden="1" customHeight="1" x14ac:dyDescent="0.3">
      <c r="A274" s="34" t="s">
        <v>1326</v>
      </c>
      <c r="B274" s="36">
        <v>159</v>
      </c>
      <c r="C274" s="29" t="s">
        <v>1327</v>
      </c>
      <c r="D274" s="29" t="str">
        <f>$D$273</f>
        <v>NO APLICA</v>
      </c>
      <c r="E274" s="27" t="s">
        <v>1152</v>
      </c>
      <c r="F274" s="20">
        <f>F273*S274</f>
        <v>0</v>
      </c>
      <c r="G274" s="21">
        <f>V274</f>
        <v>0</v>
      </c>
      <c r="H274" s="9">
        <f t="shared" ref="H274:H275" si="334">(IF(I274="$ Prima",G274,G274*F274/R274))*$U$9</f>
        <v>0</v>
      </c>
      <c r="I274" s="9" t="s">
        <v>1287</v>
      </c>
      <c r="J274" s="9">
        <f t="shared" ref="J274:J275" si="335">H274*$U$7</f>
        <v>0</v>
      </c>
      <c r="K274" s="9">
        <f t="shared" ref="K274:K275" si="336">(H274+J274)*$K$15</f>
        <v>0</v>
      </c>
      <c r="L274" s="9">
        <f t="shared" ref="L274:L275" si="337">ROUND(H274+J274+K274,2)</f>
        <v>0</v>
      </c>
      <c r="M274" s="11">
        <f>$M$273</f>
        <v>0</v>
      </c>
      <c r="N274" s="9">
        <f t="shared" ref="N274:N275" si="338">H274*M274</f>
        <v>0</v>
      </c>
      <c r="O274" s="12">
        <f t="shared" ref="O274:O275" si="339">N274</f>
        <v>0</v>
      </c>
      <c r="P274" s="13" t="str">
        <f t="shared" si="285"/>
        <v>NO</v>
      </c>
      <c r="Q274">
        <f>IF(D274="INCLUIDO",IF(F274&lt;&gt;0,1,0),0)</f>
        <v>0</v>
      </c>
      <c r="R274">
        <f>IF(I274="%o Al Millar",1000,IF(I274="% Al Porciento",100,IF(I274="$ Prima",G274)))</f>
        <v>0</v>
      </c>
      <c r="S274">
        <f t="shared" ref="S274:S275" si="340">IF(E274="Excluido",0,IF(D274="NO APLICA",0,1))</f>
        <v>0</v>
      </c>
      <c r="T274" s="110">
        <f>VLOOKUP(B274,DesgloseRC!$E$48:$F$88,2,FALSE)</f>
        <v>0</v>
      </c>
      <c r="U274" s="159">
        <f t="shared" ref="U274:U275" si="341">IF(E274="Excluido",0,$T$241*T274)</f>
        <v>0</v>
      </c>
      <c r="V274" s="111">
        <f>IF(F274=0,0,(U276-U275)+T273-U276)</f>
        <v>0</v>
      </c>
      <c r="W274">
        <f>IF(T274=0%,0,1)</f>
        <v>0</v>
      </c>
    </row>
    <row r="275" spans="1:23" ht="22.5" hidden="1" customHeight="1" x14ac:dyDescent="0.3">
      <c r="A275" s="34" t="s">
        <v>1326</v>
      </c>
      <c r="B275" s="36">
        <v>158</v>
      </c>
      <c r="C275" s="29" t="s">
        <v>1328</v>
      </c>
      <c r="D275" s="29" t="str">
        <f>$D$273</f>
        <v>NO APLICA</v>
      </c>
      <c r="E275" s="27" t="s">
        <v>1137</v>
      </c>
      <c r="F275" s="20">
        <f>F274*S275</f>
        <v>0</v>
      </c>
      <c r="G275" s="21">
        <f>V275</f>
        <v>0</v>
      </c>
      <c r="H275" s="9">
        <f t="shared" si="334"/>
        <v>0</v>
      </c>
      <c r="I275" s="9" t="s">
        <v>1287</v>
      </c>
      <c r="J275" s="9">
        <f t="shared" si="335"/>
        <v>0</v>
      </c>
      <c r="K275" s="9">
        <f t="shared" si="336"/>
        <v>0</v>
      </c>
      <c r="L275" s="9">
        <f t="shared" si="337"/>
        <v>0</v>
      </c>
      <c r="M275" s="11">
        <f>$M$273</f>
        <v>0</v>
      </c>
      <c r="N275" s="9">
        <f t="shared" si="338"/>
        <v>0</v>
      </c>
      <c r="O275" s="12">
        <f t="shared" si="339"/>
        <v>0</v>
      </c>
      <c r="P275" s="13" t="str">
        <f t="shared" si="285"/>
        <v>NO</v>
      </c>
      <c r="Q275">
        <f>IF(D275="INCLUIDO",IF(F275&lt;&gt;0,1,0),0)</f>
        <v>0</v>
      </c>
      <c r="R275">
        <f>IF(I275="%o Al Millar",1000,IF(I275="% Al Porciento",100,IF(I275="$ Prima",G275)))</f>
        <v>0</v>
      </c>
      <c r="S275">
        <f t="shared" si="340"/>
        <v>0</v>
      </c>
      <c r="T275" s="110">
        <f>VLOOKUP(B275,DesgloseRC!$E$48:$F$88,2,FALSE)</f>
        <v>0</v>
      </c>
      <c r="U275" s="159">
        <f t="shared" si="341"/>
        <v>0</v>
      </c>
      <c r="V275" s="111">
        <f t="shared" ref="V275" si="342">IF(F275=0,0,U275)</f>
        <v>0</v>
      </c>
    </row>
    <row r="276" spans="1:23" s="18" customFormat="1" ht="15" hidden="1" customHeight="1" thickBot="1" x14ac:dyDescent="0.35">
      <c r="A276" s="24"/>
      <c r="B276" s="26"/>
      <c r="C276" s="15" t="s">
        <v>1177</v>
      </c>
      <c r="D276" s="38" t="str">
        <f>D275</f>
        <v>NO APLICA</v>
      </c>
      <c r="E276" s="38"/>
      <c r="F276" s="16">
        <f>SUMIF(E274:E275,"Adicional",F274:F275)</f>
        <v>0</v>
      </c>
      <c r="G276" s="17"/>
      <c r="H276" s="16">
        <f>SUM(H274:H275)</f>
        <v>0</v>
      </c>
      <c r="I276" s="16"/>
      <c r="J276" s="16">
        <f t="shared" ref="J276:L276" si="343">SUM(J274:J275)</f>
        <v>0</v>
      </c>
      <c r="K276" s="16">
        <f t="shared" si="343"/>
        <v>0</v>
      </c>
      <c r="L276" s="16">
        <f t="shared" si="343"/>
        <v>0</v>
      </c>
      <c r="M276" s="16" t="s">
        <v>1178</v>
      </c>
      <c r="N276" s="16">
        <f t="shared" ref="N276:O276" si="344">SUM(N274:N275)</f>
        <v>0</v>
      </c>
      <c r="O276" s="84">
        <f t="shared" si="344"/>
        <v>0</v>
      </c>
      <c r="P276" s="13" t="str">
        <f t="shared" si="285"/>
        <v>NO</v>
      </c>
      <c r="Q276">
        <f>IF(D276="INCLUIDO",IF(H276&lt;&gt;0,1,0),0)</f>
        <v>0</v>
      </c>
      <c r="T276" s="141">
        <f>SUM(T274:T275)</f>
        <v>0</v>
      </c>
      <c r="U276" s="200">
        <f>SUM(U274:U275)</f>
        <v>0</v>
      </c>
      <c r="V276" s="112">
        <f>SUM(V274:V275)</f>
        <v>0</v>
      </c>
    </row>
    <row r="277" spans="1:23" ht="22.5" hidden="1" customHeight="1" thickBot="1" x14ac:dyDescent="0.35">
      <c r="A277" s="82">
        <v>911</v>
      </c>
      <c r="B277" s="33">
        <v>2</v>
      </c>
      <c r="C277" s="19" t="s">
        <v>1329</v>
      </c>
      <c r="D277" s="23" t="str">
        <f>'Ramo Comercial'!C164</f>
        <v>NO APLICA</v>
      </c>
      <c r="E277" s="91"/>
      <c r="F277" s="113">
        <f>F241</f>
        <v>0</v>
      </c>
      <c r="G277" s="113">
        <v>1000</v>
      </c>
      <c r="H277" s="28"/>
      <c r="I277" s="28"/>
      <c r="J277" s="28"/>
      <c r="K277" s="28"/>
      <c r="L277" s="28"/>
      <c r="M277" s="68">
        <v>0</v>
      </c>
      <c r="N277" s="28"/>
      <c r="O277" s="83"/>
      <c r="P277" s="13" t="str">
        <f t="shared" si="285"/>
        <v>NO</v>
      </c>
      <c r="Q277" s="48">
        <f>IF(D277="INCLUIDO",IF(F277&lt;&gt;0,1,0),0)</f>
        <v>0</v>
      </c>
      <c r="T277" s="142">
        <f>G241*T282</f>
        <v>0</v>
      </c>
      <c r="V277" s="201"/>
    </row>
    <row r="278" spans="1:23" ht="15" hidden="1" customHeight="1" x14ac:dyDescent="0.3">
      <c r="A278" s="34" t="s">
        <v>1326</v>
      </c>
      <c r="B278" s="36">
        <v>162</v>
      </c>
      <c r="C278" s="29" t="s">
        <v>1330</v>
      </c>
      <c r="D278" s="29" t="str">
        <f>$D$277</f>
        <v>NO APLICA</v>
      </c>
      <c r="E278" s="27" t="s">
        <v>1152</v>
      </c>
      <c r="F278" s="20">
        <f>$F$277*S278</f>
        <v>0</v>
      </c>
      <c r="G278" s="114">
        <f>V278</f>
        <v>0</v>
      </c>
      <c r="H278" s="9">
        <f t="shared" ref="H278:H281" si="345">(IF(I278="$ Prima",G278,G278*F278/R278))*$U$9</f>
        <v>0</v>
      </c>
      <c r="I278" s="9" t="s">
        <v>1287</v>
      </c>
      <c r="J278" s="9">
        <f t="shared" ref="J278:J281" si="346">H278*$U$7</f>
        <v>0</v>
      </c>
      <c r="K278" s="9">
        <f t="shared" ref="K278:K281" si="347">(H278+J278)*$K$15</f>
        <v>0</v>
      </c>
      <c r="L278" s="9">
        <f t="shared" ref="L278:L281" si="348">ROUND(H278+J278+K278,2)</f>
        <v>0</v>
      </c>
      <c r="M278" s="11">
        <f>$M$277</f>
        <v>0</v>
      </c>
      <c r="N278" s="9">
        <f t="shared" ref="N278:N281" si="349">H278*M278</f>
        <v>0</v>
      </c>
      <c r="O278" s="12">
        <f t="shared" ref="O278:O281" si="350">N278</f>
        <v>0</v>
      </c>
      <c r="P278" s="13" t="str">
        <f t="shared" si="285"/>
        <v>NO</v>
      </c>
      <c r="Q278">
        <f>IF(D278="INCLUIDO",IF(F278&lt;&gt;0,1,0),0)</f>
        <v>0</v>
      </c>
      <c r="R278">
        <f>IF(I278="%o Al Millar",1000,IF(I278="% Al Porciento",100,IF(I278="$ Prima",G278)))</f>
        <v>0</v>
      </c>
      <c r="S278">
        <f t="shared" ref="S278:S281" si="351">IF(E278="Excluido",0,IF(D278="NO APLICA",0,1))</f>
        <v>0</v>
      </c>
      <c r="T278" s="110">
        <f>VLOOKUP(B278,DesgloseRC!$E$48:$F$85,2,FALSE)</f>
        <v>0</v>
      </c>
      <c r="U278" s="159">
        <f>IF(E278="Excluido",0,$T$241*T278)</f>
        <v>0</v>
      </c>
      <c r="V278" s="159">
        <f>IF(F278=0,0,(U282-U279-U280-U281)+(T277-U282))</f>
        <v>0</v>
      </c>
      <c r="W278">
        <f>IF(T278=0%,0,1)</f>
        <v>0</v>
      </c>
    </row>
    <row r="279" spans="1:23" ht="15" hidden="1" customHeight="1" x14ac:dyDescent="0.3">
      <c r="A279" s="34" t="s">
        <v>1326</v>
      </c>
      <c r="B279" s="36">
        <v>160</v>
      </c>
      <c r="C279" s="29" t="s">
        <v>1331</v>
      </c>
      <c r="D279" s="29" t="str">
        <f t="shared" ref="D279:D281" si="352">$D$277</f>
        <v>NO APLICA</v>
      </c>
      <c r="E279" s="27" t="s">
        <v>1137</v>
      </c>
      <c r="F279" s="20">
        <f>$F$278*S279</f>
        <v>0</v>
      </c>
      <c r="G279" s="114">
        <f t="shared" ref="G279:G281" si="353">V279</f>
        <v>0</v>
      </c>
      <c r="H279" s="9">
        <f t="shared" si="345"/>
        <v>0</v>
      </c>
      <c r="I279" s="9" t="s">
        <v>1287</v>
      </c>
      <c r="J279" s="9">
        <f t="shared" si="346"/>
        <v>0</v>
      </c>
      <c r="K279" s="9">
        <f t="shared" si="347"/>
        <v>0</v>
      </c>
      <c r="L279" s="9">
        <f t="shared" si="348"/>
        <v>0</v>
      </c>
      <c r="M279" s="11">
        <f t="shared" ref="M279:M281" si="354">$M$277</f>
        <v>0</v>
      </c>
      <c r="N279" s="9">
        <f t="shared" si="349"/>
        <v>0</v>
      </c>
      <c r="O279" s="12">
        <f t="shared" si="350"/>
        <v>0</v>
      </c>
      <c r="P279" s="13" t="str">
        <f t="shared" si="285"/>
        <v>NO</v>
      </c>
      <c r="Q279">
        <f>IF(D279="INCLUIDO",IF(F279&lt;&gt;0,1,0),0)</f>
        <v>0</v>
      </c>
      <c r="R279">
        <f>IF(I279="%o Al Millar",1000,IF(I279="% Al Porciento",100,IF(I279="$ Prima",G279)))</f>
        <v>0</v>
      </c>
      <c r="S279">
        <f t="shared" si="351"/>
        <v>0</v>
      </c>
      <c r="T279" s="110">
        <f>VLOOKUP(B279,DesgloseRC!$E$48:$F$85,2,FALSE)</f>
        <v>0</v>
      </c>
      <c r="U279" s="159">
        <f t="shared" ref="U279:U281" si="355">IF(E279="Excluido",0,$T$241*T279)</f>
        <v>0</v>
      </c>
      <c r="V279" s="159">
        <f>IF(F279=0,0,U279)</f>
        <v>0</v>
      </c>
    </row>
    <row r="280" spans="1:23" ht="15" hidden="1" customHeight="1" x14ac:dyDescent="0.3">
      <c r="A280" s="34" t="s">
        <v>1326</v>
      </c>
      <c r="B280" s="36">
        <v>161</v>
      </c>
      <c r="C280" s="29" t="s">
        <v>1332</v>
      </c>
      <c r="D280" s="29" t="str">
        <f t="shared" si="352"/>
        <v>NO APLICA</v>
      </c>
      <c r="E280" s="27" t="s">
        <v>1137</v>
      </c>
      <c r="F280" s="20">
        <f t="shared" ref="F280:F281" si="356">$F$278*S280</f>
        <v>0</v>
      </c>
      <c r="G280" s="114">
        <f t="shared" si="353"/>
        <v>0</v>
      </c>
      <c r="H280" s="9">
        <f t="shared" si="345"/>
        <v>0</v>
      </c>
      <c r="I280" s="9" t="s">
        <v>1287</v>
      </c>
      <c r="J280" s="9">
        <f t="shared" si="346"/>
        <v>0</v>
      </c>
      <c r="K280" s="9">
        <f t="shared" si="347"/>
        <v>0</v>
      </c>
      <c r="L280" s="9">
        <f t="shared" si="348"/>
        <v>0</v>
      </c>
      <c r="M280" s="11">
        <f t="shared" si="354"/>
        <v>0</v>
      </c>
      <c r="N280" s="9">
        <f t="shared" si="349"/>
        <v>0</v>
      </c>
      <c r="O280" s="12">
        <f t="shared" si="350"/>
        <v>0</v>
      </c>
      <c r="P280" s="13" t="str">
        <f t="shared" si="285"/>
        <v>NO</v>
      </c>
      <c r="Q280">
        <f>IF(D280="INCLUIDO",IF(F280&lt;&gt;0,1,0),0)</f>
        <v>0</v>
      </c>
      <c r="R280">
        <f>IF(I280="%o Al Millar",1000,IF(I280="% Al Porciento",100,IF(I280="$ Prima",G280)))</f>
        <v>0</v>
      </c>
      <c r="S280">
        <f t="shared" si="351"/>
        <v>0</v>
      </c>
      <c r="T280" s="110">
        <f>VLOOKUP(B280,DesgloseRC!$E$48:$F$85,2,FALSE)</f>
        <v>0</v>
      </c>
      <c r="U280" s="159">
        <f t="shared" si="355"/>
        <v>0</v>
      </c>
      <c r="V280" s="159">
        <f t="shared" ref="V280:V281" si="357">IF(F280=0,0,U280)</f>
        <v>0</v>
      </c>
    </row>
    <row r="281" spans="1:23" ht="15" hidden="1" customHeight="1" x14ac:dyDescent="0.3">
      <c r="A281" s="34" t="s">
        <v>1326</v>
      </c>
      <c r="B281" s="36">
        <v>243</v>
      </c>
      <c r="C281" s="29" t="s">
        <v>1293</v>
      </c>
      <c r="D281" s="29" t="str">
        <f t="shared" si="352"/>
        <v>NO APLICA</v>
      </c>
      <c r="E281" s="27" t="s">
        <v>1137</v>
      </c>
      <c r="F281" s="20">
        <f t="shared" si="356"/>
        <v>0</v>
      </c>
      <c r="G281" s="114">
        <f t="shared" si="353"/>
        <v>0</v>
      </c>
      <c r="H281" s="9">
        <f t="shared" si="345"/>
        <v>0</v>
      </c>
      <c r="I281" s="9" t="s">
        <v>1287</v>
      </c>
      <c r="J281" s="9">
        <f t="shared" si="346"/>
        <v>0</v>
      </c>
      <c r="K281" s="9">
        <f t="shared" si="347"/>
        <v>0</v>
      </c>
      <c r="L281" s="9">
        <f t="shared" si="348"/>
        <v>0</v>
      </c>
      <c r="M281" s="11">
        <f t="shared" si="354"/>
        <v>0</v>
      </c>
      <c r="N281" s="9">
        <f t="shared" si="349"/>
        <v>0</v>
      </c>
      <c r="O281" s="12">
        <f t="shared" si="350"/>
        <v>0</v>
      </c>
      <c r="P281" s="13" t="str">
        <f t="shared" si="285"/>
        <v>NO</v>
      </c>
      <c r="Q281">
        <f>IF(D281="INCLUIDO",IF(F281&lt;&gt;0,1,0),0)</f>
        <v>0</v>
      </c>
      <c r="R281">
        <f>IF(I281="%o Al Millar",1000,IF(I281="% Al Porciento",100,IF(I281="$ Prima",G281)))</f>
        <v>0</v>
      </c>
      <c r="S281">
        <f t="shared" si="351"/>
        <v>0</v>
      </c>
      <c r="T281" s="110">
        <f>VLOOKUP(B281,DesgloseRC!$E$48:$F$85,2,FALSE)</f>
        <v>0</v>
      </c>
      <c r="U281" s="159">
        <f t="shared" si="355"/>
        <v>0</v>
      </c>
      <c r="V281" s="159">
        <f t="shared" si="357"/>
        <v>0</v>
      </c>
    </row>
    <row r="282" spans="1:23" s="18" customFormat="1" ht="15" hidden="1" customHeight="1" thickBot="1" x14ac:dyDescent="0.35">
      <c r="A282" s="24"/>
      <c r="B282" s="26"/>
      <c r="C282" s="15" t="s">
        <v>1177</v>
      </c>
      <c r="D282" s="38" t="str">
        <f>D281</f>
        <v>NO APLICA</v>
      </c>
      <c r="E282" s="38"/>
      <c r="F282" s="16">
        <f>SUMIF(E278:E281,"Adicional",F278:F281)</f>
        <v>0</v>
      </c>
      <c r="G282" s="17"/>
      <c r="H282" s="16">
        <f>SUM(H278:H281)</f>
        <v>0</v>
      </c>
      <c r="I282" s="16"/>
      <c r="J282" s="16">
        <f t="shared" ref="J282:L282" si="358">SUM(J278:J281)</f>
        <v>0</v>
      </c>
      <c r="K282" s="16">
        <f t="shared" si="358"/>
        <v>0</v>
      </c>
      <c r="L282" s="16">
        <f t="shared" si="358"/>
        <v>0</v>
      </c>
      <c r="M282" s="16" t="s">
        <v>1178</v>
      </c>
      <c r="N282" s="16">
        <f t="shared" ref="N282:O282" si="359">SUM(N278:N281)</f>
        <v>0</v>
      </c>
      <c r="O282" s="84">
        <f t="shared" si="359"/>
        <v>0</v>
      </c>
      <c r="P282" s="13" t="str">
        <f t="shared" si="285"/>
        <v>NO</v>
      </c>
      <c r="Q282">
        <f>IF(D282="INCLUIDO",IF(H282&lt;&gt;0,1,0),0)</f>
        <v>0</v>
      </c>
      <c r="T282" s="141">
        <f>SUM(T278:T281)</f>
        <v>0</v>
      </c>
      <c r="U282" s="202">
        <f>SUM(U278:U281)</f>
        <v>0</v>
      </c>
      <c r="V282" s="112">
        <f>SUM(V278:V281)</f>
        <v>0</v>
      </c>
    </row>
    <row r="283" spans="1:23" ht="15" hidden="1" customHeight="1" thickBot="1" x14ac:dyDescent="0.35">
      <c r="A283" s="82">
        <v>911</v>
      </c>
      <c r="B283" s="33">
        <v>3</v>
      </c>
      <c r="C283" s="19" t="s">
        <v>1330</v>
      </c>
      <c r="D283" s="23" t="str">
        <f>'Ramo Comercial'!C165</f>
        <v>NO APLICA</v>
      </c>
      <c r="E283" s="91"/>
      <c r="F283" s="113">
        <f>F241</f>
        <v>0</v>
      </c>
      <c r="G283" s="113">
        <v>0</v>
      </c>
      <c r="H283" s="28"/>
      <c r="I283" s="28"/>
      <c r="J283" s="28"/>
      <c r="K283" s="28"/>
      <c r="L283" s="28"/>
      <c r="M283" s="68">
        <v>0</v>
      </c>
      <c r="N283" s="28"/>
      <c r="O283" s="83"/>
      <c r="P283" s="13" t="str">
        <f t="shared" si="285"/>
        <v>NO</v>
      </c>
      <c r="Q283" s="47">
        <f>IF(D283="INCLUIDO",IF(F284&lt;&gt;0,1,0),0)</f>
        <v>0</v>
      </c>
      <c r="T283" s="142">
        <f>G241*T328</f>
        <v>0</v>
      </c>
      <c r="U283" s="142">
        <f>G241</f>
        <v>0</v>
      </c>
    </row>
    <row r="284" spans="1:23" ht="15" hidden="1" customHeight="1" x14ac:dyDescent="0.3">
      <c r="A284" s="34" t="s">
        <v>1326</v>
      </c>
      <c r="B284" s="36">
        <v>163</v>
      </c>
      <c r="C284" s="29" t="s">
        <v>1333</v>
      </c>
      <c r="D284" s="29" t="str">
        <f>$D$283</f>
        <v>NO APLICA</v>
      </c>
      <c r="E284" s="27" t="s">
        <v>1137</v>
      </c>
      <c r="F284" s="43">
        <f>$F$283*S284</f>
        <v>0</v>
      </c>
      <c r="G284" s="21">
        <v>0</v>
      </c>
      <c r="H284" s="9">
        <f t="shared" ref="H284:H328" si="360">(IF(I284="$ Prima",G284,G284*F284/R284))*$U$9</f>
        <v>0</v>
      </c>
      <c r="I284" s="9" t="s">
        <v>1287</v>
      </c>
      <c r="J284" s="9">
        <f t="shared" ref="J284:J328" si="361">H284*$U$7</f>
        <v>0</v>
      </c>
      <c r="K284" s="9">
        <f t="shared" ref="K284:K328" si="362">(H284+J284)*$K$15</f>
        <v>0</v>
      </c>
      <c r="L284" s="9">
        <f t="shared" ref="L284:L328" si="363">ROUND(H284+J284+K284,2)</f>
        <v>0</v>
      </c>
      <c r="M284" s="11">
        <f>$M$283</f>
        <v>0</v>
      </c>
      <c r="N284" s="9">
        <f t="shared" ref="N284:N328" si="364">H284*M284</f>
        <v>0</v>
      </c>
      <c r="O284" s="12">
        <f t="shared" ref="O284:O328" si="365">N284</f>
        <v>0</v>
      </c>
      <c r="P284" s="13" t="str">
        <f t="shared" si="285"/>
        <v>NO</v>
      </c>
      <c r="Q284">
        <f t="shared" ref="Q284:Q328" si="366">IF(D284="INCLUIDO",IF(F284&lt;&gt;0,1,0),0)</f>
        <v>0</v>
      </c>
      <c r="R284">
        <f t="shared" ref="R284:R328" si="367">IF(I284="%o Al Millar",1000,IF(I284="% Al Porciento",100,IF(I284="$ Prima",G284)))</f>
        <v>0</v>
      </c>
      <c r="S284">
        <f t="shared" ref="S284:S328" si="368">IF(E284="Excluido",0,IF(D284="NO APLICA",0,1))</f>
        <v>0</v>
      </c>
    </row>
    <row r="285" spans="1:23" ht="15" hidden="1" customHeight="1" x14ac:dyDescent="0.3">
      <c r="A285" s="34" t="s">
        <v>1326</v>
      </c>
      <c r="B285" s="36">
        <v>164</v>
      </c>
      <c r="C285" s="29" t="s">
        <v>1334</v>
      </c>
      <c r="D285" s="29" t="str">
        <f t="shared" ref="D285:D328" si="369">$D$283</f>
        <v>NO APLICA</v>
      </c>
      <c r="E285" s="27" t="s">
        <v>1137</v>
      </c>
      <c r="F285" s="43">
        <f t="shared" ref="F285:F328" si="370">$F$283*S285</f>
        <v>0</v>
      </c>
      <c r="G285" s="21">
        <v>0</v>
      </c>
      <c r="H285" s="9">
        <f t="shared" si="360"/>
        <v>0</v>
      </c>
      <c r="I285" s="9" t="s">
        <v>1287</v>
      </c>
      <c r="J285" s="9">
        <f t="shared" si="361"/>
        <v>0</v>
      </c>
      <c r="K285" s="9">
        <f t="shared" si="362"/>
        <v>0</v>
      </c>
      <c r="L285" s="9">
        <f t="shared" si="363"/>
        <v>0</v>
      </c>
      <c r="M285" s="11">
        <f t="shared" ref="M285:M328" si="371">$M$283</f>
        <v>0</v>
      </c>
      <c r="N285" s="9">
        <f t="shared" si="364"/>
        <v>0</v>
      </c>
      <c r="O285" s="12">
        <f t="shared" si="365"/>
        <v>0</v>
      </c>
      <c r="P285" s="13" t="str">
        <f t="shared" si="285"/>
        <v>NO</v>
      </c>
      <c r="Q285">
        <f t="shared" si="366"/>
        <v>0</v>
      </c>
      <c r="R285">
        <f t="shared" si="367"/>
        <v>0</v>
      </c>
      <c r="S285">
        <f t="shared" si="368"/>
        <v>0</v>
      </c>
    </row>
    <row r="286" spans="1:23" ht="15" hidden="1" customHeight="1" x14ac:dyDescent="0.3">
      <c r="A286" s="34" t="s">
        <v>1326</v>
      </c>
      <c r="B286" s="36">
        <v>165</v>
      </c>
      <c r="C286" s="29" t="s">
        <v>1335</v>
      </c>
      <c r="D286" s="29" t="str">
        <f t="shared" si="369"/>
        <v>NO APLICA</v>
      </c>
      <c r="E286" s="27" t="s">
        <v>1137</v>
      </c>
      <c r="F286" s="43">
        <f t="shared" si="370"/>
        <v>0</v>
      </c>
      <c r="G286" s="21">
        <v>0</v>
      </c>
      <c r="H286" s="9">
        <f t="shared" si="360"/>
        <v>0</v>
      </c>
      <c r="I286" s="9" t="s">
        <v>1287</v>
      </c>
      <c r="J286" s="9">
        <f t="shared" si="361"/>
        <v>0</v>
      </c>
      <c r="K286" s="9">
        <f t="shared" si="362"/>
        <v>0</v>
      </c>
      <c r="L286" s="9">
        <f t="shared" si="363"/>
        <v>0</v>
      </c>
      <c r="M286" s="11">
        <f t="shared" si="371"/>
        <v>0</v>
      </c>
      <c r="N286" s="9">
        <f t="shared" si="364"/>
        <v>0</v>
      </c>
      <c r="O286" s="12">
        <f t="shared" si="365"/>
        <v>0</v>
      </c>
      <c r="P286" s="13" t="str">
        <f t="shared" si="285"/>
        <v>NO</v>
      </c>
      <c r="Q286">
        <f t="shared" si="366"/>
        <v>0</v>
      </c>
      <c r="R286">
        <f t="shared" si="367"/>
        <v>0</v>
      </c>
      <c r="S286">
        <f t="shared" si="368"/>
        <v>0</v>
      </c>
    </row>
    <row r="287" spans="1:23" ht="15" hidden="1" customHeight="1" x14ac:dyDescent="0.3">
      <c r="A287" s="34" t="s">
        <v>1326</v>
      </c>
      <c r="B287" s="36">
        <v>166</v>
      </c>
      <c r="C287" s="29" t="s">
        <v>1336</v>
      </c>
      <c r="D287" s="29" t="str">
        <f t="shared" si="369"/>
        <v>NO APLICA</v>
      </c>
      <c r="E287" s="27" t="s">
        <v>1137</v>
      </c>
      <c r="F287" s="43">
        <f t="shared" si="370"/>
        <v>0</v>
      </c>
      <c r="G287" s="21">
        <v>0</v>
      </c>
      <c r="H287" s="9">
        <f t="shared" si="360"/>
        <v>0</v>
      </c>
      <c r="I287" s="9" t="s">
        <v>1287</v>
      </c>
      <c r="J287" s="9">
        <f t="shared" si="361"/>
        <v>0</v>
      </c>
      <c r="K287" s="9">
        <f t="shared" si="362"/>
        <v>0</v>
      </c>
      <c r="L287" s="9">
        <f t="shared" si="363"/>
        <v>0</v>
      </c>
      <c r="M287" s="11">
        <f t="shared" si="371"/>
        <v>0</v>
      </c>
      <c r="N287" s="9">
        <f t="shared" si="364"/>
        <v>0</v>
      </c>
      <c r="O287" s="12">
        <f t="shared" si="365"/>
        <v>0</v>
      </c>
      <c r="P287" s="13" t="str">
        <f t="shared" si="285"/>
        <v>NO</v>
      </c>
      <c r="Q287">
        <f t="shared" si="366"/>
        <v>0</v>
      </c>
      <c r="R287">
        <f t="shared" si="367"/>
        <v>0</v>
      </c>
      <c r="S287">
        <f t="shared" si="368"/>
        <v>0</v>
      </c>
    </row>
    <row r="288" spans="1:23" ht="15" hidden="1" customHeight="1" x14ac:dyDescent="0.3">
      <c r="A288" s="34" t="s">
        <v>1326</v>
      </c>
      <c r="B288" s="36">
        <v>167</v>
      </c>
      <c r="C288" s="29" t="s">
        <v>1337</v>
      </c>
      <c r="D288" s="29" t="str">
        <f t="shared" si="369"/>
        <v>NO APLICA</v>
      </c>
      <c r="E288" s="27" t="s">
        <v>1137</v>
      </c>
      <c r="F288" s="43">
        <f t="shared" si="370"/>
        <v>0</v>
      </c>
      <c r="G288" s="21">
        <v>0</v>
      </c>
      <c r="H288" s="9">
        <f t="shared" si="360"/>
        <v>0</v>
      </c>
      <c r="I288" s="9" t="s">
        <v>1287</v>
      </c>
      <c r="J288" s="9">
        <f t="shared" si="361"/>
        <v>0</v>
      </c>
      <c r="K288" s="9">
        <f t="shared" si="362"/>
        <v>0</v>
      </c>
      <c r="L288" s="9">
        <f t="shared" si="363"/>
        <v>0</v>
      </c>
      <c r="M288" s="11">
        <f t="shared" si="371"/>
        <v>0</v>
      </c>
      <c r="N288" s="9">
        <f t="shared" si="364"/>
        <v>0</v>
      </c>
      <c r="O288" s="12">
        <f t="shared" si="365"/>
        <v>0</v>
      </c>
      <c r="P288" s="13" t="str">
        <f t="shared" si="285"/>
        <v>NO</v>
      </c>
      <c r="Q288">
        <f t="shared" si="366"/>
        <v>0</v>
      </c>
      <c r="R288">
        <f t="shared" si="367"/>
        <v>0</v>
      </c>
      <c r="S288">
        <f t="shared" si="368"/>
        <v>0</v>
      </c>
    </row>
    <row r="289" spans="1:23" ht="15" hidden="1" customHeight="1" x14ac:dyDescent="0.3">
      <c r="A289" s="34" t="s">
        <v>1326</v>
      </c>
      <c r="B289" s="36">
        <v>168</v>
      </c>
      <c r="C289" s="29" t="s">
        <v>1338</v>
      </c>
      <c r="D289" s="29" t="str">
        <f t="shared" si="369"/>
        <v>NO APLICA</v>
      </c>
      <c r="E289" s="27" t="s">
        <v>1137</v>
      </c>
      <c r="F289" s="43">
        <f t="shared" si="370"/>
        <v>0</v>
      </c>
      <c r="G289" s="21">
        <v>0</v>
      </c>
      <c r="H289" s="9">
        <f t="shared" si="360"/>
        <v>0</v>
      </c>
      <c r="I289" s="9" t="s">
        <v>1287</v>
      </c>
      <c r="J289" s="9">
        <f t="shared" si="361"/>
        <v>0</v>
      </c>
      <c r="K289" s="9">
        <f t="shared" si="362"/>
        <v>0</v>
      </c>
      <c r="L289" s="9">
        <f t="shared" si="363"/>
        <v>0</v>
      </c>
      <c r="M289" s="11">
        <f t="shared" si="371"/>
        <v>0</v>
      </c>
      <c r="N289" s="9">
        <f t="shared" si="364"/>
        <v>0</v>
      </c>
      <c r="O289" s="12">
        <f t="shared" si="365"/>
        <v>0</v>
      </c>
      <c r="P289" s="13" t="str">
        <f t="shared" si="285"/>
        <v>NO</v>
      </c>
      <c r="Q289">
        <f t="shared" si="366"/>
        <v>0</v>
      </c>
      <c r="R289">
        <f t="shared" si="367"/>
        <v>0</v>
      </c>
      <c r="S289">
        <f t="shared" si="368"/>
        <v>0</v>
      </c>
    </row>
    <row r="290" spans="1:23" ht="15" hidden="1" customHeight="1" x14ac:dyDescent="0.3">
      <c r="A290" s="34" t="s">
        <v>1326</v>
      </c>
      <c r="B290" s="36">
        <v>169</v>
      </c>
      <c r="C290" s="29" t="s">
        <v>1339</v>
      </c>
      <c r="D290" s="29" t="str">
        <f t="shared" si="369"/>
        <v>NO APLICA</v>
      </c>
      <c r="E290" s="27" t="s">
        <v>1137</v>
      </c>
      <c r="F290" s="43">
        <f t="shared" si="370"/>
        <v>0</v>
      </c>
      <c r="G290" s="21">
        <f>V290</f>
        <v>0</v>
      </c>
      <c r="H290" s="9">
        <f t="shared" si="360"/>
        <v>0</v>
      </c>
      <c r="I290" s="9" t="s">
        <v>1287</v>
      </c>
      <c r="J290" s="9">
        <f t="shared" si="361"/>
        <v>0</v>
      </c>
      <c r="K290" s="9">
        <f t="shared" si="362"/>
        <v>0</v>
      </c>
      <c r="L290" s="9">
        <f t="shared" si="363"/>
        <v>0</v>
      </c>
      <c r="M290" s="11">
        <f t="shared" si="371"/>
        <v>0</v>
      </c>
      <c r="N290" s="9">
        <f t="shared" si="364"/>
        <v>0</v>
      </c>
      <c r="O290" s="12">
        <f t="shared" si="365"/>
        <v>0</v>
      </c>
      <c r="P290" s="13" t="str">
        <f t="shared" ref="P290:P353" si="372">IF(Q290=1,"SI","NO")</f>
        <v>NO</v>
      </c>
      <c r="Q290">
        <f t="shared" si="366"/>
        <v>0</v>
      </c>
      <c r="R290">
        <f t="shared" si="367"/>
        <v>0</v>
      </c>
      <c r="S290">
        <f t="shared" si="368"/>
        <v>0</v>
      </c>
      <c r="T290" s="110">
        <f>VLOOKUP(B290,DesgloseRC!$E$48:$F$85,2,FALSE)</f>
        <v>0</v>
      </c>
      <c r="U290" s="159">
        <f>IF(E290="Excluido",0,$U$283*T290)</f>
        <v>0</v>
      </c>
      <c r="V290" s="159">
        <f>IF(F290=0,0,U290)</f>
        <v>0</v>
      </c>
      <c r="W290">
        <f>IF(T290=0%,0,1)</f>
        <v>0</v>
      </c>
    </row>
    <row r="291" spans="1:23" ht="15" hidden="1" customHeight="1" x14ac:dyDescent="0.3">
      <c r="A291" s="34" t="s">
        <v>1326</v>
      </c>
      <c r="B291" s="36">
        <v>170</v>
      </c>
      <c r="C291" s="29" t="s">
        <v>1340</v>
      </c>
      <c r="D291" s="29" t="str">
        <f t="shared" si="369"/>
        <v>NO APLICA</v>
      </c>
      <c r="E291" s="27" t="s">
        <v>1137</v>
      </c>
      <c r="F291" s="43">
        <f t="shared" si="370"/>
        <v>0</v>
      </c>
      <c r="G291" s="21">
        <v>0</v>
      </c>
      <c r="H291" s="9">
        <f t="shared" si="360"/>
        <v>0</v>
      </c>
      <c r="I291" s="9" t="s">
        <v>1287</v>
      </c>
      <c r="J291" s="9">
        <f t="shared" si="361"/>
        <v>0</v>
      </c>
      <c r="K291" s="9">
        <f t="shared" si="362"/>
        <v>0</v>
      </c>
      <c r="L291" s="9">
        <f t="shared" si="363"/>
        <v>0</v>
      </c>
      <c r="M291" s="11">
        <f t="shared" si="371"/>
        <v>0</v>
      </c>
      <c r="N291" s="9">
        <f t="shared" si="364"/>
        <v>0</v>
      </c>
      <c r="O291" s="12">
        <f t="shared" si="365"/>
        <v>0</v>
      </c>
      <c r="P291" s="13" t="str">
        <f t="shared" si="372"/>
        <v>NO</v>
      </c>
      <c r="Q291">
        <f t="shared" si="366"/>
        <v>0</v>
      </c>
      <c r="R291">
        <f t="shared" si="367"/>
        <v>0</v>
      </c>
      <c r="S291">
        <f t="shared" si="368"/>
        <v>0</v>
      </c>
    </row>
    <row r="292" spans="1:23" ht="15" hidden="1" customHeight="1" x14ac:dyDescent="0.3">
      <c r="A292" s="34" t="s">
        <v>1326</v>
      </c>
      <c r="B292" s="36">
        <v>171</v>
      </c>
      <c r="C292" s="29" t="s">
        <v>1341</v>
      </c>
      <c r="D292" s="29" t="str">
        <f t="shared" si="369"/>
        <v>NO APLICA</v>
      </c>
      <c r="E292" s="27" t="s">
        <v>1137</v>
      </c>
      <c r="F292" s="43">
        <f t="shared" si="370"/>
        <v>0</v>
      </c>
      <c r="G292" s="21">
        <v>0</v>
      </c>
      <c r="H292" s="9">
        <f t="shared" si="360"/>
        <v>0</v>
      </c>
      <c r="I292" s="9" t="s">
        <v>1287</v>
      </c>
      <c r="J292" s="9">
        <f t="shared" si="361"/>
        <v>0</v>
      </c>
      <c r="K292" s="9">
        <f t="shared" si="362"/>
        <v>0</v>
      </c>
      <c r="L292" s="9">
        <f t="shared" si="363"/>
        <v>0</v>
      </c>
      <c r="M292" s="11">
        <f t="shared" si="371"/>
        <v>0</v>
      </c>
      <c r="N292" s="9">
        <f t="shared" si="364"/>
        <v>0</v>
      </c>
      <c r="O292" s="12">
        <f t="shared" si="365"/>
        <v>0</v>
      </c>
      <c r="P292" s="13" t="str">
        <f t="shared" si="372"/>
        <v>NO</v>
      </c>
      <c r="Q292">
        <f t="shared" si="366"/>
        <v>0</v>
      </c>
      <c r="R292">
        <f t="shared" si="367"/>
        <v>0</v>
      </c>
      <c r="S292">
        <f t="shared" si="368"/>
        <v>0</v>
      </c>
    </row>
    <row r="293" spans="1:23" ht="15" hidden="1" customHeight="1" x14ac:dyDescent="0.3">
      <c r="A293" s="34" t="s">
        <v>1326</v>
      </c>
      <c r="B293" s="36">
        <v>172</v>
      </c>
      <c r="C293" s="29" t="s">
        <v>1342</v>
      </c>
      <c r="D293" s="29" t="str">
        <f t="shared" si="369"/>
        <v>NO APLICA</v>
      </c>
      <c r="E293" s="27" t="s">
        <v>1137</v>
      </c>
      <c r="F293" s="43">
        <f t="shared" si="370"/>
        <v>0</v>
      </c>
      <c r="G293" s="21">
        <v>0</v>
      </c>
      <c r="H293" s="9">
        <f t="shared" si="360"/>
        <v>0</v>
      </c>
      <c r="I293" s="9" t="s">
        <v>1287</v>
      </c>
      <c r="J293" s="9">
        <f t="shared" si="361"/>
        <v>0</v>
      </c>
      <c r="K293" s="9">
        <f t="shared" si="362"/>
        <v>0</v>
      </c>
      <c r="L293" s="9">
        <f t="shared" si="363"/>
        <v>0</v>
      </c>
      <c r="M293" s="11">
        <f t="shared" si="371"/>
        <v>0</v>
      </c>
      <c r="N293" s="9">
        <f t="shared" si="364"/>
        <v>0</v>
      </c>
      <c r="O293" s="12">
        <f t="shared" si="365"/>
        <v>0</v>
      </c>
      <c r="P293" s="13" t="str">
        <f t="shared" si="372"/>
        <v>NO</v>
      </c>
      <c r="Q293">
        <f t="shared" si="366"/>
        <v>0</v>
      </c>
      <c r="R293">
        <f t="shared" si="367"/>
        <v>0</v>
      </c>
      <c r="S293">
        <f t="shared" si="368"/>
        <v>0</v>
      </c>
    </row>
    <row r="294" spans="1:23" ht="15" hidden="1" customHeight="1" x14ac:dyDescent="0.3">
      <c r="A294" s="34" t="s">
        <v>1326</v>
      </c>
      <c r="B294" s="36">
        <v>173</v>
      </c>
      <c r="C294" s="29" t="s">
        <v>1343</v>
      </c>
      <c r="D294" s="29" t="str">
        <f t="shared" si="369"/>
        <v>NO APLICA</v>
      </c>
      <c r="E294" s="27" t="s">
        <v>1137</v>
      </c>
      <c r="F294" s="43">
        <f t="shared" si="370"/>
        <v>0</v>
      </c>
      <c r="G294" s="21">
        <v>0</v>
      </c>
      <c r="H294" s="9">
        <f t="shared" si="360"/>
        <v>0</v>
      </c>
      <c r="I294" s="9" t="s">
        <v>1287</v>
      </c>
      <c r="J294" s="9">
        <f t="shared" si="361"/>
        <v>0</v>
      </c>
      <c r="K294" s="9">
        <f t="shared" si="362"/>
        <v>0</v>
      </c>
      <c r="L294" s="9">
        <f t="shared" si="363"/>
        <v>0</v>
      </c>
      <c r="M294" s="11">
        <f t="shared" si="371"/>
        <v>0</v>
      </c>
      <c r="N294" s="9">
        <f t="shared" si="364"/>
        <v>0</v>
      </c>
      <c r="O294" s="12">
        <f t="shared" si="365"/>
        <v>0</v>
      </c>
      <c r="P294" s="13" t="str">
        <f t="shared" si="372"/>
        <v>NO</v>
      </c>
      <c r="Q294">
        <f t="shared" si="366"/>
        <v>0</v>
      </c>
      <c r="R294">
        <f t="shared" si="367"/>
        <v>0</v>
      </c>
      <c r="S294">
        <f t="shared" si="368"/>
        <v>0</v>
      </c>
    </row>
    <row r="295" spans="1:23" ht="15" hidden="1" customHeight="1" x14ac:dyDescent="0.3">
      <c r="A295" s="34" t="s">
        <v>1326</v>
      </c>
      <c r="B295" s="36">
        <v>174</v>
      </c>
      <c r="C295" s="29" t="s">
        <v>1344</v>
      </c>
      <c r="D295" s="29" t="str">
        <f t="shared" si="369"/>
        <v>NO APLICA</v>
      </c>
      <c r="E295" s="27" t="s">
        <v>1137</v>
      </c>
      <c r="F295" s="43">
        <f t="shared" si="370"/>
        <v>0</v>
      </c>
      <c r="G295" s="21">
        <v>0</v>
      </c>
      <c r="H295" s="9">
        <f t="shared" si="360"/>
        <v>0</v>
      </c>
      <c r="I295" s="9" t="s">
        <v>1287</v>
      </c>
      <c r="J295" s="9">
        <f t="shared" si="361"/>
        <v>0</v>
      </c>
      <c r="K295" s="9">
        <f t="shared" si="362"/>
        <v>0</v>
      </c>
      <c r="L295" s="9">
        <f t="shared" si="363"/>
        <v>0</v>
      </c>
      <c r="M295" s="11">
        <f t="shared" si="371"/>
        <v>0</v>
      </c>
      <c r="N295" s="9">
        <f t="shared" si="364"/>
        <v>0</v>
      </c>
      <c r="O295" s="12">
        <f t="shared" si="365"/>
        <v>0</v>
      </c>
      <c r="P295" s="13" t="str">
        <f t="shared" si="372"/>
        <v>NO</v>
      </c>
      <c r="Q295">
        <f t="shared" si="366"/>
        <v>0</v>
      </c>
      <c r="R295">
        <f t="shared" si="367"/>
        <v>0</v>
      </c>
      <c r="S295">
        <f t="shared" si="368"/>
        <v>0</v>
      </c>
    </row>
    <row r="296" spans="1:23" ht="15" hidden="1" customHeight="1" x14ac:dyDescent="0.3">
      <c r="A296" s="34" t="s">
        <v>1326</v>
      </c>
      <c r="B296" s="36">
        <v>175</v>
      </c>
      <c r="C296" s="29" t="s">
        <v>1345</v>
      </c>
      <c r="D296" s="29" t="str">
        <f t="shared" si="369"/>
        <v>NO APLICA</v>
      </c>
      <c r="E296" s="27" t="s">
        <v>1137</v>
      </c>
      <c r="F296" s="43">
        <f t="shared" si="370"/>
        <v>0</v>
      </c>
      <c r="G296" s="21">
        <v>0</v>
      </c>
      <c r="H296" s="9">
        <f t="shared" si="360"/>
        <v>0</v>
      </c>
      <c r="I296" s="9" t="s">
        <v>1287</v>
      </c>
      <c r="J296" s="9">
        <f t="shared" si="361"/>
        <v>0</v>
      </c>
      <c r="K296" s="9">
        <f t="shared" si="362"/>
        <v>0</v>
      </c>
      <c r="L296" s="9">
        <f t="shared" si="363"/>
        <v>0</v>
      </c>
      <c r="M296" s="11">
        <f t="shared" si="371"/>
        <v>0</v>
      </c>
      <c r="N296" s="9">
        <f t="shared" si="364"/>
        <v>0</v>
      </c>
      <c r="O296" s="12">
        <f t="shared" si="365"/>
        <v>0</v>
      </c>
      <c r="P296" s="13" t="str">
        <f t="shared" si="372"/>
        <v>NO</v>
      </c>
      <c r="Q296">
        <f t="shared" si="366"/>
        <v>0</v>
      </c>
      <c r="R296">
        <f t="shared" si="367"/>
        <v>0</v>
      </c>
      <c r="S296">
        <f t="shared" si="368"/>
        <v>0</v>
      </c>
    </row>
    <row r="297" spans="1:23" ht="15" hidden="1" customHeight="1" x14ac:dyDescent="0.3">
      <c r="A297" s="34" t="s">
        <v>1326</v>
      </c>
      <c r="B297" s="36">
        <v>176</v>
      </c>
      <c r="C297" s="29" t="s">
        <v>1346</v>
      </c>
      <c r="D297" s="29" t="str">
        <f t="shared" si="369"/>
        <v>NO APLICA</v>
      </c>
      <c r="E297" s="27" t="s">
        <v>1137</v>
      </c>
      <c r="F297" s="43">
        <f t="shared" si="370"/>
        <v>0</v>
      </c>
      <c r="G297" s="21">
        <v>0</v>
      </c>
      <c r="H297" s="9">
        <f t="shared" si="360"/>
        <v>0</v>
      </c>
      <c r="I297" s="9" t="s">
        <v>1287</v>
      </c>
      <c r="J297" s="9">
        <f t="shared" si="361"/>
        <v>0</v>
      </c>
      <c r="K297" s="9">
        <f t="shared" si="362"/>
        <v>0</v>
      </c>
      <c r="L297" s="9">
        <f t="shared" si="363"/>
        <v>0</v>
      </c>
      <c r="M297" s="11">
        <f t="shared" si="371"/>
        <v>0</v>
      </c>
      <c r="N297" s="9">
        <f t="shared" si="364"/>
        <v>0</v>
      </c>
      <c r="O297" s="12">
        <f t="shared" si="365"/>
        <v>0</v>
      </c>
      <c r="P297" s="13" t="str">
        <f t="shared" si="372"/>
        <v>NO</v>
      </c>
      <c r="Q297">
        <f t="shared" si="366"/>
        <v>0</v>
      </c>
      <c r="R297">
        <f t="shared" si="367"/>
        <v>0</v>
      </c>
      <c r="S297">
        <f t="shared" si="368"/>
        <v>0</v>
      </c>
    </row>
    <row r="298" spans="1:23" ht="15" hidden="1" customHeight="1" x14ac:dyDescent="0.3">
      <c r="A298" s="34" t="s">
        <v>1326</v>
      </c>
      <c r="B298" s="36">
        <v>177</v>
      </c>
      <c r="C298" s="29" t="s">
        <v>1347</v>
      </c>
      <c r="D298" s="29" t="str">
        <f t="shared" si="369"/>
        <v>NO APLICA</v>
      </c>
      <c r="E298" s="27" t="s">
        <v>1137</v>
      </c>
      <c r="F298" s="43">
        <f t="shared" si="370"/>
        <v>0</v>
      </c>
      <c r="G298" s="21">
        <f>V298</f>
        <v>0</v>
      </c>
      <c r="H298" s="9">
        <f t="shared" si="360"/>
        <v>0</v>
      </c>
      <c r="I298" s="9" t="s">
        <v>1287</v>
      </c>
      <c r="J298" s="9">
        <f t="shared" si="361"/>
        <v>0</v>
      </c>
      <c r="K298" s="9">
        <f t="shared" si="362"/>
        <v>0</v>
      </c>
      <c r="L298" s="9">
        <f t="shared" si="363"/>
        <v>0</v>
      </c>
      <c r="M298" s="11">
        <f t="shared" si="371"/>
        <v>0</v>
      </c>
      <c r="N298" s="9">
        <f t="shared" si="364"/>
        <v>0</v>
      </c>
      <c r="O298" s="12">
        <f t="shared" si="365"/>
        <v>0</v>
      </c>
      <c r="P298" s="13" t="str">
        <f t="shared" si="372"/>
        <v>NO</v>
      </c>
      <c r="Q298">
        <f t="shared" si="366"/>
        <v>0</v>
      </c>
      <c r="R298">
        <f t="shared" si="367"/>
        <v>0</v>
      </c>
      <c r="S298">
        <f t="shared" si="368"/>
        <v>0</v>
      </c>
      <c r="T298" s="110">
        <f>VLOOKUP(B298,DesgloseRC!$E$48:$F$85,2,FALSE)</f>
        <v>0</v>
      </c>
      <c r="U298" s="159">
        <f>IF(E298="Excluido",0,$U$283*T298)</f>
        <v>0</v>
      </c>
      <c r="V298" s="159">
        <f>IF(F298=0,0,U298)</f>
        <v>0</v>
      </c>
      <c r="W298">
        <f>IF(T298=0%,0,1)</f>
        <v>0</v>
      </c>
    </row>
    <row r="299" spans="1:23" ht="15" hidden="1" customHeight="1" x14ac:dyDescent="0.3">
      <c r="A299" s="34" t="s">
        <v>1326</v>
      </c>
      <c r="B299" s="36">
        <v>178</v>
      </c>
      <c r="C299" s="29" t="s">
        <v>1348</v>
      </c>
      <c r="D299" s="29" t="str">
        <f t="shared" si="369"/>
        <v>NO APLICA</v>
      </c>
      <c r="E299" s="27" t="s">
        <v>1137</v>
      </c>
      <c r="F299" s="43">
        <f t="shared" si="370"/>
        <v>0</v>
      </c>
      <c r="G299" s="21">
        <v>0</v>
      </c>
      <c r="H299" s="9">
        <f t="shared" si="360"/>
        <v>0</v>
      </c>
      <c r="I299" s="9" t="s">
        <v>1287</v>
      </c>
      <c r="J299" s="9">
        <f t="shared" si="361"/>
        <v>0</v>
      </c>
      <c r="K299" s="9">
        <f t="shared" si="362"/>
        <v>0</v>
      </c>
      <c r="L299" s="9">
        <f t="shared" si="363"/>
        <v>0</v>
      </c>
      <c r="M299" s="11">
        <f t="shared" si="371"/>
        <v>0</v>
      </c>
      <c r="N299" s="9">
        <f t="shared" si="364"/>
        <v>0</v>
      </c>
      <c r="O299" s="12">
        <f t="shared" si="365"/>
        <v>0</v>
      </c>
      <c r="P299" s="13" t="str">
        <f t="shared" si="372"/>
        <v>NO</v>
      </c>
      <c r="Q299">
        <f t="shared" si="366"/>
        <v>0</v>
      </c>
      <c r="R299">
        <f t="shared" si="367"/>
        <v>0</v>
      </c>
      <c r="S299">
        <f t="shared" si="368"/>
        <v>0</v>
      </c>
    </row>
    <row r="300" spans="1:23" ht="15" hidden="1" customHeight="1" x14ac:dyDescent="0.3">
      <c r="A300" s="34" t="s">
        <v>1326</v>
      </c>
      <c r="B300" s="36">
        <v>179</v>
      </c>
      <c r="C300" s="29" t="s">
        <v>1349</v>
      </c>
      <c r="D300" s="29" t="str">
        <f t="shared" si="369"/>
        <v>NO APLICA</v>
      </c>
      <c r="E300" s="27" t="s">
        <v>1137</v>
      </c>
      <c r="F300" s="43">
        <f t="shared" si="370"/>
        <v>0</v>
      </c>
      <c r="G300" s="21">
        <v>0</v>
      </c>
      <c r="H300" s="9">
        <f t="shared" si="360"/>
        <v>0</v>
      </c>
      <c r="I300" s="9" t="s">
        <v>1287</v>
      </c>
      <c r="J300" s="9">
        <f t="shared" si="361"/>
        <v>0</v>
      </c>
      <c r="K300" s="9">
        <f t="shared" si="362"/>
        <v>0</v>
      </c>
      <c r="L300" s="9">
        <f t="shared" si="363"/>
        <v>0</v>
      </c>
      <c r="M300" s="11">
        <f t="shared" si="371"/>
        <v>0</v>
      </c>
      <c r="N300" s="9">
        <f t="shared" si="364"/>
        <v>0</v>
      </c>
      <c r="O300" s="12">
        <f t="shared" si="365"/>
        <v>0</v>
      </c>
      <c r="P300" s="13" t="str">
        <f t="shared" si="372"/>
        <v>NO</v>
      </c>
      <c r="Q300">
        <f t="shared" si="366"/>
        <v>0</v>
      </c>
      <c r="R300">
        <f t="shared" si="367"/>
        <v>0</v>
      </c>
      <c r="S300">
        <f t="shared" si="368"/>
        <v>0</v>
      </c>
    </row>
    <row r="301" spans="1:23" ht="15" hidden="1" customHeight="1" x14ac:dyDescent="0.3">
      <c r="A301" s="34" t="s">
        <v>1326</v>
      </c>
      <c r="B301" s="36">
        <v>180</v>
      </c>
      <c r="C301" s="29" t="s">
        <v>1350</v>
      </c>
      <c r="D301" s="29" t="str">
        <f t="shared" si="369"/>
        <v>NO APLICA</v>
      </c>
      <c r="E301" s="27" t="s">
        <v>1137</v>
      </c>
      <c r="F301" s="43">
        <f t="shared" si="370"/>
        <v>0</v>
      </c>
      <c r="G301" s="21">
        <v>0</v>
      </c>
      <c r="H301" s="9">
        <f t="shared" si="360"/>
        <v>0</v>
      </c>
      <c r="I301" s="9" t="s">
        <v>1287</v>
      </c>
      <c r="J301" s="9">
        <f t="shared" si="361"/>
        <v>0</v>
      </c>
      <c r="K301" s="9">
        <f t="shared" si="362"/>
        <v>0</v>
      </c>
      <c r="L301" s="9">
        <f t="shared" si="363"/>
        <v>0</v>
      </c>
      <c r="M301" s="11">
        <f t="shared" si="371"/>
        <v>0</v>
      </c>
      <c r="N301" s="9">
        <f t="shared" si="364"/>
        <v>0</v>
      </c>
      <c r="O301" s="12">
        <f t="shared" si="365"/>
        <v>0</v>
      </c>
      <c r="P301" s="13" t="str">
        <f t="shared" si="372"/>
        <v>NO</v>
      </c>
      <c r="Q301">
        <f t="shared" si="366"/>
        <v>0</v>
      </c>
      <c r="R301">
        <f t="shared" si="367"/>
        <v>0</v>
      </c>
      <c r="S301">
        <f t="shared" si="368"/>
        <v>0</v>
      </c>
    </row>
    <row r="302" spans="1:23" ht="15" hidden="1" customHeight="1" x14ac:dyDescent="0.3">
      <c r="A302" s="34" t="s">
        <v>1326</v>
      </c>
      <c r="B302" s="36">
        <v>181</v>
      </c>
      <c r="C302" s="29" t="s">
        <v>1351</v>
      </c>
      <c r="D302" s="29" t="str">
        <f t="shared" si="369"/>
        <v>NO APLICA</v>
      </c>
      <c r="E302" s="27" t="s">
        <v>1137</v>
      </c>
      <c r="F302" s="43">
        <f t="shared" si="370"/>
        <v>0</v>
      </c>
      <c r="G302" s="21">
        <v>0</v>
      </c>
      <c r="H302" s="9">
        <f t="shared" si="360"/>
        <v>0</v>
      </c>
      <c r="I302" s="9" t="s">
        <v>1287</v>
      </c>
      <c r="J302" s="9">
        <f t="shared" si="361"/>
        <v>0</v>
      </c>
      <c r="K302" s="9">
        <f t="shared" si="362"/>
        <v>0</v>
      </c>
      <c r="L302" s="9">
        <f t="shared" si="363"/>
        <v>0</v>
      </c>
      <c r="M302" s="11">
        <f t="shared" si="371"/>
        <v>0</v>
      </c>
      <c r="N302" s="9">
        <f t="shared" si="364"/>
        <v>0</v>
      </c>
      <c r="O302" s="12">
        <f t="shared" si="365"/>
        <v>0</v>
      </c>
      <c r="P302" s="13" t="str">
        <f t="shared" si="372"/>
        <v>NO</v>
      </c>
      <c r="Q302">
        <f t="shared" si="366"/>
        <v>0</v>
      </c>
      <c r="R302">
        <f t="shared" si="367"/>
        <v>0</v>
      </c>
      <c r="S302">
        <f t="shared" si="368"/>
        <v>0</v>
      </c>
    </row>
    <row r="303" spans="1:23" ht="15" hidden="1" customHeight="1" x14ac:dyDescent="0.3">
      <c r="A303" s="34" t="s">
        <v>1326</v>
      </c>
      <c r="B303" s="36">
        <v>182</v>
      </c>
      <c r="C303" s="29" t="s">
        <v>1352</v>
      </c>
      <c r="D303" s="29" t="str">
        <f t="shared" si="369"/>
        <v>NO APLICA</v>
      </c>
      <c r="E303" s="27" t="s">
        <v>1137</v>
      </c>
      <c r="F303" s="43">
        <f t="shared" si="370"/>
        <v>0</v>
      </c>
      <c r="G303" s="21">
        <v>0</v>
      </c>
      <c r="H303" s="9">
        <f t="shared" si="360"/>
        <v>0</v>
      </c>
      <c r="I303" s="9" t="s">
        <v>1287</v>
      </c>
      <c r="J303" s="9">
        <f t="shared" si="361"/>
        <v>0</v>
      </c>
      <c r="K303" s="9">
        <f t="shared" si="362"/>
        <v>0</v>
      </c>
      <c r="L303" s="9">
        <f t="shared" si="363"/>
        <v>0</v>
      </c>
      <c r="M303" s="11">
        <f t="shared" si="371"/>
        <v>0</v>
      </c>
      <c r="N303" s="9">
        <f t="shared" si="364"/>
        <v>0</v>
      </c>
      <c r="O303" s="12">
        <f t="shared" si="365"/>
        <v>0</v>
      </c>
      <c r="P303" s="13" t="str">
        <f t="shared" si="372"/>
        <v>NO</v>
      </c>
      <c r="Q303">
        <f t="shared" si="366"/>
        <v>0</v>
      </c>
      <c r="R303">
        <f t="shared" si="367"/>
        <v>0</v>
      </c>
      <c r="S303">
        <f t="shared" si="368"/>
        <v>0</v>
      </c>
    </row>
    <row r="304" spans="1:23" ht="15" hidden="1" customHeight="1" x14ac:dyDescent="0.3">
      <c r="A304" s="34" t="s">
        <v>1326</v>
      </c>
      <c r="B304" s="36">
        <v>183</v>
      </c>
      <c r="C304" s="29" t="s">
        <v>1353</v>
      </c>
      <c r="D304" s="29" t="str">
        <f t="shared" si="369"/>
        <v>NO APLICA</v>
      </c>
      <c r="E304" s="27" t="s">
        <v>1137</v>
      </c>
      <c r="F304" s="43">
        <f t="shared" si="370"/>
        <v>0</v>
      </c>
      <c r="G304" s="21">
        <v>0</v>
      </c>
      <c r="H304" s="9">
        <f t="shared" si="360"/>
        <v>0</v>
      </c>
      <c r="I304" s="9" t="s">
        <v>1287</v>
      </c>
      <c r="J304" s="9">
        <f t="shared" si="361"/>
        <v>0</v>
      </c>
      <c r="K304" s="9">
        <f t="shared" si="362"/>
        <v>0</v>
      </c>
      <c r="L304" s="9">
        <f t="shared" si="363"/>
        <v>0</v>
      </c>
      <c r="M304" s="11">
        <f t="shared" si="371"/>
        <v>0</v>
      </c>
      <c r="N304" s="9">
        <f t="shared" si="364"/>
        <v>0</v>
      </c>
      <c r="O304" s="12">
        <f t="shared" si="365"/>
        <v>0</v>
      </c>
      <c r="P304" s="13" t="str">
        <f t="shared" si="372"/>
        <v>NO</v>
      </c>
      <c r="Q304">
        <f t="shared" si="366"/>
        <v>0</v>
      </c>
      <c r="R304">
        <f t="shared" si="367"/>
        <v>0</v>
      </c>
      <c r="S304">
        <f t="shared" si="368"/>
        <v>0</v>
      </c>
    </row>
    <row r="305" spans="1:29" ht="22.5" hidden="1" customHeight="1" x14ac:dyDescent="0.3">
      <c r="A305" s="34" t="s">
        <v>1326</v>
      </c>
      <c r="B305" s="36">
        <v>184</v>
      </c>
      <c r="C305" s="29" t="s">
        <v>1328</v>
      </c>
      <c r="D305" s="29" t="str">
        <f t="shared" si="369"/>
        <v>NO APLICA</v>
      </c>
      <c r="E305" s="27" t="s">
        <v>1137</v>
      </c>
      <c r="F305" s="43">
        <f t="shared" si="370"/>
        <v>0</v>
      </c>
      <c r="G305" s="21">
        <v>0</v>
      </c>
      <c r="H305" s="9">
        <f t="shared" si="360"/>
        <v>0</v>
      </c>
      <c r="I305" s="9" t="s">
        <v>1287</v>
      </c>
      <c r="J305" s="9">
        <f t="shared" si="361"/>
        <v>0</v>
      </c>
      <c r="K305" s="9">
        <f t="shared" si="362"/>
        <v>0</v>
      </c>
      <c r="L305" s="9">
        <f t="shared" si="363"/>
        <v>0</v>
      </c>
      <c r="M305" s="11">
        <f t="shared" si="371"/>
        <v>0</v>
      </c>
      <c r="N305" s="9">
        <f t="shared" si="364"/>
        <v>0</v>
      </c>
      <c r="O305" s="12">
        <f t="shared" si="365"/>
        <v>0</v>
      </c>
      <c r="P305" s="13" t="str">
        <f t="shared" si="372"/>
        <v>NO</v>
      </c>
      <c r="Q305">
        <f t="shared" si="366"/>
        <v>0</v>
      </c>
      <c r="R305">
        <f t="shared" si="367"/>
        <v>0</v>
      </c>
      <c r="S305">
        <f t="shared" si="368"/>
        <v>0</v>
      </c>
    </row>
    <row r="306" spans="1:29" ht="15" hidden="1" customHeight="1" x14ac:dyDescent="0.3">
      <c r="A306" s="34" t="s">
        <v>1326</v>
      </c>
      <c r="B306" s="36">
        <v>185</v>
      </c>
      <c r="C306" s="29" t="s">
        <v>1330</v>
      </c>
      <c r="D306" s="29" t="str">
        <f t="shared" si="369"/>
        <v>NO APLICA</v>
      </c>
      <c r="E306" s="27" t="s">
        <v>1152</v>
      </c>
      <c r="F306" s="43">
        <f t="shared" si="370"/>
        <v>0</v>
      </c>
      <c r="G306" s="21">
        <f>V306</f>
        <v>0</v>
      </c>
      <c r="H306" s="9">
        <f t="shared" si="360"/>
        <v>0</v>
      </c>
      <c r="I306" s="9" t="s">
        <v>1287</v>
      </c>
      <c r="J306" s="9">
        <f t="shared" si="361"/>
        <v>0</v>
      </c>
      <c r="K306" s="9">
        <f t="shared" si="362"/>
        <v>0</v>
      </c>
      <c r="L306" s="9">
        <f t="shared" si="363"/>
        <v>0</v>
      </c>
      <c r="M306" s="11">
        <f t="shared" si="371"/>
        <v>0</v>
      </c>
      <c r="N306" s="9">
        <f t="shared" si="364"/>
        <v>0</v>
      </c>
      <c r="O306" s="12">
        <f t="shared" si="365"/>
        <v>0</v>
      </c>
      <c r="P306" s="13" t="str">
        <f t="shared" si="372"/>
        <v>NO</v>
      </c>
      <c r="Q306">
        <f t="shared" si="366"/>
        <v>0</v>
      </c>
      <c r="R306">
        <f t="shared" si="367"/>
        <v>0</v>
      </c>
      <c r="S306">
        <f t="shared" si="368"/>
        <v>0</v>
      </c>
      <c r="T306" s="110">
        <f>VLOOKUP(B306,DesgloseRC!$E$48:$F$85,2,FALSE)</f>
        <v>0</v>
      </c>
      <c r="U306" s="159">
        <f>IF(E306="Excluido",0,$U$283*T306)</f>
        <v>0</v>
      </c>
      <c r="V306" s="159">
        <f>IF(F306=0,0,U306)</f>
        <v>0</v>
      </c>
      <c r="W306">
        <v>0</v>
      </c>
      <c r="X306" s="110"/>
      <c r="Y306" s="110"/>
    </row>
    <row r="307" spans="1:29" ht="15" hidden="1" customHeight="1" x14ac:dyDescent="0.3">
      <c r="A307" s="34" t="s">
        <v>1326</v>
      </c>
      <c r="B307" s="36">
        <v>186</v>
      </c>
      <c r="C307" s="29" t="s">
        <v>1327</v>
      </c>
      <c r="D307" s="29" t="str">
        <f t="shared" si="369"/>
        <v>NO APLICA</v>
      </c>
      <c r="E307" s="27" t="s">
        <v>1137</v>
      </c>
      <c r="F307" s="43">
        <f t="shared" si="370"/>
        <v>0</v>
      </c>
      <c r="G307" s="21">
        <v>0</v>
      </c>
      <c r="H307" s="9">
        <f t="shared" si="360"/>
        <v>0</v>
      </c>
      <c r="I307" s="9" t="s">
        <v>1287</v>
      </c>
      <c r="J307" s="9">
        <f t="shared" si="361"/>
        <v>0</v>
      </c>
      <c r="K307" s="9">
        <f t="shared" si="362"/>
        <v>0</v>
      </c>
      <c r="L307" s="9">
        <f t="shared" si="363"/>
        <v>0</v>
      </c>
      <c r="M307" s="11">
        <f t="shared" si="371"/>
        <v>0</v>
      </c>
      <c r="N307" s="9">
        <f t="shared" si="364"/>
        <v>0</v>
      </c>
      <c r="O307" s="12">
        <f t="shared" si="365"/>
        <v>0</v>
      </c>
      <c r="P307" s="13" t="str">
        <f t="shared" si="372"/>
        <v>NO</v>
      </c>
      <c r="Q307">
        <f t="shared" si="366"/>
        <v>0</v>
      </c>
      <c r="R307">
        <f t="shared" si="367"/>
        <v>0</v>
      </c>
      <c r="S307">
        <f t="shared" si="368"/>
        <v>0</v>
      </c>
    </row>
    <row r="308" spans="1:29" ht="22.5" hidden="1" customHeight="1" x14ac:dyDescent="0.3">
      <c r="A308" s="34" t="s">
        <v>1326</v>
      </c>
      <c r="B308" s="36">
        <v>187</v>
      </c>
      <c r="C308" s="29" t="s">
        <v>1354</v>
      </c>
      <c r="D308" s="29" t="str">
        <f t="shared" si="369"/>
        <v>NO APLICA</v>
      </c>
      <c r="E308" s="27" t="s">
        <v>1137</v>
      </c>
      <c r="F308" s="43">
        <f t="shared" si="370"/>
        <v>0</v>
      </c>
      <c r="G308" s="21">
        <f>V308</f>
        <v>0</v>
      </c>
      <c r="H308" s="9">
        <f t="shared" si="360"/>
        <v>0</v>
      </c>
      <c r="I308" s="9" t="s">
        <v>1287</v>
      </c>
      <c r="J308" s="9">
        <f t="shared" si="361"/>
        <v>0</v>
      </c>
      <c r="K308" s="9">
        <f t="shared" si="362"/>
        <v>0</v>
      </c>
      <c r="L308" s="9">
        <f t="shared" si="363"/>
        <v>0</v>
      </c>
      <c r="M308" s="11">
        <f t="shared" si="371"/>
        <v>0</v>
      </c>
      <c r="N308" s="9">
        <f t="shared" si="364"/>
        <v>0</v>
      </c>
      <c r="O308" s="12">
        <f t="shared" si="365"/>
        <v>0</v>
      </c>
      <c r="P308" s="13" t="str">
        <f t="shared" si="372"/>
        <v>NO</v>
      </c>
      <c r="Q308">
        <f t="shared" si="366"/>
        <v>0</v>
      </c>
      <c r="R308">
        <f t="shared" si="367"/>
        <v>0</v>
      </c>
      <c r="S308">
        <f t="shared" si="368"/>
        <v>0</v>
      </c>
      <c r="T308" s="110">
        <f>VLOOKUP(B308,DesgloseRC!$E$48:$F$85,2,FALSE)</f>
        <v>0</v>
      </c>
      <c r="U308" s="159">
        <f>IF(E308="Excluido",0,$U$283*T308)</f>
        <v>0</v>
      </c>
      <c r="V308" s="159">
        <f>IF(F308=0,0,U308)</f>
        <v>0</v>
      </c>
      <c r="W308">
        <f>IF(T308=0%,0,1)</f>
        <v>0</v>
      </c>
    </row>
    <row r="309" spans="1:29" ht="15" hidden="1" customHeight="1" x14ac:dyDescent="0.3">
      <c r="A309" s="34" t="s">
        <v>1326</v>
      </c>
      <c r="B309" s="36">
        <v>188</v>
      </c>
      <c r="C309" s="29" t="s">
        <v>1355</v>
      </c>
      <c r="D309" s="29" t="str">
        <f t="shared" si="369"/>
        <v>NO APLICA</v>
      </c>
      <c r="E309" s="27" t="s">
        <v>1137</v>
      </c>
      <c r="F309" s="43">
        <f t="shared" si="370"/>
        <v>0</v>
      </c>
      <c r="G309" s="21">
        <v>0</v>
      </c>
      <c r="H309" s="9">
        <f t="shared" si="360"/>
        <v>0</v>
      </c>
      <c r="I309" s="9" t="s">
        <v>1287</v>
      </c>
      <c r="J309" s="9">
        <f t="shared" si="361"/>
        <v>0</v>
      </c>
      <c r="K309" s="9">
        <f t="shared" si="362"/>
        <v>0</v>
      </c>
      <c r="L309" s="9">
        <f t="shared" si="363"/>
        <v>0</v>
      </c>
      <c r="M309" s="11">
        <f t="shared" si="371"/>
        <v>0</v>
      </c>
      <c r="N309" s="9">
        <f t="shared" si="364"/>
        <v>0</v>
      </c>
      <c r="O309" s="12">
        <f t="shared" si="365"/>
        <v>0</v>
      </c>
      <c r="P309" s="13" t="str">
        <f t="shared" si="372"/>
        <v>NO</v>
      </c>
      <c r="Q309">
        <f t="shared" si="366"/>
        <v>0</v>
      </c>
      <c r="R309">
        <f t="shared" si="367"/>
        <v>0</v>
      </c>
      <c r="S309">
        <f t="shared" si="368"/>
        <v>0</v>
      </c>
      <c r="X309" s="110"/>
      <c r="Y309" s="110"/>
    </row>
    <row r="310" spans="1:29" ht="15" hidden="1" customHeight="1" x14ac:dyDescent="0.3">
      <c r="A310" s="34" t="s">
        <v>1326</v>
      </c>
      <c r="B310" s="36">
        <v>244</v>
      </c>
      <c r="C310" s="29" t="s">
        <v>1293</v>
      </c>
      <c r="D310" s="29" t="str">
        <f t="shared" si="369"/>
        <v>NO APLICA</v>
      </c>
      <c r="E310" s="27" t="s">
        <v>1137</v>
      </c>
      <c r="F310" s="43">
        <f t="shared" si="370"/>
        <v>0</v>
      </c>
      <c r="G310" s="21">
        <f>V310</f>
        <v>0</v>
      </c>
      <c r="H310" s="9">
        <f t="shared" si="360"/>
        <v>0</v>
      </c>
      <c r="I310" s="9" t="s">
        <v>1287</v>
      </c>
      <c r="J310" s="9">
        <f t="shared" si="361"/>
        <v>0</v>
      </c>
      <c r="K310" s="9">
        <f t="shared" si="362"/>
        <v>0</v>
      </c>
      <c r="L310" s="9">
        <f t="shared" si="363"/>
        <v>0</v>
      </c>
      <c r="M310" s="11">
        <f t="shared" si="371"/>
        <v>0</v>
      </c>
      <c r="N310" s="9">
        <f t="shared" si="364"/>
        <v>0</v>
      </c>
      <c r="O310" s="12">
        <f t="shared" si="365"/>
        <v>0</v>
      </c>
      <c r="P310" s="13" t="str">
        <f t="shared" si="372"/>
        <v>NO</v>
      </c>
      <c r="Q310">
        <f t="shared" si="366"/>
        <v>0</v>
      </c>
      <c r="R310">
        <f t="shared" si="367"/>
        <v>0</v>
      </c>
      <c r="S310">
        <f t="shared" si="368"/>
        <v>0</v>
      </c>
      <c r="T310" s="110">
        <f>VLOOKUP(B310,DesgloseRC!$E$48:$F$85,2,FALSE)</f>
        <v>0</v>
      </c>
      <c r="U310" s="159">
        <f>IF(E310="Excluido",0,$U$283*T310)</f>
        <v>0</v>
      </c>
      <c r="V310" s="159">
        <f>IF(F310=0,0,U310)</f>
        <v>0</v>
      </c>
      <c r="W310">
        <v>0</v>
      </c>
      <c r="X310" s="110"/>
      <c r="Y310" s="110"/>
      <c r="Z310" s="110"/>
      <c r="AA310" s="110"/>
      <c r="AB310" s="110"/>
      <c r="AC310" s="110"/>
    </row>
    <row r="311" spans="1:29" ht="22.5" hidden="1" customHeight="1" x14ac:dyDescent="0.3">
      <c r="A311" s="34" t="s">
        <v>1326</v>
      </c>
      <c r="B311" s="36">
        <v>288</v>
      </c>
      <c r="C311" s="29" t="s">
        <v>1356</v>
      </c>
      <c r="D311" s="29" t="str">
        <f t="shared" si="369"/>
        <v>NO APLICA</v>
      </c>
      <c r="E311" s="27" t="s">
        <v>1137</v>
      </c>
      <c r="F311" s="43">
        <f t="shared" si="370"/>
        <v>0</v>
      </c>
      <c r="G311" s="21">
        <v>0</v>
      </c>
      <c r="H311" s="9">
        <f t="shared" si="360"/>
        <v>0</v>
      </c>
      <c r="I311" s="9" t="s">
        <v>1287</v>
      </c>
      <c r="J311" s="9">
        <f t="shared" si="361"/>
        <v>0</v>
      </c>
      <c r="K311" s="9">
        <f t="shared" si="362"/>
        <v>0</v>
      </c>
      <c r="L311" s="9">
        <f t="shared" si="363"/>
        <v>0</v>
      </c>
      <c r="M311" s="11">
        <f t="shared" si="371"/>
        <v>0</v>
      </c>
      <c r="N311" s="9">
        <f t="shared" si="364"/>
        <v>0</v>
      </c>
      <c r="O311" s="12">
        <f t="shared" si="365"/>
        <v>0</v>
      </c>
      <c r="P311" s="13" t="str">
        <f t="shared" si="372"/>
        <v>NO</v>
      </c>
      <c r="Q311">
        <f t="shared" si="366"/>
        <v>0</v>
      </c>
      <c r="R311">
        <f t="shared" si="367"/>
        <v>0</v>
      </c>
      <c r="S311">
        <f t="shared" si="368"/>
        <v>0</v>
      </c>
    </row>
    <row r="312" spans="1:29" ht="15" hidden="1" customHeight="1" x14ac:dyDescent="0.3">
      <c r="A312" s="34" t="s">
        <v>1326</v>
      </c>
      <c r="B312" s="36">
        <v>289</v>
      </c>
      <c r="C312" s="29" t="s">
        <v>1357</v>
      </c>
      <c r="D312" s="29" t="str">
        <f t="shared" si="369"/>
        <v>NO APLICA</v>
      </c>
      <c r="E312" s="27" t="s">
        <v>1137</v>
      </c>
      <c r="F312" s="43">
        <f t="shared" si="370"/>
        <v>0</v>
      </c>
      <c r="G312" s="21">
        <v>0</v>
      </c>
      <c r="H312" s="9">
        <f t="shared" si="360"/>
        <v>0</v>
      </c>
      <c r="I312" s="9" t="s">
        <v>1287</v>
      </c>
      <c r="J312" s="9">
        <f t="shared" si="361"/>
        <v>0</v>
      </c>
      <c r="K312" s="9">
        <f t="shared" si="362"/>
        <v>0</v>
      </c>
      <c r="L312" s="9">
        <f t="shared" si="363"/>
        <v>0</v>
      </c>
      <c r="M312" s="11">
        <f t="shared" si="371"/>
        <v>0</v>
      </c>
      <c r="N312" s="9">
        <f t="shared" si="364"/>
        <v>0</v>
      </c>
      <c r="O312" s="12">
        <f t="shared" si="365"/>
        <v>0</v>
      </c>
      <c r="P312" s="13" t="str">
        <f t="shared" si="372"/>
        <v>NO</v>
      </c>
      <c r="Q312">
        <f t="shared" si="366"/>
        <v>0</v>
      </c>
      <c r="R312">
        <f t="shared" si="367"/>
        <v>0</v>
      </c>
      <c r="S312">
        <f t="shared" si="368"/>
        <v>0</v>
      </c>
    </row>
    <row r="313" spans="1:29" ht="15" hidden="1" customHeight="1" x14ac:dyDescent="0.3">
      <c r="A313" s="34" t="s">
        <v>1326</v>
      </c>
      <c r="B313" s="36">
        <v>290</v>
      </c>
      <c r="C313" s="29" t="s">
        <v>1358</v>
      </c>
      <c r="D313" s="29" t="str">
        <f t="shared" si="369"/>
        <v>NO APLICA</v>
      </c>
      <c r="E313" s="27" t="s">
        <v>1137</v>
      </c>
      <c r="F313" s="43">
        <f t="shared" si="370"/>
        <v>0</v>
      </c>
      <c r="G313" s="21">
        <v>0</v>
      </c>
      <c r="H313" s="9">
        <f t="shared" si="360"/>
        <v>0</v>
      </c>
      <c r="I313" s="9" t="s">
        <v>1287</v>
      </c>
      <c r="J313" s="9">
        <f t="shared" si="361"/>
        <v>0</v>
      </c>
      <c r="K313" s="9">
        <f t="shared" si="362"/>
        <v>0</v>
      </c>
      <c r="L313" s="9">
        <f t="shared" si="363"/>
        <v>0</v>
      </c>
      <c r="M313" s="11">
        <f t="shared" si="371"/>
        <v>0</v>
      </c>
      <c r="N313" s="9">
        <f t="shared" si="364"/>
        <v>0</v>
      </c>
      <c r="O313" s="12">
        <f t="shared" si="365"/>
        <v>0</v>
      </c>
      <c r="P313" s="13" t="str">
        <f t="shared" si="372"/>
        <v>NO</v>
      </c>
      <c r="Q313">
        <f t="shared" si="366"/>
        <v>0</v>
      </c>
      <c r="R313">
        <f t="shared" si="367"/>
        <v>0</v>
      </c>
      <c r="S313">
        <f t="shared" si="368"/>
        <v>0</v>
      </c>
    </row>
    <row r="314" spans="1:29" ht="15" hidden="1" customHeight="1" x14ac:dyDescent="0.3">
      <c r="A314" s="34" t="s">
        <v>1326</v>
      </c>
      <c r="B314" s="36">
        <v>291</v>
      </c>
      <c r="C314" s="29" t="s">
        <v>1359</v>
      </c>
      <c r="D314" s="29" t="str">
        <f t="shared" si="369"/>
        <v>NO APLICA</v>
      </c>
      <c r="E314" s="27" t="s">
        <v>1137</v>
      </c>
      <c r="F314" s="43">
        <f t="shared" si="370"/>
        <v>0</v>
      </c>
      <c r="G314" s="21">
        <v>0</v>
      </c>
      <c r="H314" s="9">
        <f t="shared" si="360"/>
        <v>0</v>
      </c>
      <c r="I314" s="9" t="s">
        <v>1287</v>
      </c>
      <c r="J314" s="9">
        <f t="shared" si="361"/>
        <v>0</v>
      </c>
      <c r="K314" s="9">
        <f t="shared" si="362"/>
        <v>0</v>
      </c>
      <c r="L314" s="9">
        <f t="shared" si="363"/>
        <v>0</v>
      </c>
      <c r="M314" s="11">
        <f t="shared" si="371"/>
        <v>0</v>
      </c>
      <c r="N314" s="9">
        <f t="shared" si="364"/>
        <v>0</v>
      </c>
      <c r="O314" s="12">
        <f t="shared" si="365"/>
        <v>0</v>
      </c>
      <c r="P314" s="13" t="str">
        <f t="shared" si="372"/>
        <v>NO</v>
      </c>
      <c r="Q314">
        <f t="shared" si="366"/>
        <v>0</v>
      </c>
      <c r="R314">
        <f t="shared" si="367"/>
        <v>0</v>
      </c>
      <c r="S314">
        <f t="shared" si="368"/>
        <v>0</v>
      </c>
    </row>
    <row r="315" spans="1:29" ht="15" hidden="1" customHeight="1" x14ac:dyDescent="0.3">
      <c r="A315" s="34" t="s">
        <v>1326</v>
      </c>
      <c r="B315" s="36">
        <v>292</v>
      </c>
      <c r="C315" s="29" t="s">
        <v>1360</v>
      </c>
      <c r="D315" s="29" t="str">
        <f t="shared" si="369"/>
        <v>NO APLICA</v>
      </c>
      <c r="E315" s="27" t="s">
        <v>1137</v>
      </c>
      <c r="F315" s="43">
        <f t="shared" si="370"/>
        <v>0</v>
      </c>
      <c r="G315" s="21">
        <v>0</v>
      </c>
      <c r="H315" s="9">
        <f t="shared" si="360"/>
        <v>0</v>
      </c>
      <c r="I315" s="9" t="s">
        <v>1287</v>
      </c>
      <c r="J315" s="9">
        <f t="shared" si="361"/>
        <v>0</v>
      </c>
      <c r="K315" s="9">
        <f t="shared" si="362"/>
        <v>0</v>
      </c>
      <c r="L315" s="9">
        <f t="shared" si="363"/>
        <v>0</v>
      </c>
      <c r="M315" s="11">
        <f t="shared" si="371"/>
        <v>0</v>
      </c>
      <c r="N315" s="9">
        <f t="shared" si="364"/>
        <v>0</v>
      </c>
      <c r="O315" s="12">
        <f t="shared" si="365"/>
        <v>0</v>
      </c>
      <c r="P315" s="13" t="str">
        <f t="shared" si="372"/>
        <v>NO</v>
      </c>
      <c r="Q315">
        <f t="shared" si="366"/>
        <v>0</v>
      </c>
      <c r="R315">
        <f t="shared" si="367"/>
        <v>0</v>
      </c>
      <c r="S315">
        <f t="shared" si="368"/>
        <v>0</v>
      </c>
    </row>
    <row r="316" spans="1:29" ht="15" hidden="1" customHeight="1" x14ac:dyDescent="0.3">
      <c r="A316" s="34" t="s">
        <v>1326</v>
      </c>
      <c r="B316" s="36">
        <v>293</v>
      </c>
      <c r="C316" s="29" t="s">
        <v>1361</v>
      </c>
      <c r="D316" s="29" t="str">
        <f t="shared" si="369"/>
        <v>NO APLICA</v>
      </c>
      <c r="E316" s="27" t="s">
        <v>1137</v>
      </c>
      <c r="F316" s="43">
        <f t="shared" si="370"/>
        <v>0</v>
      </c>
      <c r="G316" s="21">
        <v>0</v>
      </c>
      <c r="H316" s="9">
        <f t="shared" si="360"/>
        <v>0</v>
      </c>
      <c r="I316" s="9" t="s">
        <v>1287</v>
      </c>
      <c r="J316" s="9">
        <f t="shared" si="361"/>
        <v>0</v>
      </c>
      <c r="K316" s="9">
        <f t="shared" si="362"/>
        <v>0</v>
      </c>
      <c r="L316" s="9">
        <f t="shared" si="363"/>
        <v>0</v>
      </c>
      <c r="M316" s="11">
        <f t="shared" si="371"/>
        <v>0</v>
      </c>
      <c r="N316" s="9">
        <f t="shared" si="364"/>
        <v>0</v>
      </c>
      <c r="O316" s="12">
        <f t="shared" si="365"/>
        <v>0</v>
      </c>
      <c r="P316" s="13" t="str">
        <f t="shared" si="372"/>
        <v>NO</v>
      </c>
      <c r="Q316">
        <f t="shared" si="366"/>
        <v>0</v>
      </c>
      <c r="R316">
        <f t="shared" si="367"/>
        <v>0</v>
      </c>
      <c r="S316">
        <f t="shared" si="368"/>
        <v>0</v>
      </c>
    </row>
    <row r="317" spans="1:29" ht="15" hidden="1" customHeight="1" x14ac:dyDescent="0.3">
      <c r="A317" s="34" t="s">
        <v>1326</v>
      </c>
      <c r="B317" s="36">
        <v>294</v>
      </c>
      <c r="C317" s="29" t="s">
        <v>1362</v>
      </c>
      <c r="D317" s="29" t="str">
        <f t="shared" si="369"/>
        <v>NO APLICA</v>
      </c>
      <c r="E317" s="27" t="s">
        <v>1137</v>
      </c>
      <c r="F317" s="43">
        <f t="shared" si="370"/>
        <v>0</v>
      </c>
      <c r="G317" s="21">
        <v>0</v>
      </c>
      <c r="H317" s="9">
        <f t="shared" si="360"/>
        <v>0</v>
      </c>
      <c r="I317" s="9" t="s">
        <v>1287</v>
      </c>
      <c r="J317" s="9">
        <f t="shared" si="361"/>
        <v>0</v>
      </c>
      <c r="K317" s="9">
        <f t="shared" si="362"/>
        <v>0</v>
      </c>
      <c r="L317" s="9">
        <f t="shared" si="363"/>
        <v>0</v>
      </c>
      <c r="M317" s="11">
        <f t="shared" si="371"/>
        <v>0</v>
      </c>
      <c r="N317" s="9">
        <f t="shared" si="364"/>
        <v>0</v>
      </c>
      <c r="O317" s="12">
        <f t="shared" si="365"/>
        <v>0</v>
      </c>
      <c r="P317" s="13" t="str">
        <f t="shared" si="372"/>
        <v>NO</v>
      </c>
      <c r="Q317">
        <f t="shared" si="366"/>
        <v>0</v>
      </c>
      <c r="R317">
        <f t="shared" si="367"/>
        <v>0</v>
      </c>
      <c r="S317">
        <f t="shared" si="368"/>
        <v>0</v>
      </c>
    </row>
    <row r="318" spans="1:29" ht="15" hidden="1" customHeight="1" x14ac:dyDescent="0.3">
      <c r="A318" s="34" t="s">
        <v>1326</v>
      </c>
      <c r="B318" s="36">
        <v>295</v>
      </c>
      <c r="C318" s="29" t="s">
        <v>1363</v>
      </c>
      <c r="D318" s="29" t="str">
        <f t="shared" si="369"/>
        <v>NO APLICA</v>
      </c>
      <c r="E318" s="27" t="s">
        <v>1137</v>
      </c>
      <c r="F318" s="43">
        <f t="shared" si="370"/>
        <v>0</v>
      </c>
      <c r="G318" s="21">
        <v>0</v>
      </c>
      <c r="H318" s="9">
        <f t="shared" si="360"/>
        <v>0</v>
      </c>
      <c r="I318" s="9" t="s">
        <v>1287</v>
      </c>
      <c r="J318" s="9">
        <f t="shared" si="361"/>
        <v>0</v>
      </c>
      <c r="K318" s="9">
        <f t="shared" si="362"/>
        <v>0</v>
      </c>
      <c r="L318" s="9">
        <f t="shared" si="363"/>
        <v>0</v>
      </c>
      <c r="M318" s="11">
        <f t="shared" si="371"/>
        <v>0</v>
      </c>
      <c r="N318" s="9">
        <f t="shared" si="364"/>
        <v>0</v>
      </c>
      <c r="O318" s="12">
        <f t="shared" si="365"/>
        <v>0</v>
      </c>
      <c r="P318" s="13" t="str">
        <f t="shared" si="372"/>
        <v>NO</v>
      </c>
      <c r="Q318">
        <f t="shared" si="366"/>
        <v>0</v>
      </c>
      <c r="R318">
        <f t="shared" si="367"/>
        <v>0</v>
      </c>
      <c r="S318">
        <f t="shared" si="368"/>
        <v>0</v>
      </c>
    </row>
    <row r="319" spans="1:29" ht="15" hidden="1" customHeight="1" x14ac:dyDescent="0.3">
      <c r="A319" s="34" t="s">
        <v>1326</v>
      </c>
      <c r="B319" s="36">
        <v>296</v>
      </c>
      <c r="C319" s="29" t="s">
        <v>1364</v>
      </c>
      <c r="D319" s="29" t="str">
        <f t="shared" si="369"/>
        <v>NO APLICA</v>
      </c>
      <c r="E319" s="27" t="s">
        <v>1137</v>
      </c>
      <c r="F319" s="43">
        <f t="shared" si="370"/>
        <v>0</v>
      </c>
      <c r="G319" s="21">
        <v>0</v>
      </c>
      <c r="H319" s="9">
        <f t="shared" si="360"/>
        <v>0</v>
      </c>
      <c r="I319" s="9" t="s">
        <v>1287</v>
      </c>
      <c r="J319" s="9">
        <f t="shared" si="361"/>
        <v>0</v>
      </c>
      <c r="K319" s="9">
        <f t="shared" si="362"/>
        <v>0</v>
      </c>
      <c r="L319" s="9">
        <f t="shared" si="363"/>
        <v>0</v>
      </c>
      <c r="M319" s="11">
        <f t="shared" si="371"/>
        <v>0</v>
      </c>
      <c r="N319" s="9">
        <f t="shared" si="364"/>
        <v>0</v>
      </c>
      <c r="O319" s="12">
        <f t="shared" si="365"/>
        <v>0</v>
      </c>
      <c r="P319" s="13" t="str">
        <f t="shared" si="372"/>
        <v>NO</v>
      </c>
      <c r="Q319">
        <f t="shared" si="366"/>
        <v>0</v>
      </c>
      <c r="R319">
        <f t="shared" si="367"/>
        <v>0</v>
      </c>
      <c r="S319">
        <f t="shared" si="368"/>
        <v>0</v>
      </c>
    </row>
    <row r="320" spans="1:29" ht="15" hidden="1" customHeight="1" x14ac:dyDescent="0.3">
      <c r="A320" s="34" t="s">
        <v>1326</v>
      </c>
      <c r="B320" s="36">
        <v>297</v>
      </c>
      <c r="C320" s="29" t="s">
        <v>1365</v>
      </c>
      <c r="D320" s="29" t="str">
        <f t="shared" si="369"/>
        <v>NO APLICA</v>
      </c>
      <c r="E320" s="27" t="s">
        <v>1137</v>
      </c>
      <c r="F320" s="43">
        <f t="shared" si="370"/>
        <v>0</v>
      </c>
      <c r="G320" s="21">
        <v>0</v>
      </c>
      <c r="H320" s="9">
        <f t="shared" si="360"/>
        <v>0</v>
      </c>
      <c r="I320" s="9" t="s">
        <v>1287</v>
      </c>
      <c r="J320" s="9">
        <f t="shared" si="361"/>
        <v>0</v>
      </c>
      <c r="K320" s="9">
        <f t="shared" si="362"/>
        <v>0</v>
      </c>
      <c r="L320" s="9">
        <f t="shared" si="363"/>
        <v>0</v>
      </c>
      <c r="M320" s="11">
        <f t="shared" si="371"/>
        <v>0</v>
      </c>
      <c r="N320" s="9">
        <f t="shared" si="364"/>
        <v>0</v>
      </c>
      <c r="O320" s="12">
        <f t="shared" si="365"/>
        <v>0</v>
      </c>
      <c r="P320" s="13" t="str">
        <f t="shared" si="372"/>
        <v>NO</v>
      </c>
      <c r="Q320">
        <f t="shared" si="366"/>
        <v>0</v>
      </c>
      <c r="R320">
        <f t="shared" si="367"/>
        <v>0</v>
      </c>
      <c r="S320">
        <f t="shared" si="368"/>
        <v>0</v>
      </c>
    </row>
    <row r="321" spans="1:22" ht="15" hidden="1" customHeight="1" x14ac:dyDescent="0.3">
      <c r="A321" s="34" t="s">
        <v>1326</v>
      </c>
      <c r="B321" s="36">
        <v>298</v>
      </c>
      <c r="C321" s="29" t="s">
        <v>1366</v>
      </c>
      <c r="D321" s="29" t="str">
        <f t="shared" si="369"/>
        <v>NO APLICA</v>
      </c>
      <c r="E321" s="27" t="s">
        <v>1137</v>
      </c>
      <c r="F321" s="43">
        <f t="shared" si="370"/>
        <v>0</v>
      </c>
      <c r="G321" s="21">
        <v>0</v>
      </c>
      <c r="H321" s="9">
        <f t="shared" si="360"/>
        <v>0</v>
      </c>
      <c r="I321" s="9" t="s">
        <v>1287</v>
      </c>
      <c r="J321" s="9">
        <f t="shared" si="361"/>
        <v>0</v>
      </c>
      <c r="K321" s="9">
        <f t="shared" si="362"/>
        <v>0</v>
      </c>
      <c r="L321" s="9">
        <f t="shared" si="363"/>
        <v>0</v>
      </c>
      <c r="M321" s="11">
        <f t="shared" si="371"/>
        <v>0</v>
      </c>
      <c r="N321" s="9">
        <f t="shared" si="364"/>
        <v>0</v>
      </c>
      <c r="O321" s="12">
        <f t="shared" si="365"/>
        <v>0</v>
      </c>
      <c r="P321" s="13" t="str">
        <f t="shared" si="372"/>
        <v>NO</v>
      </c>
      <c r="Q321">
        <f t="shared" si="366"/>
        <v>0</v>
      </c>
      <c r="R321">
        <f t="shared" si="367"/>
        <v>0</v>
      </c>
      <c r="S321">
        <f t="shared" si="368"/>
        <v>0</v>
      </c>
    </row>
    <row r="322" spans="1:22" ht="15" hidden="1" customHeight="1" x14ac:dyDescent="0.3">
      <c r="A322" s="34" t="s">
        <v>1326</v>
      </c>
      <c r="B322" s="36">
        <v>299</v>
      </c>
      <c r="C322" s="29" t="s">
        <v>1367</v>
      </c>
      <c r="D322" s="29" t="str">
        <f t="shared" si="369"/>
        <v>NO APLICA</v>
      </c>
      <c r="E322" s="27" t="s">
        <v>1137</v>
      </c>
      <c r="F322" s="43">
        <f t="shared" si="370"/>
        <v>0</v>
      </c>
      <c r="G322" s="21">
        <v>0</v>
      </c>
      <c r="H322" s="9">
        <f t="shared" si="360"/>
        <v>0</v>
      </c>
      <c r="I322" s="9" t="s">
        <v>1287</v>
      </c>
      <c r="J322" s="9">
        <f t="shared" si="361"/>
        <v>0</v>
      </c>
      <c r="K322" s="9">
        <f t="shared" si="362"/>
        <v>0</v>
      </c>
      <c r="L322" s="9">
        <f t="shared" si="363"/>
        <v>0</v>
      </c>
      <c r="M322" s="11">
        <f t="shared" si="371"/>
        <v>0</v>
      </c>
      <c r="N322" s="9">
        <f t="shared" si="364"/>
        <v>0</v>
      </c>
      <c r="O322" s="12">
        <f t="shared" si="365"/>
        <v>0</v>
      </c>
      <c r="P322" s="13" t="str">
        <f t="shared" si="372"/>
        <v>NO</v>
      </c>
      <c r="Q322">
        <f t="shared" si="366"/>
        <v>0</v>
      </c>
      <c r="R322">
        <f t="shared" si="367"/>
        <v>0</v>
      </c>
      <c r="S322">
        <f t="shared" si="368"/>
        <v>0</v>
      </c>
    </row>
    <row r="323" spans="1:22" ht="15" hidden="1" customHeight="1" x14ac:dyDescent="0.3">
      <c r="A323" s="34" t="s">
        <v>1326</v>
      </c>
      <c r="B323" s="36">
        <v>300</v>
      </c>
      <c r="C323" s="29" t="s">
        <v>1368</v>
      </c>
      <c r="D323" s="29" t="str">
        <f t="shared" si="369"/>
        <v>NO APLICA</v>
      </c>
      <c r="E323" s="27" t="s">
        <v>1137</v>
      </c>
      <c r="F323" s="43">
        <f t="shared" si="370"/>
        <v>0</v>
      </c>
      <c r="G323" s="21">
        <v>0</v>
      </c>
      <c r="H323" s="9">
        <f t="shared" si="360"/>
        <v>0</v>
      </c>
      <c r="I323" s="9" t="s">
        <v>1287</v>
      </c>
      <c r="J323" s="9">
        <f t="shared" si="361"/>
        <v>0</v>
      </c>
      <c r="K323" s="9">
        <f t="shared" si="362"/>
        <v>0</v>
      </c>
      <c r="L323" s="9">
        <f t="shared" si="363"/>
        <v>0</v>
      </c>
      <c r="M323" s="11">
        <f t="shared" si="371"/>
        <v>0</v>
      </c>
      <c r="N323" s="9">
        <f t="shared" si="364"/>
        <v>0</v>
      </c>
      <c r="O323" s="12">
        <f t="shared" si="365"/>
        <v>0</v>
      </c>
      <c r="P323" s="13" t="str">
        <f t="shared" si="372"/>
        <v>NO</v>
      </c>
      <c r="Q323">
        <f t="shared" si="366"/>
        <v>0</v>
      </c>
      <c r="R323">
        <f t="shared" si="367"/>
        <v>0</v>
      </c>
      <c r="S323">
        <f t="shared" si="368"/>
        <v>0</v>
      </c>
    </row>
    <row r="324" spans="1:22" ht="15" hidden="1" customHeight="1" x14ac:dyDescent="0.3">
      <c r="A324" s="34" t="s">
        <v>1326</v>
      </c>
      <c r="B324" s="36">
        <v>301</v>
      </c>
      <c r="C324" s="29" t="s">
        <v>1369</v>
      </c>
      <c r="D324" s="29" t="str">
        <f t="shared" si="369"/>
        <v>NO APLICA</v>
      </c>
      <c r="E324" s="27" t="s">
        <v>1137</v>
      </c>
      <c r="F324" s="43">
        <f t="shared" si="370"/>
        <v>0</v>
      </c>
      <c r="G324" s="21">
        <v>0</v>
      </c>
      <c r="H324" s="9">
        <f t="shared" si="360"/>
        <v>0</v>
      </c>
      <c r="I324" s="9" t="s">
        <v>1287</v>
      </c>
      <c r="J324" s="9">
        <f t="shared" si="361"/>
        <v>0</v>
      </c>
      <c r="K324" s="9">
        <f t="shared" si="362"/>
        <v>0</v>
      </c>
      <c r="L324" s="9">
        <f t="shared" si="363"/>
        <v>0</v>
      </c>
      <c r="M324" s="11">
        <f t="shared" si="371"/>
        <v>0</v>
      </c>
      <c r="N324" s="9">
        <f t="shared" si="364"/>
        <v>0</v>
      </c>
      <c r="O324" s="12">
        <f t="shared" si="365"/>
        <v>0</v>
      </c>
      <c r="P324" s="13" t="str">
        <f t="shared" si="372"/>
        <v>NO</v>
      </c>
      <c r="Q324">
        <f t="shared" si="366"/>
        <v>0</v>
      </c>
      <c r="R324">
        <f t="shared" si="367"/>
        <v>0</v>
      </c>
      <c r="S324">
        <f t="shared" si="368"/>
        <v>0</v>
      </c>
    </row>
    <row r="325" spans="1:22" ht="22.5" hidden="1" customHeight="1" x14ac:dyDescent="0.3">
      <c r="A325" s="34" t="s">
        <v>1326</v>
      </c>
      <c r="B325" s="36">
        <v>302</v>
      </c>
      <c r="C325" s="29" t="s">
        <v>1370</v>
      </c>
      <c r="D325" s="29" t="str">
        <f t="shared" si="369"/>
        <v>NO APLICA</v>
      </c>
      <c r="E325" s="27" t="s">
        <v>1137</v>
      </c>
      <c r="F325" s="43">
        <f t="shared" si="370"/>
        <v>0</v>
      </c>
      <c r="G325" s="21">
        <v>0</v>
      </c>
      <c r="H325" s="9">
        <f t="shared" si="360"/>
        <v>0</v>
      </c>
      <c r="I325" s="9" t="s">
        <v>1287</v>
      </c>
      <c r="J325" s="9">
        <f t="shared" si="361"/>
        <v>0</v>
      </c>
      <c r="K325" s="9">
        <f t="shared" si="362"/>
        <v>0</v>
      </c>
      <c r="L325" s="9">
        <f t="shared" si="363"/>
        <v>0</v>
      </c>
      <c r="M325" s="11">
        <f t="shared" si="371"/>
        <v>0</v>
      </c>
      <c r="N325" s="9">
        <f t="shared" si="364"/>
        <v>0</v>
      </c>
      <c r="O325" s="12">
        <f t="shared" si="365"/>
        <v>0</v>
      </c>
      <c r="P325" s="13" t="str">
        <f t="shared" si="372"/>
        <v>NO</v>
      </c>
      <c r="Q325">
        <f t="shared" si="366"/>
        <v>0</v>
      </c>
      <c r="R325">
        <f t="shared" si="367"/>
        <v>0</v>
      </c>
      <c r="S325">
        <f t="shared" si="368"/>
        <v>0</v>
      </c>
    </row>
    <row r="326" spans="1:22" ht="15" hidden="1" customHeight="1" x14ac:dyDescent="0.3">
      <c r="A326" s="34" t="s">
        <v>1326</v>
      </c>
      <c r="B326" s="36">
        <v>304</v>
      </c>
      <c r="C326" s="29" t="s">
        <v>1371</v>
      </c>
      <c r="D326" s="29" t="str">
        <f t="shared" si="369"/>
        <v>NO APLICA</v>
      </c>
      <c r="E326" s="27" t="s">
        <v>1137</v>
      </c>
      <c r="F326" s="43">
        <f t="shared" si="370"/>
        <v>0</v>
      </c>
      <c r="G326" s="21">
        <v>0</v>
      </c>
      <c r="H326" s="9">
        <f t="shared" si="360"/>
        <v>0</v>
      </c>
      <c r="I326" s="9" t="s">
        <v>1287</v>
      </c>
      <c r="J326" s="9">
        <f t="shared" si="361"/>
        <v>0</v>
      </c>
      <c r="K326" s="9">
        <f t="shared" si="362"/>
        <v>0</v>
      </c>
      <c r="L326" s="9">
        <f t="shared" si="363"/>
        <v>0</v>
      </c>
      <c r="M326" s="11">
        <f t="shared" si="371"/>
        <v>0</v>
      </c>
      <c r="N326" s="9">
        <f t="shared" si="364"/>
        <v>0</v>
      </c>
      <c r="O326" s="12">
        <f t="shared" si="365"/>
        <v>0</v>
      </c>
      <c r="P326" s="13" t="str">
        <f t="shared" si="372"/>
        <v>NO</v>
      </c>
      <c r="Q326">
        <f t="shared" si="366"/>
        <v>0</v>
      </c>
      <c r="R326">
        <f t="shared" si="367"/>
        <v>0</v>
      </c>
      <c r="S326">
        <f t="shared" si="368"/>
        <v>0</v>
      </c>
    </row>
    <row r="327" spans="1:22" ht="15" hidden="1" customHeight="1" x14ac:dyDescent="0.3">
      <c r="A327" s="34" t="s">
        <v>1326</v>
      </c>
      <c r="B327" s="36">
        <v>308</v>
      </c>
      <c r="C327" s="29" t="s">
        <v>1372</v>
      </c>
      <c r="D327" s="29" t="str">
        <f t="shared" si="369"/>
        <v>NO APLICA</v>
      </c>
      <c r="E327" s="27" t="s">
        <v>1137</v>
      </c>
      <c r="F327" s="43">
        <f t="shared" si="370"/>
        <v>0</v>
      </c>
      <c r="G327" s="21">
        <v>0</v>
      </c>
      <c r="H327" s="9">
        <f t="shared" si="360"/>
        <v>0</v>
      </c>
      <c r="I327" s="9" t="s">
        <v>1287</v>
      </c>
      <c r="J327" s="9">
        <f t="shared" si="361"/>
        <v>0</v>
      </c>
      <c r="K327" s="9">
        <f t="shared" si="362"/>
        <v>0</v>
      </c>
      <c r="L327" s="9">
        <f t="shared" si="363"/>
        <v>0</v>
      </c>
      <c r="M327" s="11">
        <f t="shared" si="371"/>
        <v>0</v>
      </c>
      <c r="N327" s="9">
        <f t="shared" si="364"/>
        <v>0</v>
      </c>
      <c r="O327" s="12">
        <f t="shared" si="365"/>
        <v>0</v>
      </c>
      <c r="P327" s="13" t="str">
        <f t="shared" si="372"/>
        <v>NO</v>
      </c>
      <c r="Q327">
        <f t="shared" si="366"/>
        <v>0</v>
      </c>
      <c r="R327">
        <f t="shared" si="367"/>
        <v>0</v>
      </c>
      <c r="S327">
        <f t="shared" si="368"/>
        <v>0</v>
      </c>
    </row>
    <row r="328" spans="1:22" ht="15" hidden="1" customHeight="1" thickBot="1" x14ac:dyDescent="0.35">
      <c r="A328" s="34" t="s">
        <v>1326</v>
      </c>
      <c r="B328" s="36">
        <v>309</v>
      </c>
      <c r="C328" s="29" t="s">
        <v>1373</v>
      </c>
      <c r="D328" s="29" t="str">
        <f t="shared" si="369"/>
        <v>NO APLICA</v>
      </c>
      <c r="E328" s="27" t="s">
        <v>1137</v>
      </c>
      <c r="F328" s="43">
        <f t="shared" si="370"/>
        <v>0</v>
      </c>
      <c r="G328" s="21">
        <v>0</v>
      </c>
      <c r="H328" s="9">
        <f t="shared" si="360"/>
        <v>0</v>
      </c>
      <c r="I328" s="9" t="s">
        <v>1287</v>
      </c>
      <c r="J328" s="9">
        <f t="shared" si="361"/>
        <v>0</v>
      </c>
      <c r="K328" s="9">
        <f t="shared" si="362"/>
        <v>0</v>
      </c>
      <c r="L328" s="9">
        <f t="shared" si="363"/>
        <v>0</v>
      </c>
      <c r="M328" s="11">
        <f t="shared" si="371"/>
        <v>0</v>
      </c>
      <c r="N328" s="9">
        <f t="shared" si="364"/>
        <v>0</v>
      </c>
      <c r="O328" s="12">
        <f t="shared" si="365"/>
        <v>0</v>
      </c>
      <c r="P328" s="13" t="str">
        <f t="shared" si="372"/>
        <v>NO</v>
      </c>
      <c r="Q328">
        <f t="shared" si="366"/>
        <v>0</v>
      </c>
      <c r="R328">
        <f t="shared" si="367"/>
        <v>0</v>
      </c>
      <c r="S328">
        <f t="shared" si="368"/>
        <v>0</v>
      </c>
      <c r="T328" s="205">
        <f>SUM(T284:T327)</f>
        <v>0</v>
      </c>
      <c r="U328" s="119">
        <f t="shared" ref="U328:V328" si="373">SUM(U284:U327)</f>
        <v>0</v>
      </c>
      <c r="V328" s="119">
        <f t="shared" si="373"/>
        <v>0</v>
      </c>
    </row>
    <row r="329" spans="1:22" s="18" customFormat="1" ht="15" hidden="1" customHeight="1" thickBot="1" x14ac:dyDescent="0.35">
      <c r="A329" s="24"/>
      <c r="B329" s="26"/>
      <c r="C329" s="15" t="s">
        <v>1177</v>
      </c>
      <c r="D329" s="38" t="str">
        <f>D328</f>
        <v>NO APLICA</v>
      </c>
      <c r="E329" s="38"/>
      <c r="F329" s="16">
        <f>SUMIF(E284:E328,"Adicional",F284:F328)</f>
        <v>0</v>
      </c>
      <c r="G329" s="17"/>
      <c r="H329" s="16">
        <f>SUM(H284:H328)</f>
        <v>0</v>
      </c>
      <c r="I329" s="16"/>
      <c r="J329" s="16">
        <f>SUM(J284:J328)</f>
        <v>0</v>
      </c>
      <c r="K329" s="16">
        <f>SUM(K284:K328)</f>
        <v>0</v>
      </c>
      <c r="L329" s="16">
        <f>SUM(L284:L328)</f>
        <v>0</v>
      </c>
      <c r="M329" s="16" t="s">
        <v>1178</v>
      </c>
      <c r="N329" s="16">
        <f>SUM(N284:N328)</f>
        <v>0</v>
      </c>
      <c r="O329" s="84">
        <f>SUM(O284:O328)</f>
        <v>0</v>
      </c>
      <c r="P329" s="13" t="str">
        <f t="shared" si="372"/>
        <v>NO</v>
      </c>
      <c r="Q329">
        <f>IF(D329="INCLUIDO",IF(H329&lt;&gt;0,1,0),0)</f>
        <v>0</v>
      </c>
      <c r="T329" s="143">
        <f>T272+T282+T276+T328</f>
        <v>1.0000000000000002</v>
      </c>
      <c r="U329" s="144">
        <f>U272+U282+U276+U328</f>
        <v>0</v>
      </c>
      <c r="V329" s="145">
        <f>V272+V282+V276+V328</f>
        <v>0</v>
      </c>
    </row>
    <row r="330" spans="1:22" ht="21.75" hidden="1" customHeight="1" thickBot="1" x14ac:dyDescent="0.35">
      <c r="A330" s="82">
        <v>911</v>
      </c>
      <c r="B330" s="33">
        <v>4</v>
      </c>
      <c r="C330" s="19" t="s">
        <v>1374</v>
      </c>
      <c r="D330" s="23" t="str">
        <f>'Ramo Comercial'!C178</f>
        <v>NO APLICA</v>
      </c>
      <c r="E330" s="91"/>
      <c r="F330" s="113">
        <v>0</v>
      </c>
      <c r="G330" s="113">
        <v>0</v>
      </c>
      <c r="H330" s="28"/>
      <c r="I330" s="28"/>
      <c r="J330" s="28"/>
      <c r="K330" s="28"/>
      <c r="L330" s="28"/>
      <c r="M330" s="68">
        <v>0</v>
      </c>
      <c r="N330" s="28"/>
      <c r="O330" s="83"/>
      <c r="P330" s="13" t="str">
        <f t="shared" si="372"/>
        <v>NO</v>
      </c>
      <c r="Q330" s="48">
        <f t="shared" ref="Q330:Q335" si="374">IF(D330="INCLUIDO",IF(F330&lt;&gt;0,1,0),0)</f>
        <v>0</v>
      </c>
      <c r="T330" s="142">
        <f>G330</f>
        <v>0</v>
      </c>
      <c r="U330" s="150"/>
      <c r="V330" s="151"/>
    </row>
    <row r="331" spans="1:22" ht="15" hidden="1" customHeight="1" x14ac:dyDescent="0.3">
      <c r="A331" s="34" t="s">
        <v>1326</v>
      </c>
      <c r="B331" s="36">
        <v>232</v>
      </c>
      <c r="C331" s="29" t="s">
        <v>1375</v>
      </c>
      <c r="D331" s="29" t="str">
        <f>$D$330</f>
        <v>NO APLICA</v>
      </c>
      <c r="E331" s="27" t="s">
        <v>1152</v>
      </c>
      <c r="F331" s="20">
        <f>F330*S331</f>
        <v>0</v>
      </c>
      <c r="G331" s="21">
        <f>V331</f>
        <v>0</v>
      </c>
      <c r="H331" s="9">
        <f t="shared" ref="H331:H335" si="375">(IF(I331="$ Prima",G331,G331*F331/R331))*$U$9</f>
        <v>0</v>
      </c>
      <c r="I331" s="9" t="s">
        <v>1287</v>
      </c>
      <c r="J331" s="9">
        <f t="shared" ref="J331:J335" si="376">H331*$U$7</f>
        <v>0</v>
      </c>
      <c r="K331" s="9">
        <f t="shared" ref="K331:K335" si="377">(H331+J331)*$K$15</f>
        <v>0</v>
      </c>
      <c r="L331" s="9">
        <f t="shared" ref="L331:L335" si="378">ROUND(H331+J331+K331,2)</f>
        <v>0</v>
      </c>
      <c r="M331" s="11">
        <f>$M$330</f>
        <v>0</v>
      </c>
      <c r="N331" s="9">
        <f t="shared" ref="N331:N335" si="379">H331*M331</f>
        <v>0</v>
      </c>
      <c r="O331" s="12">
        <f t="shared" ref="O331:O335" si="380">N331</f>
        <v>0</v>
      </c>
      <c r="P331" s="13" t="str">
        <f t="shared" si="372"/>
        <v>NO</v>
      </c>
      <c r="Q331">
        <f t="shared" si="374"/>
        <v>0</v>
      </c>
      <c r="R331">
        <f>IF(I331="%o Al Millar",1000,IF(I331="% Al Porciento",100,IF(I331="$ Prima",G331)))</f>
        <v>0</v>
      </c>
      <c r="S331">
        <f t="shared" ref="S331:S335" si="381">IF(E331="Excluido",0,IF(D331="NO APLICA",0,1))</f>
        <v>0</v>
      </c>
      <c r="T331" s="152">
        <v>0.13</v>
      </c>
      <c r="U331" s="159">
        <f>IF(E331="Excluido",0,T330*T331)</f>
        <v>0</v>
      </c>
      <c r="V331" s="160">
        <f>IF(D330="NO APLICA",0,(U336-U332-U333-U334-U335)+(T330-U336))</f>
        <v>0</v>
      </c>
    </row>
    <row r="332" spans="1:22" ht="15" hidden="1" customHeight="1" x14ac:dyDescent="0.3">
      <c r="A332" s="34" t="s">
        <v>1326</v>
      </c>
      <c r="B332" s="36">
        <v>234</v>
      </c>
      <c r="C332" s="29" t="s">
        <v>1376</v>
      </c>
      <c r="D332" s="29" t="str">
        <f t="shared" ref="D332:D335" si="382">$D$330</f>
        <v>NO APLICA</v>
      </c>
      <c r="E332" s="27" t="s">
        <v>1137</v>
      </c>
      <c r="F332" s="20">
        <f>$F$331*S332</f>
        <v>0</v>
      </c>
      <c r="G332" s="21">
        <f t="shared" ref="G332:G335" si="383">V332</f>
        <v>0</v>
      </c>
      <c r="H332" s="9">
        <f t="shared" si="375"/>
        <v>0</v>
      </c>
      <c r="I332" s="9" t="s">
        <v>1287</v>
      </c>
      <c r="J332" s="9">
        <f t="shared" si="376"/>
        <v>0</v>
      </c>
      <c r="K332" s="9">
        <f t="shared" si="377"/>
        <v>0</v>
      </c>
      <c r="L332" s="9">
        <f t="shared" si="378"/>
        <v>0</v>
      </c>
      <c r="M332" s="11">
        <f t="shared" ref="M332:M335" si="384">$M$330</f>
        <v>0</v>
      </c>
      <c r="N332" s="9">
        <f t="shared" si="379"/>
        <v>0</v>
      </c>
      <c r="O332" s="12">
        <f t="shared" si="380"/>
        <v>0</v>
      </c>
      <c r="P332" s="13" t="str">
        <f t="shared" si="372"/>
        <v>NO</v>
      </c>
      <c r="Q332">
        <f t="shared" si="374"/>
        <v>0</v>
      </c>
      <c r="R332">
        <f>IF(I332="%o Al Millar",1000,IF(I332="% Al Porciento",100,IF(I332="$ Prima",G332)))</f>
        <v>0</v>
      </c>
      <c r="S332">
        <f t="shared" si="381"/>
        <v>0</v>
      </c>
      <c r="T332" s="152">
        <v>0.12</v>
      </c>
      <c r="U332" s="159">
        <f>IF(E332="Excluido",0,T330*T332)</f>
        <v>0</v>
      </c>
      <c r="V332" s="160">
        <f>IF(F332=0,0,U332)</f>
        <v>0</v>
      </c>
    </row>
    <row r="333" spans="1:22" ht="15" hidden="1" customHeight="1" x14ac:dyDescent="0.3">
      <c r="A333" s="34" t="s">
        <v>1326</v>
      </c>
      <c r="B333" s="36">
        <v>235</v>
      </c>
      <c r="C333" s="29" t="s">
        <v>1377</v>
      </c>
      <c r="D333" s="29" t="str">
        <f t="shared" si="382"/>
        <v>NO APLICA</v>
      </c>
      <c r="E333" s="27" t="s">
        <v>1137</v>
      </c>
      <c r="F333" s="20">
        <f t="shared" ref="F333:F335" si="385">$F$331*S333</f>
        <v>0</v>
      </c>
      <c r="G333" s="21">
        <f t="shared" si="383"/>
        <v>0</v>
      </c>
      <c r="H333" s="9">
        <f t="shared" si="375"/>
        <v>0</v>
      </c>
      <c r="I333" s="9" t="s">
        <v>1287</v>
      </c>
      <c r="J333" s="9">
        <f t="shared" si="376"/>
        <v>0</v>
      </c>
      <c r="K333" s="9">
        <f t="shared" si="377"/>
        <v>0</v>
      </c>
      <c r="L333" s="9">
        <f t="shared" si="378"/>
        <v>0</v>
      </c>
      <c r="M333" s="11">
        <f t="shared" si="384"/>
        <v>0</v>
      </c>
      <c r="N333" s="9">
        <f t="shared" si="379"/>
        <v>0</v>
      </c>
      <c r="O333" s="12">
        <f t="shared" si="380"/>
        <v>0</v>
      </c>
      <c r="P333" s="13" t="str">
        <f t="shared" si="372"/>
        <v>NO</v>
      </c>
      <c r="Q333">
        <f t="shared" si="374"/>
        <v>0</v>
      </c>
      <c r="R333">
        <f>IF(I333="%o Al Millar",1000,IF(I333="% Al Porciento",100,IF(I333="$ Prima",G333)))</f>
        <v>0</v>
      </c>
      <c r="S333">
        <f t="shared" si="381"/>
        <v>0</v>
      </c>
      <c r="T333" s="152">
        <v>0.2</v>
      </c>
      <c r="U333" s="159">
        <f>IF(E333="Excluido",0,T330*T333)</f>
        <v>0</v>
      </c>
      <c r="V333" s="160">
        <f t="shared" ref="V333:V335" si="386">IF(F333=0,0,U333)</f>
        <v>0</v>
      </c>
    </row>
    <row r="334" spans="1:22" ht="15" hidden="1" customHeight="1" x14ac:dyDescent="0.3">
      <c r="A334" s="34" t="s">
        <v>1326</v>
      </c>
      <c r="B334" s="36">
        <v>236</v>
      </c>
      <c r="C334" s="29" t="s">
        <v>1378</v>
      </c>
      <c r="D334" s="29" t="str">
        <f t="shared" si="382"/>
        <v>NO APLICA</v>
      </c>
      <c r="E334" s="27" t="s">
        <v>1137</v>
      </c>
      <c r="F334" s="20">
        <f t="shared" si="385"/>
        <v>0</v>
      </c>
      <c r="G334" s="21">
        <f t="shared" si="383"/>
        <v>0</v>
      </c>
      <c r="H334" s="9">
        <f t="shared" si="375"/>
        <v>0</v>
      </c>
      <c r="I334" s="9" t="s">
        <v>1287</v>
      </c>
      <c r="J334" s="9">
        <f t="shared" si="376"/>
        <v>0</v>
      </c>
      <c r="K334" s="9">
        <f t="shared" si="377"/>
        <v>0</v>
      </c>
      <c r="L334" s="9">
        <f t="shared" si="378"/>
        <v>0</v>
      </c>
      <c r="M334" s="11">
        <f t="shared" si="384"/>
        <v>0</v>
      </c>
      <c r="N334" s="9">
        <f t="shared" si="379"/>
        <v>0</v>
      </c>
      <c r="O334" s="12">
        <f t="shared" si="380"/>
        <v>0</v>
      </c>
      <c r="P334" s="13" t="str">
        <f t="shared" si="372"/>
        <v>NO</v>
      </c>
      <c r="Q334">
        <f t="shared" si="374"/>
        <v>0</v>
      </c>
      <c r="R334">
        <f>IF(I334="%o Al Millar",1000,IF(I334="% Al Porciento",100,IF(I334="$ Prima",G334)))</f>
        <v>0</v>
      </c>
      <c r="S334">
        <f t="shared" si="381"/>
        <v>0</v>
      </c>
      <c r="T334" s="152">
        <v>0.15</v>
      </c>
      <c r="U334" s="159">
        <f>IF(E334="Excluido",0,T330*T334)</f>
        <v>0</v>
      </c>
      <c r="V334" s="160">
        <f t="shared" si="386"/>
        <v>0</v>
      </c>
    </row>
    <row r="335" spans="1:22" ht="15" hidden="1" customHeight="1" thickBot="1" x14ac:dyDescent="0.35">
      <c r="A335" s="34" t="s">
        <v>1326</v>
      </c>
      <c r="B335" s="36">
        <v>233</v>
      </c>
      <c r="C335" s="29" t="s">
        <v>1293</v>
      </c>
      <c r="D335" s="29" t="str">
        <f t="shared" si="382"/>
        <v>NO APLICA</v>
      </c>
      <c r="E335" s="27" t="s">
        <v>1137</v>
      </c>
      <c r="F335" s="20">
        <f t="shared" si="385"/>
        <v>0</v>
      </c>
      <c r="G335" s="21">
        <f t="shared" si="383"/>
        <v>0</v>
      </c>
      <c r="H335" s="9">
        <f t="shared" si="375"/>
        <v>0</v>
      </c>
      <c r="I335" s="9" t="s">
        <v>1287</v>
      </c>
      <c r="J335" s="9">
        <f t="shared" si="376"/>
        <v>0</v>
      </c>
      <c r="K335" s="9">
        <f t="shared" si="377"/>
        <v>0</v>
      </c>
      <c r="L335" s="9">
        <f t="shared" si="378"/>
        <v>0</v>
      </c>
      <c r="M335" s="11">
        <f t="shared" si="384"/>
        <v>0</v>
      </c>
      <c r="N335" s="9">
        <f t="shared" si="379"/>
        <v>0</v>
      </c>
      <c r="O335" s="12">
        <f t="shared" si="380"/>
        <v>0</v>
      </c>
      <c r="P335" s="13" t="str">
        <f t="shared" si="372"/>
        <v>NO</v>
      </c>
      <c r="Q335">
        <f t="shared" si="374"/>
        <v>0</v>
      </c>
      <c r="R335">
        <f>IF(I335="%o Al Millar",1000,IF(I335="% Al Porciento",100,IF(I335="$ Prima",G335)))</f>
        <v>0</v>
      </c>
      <c r="S335">
        <f t="shared" si="381"/>
        <v>0</v>
      </c>
      <c r="T335" s="152">
        <v>0.4</v>
      </c>
      <c r="U335" s="159">
        <f>IF(E335="Excluido",0,T330*T335)</f>
        <v>0</v>
      </c>
      <c r="V335" s="160">
        <f t="shared" si="386"/>
        <v>0</v>
      </c>
    </row>
    <row r="336" spans="1:22" s="18" customFormat="1" ht="15" hidden="1" customHeight="1" thickBot="1" x14ac:dyDescent="0.35">
      <c r="A336" s="24"/>
      <c r="B336" s="26"/>
      <c r="C336" s="15" t="s">
        <v>1177</v>
      </c>
      <c r="D336" s="38" t="str">
        <f>D335</f>
        <v>NO APLICA</v>
      </c>
      <c r="E336" s="38"/>
      <c r="F336" s="16">
        <f>SUMIF(E331:E335,"Adicional",F331:F335)</f>
        <v>0</v>
      </c>
      <c r="G336" s="17"/>
      <c r="H336" s="16">
        <f>SUM(H331:H335)</f>
        <v>0</v>
      </c>
      <c r="I336" s="16"/>
      <c r="J336" s="16">
        <f t="shared" ref="J336:L336" si="387">SUM(J331:J335)</f>
        <v>0</v>
      </c>
      <c r="K336" s="16">
        <f t="shared" si="387"/>
        <v>0</v>
      </c>
      <c r="L336" s="16">
        <f t="shared" si="387"/>
        <v>0</v>
      </c>
      <c r="M336" s="16" t="s">
        <v>1178</v>
      </c>
      <c r="N336" s="16">
        <f t="shared" ref="N336:O336" si="388">SUM(N331:N335)</f>
        <v>0</v>
      </c>
      <c r="O336" s="84">
        <f t="shared" si="388"/>
        <v>0</v>
      </c>
      <c r="P336" s="13" t="str">
        <f t="shared" si="372"/>
        <v>NO</v>
      </c>
      <c r="Q336">
        <f>IF(D336="INCLUIDO",IF(H336&lt;&gt;0,1,0),0)</f>
        <v>0</v>
      </c>
      <c r="T336" s="143">
        <f>SUM(T331:T335)</f>
        <v>1</v>
      </c>
      <c r="U336" s="144">
        <f>SUM(U331:U335)</f>
        <v>0</v>
      </c>
      <c r="V336" s="145">
        <f>SUM(V331:V335)</f>
        <v>0</v>
      </c>
    </row>
    <row r="337" spans="1:22" ht="15" hidden="1" customHeight="1" thickBot="1" x14ac:dyDescent="0.35">
      <c r="A337" s="82">
        <v>911</v>
      </c>
      <c r="B337" s="33">
        <v>5</v>
      </c>
      <c r="C337" s="19" t="s">
        <v>1379</v>
      </c>
      <c r="D337" s="23" t="str">
        <f>'Ramo Comercial'!C179</f>
        <v>NO APLICA</v>
      </c>
      <c r="E337" s="91"/>
      <c r="F337" s="113">
        <v>0</v>
      </c>
      <c r="G337" s="113">
        <v>0</v>
      </c>
      <c r="H337" s="28"/>
      <c r="I337" s="28"/>
      <c r="J337" s="28"/>
      <c r="K337" s="28"/>
      <c r="L337" s="28"/>
      <c r="M337" s="68">
        <v>0</v>
      </c>
      <c r="N337" s="28"/>
      <c r="O337" s="83"/>
      <c r="P337" s="13" t="str">
        <f t="shared" si="372"/>
        <v>NO</v>
      </c>
      <c r="Q337" s="48">
        <f t="shared" ref="Q337:Q343" si="389">IF(D337="INCLUIDO",IF(F337&lt;&gt;0,1,0),0)</f>
        <v>0</v>
      </c>
      <c r="T337" s="142">
        <f>G337</f>
        <v>0</v>
      </c>
      <c r="U337" s="150"/>
      <c r="V337" s="151"/>
    </row>
    <row r="338" spans="1:22" ht="15" hidden="1" customHeight="1" x14ac:dyDescent="0.3">
      <c r="A338" s="34" t="s">
        <v>1326</v>
      </c>
      <c r="B338" s="36">
        <v>237</v>
      </c>
      <c r="C338" s="29" t="s">
        <v>1375</v>
      </c>
      <c r="D338" s="29" t="str">
        <f>$D$337</f>
        <v>NO APLICA</v>
      </c>
      <c r="E338" s="27" t="s">
        <v>1152</v>
      </c>
      <c r="F338" s="20">
        <f>F337*S338</f>
        <v>0</v>
      </c>
      <c r="G338" s="21">
        <v>0</v>
      </c>
      <c r="H338" s="9">
        <f t="shared" ref="H338:H343" si="390">(IF(I338="$ Prima",G338,G338*F338/R338))*$U$9</f>
        <v>0</v>
      </c>
      <c r="I338" s="9" t="s">
        <v>1287</v>
      </c>
      <c r="J338" s="9">
        <f t="shared" ref="J338:J343" si="391">H338*$U$7</f>
        <v>0</v>
      </c>
      <c r="K338" s="9">
        <f t="shared" ref="K338:K343" si="392">(H338+J338)*$K$15</f>
        <v>0</v>
      </c>
      <c r="L338" s="9">
        <f t="shared" ref="L338:L343" si="393">ROUND(H338+J338+K338,2)</f>
        <v>0</v>
      </c>
      <c r="M338" s="11">
        <f>$M$337</f>
        <v>0</v>
      </c>
      <c r="N338" s="9">
        <f t="shared" ref="N338:N343" si="394">H338*M338</f>
        <v>0</v>
      </c>
      <c r="O338" s="12">
        <f t="shared" ref="O338:O343" si="395">N338</f>
        <v>0</v>
      </c>
      <c r="P338" s="13" t="str">
        <f t="shared" si="372"/>
        <v>NO</v>
      </c>
      <c r="Q338">
        <f t="shared" si="389"/>
        <v>0</v>
      </c>
      <c r="R338">
        <f t="shared" ref="R338:R343" si="396">IF(I338="%o Al Millar",1000,IF(I338="% Al Porciento",100,IF(I338="$ Prima",G338)))</f>
        <v>0</v>
      </c>
      <c r="S338">
        <f t="shared" ref="S338:S343" si="397">IF(E338="Excluido",0,IF(D338="NO APLICA",0,1))</f>
        <v>0</v>
      </c>
      <c r="T338" s="152">
        <v>0.13</v>
      </c>
      <c r="U338" s="159">
        <f>IF(E338="Excluido",0,T337*T338)</f>
        <v>0</v>
      </c>
      <c r="V338" s="160">
        <f>IF(D337="NO APLICA",0,(U343-U339-U340-U341-U342)+(T337-U343))</f>
        <v>0</v>
      </c>
    </row>
    <row r="339" spans="1:22" ht="15" hidden="1" customHeight="1" x14ac:dyDescent="0.3">
      <c r="A339" s="34" t="s">
        <v>1326</v>
      </c>
      <c r="B339" s="36">
        <v>238</v>
      </c>
      <c r="C339" s="29" t="s">
        <v>1352</v>
      </c>
      <c r="D339" s="29" t="str">
        <f t="shared" ref="D339:D343" si="398">$D$337</f>
        <v>NO APLICA</v>
      </c>
      <c r="E339" s="27" t="s">
        <v>1137</v>
      </c>
      <c r="F339" s="20">
        <f>$F$338*S339</f>
        <v>0</v>
      </c>
      <c r="G339" s="21">
        <v>0</v>
      </c>
      <c r="H339" s="9">
        <f t="shared" si="390"/>
        <v>0</v>
      </c>
      <c r="I339" s="9" t="s">
        <v>1287</v>
      </c>
      <c r="J339" s="9">
        <f t="shared" si="391"/>
        <v>0</v>
      </c>
      <c r="K339" s="9">
        <f t="shared" si="392"/>
        <v>0</v>
      </c>
      <c r="L339" s="9">
        <f t="shared" si="393"/>
        <v>0</v>
      </c>
      <c r="M339" s="11">
        <f t="shared" ref="M339:M343" si="399">$M$337</f>
        <v>0</v>
      </c>
      <c r="N339" s="9">
        <f t="shared" si="394"/>
        <v>0</v>
      </c>
      <c r="O339" s="12">
        <f t="shared" si="395"/>
        <v>0</v>
      </c>
      <c r="P339" s="13" t="str">
        <f t="shared" si="372"/>
        <v>NO</v>
      </c>
      <c r="Q339">
        <f t="shared" si="389"/>
        <v>0</v>
      </c>
      <c r="R339">
        <f t="shared" si="396"/>
        <v>0</v>
      </c>
      <c r="S339">
        <f t="shared" si="397"/>
        <v>0</v>
      </c>
      <c r="T339" s="152">
        <v>0.12</v>
      </c>
      <c r="U339" s="159">
        <f>IF(E339="Excluido",0,T337*T339)</f>
        <v>0</v>
      </c>
      <c r="V339" s="160">
        <f>IF(F339=0,0,U339)</f>
        <v>0</v>
      </c>
    </row>
    <row r="340" spans="1:22" ht="15" hidden="1" customHeight="1" x14ac:dyDescent="0.3">
      <c r="A340" s="34" t="s">
        <v>1326</v>
      </c>
      <c r="B340" s="36">
        <v>240</v>
      </c>
      <c r="C340" s="29" t="s">
        <v>1376</v>
      </c>
      <c r="D340" s="29" t="str">
        <f t="shared" si="398"/>
        <v>NO APLICA</v>
      </c>
      <c r="E340" s="27" t="s">
        <v>1137</v>
      </c>
      <c r="F340" s="20">
        <f t="shared" ref="F340:F343" si="400">$F$338*S340</f>
        <v>0</v>
      </c>
      <c r="G340" s="21">
        <v>0</v>
      </c>
      <c r="H340" s="9">
        <f t="shared" si="390"/>
        <v>0</v>
      </c>
      <c r="I340" s="9" t="s">
        <v>1287</v>
      </c>
      <c r="J340" s="9">
        <f t="shared" si="391"/>
        <v>0</v>
      </c>
      <c r="K340" s="9">
        <f t="shared" si="392"/>
        <v>0</v>
      </c>
      <c r="L340" s="9">
        <f t="shared" si="393"/>
        <v>0</v>
      </c>
      <c r="M340" s="11">
        <f t="shared" si="399"/>
        <v>0</v>
      </c>
      <c r="N340" s="9">
        <f t="shared" si="394"/>
        <v>0</v>
      </c>
      <c r="O340" s="12">
        <f t="shared" si="395"/>
        <v>0</v>
      </c>
      <c r="P340" s="13" t="str">
        <f t="shared" si="372"/>
        <v>NO</v>
      </c>
      <c r="Q340">
        <f t="shared" si="389"/>
        <v>0</v>
      </c>
      <c r="R340">
        <f t="shared" si="396"/>
        <v>0</v>
      </c>
      <c r="S340">
        <f t="shared" si="397"/>
        <v>0</v>
      </c>
      <c r="T340" s="152">
        <v>0.2</v>
      </c>
      <c r="U340" s="159">
        <f>IF(E340="Excluido",0,T337*T340)</f>
        <v>0</v>
      </c>
      <c r="V340" s="160">
        <f t="shared" ref="V340:V342" si="401">IF(F340=0,0,U340)</f>
        <v>0</v>
      </c>
    </row>
    <row r="341" spans="1:22" ht="15" hidden="1" customHeight="1" x14ac:dyDescent="0.3">
      <c r="A341" s="34" t="s">
        <v>1326</v>
      </c>
      <c r="B341" s="36">
        <v>241</v>
      </c>
      <c r="C341" s="29" t="s">
        <v>1377</v>
      </c>
      <c r="D341" s="29" t="str">
        <f t="shared" si="398"/>
        <v>NO APLICA</v>
      </c>
      <c r="E341" s="27" t="s">
        <v>1137</v>
      </c>
      <c r="F341" s="20">
        <f t="shared" si="400"/>
        <v>0</v>
      </c>
      <c r="G341" s="21">
        <v>0</v>
      </c>
      <c r="H341" s="9">
        <f t="shared" si="390"/>
        <v>0</v>
      </c>
      <c r="I341" s="9" t="s">
        <v>1287</v>
      </c>
      <c r="J341" s="9">
        <f t="shared" si="391"/>
        <v>0</v>
      </c>
      <c r="K341" s="9">
        <f t="shared" si="392"/>
        <v>0</v>
      </c>
      <c r="L341" s="9">
        <f t="shared" si="393"/>
        <v>0</v>
      </c>
      <c r="M341" s="11">
        <f t="shared" si="399"/>
        <v>0</v>
      </c>
      <c r="N341" s="9">
        <f t="shared" si="394"/>
        <v>0</v>
      </c>
      <c r="O341" s="12">
        <f t="shared" si="395"/>
        <v>0</v>
      </c>
      <c r="P341" s="13" t="str">
        <f t="shared" si="372"/>
        <v>NO</v>
      </c>
      <c r="Q341">
        <f t="shared" si="389"/>
        <v>0</v>
      </c>
      <c r="R341">
        <f t="shared" si="396"/>
        <v>0</v>
      </c>
      <c r="S341">
        <f t="shared" si="397"/>
        <v>0</v>
      </c>
      <c r="T341" s="152">
        <v>0.15</v>
      </c>
      <c r="U341" s="159">
        <f>IF(E341="Excluido",0,T337*T341)</f>
        <v>0</v>
      </c>
      <c r="V341" s="160">
        <f t="shared" si="401"/>
        <v>0</v>
      </c>
    </row>
    <row r="342" spans="1:22" ht="15" hidden="1" customHeight="1" thickBot="1" x14ac:dyDescent="0.35">
      <c r="A342" s="34" t="s">
        <v>1326</v>
      </c>
      <c r="B342" s="36">
        <v>242</v>
      </c>
      <c r="C342" s="29" t="s">
        <v>1378</v>
      </c>
      <c r="D342" s="29" t="str">
        <f t="shared" si="398"/>
        <v>NO APLICA</v>
      </c>
      <c r="E342" s="27" t="s">
        <v>1137</v>
      </c>
      <c r="F342" s="20">
        <f t="shared" si="400"/>
        <v>0</v>
      </c>
      <c r="G342" s="21">
        <v>0</v>
      </c>
      <c r="H342" s="9">
        <f t="shared" si="390"/>
        <v>0</v>
      </c>
      <c r="I342" s="9" t="s">
        <v>1287</v>
      </c>
      <c r="J342" s="9">
        <f t="shared" si="391"/>
        <v>0</v>
      </c>
      <c r="K342" s="9">
        <f t="shared" si="392"/>
        <v>0</v>
      </c>
      <c r="L342" s="9">
        <f t="shared" si="393"/>
        <v>0</v>
      </c>
      <c r="M342" s="11">
        <f t="shared" si="399"/>
        <v>0</v>
      </c>
      <c r="N342" s="9">
        <f t="shared" si="394"/>
        <v>0</v>
      </c>
      <c r="O342" s="12">
        <f t="shared" si="395"/>
        <v>0</v>
      </c>
      <c r="P342" s="13" t="str">
        <f t="shared" si="372"/>
        <v>NO</v>
      </c>
      <c r="Q342">
        <f t="shared" si="389"/>
        <v>0</v>
      </c>
      <c r="R342">
        <f t="shared" si="396"/>
        <v>0</v>
      </c>
      <c r="S342">
        <f t="shared" si="397"/>
        <v>0</v>
      </c>
      <c r="T342" s="152">
        <v>0.4</v>
      </c>
      <c r="U342" s="159">
        <f>IF(E342="Excluido",0,T337*T342)</f>
        <v>0</v>
      </c>
      <c r="V342" s="160">
        <f t="shared" si="401"/>
        <v>0</v>
      </c>
    </row>
    <row r="343" spans="1:22" ht="15" hidden="1" customHeight="1" thickBot="1" x14ac:dyDescent="0.35">
      <c r="A343" s="34" t="s">
        <v>1326</v>
      </c>
      <c r="B343" s="36">
        <v>239</v>
      </c>
      <c r="C343" s="29" t="s">
        <v>1293</v>
      </c>
      <c r="D343" s="29" t="str">
        <f t="shared" si="398"/>
        <v>NO APLICA</v>
      </c>
      <c r="E343" s="27" t="s">
        <v>1137</v>
      </c>
      <c r="F343" s="20">
        <f t="shared" si="400"/>
        <v>0</v>
      </c>
      <c r="G343" s="21">
        <v>0</v>
      </c>
      <c r="H343" s="9">
        <f t="shared" si="390"/>
        <v>0</v>
      </c>
      <c r="I343" s="9" t="s">
        <v>1287</v>
      </c>
      <c r="J343" s="9">
        <f t="shared" si="391"/>
        <v>0</v>
      </c>
      <c r="K343" s="9">
        <f t="shared" si="392"/>
        <v>0</v>
      </c>
      <c r="L343" s="9">
        <f t="shared" si="393"/>
        <v>0</v>
      </c>
      <c r="M343" s="11">
        <f t="shared" si="399"/>
        <v>0</v>
      </c>
      <c r="N343" s="9">
        <f t="shared" si="394"/>
        <v>0</v>
      </c>
      <c r="O343" s="12">
        <f t="shared" si="395"/>
        <v>0</v>
      </c>
      <c r="P343" s="13" t="str">
        <f t="shared" si="372"/>
        <v>NO</v>
      </c>
      <c r="Q343">
        <f t="shared" si="389"/>
        <v>0</v>
      </c>
      <c r="R343">
        <f t="shared" si="396"/>
        <v>0</v>
      </c>
      <c r="S343">
        <f t="shared" si="397"/>
        <v>0</v>
      </c>
      <c r="T343" s="143">
        <f>SUM(T338:T342)</f>
        <v>1</v>
      </c>
      <c r="U343" s="144">
        <f>SUM(U338:U342)</f>
        <v>0</v>
      </c>
      <c r="V343" s="145">
        <f>SUM(V338:V342)</f>
        <v>0</v>
      </c>
    </row>
    <row r="344" spans="1:22" s="18" customFormat="1" ht="15" hidden="1" customHeight="1" x14ac:dyDescent="0.3">
      <c r="A344" s="24"/>
      <c r="B344" s="26"/>
      <c r="C344" s="15" t="s">
        <v>1177</v>
      </c>
      <c r="D344" s="38" t="str">
        <f>D343</f>
        <v>NO APLICA</v>
      </c>
      <c r="E344" s="38"/>
      <c r="F344" s="16">
        <f>SUMIF(E338:E343,"Adicional",F338:F343)</f>
        <v>0</v>
      </c>
      <c r="G344" s="17"/>
      <c r="H344" s="16">
        <f>SUM(H338:H343)</f>
        <v>0</v>
      </c>
      <c r="I344" s="16"/>
      <c r="J344" s="16">
        <f t="shared" ref="J344:L344" si="402">SUM(J338:J343)</f>
        <v>0</v>
      </c>
      <c r="K344" s="16">
        <f t="shared" si="402"/>
        <v>0</v>
      </c>
      <c r="L344" s="16">
        <f t="shared" si="402"/>
        <v>0</v>
      </c>
      <c r="M344" s="16" t="s">
        <v>1178</v>
      </c>
      <c r="N344" s="16">
        <f t="shared" ref="N344:O344" si="403">SUM(N338:N343)</f>
        <v>0</v>
      </c>
      <c r="O344" s="84">
        <f t="shared" si="403"/>
        <v>0</v>
      </c>
      <c r="P344" s="13" t="str">
        <f t="shared" si="372"/>
        <v>NO</v>
      </c>
      <c r="Q344">
        <f>IF(D344="INCLUIDO",IF(H344&lt;&gt;0,1,0),0)</f>
        <v>0</v>
      </c>
    </row>
    <row r="345" spans="1:22" ht="15" hidden="1" customHeight="1" x14ac:dyDescent="0.3">
      <c r="A345" s="82">
        <v>912</v>
      </c>
      <c r="B345" s="33">
        <v>1</v>
      </c>
      <c r="C345" s="19" t="s">
        <v>1380</v>
      </c>
      <c r="D345" s="23" t="str">
        <f>'Ramo Comercial'!C175</f>
        <v>NO APLICA</v>
      </c>
      <c r="E345" s="91"/>
      <c r="F345" s="28"/>
      <c r="G345" s="28"/>
      <c r="H345" s="28"/>
      <c r="I345" s="28"/>
      <c r="J345" s="28"/>
      <c r="K345" s="28"/>
      <c r="L345" s="28"/>
      <c r="M345" s="68">
        <v>0</v>
      </c>
      <c r="N345" s="28"/>
      <c r="O345" s="83"/>
      <c r="P345" s="13" t="str">
        <f t="shared" si="372"/>
        <v>NO</v>
      </c>
      <c r="Q345" s="47">
        <f>IF(D345="INCLUIDO",IF(F346&lt;&gt;0,1,0),0)</f>
        <v>0</v>
      </c>
    </row>
    <row r="346" spans="1:22" ht="15" hidden="1" customHeight="1" x14ac:dyDescent="0.3">
      <c r="A346" s="34" t="s">
        <v>1381</v>
      </c>
      <c r="B346" s="36">
        <v>190</v>
      </c>
      <c r="C346" s="29" t="s">
        <v>1380</v>
      </c>
      <c r="D346" s="29" t="str">
        <f>$D$345</f>
        <v>NO APLICA</v>
      </c>
      <c r="E346" s="27" t="s">
        <v>1152</v>
      </c>
      <c r="F346" s="43">
        <v>0</v>
      </c>
      <c r="G346" s="21">
        <v>0</v>
      </c>
      <c r="H346" s="9">
        <f t="shared" ref="H346:H349" si="404">(IF(I346="$ Prima",G346,G346*F346/R346))*$U$9</f>
        <v>0</v>
      </c>
      <c r="I346" s="9" t="s">
        <v>1287</v>
      </c>
      <c r="J346" s="9">
        <f t="shared" ref="J346:J349" si="405">H346*$U$7</f>
        <v>0</v>
      </c>
      <c r="K346" s="9">
        <f t="shared" ref="K346:K349" si="406">(H346+J346)*$K$15</f>
        <v>0</v>
      </c>
      <c r="L346" s="9">
        <f t="shared" ref="L346:L349" si="407">ROUND(H346+J346+K346,2)</f>
        <v>0</v>
      </c>
      <c r="M346" s="11">
        <f>$M$345</f>
        <v>0</v>
      </c>
      <c r="N346" s="9">
        <f t="shared" ref="N346:N349" si="408">H346*M346</f>
        <v>0</v>
      </c>
      <c r="O346" s="12">
        <f t="shared" ref="O346:O349" si="409">N346</f>
        <v>0</v>
      </c>
      <c r="P346" s="13" t="str">
        <f t="shared" si="372"/>
        <v>NO</v>
      </c>
      <c r="Q346">
        <f t="shared" ref="Q346:Q349" si="410">IF(D346="INCLUIDO",IF(F346&lt;&gt;0,1,0),0)</f>
        <v>0</v>
      </c>
      <c r="R346">
        <f t="shared" ref="R346:R349" si="411">IF(I346="%o Al Millar",1000,IF(I346="% Al Porciento",100,IF(I346="$ Prima",G346)))</f>
        <v>0</v>
      </c>
      <c r="S346">
        <f t="shared" ref="S346:S349" si="412">IF(E346="Excluido",0,IF(D346="NO APLICA",0,1))</f>
        <v>0</v>
      </c>
    </row>
    <row r="347" spans="1:22" ht="15" hidden="1" customHeight="1" x14ac:dyDescent="0.3">
      <c r="A347" s="34" t="s">
        <v>1381</v>
      </c>
      <c r="B347" s="36">
        <v>306</v>
      </c>
      <c r="C347" s="29" t="s">
        <v>1382</v>
      </c>
      <c r="D347" s="29" t="str">
        <f>$D$345</f>
        <v>NO APLICA</v>
      </c>
      <c r="E347" s="27" t="s">
        <v>1152</v>
      </c>
      <c r="F347" s="43">
        <v>0</v>
      </c>
      <c r="G347" s="21">
        <v>0</v>
      </c>
      <c r="H347" s="9">
        <f t="shared" si="404"/>
        <v>0</v>
      </c>
      <c r="I347" s="9" t="s">
        <v>1287</v>
      </c>
      <c r="J347" s="9">
        <f t="shared" si="405"/>
        <v>0</v>
      </c>
      <c r="K347" s="9">
        <f t="shared" si="406"/>
        <v>0</v>
      </c>
      <c r="L347" s="9">
        <f t="shared" si="407"/>
        <v>0</v>
      </c>
      <c r="M347" s="11">
        <f t="shared" ref="M347:M349" si="413">$M$345</f>
        <v>0</v>
      </c>
      <c r="N347" s="9">
        <f t="shared" si="408"/>
        <v>0</v>
      </c>
      <c r="O347" s="12">
        <f t="shared" si="409"/>
        <v>0</v>
      </c>
      <c r="P347" s="13" t="str">
        <f t="shared" si="372"/>
        <v>NO</v>
      </c>
      <c r="Q347">
        <f t="shared" si="410"/>
        <v>0</v>
      </c>
      <c r="R347">
        <f t="shared" si="411"/>
        <v>0</v>
      </c>
      <c r="S347">
        <f t="shared" si="412"/>
        <v>0</v>
      </c>
    </row>
    <row r="348" spans="1:22" ht="15" hidden="1" customHeight="1" x14ac:dyDescent="0.3">
      <c r="A348" s="34" t="s">
        <v>1381</v>
      </c>
      <c r="B348" s="36">
        <v>307</v>
      </c>
      <c r="C348" s="29" t="s">
        <v>1383</v>
      </c>
      <c r="D348" s="29" t="str">
        <f t="shared" ref="D348:D349" si="414">$D$345</f>
        <v>NO APLICA</v>
      </c>
      <c r="E348" s="27" t="s">
        <v>1152</v>
      </c>
      <c r="F348" s="43">
        <v>0</v>
      </c>
      <c r="G348" s="21">
        <v>0</v>
      </c>
      <c r="H348" s="9">
        <f t="shared" si="404"/>
        <v>0</v>
      </c>
      <c r="I348" s="9" t="s">
        <v>1287</v>
      </c>
      <c r="J348" s="9">
        <f t="shared" si="405"/>
        <v>0</v>
      </c>
      <c r="K348" s="9">
        <f t="shared" si="406"/>
        <v>0</v>
      </c>
      <c r="L348" s="9">
        <f t="shared" si="407"/>
        <v>0</v>
      </c>
      <c r="M348" s="11">
        <f t="shared" si="413"/>
        <v>0</v>
      </c>
      <c r="N348" s="9">
        <f t="shared" si="408"/>
        <v>0</v>
      </c>
      <c r="O348" s="12">
        <f t="shared" si="409"/>
        <v>0</v>
      </c>
      <c r="P348" s="13" t="str">
        <f t="shared" si="372"/>
        <v>NO</v>
      </c>
      <c r="Q348">
        <f t="shared" si="410"/>
        <v>0</v>
      </c>
      <c r="R348">
        <f t="shared" si="411"/>
        <v>0</v>
      </c>
      <c r="S348">
        <f t="shared" si="412"/>
        <v>0</v>
      </c>
    </row>
    <row r="349" spans="1:22" ht="15" hidden="1" customHeight="1" x14ac:dyDescent="0.3">
      <c r="A349" s="34" t="s">
        <v>1381</v>
      </c>
      <c r="B349" s="36">
        <v>254</v>
      </c>
      <c r="C349" s="29" t="s">
        <v>1293</v>
      </c>
      <c r="D349" s="29" t="str">
        <f t="shared" si="414"/>
        <v>NO APLICA</v>
      </c>
      <c r="E349" s="27" t="s">
        <v>1137</v>
      </c>
      <c r="F349" s="20">
        <f>(F346+F347+F348)*S349</f>
        <v>0</v>
      </c>
      <c r="G349" s="21">
        <v>0</v>
      </c>
      <c r="H349" s="9">
        <f t="shared" si="404"/>
        <v>0</v>
      </c>
      <c r="I349" s="9" t="s">
        <v>1287</v>
      </c>
      <c r="J349" s="9">
        <f t="shared" si="405"/>
        <v>0</v>
      </c>
      <c r="K349" s="9">
        <f t="shared" si="406"/>
        <v>0</v>
      </c>
      <c r="L349" s="9">
        <f t="shared" si="407"/>
        <v>0</v>
      </c>
      <c r="M349" s="11">
        <f t="shared" si="413"/>
        <v>0</v>
      </c>
      <c r="N349" s="9">
        <f t="shared" si="408"/>
        <v>0</v>
      </c>
      <c r="O349" s="12">
        <f t="shared" si="409"/>
        <v>0</v>
      </c>
      <c r="P349" s="13" t="str">
        <f t="shared" si="372"/>
        <v>NO</v>
      </c>
      <c r="Q349">
        <f t="shared" si="410"/>
        <v>0</v>
      </c>
      <c r="R349">
        <f t="shared" si="411"/>
        <v>0</v>
      </c>
      <c r="S349">
        <f t="shared" si="412"/>
        <v>0</v>
      </c>
    </row>
    <row r="350" spans="1:22" s="18" customFormat="1" ht="15" hidden="1" customHeight="1" x14ac:dyDescent="0.3">
      <c r="A350" s="24"/>
      <c r="B350" s="26"/>
      <c r="C350" s="15" t="s">
        <v>1177</v>
      </c>
      <c r="D350" s="38" t="str">
        <f>D349</f>
        <v>NO APLICA</v>
      </c>
      <c r="E350" s="38"/>
      <c r="F350" s="16">
        <f>SUMIF(E346:E349,"Adicional",F346:F349)</f>
        <v>0</v>
      </c>
      <c r="G350" s="17"/>
      <c r="H350" s="16">
        <f>SUM(H346:H349)</f>
        <v>0</v>
      </c>
      <c r="I350" s="16"/>
      <c r="J350" s="16">
        <f>SUM(J346:J349)</f>
        <v>0</v>
      </c>
      <c r="K350" s="16">
        <f>SUM(K346:K349)</f>
        <v>0</v>
      </c>
      <c r="L350" s="16">
        <f>SUM(L346:L349)</f>
        <v>0</v>
      </c>
      <c r="M350" s="16" t="s">
        <v>1178</v>
      </c>
      <c r="N350" s="16">
        <f>SUM(N346:N349)</f>
        <v>0</v>
      </c>
      <c r="O350" s="84">
        <f>SUM(O346:O349)</f>
        <v>0</v>
      </c>
      <c r="P350" s="13" t="str">
        <f t="shared" si="372"/>
        <v>NO</v>
      </c>
      <c r="Q350">
        <f>IF(D350="INCLUIDO",IF(H350&lt;&gt;0,1,0),0)</f>
        <v>0</v>
      </c>
    </row>
    <row r="351" spans="1:22" ht="15" hidden="1" customHeight="1" x14ac:dyDescent="0.3">
      <c r="A351" s="82">
        <v>913</v>
      </c>
      <c r="B351" s="33">
        <v>1</v>
      </c>
      <c r="C351" s="19" t="s">
        <v>1384</v>
      </c>
      <c r="D351" s="23" t="str">
        <f>'Ramo Comercial'!C166</f>
        <v>NO APLICA</v>
      </c>
      <c r="E351" s="91"/>
      <c r="F351" s="28"/>
      <c r="G351" s="28"/>
      <c r="H351" s="28"/>
      <c r="I351" s="28"/>
      <c r="J351" s="28"/>
      <c r="K351" s="28"/>
      <c r="L351" s="28"/>
      <c r="M351" s="68">
        <v>0</v>
      </c>
      <c r="N351" s="28"/>
      <c r="O351" s="83"/>
      <c r="P351" s="13" t="str">
        <f t="shared" si="372"/>
        <v>NO</v>
      </c>
      <c r="Q351" s="47">
        <f>IF(D351="INCLUIDO",IF(F352&lt;&gt;0,1,0),0)</f>
        <v>0</v>
      </c>
    </row>
    <row r="352" spans="1:22" ht="15" hidden="1" customHeight="1" x14ac:dyDescent="0.3">
      <c r="A352" s="34" t="s">
        <v>1385</v>
      </c>
      <c r="B352" s="36">
        <v>191</v>
      </c>
      <c r="C352" s="29" t="s">
        <v>1384</v>
      </c>
      <c r="D352" s="29" t="str">
        <f>$D$351</f>
        <v>NO APLICA</v>
      </c>
      <c r="E352" s="27" t="s">
        <v>1152</v>
      </c>
      <c r="F352" s="43">
        <v>0</v>
      </c>
      <c r="G352" s="21">
        <v>0</v>
      </c>
      <c r="H352" s="9">
        <f t="shared" ref="H352:H362" si="415">(IF(I352="$ Prima",G352,G352*F352/R352))*$U$9</f>
        <v>0</v>
      </c>
      <c r="I352" s="9" t="s">
        <v>1235</v>
      </c>
      <c r="J352" s="9">
        <f t="shared" ref="J352:J362" si="416">H352*$U$7</f>
        <v>0</v>
      </c>
      <c r="K352" s="9">
        <f t="shared" ref="K352:K362" si="417">(H352+J352)*$K$15</f>
        <v>0</v>
      </c>
      <c r="L352" s="9">
        <f t="shared" ref="L352:L362" si="418">ROUND(H352+J352+K352,2)</f>
        <v>0</v>
      </c>
      <c r="M352" s="11">
        <f>$M$351</f>
        <v>0</v>
      </c>
      <c r="N352" s="9">
        <f t="shared" ref="N352:N362" si="419">H352*M352</f>
        <v>0</v>
      </c>
      <c r="O352" s="12">
        <f t="shared" ref="O352:O362" si="420">N352</f>
        <v>0</v>
      </c>
      <c r="P352" s="13" t="str">
        <f t="shared" si="372"/>
        <v>NO</v>
      </c>
      <c r="Q352">
        <f t="shared" ref="Q352:Q362" si="421">IF(D352="INCLUIDO",IF(F352&lt;&gt;0,1,0),0)</f>
        <v>0</v>
      </c>
      <c r="R352">
        <f t="shared" ref="R352:R362" si="422">IF(I352="%o Al Millar",1000,IF(I352="% Al Porciento",100,IF(I352="$ Prima",G352)))</f>
        <v>100</v>
      </c>
      <c r="S352">
        <f t="shared" ref="S352:S362" si="423">IF(E352="Excluido",0,IF(D352="NO APLICA",0,1))</f>
        <v>0</v>
      </c>
    </row>
    <row r="353" spans="1:19" ht="15" hidden="1" customHeight="1" x14ac:dyDescent="0.3">
      <c r="A353" s="34" t="s">
        <v>1385</v>
      </c>
      <c r="B353" s="36">
        <v>245</v>
      </c>
      <c r="C353" s="29" t="s">
        <v>1386</v>
      </c>
      <c r="D353" s="29" t="str">
        <f t="shared" ref="D353:D362" si="424">$D$351</f>
        <v>NO APLICA</v>
      </c>
      <c r="E353" s="27" t="s">
        <v>1152</v>
      </c>
      <c r="F353" s="43">
        <v>0</v>
      </c>
      <c r="G353" s="21">
        <v>0</v>
      </c>
      <c r="H353" s="9">
        <f t="shared" si="415"/>
        <v>0</v>
      </c>
      <c r="I353" s="9" t="s">
        <v>1235</v>
      </c>
      <c r="J353" s="9">
        <f t="shared" si="416"/>
        <v>0</v>
      </c>
      <c r="K353" s="9">
        <f t="shared" si="417"/>
        <v>0</v>
      </c>
      <c r="L353" s="9">
        <f t="shared" si="418"/>
        <v>0</v>
      </c>
      <c r="M353" s="11">
        <f t="shared" ref="M353:M362" si="425">$M$351</f>
        <v>0</v>
      </c>
      <c r="N353" s="9">
        <f t="shared" si="419"/>
        <v>0</v>
      </c>
      <c r="O353" s="12">
        <f t="shared" si="420"/>
        <v>0</v>
      </c>
      <c r="P353" s="13" t="str">
        <f t="shared" si="372"/>
        <v>NO</v>
      </c>
      <c r="Q353">
        <f t="shared" si="421"/>
        <v>0</v>
      </c>
      <c r="R353">
        <f t="shared" si="422"/>
        <v>100</v>
      </c>
      <c r="S353">
        <f t="shared" si="423"/>
        <v>0</v>
      </c>
    </row>
    <row r="354" spans="1:19" ht="15" hidden="1" customHeight="1" x14ac:dyDescent="0.3">
      <c r="A354" s="34" t="s">
        <v>1385</v>
      </c>
      <c r="B354" s="36">
        <v>246</v>
      </c>
      <c r="C354" s="29" t="s">
        <v>1293</v>
      </c>
      <c r="D354" s="29" t="str">
        <f t="shared" si="424"/>
        <v>NO APLICA</v>
      </c>
      <c r="E354" s="27" t="s">
        <v>1152</v>
      </c>
      <c r="F354" s="20">
        <f>(F352+F353)*S354</f>
        <v>0</v>
      </c>
      <c r="G354" s="21">
        <v>0</v>
      </c>
      <c r="H354" s="9">
        <f t="shared" si="415"/>
        <v>0</v>
      </c>
      <c r="I354" s="9" t="s">
        <v>1235</v>
      </c>
      <c r="J354" s="9">
        <f t="shared" si="416"/>
        <v>0</v>
      </c>
      <c r="K354" s="9">
        <f t="shared" si="417"/>
        <v>0</v>
      </c>
      <c r="L354" s="9">
        <f t="shared" si="418"/>
        <v>0</v>
      </c>
      <c r="M354" s="11">
        <f t="shared" si="425"/>
        <v>0</v>
      </c>
      <c r="N354" s="9">
        <f t="shared" si="419"/>
        <v>0</v>
      </c>
      <c r="O354" s="12">
        <f t="shared" si="420"/>
        <v>0</v>
      </c>
      <c r="P354" s="13" t="str">
        <f t="shared" ref="P354:P410" si="426">IF(Q354=1,"SI","NO")</f>
        <v>NO</v>
      </c>
      <c r="Q354">
        <f t="shared" si="421"/>
        <v>0</v>
      </c>
      <c r="R354">
        <f t="shared" si="422"/>
        <v>100</v>
      </c>
      <c r="S354">
        <f t="shared" si="423"/>
        <v>0</v>
      </c>
    </row>
    <row r="355" spans="1:19" ht="15" hidden="1" customHeight="1" x14ac:dyDescent="0.3">
      <c r="A355" s="34" t="s">
        <v>1385</v>
      </c>
      <c r="B355" s="36">
        <v>247</v>
      </c>
      <c r="C355" s="29" t="s">
        <v>1387</v>
      </c>
      <c r="D355" s="29" t="str">
        <f t="shared" si="424"/>
        <v>NO APLICA</v>
      </c>
      <c r="E355" s="27" t="s">
        <v>1152</v>
      </c>
      <c r="F355" s="43">
        <v>0</v>
      </c>
      <c r="G355" s="21">
        <v>0</v>
      </c>
      <c r="H355" s="9">
        <f t="shared" si="415"/>
        <v>0</v>
      </c>
      <c r="I355" s="9" t="s">
        <v>1235</v>
      </c>
      <c r="J355" s="9">
        <f t="shared" si="416"/>
        <v>0</v>
      </c>
      <c r="K355" s="9">
        <f t="shared" si="417"/>
        <v>0</v>
      </c>
      <c r="L355" s="9">
        <f t="shared" si="418"/>
        <v>0</v>
      </c>
      <c r="M355" s="11">
        <f t="shared" si="425"/>
        <v>0</v>
      </c>
      <c r="N355" s="9">
        <f t="shared" si="419"/>
        <v>0</v>
      </c>
      <c r="O355" s="12">
        <f t="shared" si="420"/>
        <v>0</v>
      </c>
      <c r="P355" s="13" t="str">
        <f t="shared" si="426"/>
        <v>NO</v>
      </c>
      <c r="Q355">
        <f t="shared" si="421"/>
        <v>0</v>
      </c>
      <c r="R355">
        <f t="shared" si="422"/>
        <v>100</v>
      </c>
      <c r="S355">
        <f t="shared" si="423"/>
        <v>0</v>
      </c>
    </row>
    <row r="356" spans="1:19" ht="15" hidden="1" customHeight="1" x14ac:dyDescent="0.3">
      <c r="A356" s="34" t="s">
        <v>1385</v>
      </c>
      <c r="B356" s="36">
        <v>248</v>
      </c>
      <c r="C356" s="29" t="s">
        <v>1388</v>
      </c>
      <c r="D356" s="29" t="str">
        <f t="shared" si="424"/>
        <v>NO APLICA</v>
      </c>
      <c r="E356" s="27" t="s">
        <v>1152</v>
      </c>
      <c r="F356" s="43">
        <v>0</v>
      </c>
      <c r="G356" s="21">
        <v>0</v>
      </c>
      <c r="H356" s="9">
        <f t="shared" si="415"/>
        <v>0</v>
      </c>
      <c r="I356" s="9" t="s">
        <v>1235</v>
      </c>
      <c r="J356" s="9">
        <f t="shared" si="416"/>
        <v>0</v>
      </c>
      <c r="K356" s="9">
        <f t="shared" si="417"/>
        <v>0</v>
      </c>
      <c r="L356" s="9">
        <f t="shared" si="418"/>
        <v>0</v>
      </c>
      <c r="M356" s="11">
        <f t="shared" si="425"/>
        <v>0</v>
      </c>
      <c r="N356" s="9">
        <f t="shared" si="419"/>
        <v>0</v>
      </c>
      <c r="O356" s="12">
        <f t="shared" si="420"/>
        <v>0</v>
      </c>
      <c r="P356" s="13" t="str">
        <f t="shared" si="426"/>
        <v>NO</v>
      </c>
      <c r="Q356">
        <f t="shared" si="421"/>
        <v>0</v>
      </c>
      <c r="R356">
        <f t="shared" si="422"/>
        <v>100</v>
      </c>
      <c r="S356">
        <f t="shared" si="423"/>
        <v>0</v>
      </c>
    </row>
    <row r="357" spans="1:19" ht="15" hidden="1" customHeight="1" x14ac:dyDescent="0.3">
      <c r="A357" s="34" t="s">
        <v>1385</v>
      </c>
      <c r="B357" s="36">
        <v>249</v>
      </c>
      <c r="C357" s="29" t="s">
        <v>1389</v>
      </c>
      <c r="D357" s="29" t="str">
        <f t="shared" si="424"/>
        <v>NO APLICA</v>
      </c>
      <c r="E357" s="27" t="s">
        <v>1152</v>
      </c>
      <c r="F357" s="43">
        <v>0</v>
      </c>
      <c r="G357" s="21">
        <v>0</v>
      </c>
      <c r="H357" s="9">
        <f t="shared" si="415"/>
        <v>0</v>
      </c>
      <c r="I357" s="9" t="s">
        <v>1235</v>
      </c>
      <c r="J357" s="9">
        <f t="shared" si="416"/>
        <v>0</v>
      </c>
      <c r="K357" s="9">
        <f t="shared" si="417"/>
        <v>0</v>
      </c>
      <c r="L357" s="9">
        <f t="shared" si="418"/>
        <v>0</v>
      </c>
      <c r="M357" s="11">
        <f t="shared" si="425"/>
        <v>0</v>
      </c>
      <c r="N357" s="9">
        <f t="shared" si="419"/>
        <v>0</v>
      </c>
      <c r="O357" s="12">
        <f t="shared" si="420"/>
        <v>0</v>
      </c>
      <c r="P357" s="13" t="str">
        <f t="shared" si="426"/>
        <v>NO</v>
      </c>
      <c r="Q357">
        <f t="shared" si="421"/>
        <v>0</v>
      </c>
      <c r="R357">
        <f t="shared" si="422"/>
        <v>100</v>
      </c>
      <c r="S357">
        <f t="shared" si="423"/>
        <v>0</v>
      </c>
    </row>
    <row r="358" spans="1:19" ht="15" hidden="1" customHeight="1" x14ac:dyDescent="0.3">
      <c r="A358" s="34" t="s">
        <v>1385</v>
      </c>
      <c r="B358" s="36">
        <v>250</v>
      </c>
      <c r="C358" s="29" t="s">
        <v>1390</v>
      </c>
      <c r="D358" s="29" t="str">
        <f t="shared" si="424"/>
        <v>NO APLICA</v>
      </c>
      <c r="E358" s="27" t="s">
        <v>1152</v>
      </c>
      <c r="F358" s="43">
        <v>0</v>
      </c>
      <c r="G358" s="21">
        <v>0</v>
      </c>
      <c r="H358" s="9">
        <f t="shared" si="415"/>
        <v>0</v>
      </c>
      <c r="I358" s="9" t="s">
        <v>1235</v>
      </c>
      <c r="J358" s="9">
        <f t="shared" si="416"/>
        <v>0</v>
      </c>
      <c r="K358" s="9">
        <f t="shared" si="417"/>
        <v>0</v>
      </c>
      <c r="L358" s="9">
        <f t="shared" si="418"/>
        <v>0</v>
      </c>
      <c r="M358" s="11">
        <f t="shared" si="425"/>
        <v>0</v>
      </c>
      <c r="N358" s="9">
        <f t="shared" si="419"/>
        <v>0</v>
      </c>
      <c r="O358" s="12">
        <f t="shared" si="420"/>
        <v>0</v>
      </c>
      <c r="P358" s="13" t="str">
        <f t="shared" si="426"/>
        <v>NO</v>
      </c>
      <c r="Q358">
        <f t="shared" si="421"/>
        <v>0</v>
      </c>
      <c r="R358">
        <f t="shared" si="422"/>
        <v>100</v>
      </c>
      <c r="S358">
        <f t="shared" si="423"/>
        <v>0</v>
      </c>
    </row>
    <row r="359" spans="1:19" ht="15" hidden="1" customHeight="1" x14ac:dyDescent="0.3">
      <c r="A359" s="34" t="s">
        <v>1385</v>
      </c>
      <c r="B359" s="36">
        <v>251</v>
      </c>
      <c r="C359" s="29" t="s">
        <v>1391</v>
      </c>
      <c r="D359" s="29" t="str">
        <f t="shared" si="424"/>
        <v>NO APLICA</v>
      </c>
      <c r="E359" s="27" t="s">
        <v>1152</v>
      </c>
      <c r="F359" s="43">
        <v>0</v>
      </c>
      <c r="G359" s="21">
        <v>0</v>
      </c>
      <c r="H359" s="9">
        <f t="shared" si="415"/>
        <v>0</v>
      </c>
      <c r="I359" s="9" t="s">
        <v>1235</v>
      </c>
      <c r="J359" s="9">
        <f t="shared" si="416"/>
        <v>0</v>
      </c>
      <c r="K359" s="9">
        <f t="shared" si="417"/>
        <v>0</v>
      </c>
      <c r="L359" s="9">
        <f t="shared" si="418"/>
        <v>0</v>
      </c>
      <c r="M359" s="11">
        <f t="shared" si="425"/>
        <v>0</v>
      </c>
      <c r="N359" s="9">
        <f t="shared" si="419"/>
        <v>0</v>
      </c>
      <c r="O359" s="12">
        <f t="shared" si="420"/>
        <v>0</v>
      </c>
      <c r="P359" s="13" t="str">
        <f t="shared" si="426"/>
        <v>NO</v>
      </c>
      <c r="Q359">
        <f t="shared" si="421"/>
        <v>0</v>
      </c>
      <c r="R359">
        <f t="shared" si="422"/>
        <v>100</v>
      </c>
      <c r="S359">
        <f t="shared" si="423"/>
        <v>0</v>
      </c>
    </row>
    <row r="360" spans="1:19" ht="15" hidden="1" customHeight="1" x14ac:dyDescent="0.3">
      <c r="A360" s="34" t="s">
        <v>1385</v>
      </c>
      <c r="B360" s="36">
        <v>252</v>
      </c>
      <c r="C360" s="29" t="s">
        <v>1392</v>
      </c>
      <c r="D360" s="29" t="str">
        <f t="shared" si="424"/>
        <v>NO APLICA</v>
      </c>
      <c r="E360" s="27" t="s">
        <v>1152</v>
      </c>
      <c r="F360" s="43">
        <v>0</v>
      </c>
      <c r="G360" s="21">
        <v>0</v>
      </c>
      <c r="H360" s="9">
        <f t="shared" si="415"/>
        <v>0</v>
      </c>
      <c r="I360" s="9" t="s">
        <v>1235</v>
      </c>
      <c r="J360" s="9">
        <f t="shared" si="416"/>
        <v>0</v>
      </c>
      <c r="K360" s="9">
        <f t="shared" si="417"/>
        <v>0</v>
      </c>
      <c r="L360" s="9">
        <f t="shared" si="418"/>
        <v>0</v>
      </c>
      <c r="M360" s="11">
        <f t="shared" si="425"/>
        <v>0</v>
      </c>
      <c r="N360" s="9">
        <f t="shared" si="419"/>
        <v>0</v>
      </c>
      <c r="O360" s="12">
        <f t="shared" si="420"/>
        <v>0</v>
      </c>
      <c r="P360" s="13" t="str">
        <f t="shared" si="426"/>
        <v>NO</v>
      </c>
      <c r="Q360">
        <f t="shared" si="421"/>
        <v>0</v>
      </c>
      <c r="R360">
        <f t="shared" si="422"/>
        <v>100</v>
      </c>
      <c r="S360">
        <f t="shared" si="423"/>
        <v>0</v>
      </c>
    </row>
    <row r="361" spans="1:19" ht="15" hidden="1" customHeight="1" x14ac:dyDescent="0.3">
      <c r="A361" s="34" t="s">
        <v>1385</v>
      </c>
      <c r="B361" s="36">
        <v>275</v>
      </c>
      <c r="C361" s="29" t="s">
        <v>1393</v>
      </c>
      <c r="D361" s="29" t="str">
        <f t="shared" si="424"/>
        <v>NO APLICA</v>
      </c>
      <c r="E361" s="27" t="s">
        <v>1152</v>
      </c>
      <c r="F361" s="43">
        <v>0</v>
      </c>
      <c r="G361" s="21">
        <v>0</v>
      </c>
      <c r="H361" s="9">
        <f t="shared" si="415"/>
        <v>0</v>
      </c>
      <c r="I361" s="9" t="s">
        <v>1235</v>
      </c>
      <c r="J361" s="9">
        <f t="shared" si="416"/>
        <v>0</v>
      </c>
      <c r="K361" s="9">
        <f t="shared" si="417"/>
        <v>0</v>
      </c>
      <c r="L361" s="9">
        <f t="shared" si="418"/>
        <v>0</v>
      </c>
      <c r="M361" s="11">
        <f t="shared" si="425"/>
        <v>0</v>
      </c>
      <c r="N361" s="9">
        <f t="shared" si="419"/>
        <v>0</v>
      </c>
      <c r="O361" s="12">
        <f t="shared" si="420"/>
        <v>0</v>
      </c>
      <c r="P361" s="13" t="str">
        <f t="shared" si="426"/>
        <v>NO</v>
      </c>
      <c r="Q361">
        <f t="shared" si="421"/>
        <v>0</v>
      </c>
      <c r="R361">
        <f t="shared" si="422"/>
        <v>100</v>
      </c>
      <c r="S361">
        <f t="shared" si="423"/>
        <v>0</v>
      </c>
    </row>
    <row r="362" spans="1:19" ht="15" hidden="1" customHeight="1" x14ac:dyDescent="0.3">
      <c r="A362" s="34" t="s">
        <v>1385</v>
      </c>
      <c r="B362" s="36">
        <v>305</v>
      </c>
      <c r="C362" s="29" t="s">
        <v>1394</v>
      </c>
      <c r="D362" s="29" t="str">
        <f t="shared" si="424"/>
        <v>NO APLICA</v>
      </c>
      <c r="E362" s="27" t="s">
        <v>1152</v>
      </c>
      <c r="F362" s="43">
        <v>0</v>
      </c>
      <c r="G362" s="21">
        <v>0</v>
      </c>
      <c r="H362" s="9">
        <f t="shared" si="415"/>
        <v>0</v>
      </c>
      <c r="I362" s="9" t="s">
        <v>1235</v>
      </c>
      <c r="J362" s="9">
        <f t="shared" si="416"/>
        <v>0</v>
      </c>
      <c r="K362" s="9">
        <f t="shared" si="417"/>
        <v>0</v>
      </c>
      <c r="L362" s="9">
        <f t="shared" si="418"/>
        <v>0</v>
      </c>
      <c r="M362" s="11">
        <f t="shared" si="425"/>
        <v>0</v>
      </c>
      <c r="N362" s="9">
        <f t="shared" si="419"/>
        <v>0</v>
      </c>
      <c r="O362" s="12">
        <f t="shared" si="420"/>
        <v>0</v>
      </c>
      <c r="P362" s="13" t="str">
        <f t="shared" si="426"/>
        <v>NO</v>
      </c>
      <c r="Q362">
        <f t="shared" si="421"/>
        <v>0</v>
      </c>
      <c r="R362">
        <f t="shared" si="422"/>
        <v>100</v>
      </c>
      <c r="S362">
        <f t="shared" si="423"/>
        <v>0</v>
      </c>
    </row>
    <row r="363" spans="1:19" s="18" customFormat="1" ht="15" hidden="1" customHeight="1" x14ac:dyDescent="0.3">
      <c r="A363" s="24"/>
      <c r="B363" s="26"/>
      <c r="C363" s="15" t="s">
        <v>1177</v>
      </c>
      <c r="D363" s="38" t="str">
        <f>D362</f>
        <v>NO APLICA</v>
      </c>
      <c r="E363" s="38"/>
      <c r="F363" s="16">
        <f>SUMIF(E352:E362,"Adicional",F352:F362)</f>
        <v>0</v>
      </c>
      <c r="G363" s="17"/>
      <c r="H363" s="16">
        <f>SUM(H352:H362)</f>
        <v>0</v>
      </c>
      <c r="I363" s="16"/>
      <c r="J363" s="16">
        <f t="shared" ref="J363:L363" si="427">SUM(J352:J362)</f>
        <v>0</v>
      </c>
      <c r="K363" s="16">
        <f t="shared" si="427"/>
        <v>0</v>
      </c>
      <c r="L363" s="16">
        <f t="shared" si="427"/>
        <v>0</v>
      </c>
      <c r="M363" s="16" t="s">
        <v>1178</v>
      </c>
      <c r="N363" s="16">
        <f t="shared" ref="N363:O363" si="428">SUM(N352:N362)</f>
        <v>0</v>
      </c>
      <c r="O363" s="84">
        <f t="shared" si="428"/>
        <v>0</v>
      </c>
      <c r="P363" s="13" t="str">
        <f t="shared" si="426"/>
        <v>NO</v>
      </c>
      <c r="Q363">
        <f>IF(D363="INCLUIDO",IF(H363&lt;&gt;0,1,0),0)</f>
        <v>0</v>
      </c>
    </row>
    <row r="364" spans="1:19" ht="21" hidden="1" customHeight="1" x14ac:dyDescent="0.3">
      <c r="A364" s="82">
        <v>913</v>
      </c>
      <c r="B364" s="33">
        <v>2</v>
      </c>
      <c r="C364" s="19" t="s">
        <v>1395</v>
      </c>
      <c r="D364" s="23" t="str">
        <f>'Ramo Comercial'!C167</f>
        <v>NO APLICA</v>
      </c>
      <c r="E364" s="91"/>
      <c r="F364" s="28"/>
      <c r="G364" s="28"/>
      <c r="H364" s="28"/>
      <c r="I364" s="28"/>
      <c r="J364" s="28"/>
      <c r="K364" s="28"/>
      <c r="L364" s="28"/>
      <c r="M364" s="68">
        <v>0</v>
      </c>
      <c r="N364" s="28"/>
      <c r="O364" s="83"/>
      <c r="P364" s="13" t="str">
        <f t="shared" si="426"/>
        <v>NO</v>
      </c>
      <c r="Q364" s="47">
        <f>IF(D364="INCLUIDO",IF(F365&lt;&gt;0,1,0),0)</f>
        <v>0</v>
      </c>
    </row>
    <row r="365" spans="1:19" ht="15" hidden="1" customHeight="1" x14ac:dyDescent="0.3">
      <c r="A365" s="34" t="s">
        <v>1385</v>
      </c>
      <c r="B365" s="36">
        <v>192</v>
      </c>
      <c r="C365" s="29" t="s">
        <v>1396</v>
      </c>
      <c r="D365" s="29" t="str">
        <f>$D$364</f>
        <v>NO APLICA</v>
      </c>
      <c r="E365" s="27" t="s">
        <v>1152</v>
      </c>
      <c r="F365" s="43">
        <v>0</v>
      </c>
      <c r="G365" s="21">
        <v>0</v>
      </c>
      <c r="H365" s="9">
        <f t="shared" ref="H365:H368" si="429">(IF(I365="$ Prima",G365,G365*F365/R365))*$U$9</f>
        <v>0</v>
      </c>
      <c r="I365" s="9" t="s">
        <v>1235</v>
      </c>
      <c r="J365" s="9">
        <f t="shared" ref="J365:J368" si="430">H365*$U$7</f>
        <v>0</v>
      </c>
      <c r="K365" s="9">
        <f t="shared" ref="K365:K368" si="431">(H365+J365)*$K$15</f>
        <v>0</v>
      </c>
      <c r="L365" s="9">
        <f t="shared" ref="L365:L368" si="432">ROUND(H365+J365+K365,2)</f>
        <v>0</v>
      </c>
      <c r="M365" s="11">
        <f>$M$364</f>
        <v>0</v>
      </c>
      <c r="N365" s="9">
        <f t="shared" ref="N365:N368" si="433">H365*M365</f>
        <v>0</v>
      </c>
      <c r="O365" s="12">
        <f t="shared" ref="O365:O368" si="434">N365</f>
        <v>0</v>
      </c>
      <c r="P365" s="13" t="str">
        <f t="shared" si="426"/>
        <v>NO</v>
      </c>
      <c r="Q365">
        <f>IF(D365="INCLUIDO",IF(F365&lt;&gt;0,1,0),0)</f>
        <v>0</v>
      </c>
      <c r="R365">
        <f>IF(I365="%o Al Millar",1000,IF(I365="% Al Porciento",100,IF(I365="$ Prima",G365)))</f>
        <v>100</v>
      </c>
      <c r="S365">
        <f t="shared" ref="S365:S368" si="435">IF(E365="Excluido",0,IF(D365="NO APLICA",0,1))</f>
        <v>0</v>
      </c>
    </row>
    <row r="366" spans="1:19" ht="22.5" hidden="1" customHeight="1" x14ac:dyDescent="0.3">
      <c r="A366" s="34" t="s">
        <v>1385</v>
      </c>
      <c r="B366" s="36">
        <v>193</v>
      </c>
      <c r="C366" s="29" t="s">
        <v>1397</v>
      </c>
      <c r="D366" s="29" t="str">
        <f t="shared" ref="D366:D368" si="436">$D$364</f>
        <v>NO APLICA</v>
      </c>
      <c r="E366" s="27" t="s">
        <v>1152</v>
      </c>
      <c r="F366" s="43">
        <v>0</v>
      </c>
      <c r="G366" s="21">
        <v>0</v>
      </c>
      <c r="H366" s="9">
        <f t="shared" si="429"/>
        <v>0</v>
      </c>
      <c r="I366" s="9" t="s">
        <v>1235</v>
      </c>
      <c r="J366" s="9">
        <f t="shared" si="430"/>
        <v>0</v>
      </c>
      <c r="K366" s="9">
        <f t="shared" si="431"/>
        <v>0</v>
      </c>
      <c r="L366" s="9">
        <f t="shared" si="432"/>
        <v>0</v>
      </c>
      <c r="M366" s="11">
        <f t="shared" ref="M366:M368" si="437">$M$364</f>
        <v>0</v>
      </c>
      <c r="N366" s="9">
        <f t="shared" si="433"/>
        <v>0</v>
      </c>
      <c r="O366" s="12">
        <f t="shared" si="434"/>
        <v>0</v>
      </c>
      <c r="P366" s="13" t="str">
        <f t="shared" si="426"/>
        <v>NO</v>
      </c>
      <c r="Q366">
        <f>IF(D366="INCLUIDO",IF(F366&lt;&gt;0,1,0),0)</f>
        <v>0</v>
      </c>
      <c r="R366">
        <f>IF(I366="%o Al Millar",1000,IF(I366="% Al Porciento",100,IF(I366="$ Prima",G366)))</f>
        <v>100</v>
      </c>
      <c r="S366">
        <f t="shared" si="435"/>
        <v>0</v>
      </c>
    </row>
    <row r="367" spans="1:19" ht="15" hidden="1" customHeight="1" x14ac:dyDescent="0.3">
      <c r="A367" s="34" t="s">
        <v>1385</v>
      </c>
      <c r="B367" s="36">
        <v>194</v>
      </c>
      <c r="C367" s="29" t="s">
        <v>1398</v>
      </c>
      <c r="D367" s="29" t="str">
        <f t="shared" si="436"/>
        <v>NO APLICA</v>
      </c>
      <c r="E367" s="27" t="s">
        <v>1152</v>
      </c>
      <c r="F367" s="43">
        <v>0</v>
      </c>
      <c r="G367" s="21">
        <v>0</v>
      </c>
      <c r="H367" s="9">
        <f t="shared" si="429"/>
        <v>0</v>
      </c>
      <c r="I367" s="9" t="s">
        <v>1235</v>
      </c>
      <c r="J367" s="9">
        <f t="shared" si="430"/>
        <v>0</v>
      </c>
      <c r="K367" s="9">
        <f t="shared" si="431"/>
        <v>0</v>
      </c>
      <c r="L367" s="9">
        <f t="shared" si="432"/>
        <v>0</v>
      </c>
      <c r="M367" s="11">
        <f t="shared" si="437"/>
        <v>0</v>
      </c>
      <c r="N367" s="9">
        <f t="shared" si="433"/>
        <v>0</v>
      </c>
      <c r="O367" s="12">
        <f t="shared" si="434"/>
        <v>0</v>
      </c>
      <c r="P367" s="13" t="str">
        <f t="shared" si="426"/>
        <v>NO</v>
      </c>
      <c r="Q367">
        <f>IF(D367="INCLUIDO",IF(F367&lt;&gt;0,1,0),0)</f>
        <v>0</v>
      </c>
      <c r="R367">
        <f>IF(I367="%o Al Millar",1000,IF(I367="% Al Porciento",100,IF(I367="$ Prima",G367)))</f>
        <v>100</v>
      </c>
      <c r="S367">
        <f t="shared" si="435"/>
        <v>0</v>
      </c>
    </row>
    <row r="368" spans="1:19" ht="15" hidden="1" customHeight="1" x14ac:dyDescent="0.3">
      <c r="A368" s="34" t="s">
        <v>1385</v>
      </c>
      <c r="B368" s="36">
        <v>253</v>
      </c>
      <c r="C368" s="29" t="s">
        <v>1293</v>
      </c>
      <c r="D368" s="29" t="str">
        <f t="shared" si="436"/>
        <v>NO APLICA</v>
      </c>
      <c r="E368" s="27" t="s">
        <v>1152</v>
      </c>
      <c r="F368" s="20">
        <f>(F365+F366+F367)*1</f>
        <v>0</v>
      </c>
      <c r="G368" s="21">
        <v>0</v>
      </c>
      <c r="H368" s="9">
        <f t="shared" si="429"/>
        <v>0</v>
      </c>
      <c r="I368" s="9" t="s">
        <v>1235</v>
      </c>
      <c r="J368" s="9">
        <f t="shared" si="430"/>
        <v>0</v>
      </c>
      <c r="K368" s="9">
        <f t="shared" si="431"/>
        <v>0</v>
      </c>
      <c r="L368" s="9">
        <f t="shared" si="432"/>
        <v>0</v>
      </c>
      <c r="M368" s="11">
        <f t="shared" si="437"/>
        <v>0</v>
      </c>
      <c r="N368" s="9">
        <f t="shared" si="433"/>
        <v>0</v>
      </c>
      <c r="O368" s="12">
        <f t="shared" si="434"/>
        <v>0</v>
      </c>
      <c r="P368" s="13" t="str">
        <f t="shared" si="426"/>
        <v>NO</v>
      </c>
      <c r="Q368">
        <f>IF(D368="INCLUIDO",IF(F368&lt;&gt;0,1,0),0)</f>
        <v>0</v>
      </c>
      <c r="R368">
        <f>IF(I368="%o Al Millar",1000,IF(I368="% Al Porciento",100,IF(I368="$ Prima",G368)))</f>
        <v>100</v>
      </c>
      <c r="S368">
        <f t="shared" si="435"/>
        <v>0</v>
      </c>
    </row>
    <row r="369" spans="1:22" s="18" customFormat="1" ht="15" hidden="1" customHeight="1" thickBot="1" x14ac:dyDescent="0.35">
      <c r="A369" s="24"/>
      <c r="B369" s="26"/>
      <c r="C369" s="15" t="s">
        <v>1177</v>
      </c>
      <c r="D369" s="38" t="str">
        <f>D368</f>
        <v>NO APLICA</v>
      </c>
      <c r="E369" s="38"/>
      <c r="F369" s="16">
        <f>SUMIF(E365:E368,"Adicional",F365:F368)</f>
        <v>0</v>
      </c>
      <c r="G369" s="17"/>
      <c r="H369" s="16">
        <f>SUM(H365:H368)</f>
        <v>0</v>
      </c>
      <c r="I369" s="16"/>
      <c r="J369" s="16">
        <f t="shared" ref="J369:L369" si="438">SUM(J365:J368)</f>
        <v>0</v>
      </c>
      <c r="K369" s="16">
        <f t="shared" si="438"/>
        <v>0</v>
      </c>
      <c r="L369" s="16">
        <f t="shared" si="438"/>
        <v>0</v>
      </c>
      <c r="M369" s="16" t="s">
        <v>1178</v>
      </c>
      <c r="N369" s="16">
        <f t="shared" ref="N369:O369" si="439">SUM(N365:N368)</f>
        <v>0</v>
      </c>
      <c r="O369" s="84">
        <f t="shared" si="439"/>
        <v>0</v>
      </c>
      <c r="P369" s="13" t="str">
        <f t="shared" si="426"/>
        <v>NO</v>
      </c>
      <c r="Q369">
        <f>IF(D369="INCLUIDO",IF(H369&lt;&gt;0,1,0),0)</f>
        <v>0</v>
      </c>
    </row>
    <row r="370" spans="1:22" ht="15" hidden="1" customHeight="1" thickBot="1" x14ac:dyDescent="0.35">
      <c r="A370" s="82">
        <v>914</v>
      </c>
      <c r="B370" s="33">
        <v>1</v>
      </c>
      <c r="C370" s="19" t="s">
        <v>1399</v>
      </c>
      <c r="D370" s="23" t="str">
        <f>'Ramo Comercial'!C170</f>
        <v>NO APLICA</v>
      </c>
      <c r="E370" s="91"/>
      <c r="F370" s="113">
        <v>0</v>
      </c>
      <c r="G370" s="113">
        <v>0</v>
      </c>
      <c r="H370" s="28"/>
      <c r="I370" s="28"/>
      <c r="J370" s="28"/>
      <c r="K370" s="28"/>
      <c r="L370" s="28"/>
      <c r="M370" s="68">
        <v>0</v>
      </c>
      <c r="N370" s="28"/>
      <c r="O370" s="83"/>
      <c r="P370" s="13" t="str">
        <f t="shared" si="426"/>
        <v>NO</v>
      </c>
      <c r="Q370" s="48">
        <f t="shared" ref="Q370:Q378" si="440">IF(D370="INCLUIDO",IF(F370&lt;&gt;0,1,0),0)</f>
        <v>0</v>
      </c>
      <c r="T370" s="149">
        <f>G370</f>
        <v>0</v>
      </c>
      <c r="U370" s="150"/>
      <c r="V370" s="151"/>
    </row>
    <row r="371" spans="1:22" ht="15" hidden="1" customHeight="1" x14ac:dyDescent="0.3">
      <c r="A371" s="34" t="s">
        <v>1400</v>
      </c>
      <c r="B371" s="36">
        <v>196</v>
      </c>
      <c r="C371" s="29" t="s">
        <v>1401</v>
      </c>
      <c r="D371" s="29" t="str">
        <f>$D$370</f>
        <v>NO APLICA</v>
      </c>
      <c r="E371" s="27" t="s">
        <v>1152</v>
      </c>
      <c r="F371" s="20">
        <f>$F$370*S371</f>
        <v>0</v>
      </c>
      <c r="G371" s="21">
        <f>V371</f>
        <v>0</v>
      </c>
      <c r="H371" s="9">
        <f t="shared" ref="H371:H378" si="441">(IF(I371="$ Prima",G371,G371*F371/R371))*$U$9</f>
        <v>0</v>
      </c>
      <c r="I371" s="9" t="s">
        <v>1235</v>
      </c>
      <c r="J371" s="9">
        <f t="shared" ref="J371:J378" si="442">H371*$U$7</f>
        <v>0</v>
      </c>
      <c r="K371" s="9">
        <f t="shared" ref="K371:K378" si="443">(H371+J371)*$K$15</f>
        <v>0</v>
      </c>
      <c r="L371" s="9">
        <f t="shared" ref="L371:L378" si="444">ROUND(H371+J371+K371,2)</f>
        <v>0</v>
      </c>
      <c r="M371" s="11">
        <f>$M$370</f>
        <v>0</v>
      </c>
      <c r="N371" s="9">
        <f t="shared" ref="N371:N378" si="445">H371*M371</f>
        <v>0</v>
      </c>
      <c r="O371" s="12">
        <f t="shared" ref="O371:O378" si="446">N371</f>
        <v>0</v>
      </c>
      <c r="P371" s="13" t="str">
        <f t="shared" si="426"/>
        <v>NO</v>
      </c>
      <c r="Q371">
        <f t="shared" si="440"/>
        <v>0</v>
      </c>
      <c r="R371">
        <f t="shared" ref="R371:R378" si="447">IF(I371="%o Al Millar",1000,IF(I371="% Al Porciento",100,IF(I371="$ Prima",G371)))</f>
        <v>100</v>
      </c>
      <c r="S371">
        <f t="shared" ref="S371:S378" si="448">IF(E371="Excluido",0,IF(D371="NO APLICA",0,1))</f>
        <v>0</v>
      </c>
      <c r="T371" s="152">
        <v>0.25</v>
      </c>
      <c r="U371" s="159">
        <f>IF(E371="Excluido",0,$T$370*T371)</f>
        <v>0</v>
      </c>
      <c r="V371" s="160">
        <f>IF(D370="NO APLICA",0,(U379-U372-U373-U374-U376-U378)+(T370-U379))</f>
        <v>0</v>
      </c>
    </row>
    <row r="372" spans="1:22" ht="15" hidden="1" customHeight="1" x14ac:dyDescent="0.3">
      <c r="A372" s="34" t="s">
        <v>1400</v>
      </c>
      <c r="B372" s="36">
        <v>197</v>
      </c>
      <c r="C372" s="29" t="s">
        <v>1402</v>
      </c>
      <c r="D372" s="29" t="str">
        <f t="shared" ref="D372:D378" si="449">$D$370</f>
        <v>NO APLICA</v>
      </c>
      <c r="E372" s="27" t="s">
        <v>1137</v>
      </c>
      <c r="F372" s="20">
        <f>$F$371*S372</f>
        <v>0</v>
      </c>
      <c r="G372" s="21">
        <f t="shared" ref="G372:G378" si="450">V372</f>
        <v>0</v>
      </c>
      <c r="H372" s="9">
        <f t="shared" si="441"/>
        <v>0</v>
      </c>
      <c r="I372" s="9" t="s">
        <v>1235</v>
      </c>
      <c r="J372" s="9">
        <f t="shared" si="442"/>
        <v>0</v>
      </c>
      <c r="K372" s="9">
        <f t="shared" si="443"/>
        <v>0</v>
      </c>
      <c r="L372" s="9">
        <f t="shared" si="444"/>
        <v>0</v>
      </c>
      <c r="M372" s="11">
        <f t="shared" ref="M372:M378" si="451">$M$370</f>
        <v>0</v>
      </c>
      <c r="N372" s="9">
        <f t="shared" si="445"/>
        <v>0</v>
      </c>
      <c r="O372" s="12">
        <f t="shared" si="446"/>
        <v>0</v>
      </c>
      <c r="P372" s="13" t="str">
        <f t="shared" si="426"/>
        <v>NO</v>
      </c>
      <c r="Q372">
        <f t="shared" si="440"/>
        <v>0</v>
      </c>
      <c r="R372">
        <f t="shared" si="447"/>
        <v>100</v>
      </c>
      <c r="S372">
        <f t="shared" si="448"/>
        <v>0</v>
      </c>
      <c r="T372" s="152">
        <v>0.05</v>
      </c>
      <c r="U372" s="159">
        <f t="shared" ref="U372:U378" si="452">IF(E372="Excluido",0,$T$370*T372)</f>
        <v>0</v>
      </c>
      <c r="V372" s="160">
        <f>IF(F372=0,0,U372)</f>
        <v>0</v>
      </c>
    </row>
    <row r="373" spans="1:22" ht="15" hidden="1" customHeight="1" x14ac:dyDescent="0.3">
      <c r="A373" s="34" t="s">
        <v>1400</v>
      </c>
      <c r="B373" s="36">
        <v>198</v>
      </c>
      <c r="C373" s="29" t="s">
        <v>1403</v>
      </c>
      <c r="D373" s="29" t="str">
        <f t="shared" si="449"/>
        <v>NO APLICA</v>
      </c>
      <c r="E373" s="27" t="s">
        <v>1137</v>
      </c>
      <c r="F373" s="20">
        <f t="shared" ref="F373:F378" si="453">$F$371*S373</f>
        <v>0</v>
      </c>
      <c r="G373" s="21">
        <f t="shared" si="450"/>
        <v>0</v>
      </c>
      <c r="H373" s="9">
        <f t="shared" si="441"/>
        <v>0</v>
      </c>
      <c r="I373" s="9" t="s">
        <v>1235</v>
      </c>
      <c r="J373" s="9">
        <f t="shared" si="442"/>
        <v>0</v>
      </c>
      <c r="K373" s="9">
        <f t="shared" si="443"/>
        <v>0</v>
      </c>
      <c r="L373" s="9">
        <f t="shared" si="444"/>
        <v>0</v>
      </c>
      <c r="M373" s="11">
        <f t="shared" si="451"/>
        <v>0</v>
      </c>
      <c r="N373" s="9">
        <f t="shared" si="445"/>
        <v>0</v>
      </c>
      <c r="O373" s="12">
        <f t="shared" si="446"/>
        <v>0</v>
      </c>
      <c r="P373" s="13" t="str">
        <f t="shared" si="426"/>
        <v>NO</v>
      </c>
      <c r="Q373">
        <f t="shared" si="440"/>
        <v>0</v>
      </c>
      <c r="R373">
        <f t="shared" si="447"/>
        <v>100</v>
      </c>
      <c r="S373">
        <f t="shared" si="448"/>
        <v>0</v>
      </c>
      <c r="T373" s="152">
        <v>0.1</v>
      </c>
      <c r="U373" s="159">
        <f t="shared" si="452"/>
        <v>0</v>
      </c>
      <c r="V373" s="160">
        <f t="shared" ref="V373:V378" si="454">IF(F373=0,0,U373)</f>
        <v>0</v>
      </c>
    </row>
    <row r="374" spans="1:22" ht="15" hidden="1" customHeight="1" x14ac:dyDescent="0.3">
      <c r="A374" s="34" t="s">
        <v>1400</v>
      </c>
      <c r="B374" s="36">
        <v>199</v>
      </c>
      <c r="C374" s="29" t="s">
        <v>1404</v>
      </c>
      <c r="D374" s="29" t="str">
        <f t="shared" si="449"/>
        <v>NO APLICA</v>
      </c>
      <c r="E374" s="27" t="s">
        <v>1137</v>
      </c>
      <c r="F374" s="20">
        <f t="shared" si="453"/>
        <v>0</v>
      </c>
      <c r="G374" s="21">
        <f t="shared" si="450"/>
        <v>0</v>
      </c>
      <c r="H374" s="9">
        <f t="shared" si="441"/>
        <v>0</v>
      </c>
      <c r="I374" s="9" t="s">
        <v>1235</v>
      </c>
      <c r="J374" s="9">
        <f t="shared" si="442"/>
        <v>0</v>
      </c>
      <c r="K374" s="9">
        <f t="shared" si="443"/>
        <v>0</v>
      </c>
      <c r="L374" s="9">
        <f t="shared" si="444"/>
        <v>0</v>
      </c>
      <c r="M374" s="11">
        <f t="shared" si="451"/>
        <v>0</v>
      </c>
      <c r="N374" s="9">
        <f t="shared" si="445"/>
        <v>0</v>
      </c>
      <c r="O374" s="12">
        <f t="shared" si="446"/>
        <v>0</v>
      </c>
      <c r="P374" s="13" t="str">
        <f t="shared" si="426"/>
        <v>NO</v>
      </c>
      <c r="Q374">
        <f t="shared" si="440"/>
        <v>0</v>
      </c>
      <c r="R374">
        <f t="shared" si="447"/>
        <v>100</v>
      </c>
      <c r="S374">
        <f t="shared" si="448"/>
        <v>0</v>
      </c>
      <c r="T374" s="152">
        <v>0.05</v>
      </c>
      <c r="U374" s="159">
        <f t="shared" si="452"/>
        <v>0</v>
      </c>
      <c r="V374" s="160">
        <f t="shared" si="454"/>
        <v>0</v>
      </c>
    </row>
    <row r="375" spans="1:22" ht="15" hidden="1" customHeight="1" x14ac:dyDescent="0.3">
      <c r="A375" s="34" t="s">
        <v>1400</v>
      </c>
      <c r="B375" s="36">
        <v>200</v>
      </c>
      <c r="C375" s="29" t="s">
        <v>1405</v>
      </c>
      <c r="D375" s="29" t="str">
        <f t="shared" si="449"/>
        <v>NO APLICA</v>
      </c>
      <c r="E375" s="27" t="s">
        <v>1137</v>
      </c>
      <c r="F375" s="42">
        <v>0</v>
      </c>
      <c r="G375" s="113">
        <v>0</v>
      </c>
      <c r="H375" s="9">
        <f t="shared" si="441"/>
        <v>0</v>
      </c>
      <c r="I375" s="9" t="s">
        <v>1235</v>
      </c>
      <c r="J375" s="9">
        <f t="shared" si="442"/>
        <v>0</v>
      </c>
      <c r="K375" s="9">
        <f t="shared" si="443"/>
        <v>0</v>
      </c>
      <c r="L375" s="9">
        <f t="shared" si="444"/>
        <v>0</v>
      </c>
      <c r="M375" s="11">
        <f t="shared" si="451"/>
        <v>0</v>
      </c>
      <c r="N375" s="9">
        <f t="shared" si="445"/>
        <v>0</v>
      </c>
      <c r="O375" s="12">
        <f t="shared" si="446"/>
        <v>0</v>
      </c>
      <c r="P375" s="13" t="str">
        <f t="shared" si="426"/>
        <v>NO</v>
      </c>
      <c r="Q375">
        <f t="shared" si="440"/>
        <v>0</v>
      </c>
      <c r="R375">
        <f t="shared" si="447"/>
        <v>100</v>
      </c>
      <c r="S375">
        <f t="shared" si="448"/>
        <v>0</v>
      </c>
      <c r="T375" s="154"/>
      <c r="U375" s="159"/>
      <c r="V375" s="160"/>
    </row>
    <row r="376" spans="1:22" ht="15" hidden="1" customHeight="1" x14ac:dyDescent="0.3">
      <c r="A376" s="34" t="s">
        <v>1400</v>
      </c>
      <c r="B376" s="36">
        <v>201</v>
      </c>
      <c r="C376" s="29" t="s">
        <v>1110</v>
      </c>
      <c r="D376" s="29" t="str">
        <f t="shared" si="449"/>
        <v>NO APLICA</v>
      </c>
      <c r="E376" s="27" t="s">
        <v>1137</v>
      </c>
      <c r="F376" s="20">
        <f t="shared" si="453"/>
        <v>0</v>
      </c>
      <c r="G376" s="21">
        <f t="shared" si="450"/>
        <v>0</v>
      </c>
      <c r="H376" s="9">
        <f t="shared" si="441"/>
        <v>0</v>
      </c>
      <c r="I376" s="9" t="s">
        <v>1235</v>
      </c>
      <c r="J376" s="9">
        <f t="shared" si="442"/>
        <v>0</v>
      </c>
      <c r="K376" s="9">
        <f t="shared" si="443"/>
        <v>0</v>
      </c>
      <c r="L376" s="9">
        <f t="shared" si="444"/>
        <v>0</v>
      </c>
      <c r="M376" s="11">
        <f t="shared" si="451"/>
        <v>0</v>
      </c>
      <c r="N376" s="9">
        <f t="shared" si="445"/>
        <v>0</v>
      </c>
      <c r="O376" s="12">
        <f t="shared" si="446"/>
        <v>0</v>
      </c>
      <c r="P376" s="13" t="str">
        <f t="shared" si="426"/>
        <v>NO</v>
      </c>
      <c r="Q376">
        <f t="shared" si="440"/>
        <v>0</v>
      </c>
      <c r="R376">
        <f t="shared" si="447"/>
        <v>100</v>
      </c>
      <c r="S376">
        <f t="shared" si="448"/>
        <v>0</v>
      </c>
      <c r="T376" s="152">
        <v>0.5</v>
      </c>
      <c r="U376" s="159">
        <f t="shared" si="452"/>
        <v>0</v>
      </c>
      <c r="V376" s="160">
        <f t="shared" si="454"/>
        <v>0</v>
      </c>
    </row>
    <row r="377" spans="1:22" ht="15" hidden="1" customHeight="1" x14ac:dyDescent="0.3">
      <c r="A377" s="34" t="s">
        <v>1400</v>
      </c>
      <c r="B377" s="36">
        <v>202</v>
      </c>
      <c r="C377" s="29" t="s">
        <v>1406</v>
      </c>
      <c r="D377" s="29" t="str">
        <f t="shared" si="449"/>
        <v>NO APLICA</v>
      </c>
      <c r="E377" s="27" t="s">
        <v>1137</v>
      </c>
      <c r="F377" s="42">
        <v>0</v>
      </c>
      <c r="G377" s="113">
        <v>0</v>
      </c>
      <c r="H377" s="9">
        <f t="shared" si="441"/>
        <v>0</v>
      </c>
      <c r="I377" s="9" t="s">
        <v>1235</v>
      </c>
      <c r="J377" s="9">
        <f t="shared" si="442"/>
        <v>0</v>
      </c>
      <c r="K377" s="9">
        <f t="shared" si="443"/>
        <v>0</v>
      </c>
      <c r="L377" s="9">
        <f t="shared" si="444"/>
        <v>0</v>
      </c>
      <c r="M377" s="11">
        <f t="shared" si="451"/>
        <v>0</v>
      </c>
      <c r="N377" s="9">
        <f t="shared" si="445"/>
        <v>0</v>
      </c>
      <c r="O377" s="12">
        <f t="shared" si="446"/>
        <v>0</v>
      </c>
      <c r="P377" s="13" t="str">
        <f t="shared" si="426"/>
        <v>NO</v>
      </c>
      <c r="Q377">
        <f t="shared" si="440"/>
        <v>0</v>
      </c>
      <c r="R377">
        <f t="shared" si="447"/>
        <v>100</v>
      </c>
      <c r="S377">
        <f t="shared" si="448"/>
        <v>0</v>
      </c>
      <c r="T377" s="152"/>
      <c r="U377" s="159"/>
      <c r="V377" s="160"/>
    </row>
    <row r="378" spans="1:22" ht="15" hidden="1" customHeight="1" thickBot="1" x14ac:dyDescent="0.35">
      <c r="A378" s="34" t="s">
        <v>1400</v>
      </c>
      <c r="B378" s="36">
        <v>195</v>
      </c>
      <c r="C378" s="29" t="s">
        <v>1262</v>
      </c>
      <c r="D378" s="29" t="str">
        <f t="shared" si="449"/>
        <v>NO APLICA</v>
      </c>
      <c r="E378" s="27" t="s">
        <v>1186</v>
      </c>
      <c r="F378" s="20">
        <f t="shared" si="453"/>
        <v>0</v>
      </c>
      <c r="G378" s="21">
        <f t="shared" si="450"/>
        <v>0</v>
      </c>
      <c r="H378" s="9">
        <f t="shared" si="441"/>
        <v>0</v>
      </c>
      <c r="I378" s="9" t="s">
        <v>1235</v>
      </c>
      <c r="J378" s="9">
        <f t="shared" si="442"/>
        <v>0</v>
      </c>
      <c r="K378" s="9">
        <f t="shared" si="443"/>
        <v>0</v>
      </c>
      <c r="L378" s="9">
        <f t="shared" si="444"/>
        <v>0</v>
      </c>
      <c r="M378" s="11">
        <f t="shared" si="451"/>
        <v>0</v>
      </c>
      <c r="N378" s="9">
        <f t="shared" si="445"/>
        <v>0</v>
      </c>
      <c r="O378" s="12">
        <f t="shared" si="446"/>
        <v>0</v>
      </c>
      <c r="P378" s="13" t="str">
        <f t="shared" si="426"/>
        <v>NO</v>
      </c>
      <c r="Q378">
        <f t="shared" si="440"/>
        <v>0</v>
      </c>
      <c r="R378">
        <f t="shared" si="447"/>
        <v>100</v>
      </c>
      <c r="S378">
        <f t="shared" si="448"/>
        <v>0</v>
      </c>
      <c r="T378" s="152">
        <v>0.05</v>
      </c>
      <c r="U378" s="159">
        <f t="shared" si="452"/>
        <v>0</v>
      </c>
      <c r="V378" s="160">
        <f t="shared" si="454"/>
        <v>0</v>
      </c>
    </row>
    <row r="379" spans="1:22" s="18" customFormat="1" ht="15" hidden="1" customHeight="1" thickBot="1" x14ac:dyDescent="0.35">
      <c r="A379" s="24"/>
      <c r="B379" s="26"/>
      <c r="C379" s="15" t="s">
        <v>1177</v>
      </c>
      <c r="D379" s="38" t="str">
        <f>D378</f>
        <v>NO APLICA</v>
      </c>
      <c r="E379" s="38"/>
      <c r="F379" s="16">
        <f>SUMIF(E371:E378,"Adicional",F371:F378)</f>
        <v>0</v>
      </c>
      <c r="G379" s="17"/>
      <c r="H379" s="16">
        <f>SUM(H371:H378)</f>
        <v>0</v>
      </c>
      <c r="I379" s="16"/>
      <c r="J379" s="16">
        <f t="shared" ref="J379:L379" si="455">SUM(J371:J378)</f>
        <v>0</v>
      </c>
      <c r="K379" s="16">
        <f t="shared" si="455"/>
        <v>0</v>
      </c>
      <c r="L379" s="16">
        <f t="shared" si="455"/>
        <v>0</v>
      </c>
      <c r="M379" s="16" t="s">
        <v>1178</v>
      </c>
      <c r="N379" s="16">
        <f t="shared" ref="N379:O379" si="456">SUM(N371:N378)</f>
        <v>0</v>
      </c>
      <c r="O379" s="84">
        <f t="shared" si="456"/>
        <v>0</v>
      </c>
      <c r="P379" s="13" t="str">
        <f t="shared" si="426"/>
        <v>NO</v>
      </c>
      <c r="Q379">
        <f>IF(D379="INCLUIDO",IF(H379&lt;&gt;0,1,0),0)</f>
        <v>0</v>
      </c>
      <c r="T379" s="143">
        <f>SUM(T371:T378)</f>
        <v>1</v>
      </c>
      <c r="U379" s="144">
        <f>SUM(U371:U378)</f>
        <v>0</v>
      </c>
      <c r="V379" s="145">
        <f>SUM(V371:V378)</f>
        <v>0</v>
      </c>
    </row>
    <row r="380" spans="1:22" ht="15" hidden="1" customHeight="1" x14ac:dyDescent="0.3">
      <c r="A380" s="82">
        <v>915</v>
      </c>
      <c r="B380" s="33">
        <v>1</v>
      </c>
      <c r="C380" s="19" t="s">
        <v>1407</v>
      </c>
      <c r="D380" s="23" t="str">
        <f>'Ramo Comercial'!C169</f>
        <v>NO APLICA</v>
      </c>
      <c r="E380" s="91"/>
      <c r="F380" s="28"/>
      <c r="G380" s="28"/>
      <c r="H380" s="28"/>
      <c r="I380" s="28"/>
      <c r="J380" s="28"/>
      <c r="K380" s="28"/>
      <c r="L380" s="28"/>
      <c r="M380" s="68">
        <v>0.2</v>
      </c>
      <c r="N380" s="28"/>
      <c r="O380" s="83"/>
      <c r="P380" s="13" t="str">
        <f t="shared" si="426"/>
        <v>NO</v>
      </c>
      <c r="Q380" s="47">
        <f>IF(D380="INCLUIDO",IF(F381&lt;&gt;0,1,0),0)</f>
        <v>0</v>
      </c>
    </row>
    <row r="381" spans="1:22" ht="15" hidden="1" customHeight="1" x14ac:dyDescent="0.3">
      <c r="A381" s="34" t="s">
        <v>1408</v>
      </c>
      <c r="B381" s="36">
        <v>203</v>
      </c>
      <c r="C381" s="29" t="s">
        <v>1409</v>
      </c>
      <c r="D381" s="29" t="str">
        <f>$D$380</f>
        <v>NO APLICA</v>
      </c>
      <c r="E381" s="27" t="s">
        <v>1152</v>
      </c>
      <c r="F381" s="43">
        <v>0</v>
      </c>
      <c r="G381" s="21">
        <v>0</v>
      </c>
      <c r="H381" s="9">
        <f t="shared" ref="H381:H393" si="457">(IF(I381="$ Prima",G381,G381*F381/R381))*$U$9</f>
        <v>0</v>
      </c>
      <c r="I381" s="9" t="s">
        <v>1287</v>
      </c>
      <c r="J381" s="9">
        <f t="shared" ref="J381:J393" si="458">H381*$U$7</f>
        <v>0</v>
      </c>
      <c r="K381" s="9">
        <f t="shared" ref="K381:K393" si="459">(H381+J381)*$K$15</f>
        <v>0</v>
      </c>
      <c r="L381" s="9">
        <f t="shared" ref="L381:L393" si="460">ROUND(H381+J381+K381,2)</f>
        <v>0</v>
      </c>
      <c r="M381" s="11">
        <f>$M$380</f>
        <v>0.2</v>
      </c>
      <c r="N381" s="9">
        <f t="shared" ref="N381:N393" si="461">H381*M381</f>
        <v>0</v>
      </c>
      <c r="O381" s="12">
        <f t="shared" ref="O381:O393" si="462">N381</f>
        <v>0</v>
      </c>
      <c r="P381" s="13" t="str">
        <f t="shared" si="426"/>
        <v>NO</v>
      </c>
      <c r="Q381">
        <f t="shared" ref="Q381:Q393" si="463">IF(D381="INCLUIDO",IF(F381&lt;&gt;0,1,0),0)</f>
        <v>0</v>
      </c>
      <c r="R381">
        <f t="shared" ref="R381:R393" si="464">IF(I381="%o Al Millar",1000,IF(I381="% Al Porciento",100,IF(I381="$ Prima",G381)))</f>
        <v>0</v>
      </c>
      <c r="S381">
        <f t="shared" ref="S381:S393" si="465">IF(E381="Excluido",0,IF(D381="NO APLICA",0,1))</f>
        <v>0</v>
      </c>
    </row>
    <row r="382" spans="1:22" ht="15" hidden="1" customHeight="1" x14ac:dyDescent="0.3">
      <c r="A382" s="34" t="s">
        <v>1408</v>
      </c>
      <c r="B382" s="36">
        <v>206</v>
      </c>
      <c r="C382" s="29" t="s">
        <v>1410</v>
      </c>
      <c r="D382" s="29" t="str">
        <f t="shared" ref="D382:D393" si="466">$D$380</f>
        <v>NO APLICA</v>
      </c>
      <c r="E382" s="27" t="s">
        <v>1152</v>
      </c>
      <c r="F382" s="43">
        <v>0</v>
      </c>
      <c r="G382" s="21">
        <v>0</v>
      </c>
      <c r="H382" s="9">
        <f t="shared" si="457"/>
        <v>0</v>
      </c>
      <c r="I382" s="9" t="s">
        <v>1287</v>
      </c>
      <c r="J382" s="9">
        <f t="shared" si="458"/>
        <v>0</v>
      </c>
      <c r="K382" s="9">
        <f t="shared" si="459"/>
        <v>0</v>
      </c>
      <c r="L382" s="9">
        <f t="shared" si="460"/>
        <v>0</v>
      </c>
      <c r="M382" s="11">
        <f t="shared" ref="M382:M393" si="467">$M$380</f>
        <v>0.2</v>
      </c>
      <c r="N382" s="9">
        <f t="shared" si="461"/>
        <v>0</v>
      </c>
      <c r="O382" s="12">
        <f t="shared" si="462"/>
        <v>0</v>
      </c>
      <c r="P382" s="13" t="str">
        <f t="shared" si="426"/>
        <v>NO</v>
      </c>
      <c r="Q382">
        <f t="shared" si="463"/>
        <v>0</v>
      </c>
      <c r="R382">
        <f t="shared" si="464"/>
        <v>0</v>
      </c>
      <c r="S382">
        <f t="shared" si="465"/>
        <v>0</v>
      </c>
    </row>
    <row r="383" spans="1:22" ht="15" hidden="1" customHeight="1" x14ac:dyDescent="0.3">
      <c r="A383" s="34" t="s">
        <v>1408</v>
      </c>
      <c r="B383" s="36">
        <v>269</v>
      </c>
      <c r="C383" s="29" t="s">
        <v>1411</v>
      </c>
      <c r="D383" s="29" t="str">
        <f t="shared" si="466"/>
        <v>NO APLICA</v>
      </c>
      <c r="E383" s="27" t="s">
        <v>1152</v>
      </c>
      <c r="F383" s="43">
        <v>0</v>
      </c>
      <c r="G383" s="21">
        <v>0</v>
      </c>
      <c r="H383" s="9">
        <f t="shared" si="457"/>
        <v>0</v>
      </c>
      <c r="I383" s="9" t="s">
        <v>1287</v>
      </c>
      <c r="J383" s="9">
        <f t="shared" si="458"/>
        <v>0</v>
      </c>
      <c r="K383" s="9">
        <f t="shared" si="459"/>
        <v>0</v>
      </c>
      <c r="L383" s="9">
        <f t="shared" si="460"/>
        <v>0</v>
      </c>
      <c r="M383" s="11">
        <f t="shared" si="467"/>
        <v>0.2</v>
      </c>
      <c r="N383" s="9">
        <f t="shared" si="461"/>
        <v>0</v>
      </c>
      <c r="O383" s="12">
        <f t="shared" si="462"/>
        <v>0</v>
      </c>
      <c r="P383" s="13" t="str">
        <f t="shared" si="426"/>
        <v>NO</v>
      </c>
      <c r="Q383">
        <f t="shared" si="463"/>
        <v>0</v>
      </c>
      <c r="R383">
        <f t="shared" si="464"/>
        <v>0</v>
      </c>
      <c r="S383">
        <f t="shared" si="465"/>
        <v>0</v>
      </c>
    </row>
    <row r="384" spans="1:22" ht="15" hidden="1" customHeight="1" x14ac:dyDescent="0.3">
      <c r="A384" s="34" t="s">
        <v>1408</v>
      </c>
      <c r="B384" s="36">
        <v>270</v>
      </c>
      <c r="C384" s="29" t="s">
        <v>1412</v>
      </c>
      <c r="D384" s="29" t="str">
        <f t="shared" si="466"/>
        <v>NO APLICA</v>
      </c>
      <c r="E384" s="27" t="s">
        <v>1152</v>
      </c>
      <c r="F384" s="43">
        <v>0</v>
      </c>
      <c r="G384" s="21">
        <v>0</v>
      </c>
      <c r="H384" s="9">
        <f t="shared" si="457"/>
        <v>0</v>
      </c>
      <c r="I384" s="9" t="s">
        <v>1287</v>
      </c>
      <c r="J384" s="9">
        <f t="shared" si="458"/>
        <v>0</v>
      </c>
      <c r="K384" s="9">
        <f t="shared" si="459"/>
        <v>0</v>
      </c>
      <c r="L384" s="9">
        <f t="shared" si="460"/>
        <v>0</v>
      </c>
      <c r="M384" s="11">
        <f t="shared" si="467"/>
        <v>0.2</v>
      </c>
      <c r="N384" s="9">
        <f t="shared" si="461"/>
        <v>0</v>
      </c>
      <c r="O384" s="12">
        <f t="shared" si="462"/>
        <v>0</v>
      </c>
      <c r="P384" s="13" t="str">
        <f t="shared" si="426"/>
        <v>NO</v>
      </c>
      <c r="Q384">
        <f t="shared" si="463"/>
        <v>0</v>
      </c>
      <c r="R384">
        <f t="shared" si="464"/>
        <v>0</v>
      </c>
      <c r="S384">
        <f t="shared" si="465"/>
        <v>0</v>
      </c>
    </row>
    <row r="385" spans="1:19" ht="15" hidden="1" customHeight="1" x14ac:dyDescent="0.3">
      <c r="A385" s="34" t="s">
        <v>1408</v>
      </c>
      <c r="B385" s="36">
        <v>204</v>
      </c>
      <c r="C385" s="29" t="s">
        <v>1413</v>
      </c>
      <c r="D385" s="29" t="str">
        <f t="shared" si="466"/>
        <v>NO APLICA</v>
      </c>
      <c r="E385" s="27" t="s">
        <v>1152</v>
      </c>
      <c r="F385" s="43">
        <v>0</v>
      </c>
      <c r="G385" s="21">
        <v>0</v>
      </c>
      <c r="H385" s="9">
        <f t="shared" si="457"/>
        <v>0</v>
      </c>
      <c r="I385" s="9" t="s">
        <v>1287</v>
      </c>
      <c r="J385" s="9">
        <f t="shared" si="458"/>
        <v>0</v>
      </c>
      <c r="K385" s="9">
        <f t="shared" si="459"/>
        <v>0</v>
      </c>
      <c r="L385" s="9">
        <f t="shared" si="460"/>
        <v>0</v>
      </c>
      <c r="M385" s="11">
        <f t="shared" si="467"/>
        <v>0.2</v>
      </c>
      <c r="N385" s="9">
        <f t="shared" si="461"/>
        <v>0</v>
      </c>
      <c r="O385" s="12">
        <f t="shared" si="462"/>
        <v>0</v>
      </c>
      <c r="P385" s="13" t="str">
        <f t="shared" si="426"/>
        <v>NO</v>
      </c>
      <c r="Q385">
        <f t="shared" si="463"/>
        <v>0</v>
      </c>
      <c r="R385">
        <f t="shared" si="464"/>
        <v>0</v>
      </c>
      <c r="S385">
        <f t="shared" si="465"/>
        <v>0</v>
      </c>
    </row>
    <row r="386" spans="1:19" ht="15" hidden="1" customHeight="1" x14ac:dyDescent="0.3">
      <c r="A386" s="34" t="s">
        <v>1408</v>
      </c>
      <c r="B386" s="36">
        <v>207</v>
      </c>
      <c r="C386" s="29" t="s">
        <v>1414</v>
      </c>
      <c r="D386" s="29" t="str">
        <f t="shared" si="466"/>
        <v>NO APLICA</v>
      </c>
      <c r="E386" s="27" t="s">
        <v>1152</v>
      </c>
      <c r="F386" s="43">
        <v>0</v>
      </c>
      <c r="G386" s="21">
        <v>0</v>
      </c>
      <c r="H386" s="9">
        <f t="shared" si="457"/>
        <v>0</v>
      </c>
      <c r="I386" s="9" t="s">
        <v>1287</v>
      </c>
      <c r="J386" s="9">
        <f t="shared" si="458"/>
        <v>0</v>
      </c>
      <c r="K386" s="9">
        <f t="shared" si="459"/>
        <v>0</v>
      </c>
      <c r="L386" s="9">
        <f t="shared" si="460"/>
        <v>0</v>
      </c>
      <c r="M386" s="11">
        <f t="shared" si="467"/>
        <v>0.2</v>
      </c>
      <c r="N386" s="9">
        <f t="shared" si="461"/>
        <v>0</v>
      </c>
      <c r="O386" s="12">
        <f t="shared" si="462"/>
        <v>0</v>
      </c>
      <c r="P386" s="13" t="str">
        <f t="shared" si="426"/>
        <v>NO</v>
      </c>
      <c r="Q386">
        <f t="shared" si="463"/>
        <v>0</v>
      </c>
      <c r="R386">
        <f t="shared" si="464"/>
        <v>0</v>
      </c>
      <c r="S386">
        <f t="shared" si="465"/>
        <v>0</v>
      </c>
    </row>
    <row r="387" spans="1:19" ht="15" hidden="1" customHeight="1" x14ac:dyDescent="0.3">
      <c r="A387" s="34" t="s">
        <v>1408</v>
      </c>
      <c r="B387" s="36">
        <v>271</v>
      </c>
      <c r="C387" s="29" t="s">
        <v>1415</v>
      </c>
      <c r="D387" s="29" t="str">
        <f t="shared" si="466"/>
        <v>NO APLICA</v>
      </c>
      <c r="E387" s="27" t="s">
        <v>1152</v>
      </c>
      <c r="F387" s="43">
        <v>0</v>
      </c>
      <c r="G387" s="21">
        <v>0</v>
      </c>
      <c r="H387" s="9">
        <f t="shared" si="457"/>
        <v>0</v>
      </c>
      <c r="I387" s="9" t="s">
        <v>1287</v>
      </c>
      <c r="J387" s="9">
        <f t="shared" si="458"/>
        <v>0</v>
      </c>
      <c r="K387" s="9">
        <f t="shared" si="459"/>
        <v>0</v>
      </c>
      <c r="L387" s="9">
        <f t="shared" si="460"/>
        <v>0</v>
      </c>
      <c r="M387" s="11">
        <f t="shared" si="467"/>
        <v>0.2</v>
      </c>
      <c r="N387" s="9">
        <f t="shared" si="461"/>
        <v>0</v>
      </c>
      <c r="O387" s="12">
        <f t="shared" si="462"/>
        <v>0</v>
      </c>
      <c r="P387" s="13" t="str">
        <f t="shared" si="426"/>
        <v>NO</v>
      </c>
      <c r="Q387">
        <f t="shared" si="463"/>
        <v>0</v>
      </c>
      <c r="R387">
        <f t="shared" si="464"/>
        <v>0</v>
      </c>
      <c r="S387">
        <f t="shared" si="465"/>
        <v>0</v>
      </c>
    </row>
    <row r="388" spans="1:19" ht="15" hidden="1" customHeight="1" x14ac:dyDescent="0.3">
      <c r="A388" s="34" t="s">
        <v>1408</v>
      </c>
      <c r="B388" s="36">
        <v>272</v>
      </c>
      <c r="C388" s="29" t="s">
        <v>1416</v>
      </c>
      <c r="D388" s="29" t="str">
        <f t="shared" si="466"/>
        <v>NO APLICA</v>
      </c>
      <c r="E388" s="27" t="s">
        <v>1152</v>
      </c>
      <c r="F388" s="43">
        <v>0</v>
      </c>
      <c r="G388" s="21">
        <v>0</v>
      </c>
      <c r="H388" s="9">
        <f t="shared" si="457"/>
        <v>0</v>
      </c>
      <c r="I388" s="9" t="s">
        <v>1287</v>
      </c>
      <c r="J388" s="9">
        <f t="shared" si="458"/>
        <v>0</v>
      </c>
      <c r="K388" s="9">
        <f t="shared" si="459"/>
        <v>0</v>
      </c>
      <c r="L388" s="9">
        <f t="shared" si="460"/>
        <v>0</v>
      </c>
      <c r="M388" s="11">
        <f t="shared" si="467"/>
        <v>0.2</v>
      </c>
      <c r="N388" s="9">
        <f t="shared" si="461"/>
        <v>0</v>
      </c>
      <c r="O388" s="12">
        <f t="shared" si="462"/>
        <v>0</v>
      </c>
      <c r="P388" s="13" t="str">
        <f t="shared" si="426"/>
        <v>NO</v>
      </c>
      <c r="Q388">
        <f t="shared" si="463"/>
        <v>0</v>
      </c>
      <c r="R388">
        <f t="shared" si="464"/>
        <v>0</v>
      </c>
      <c r="S388">
        <f t="shared" si="465"/>
        <v>0</v>
      </c>
    </row>
    <row r="389" spans="1:19" ht="15" hidden="1" customHeight="1" x14ac:dyDescent="0.3">
      <c r="A389" s="34" t="s">
        <v>1408</v>
      </c>
      <c r="B389" s="36">
        <v>205</v>
      </c>
      <c r="C389" s="29" t="s">
        <v>1417</v>
      </c>
      <c r="D389" s="29" t="str">
        <f t="shared" si="466"/>
        <v>NO APLICA</v>
      </c>
      <c r="E389" s="27" t="s">
        <v>1152</v>
      </c>
      <c r="F389" s="43">
        <v>0</v>
      </c>
      <c r="G389" s="21">
        <v>0</v>
      </c>
      <c r="H389" s="9">
        <f t="shared" si="457"/>
        <v>0</v>
      </c>
      <c r="I389" s="9" t="s">
        <v>1287</v>
      </c>
      <c r="J389" s="9">
        <f t="shared" si="458"/>
        <v>0</v>
      </c>
      <c r="K389" s="9">
        <f t="shared" si="459"/>
        <v>0</v>
      </c>
      <c r="L389" s="9">
        <f t="shared" si="460"/>
        <v>0</v>
      </c>
      <c r="M389" s="11">
        <f t="shared" si="467"/>
        <v>0.2</v>
      </c>
      <c r="N389" s="9">
        <f t="shared" si="461"/>
        <v>0</v>
      </c>
      <c r="O389" s="12">
        <f t="shared" si="462"/>
        <v>0</v>
      </c>
      <c r="P389" s="13" t="str">
        <f t="shared" si="426"/>
        <v>NO</v>
      </c>
      <c r="Q389">
        <f t="shared" si="463"/>
        <v>0</v>
      </c>
      <c r="R389">
        <f t="shared" si="464"/>
        <v>0</v>
      </c>
      <c r="S389">
        <f t="shared" si="465"/>
        <v>0</v>
      </c>
    </row>
    <row r="390" spans="1:19" ht="15" hidden="1" customHeight="1" x14ac:dyDescent="0.3">
      <c r="A390" s="34" t="s">
        <v>1408</v>
      </c>
      <c r="B390" s="36">
        <v>208</v>
      </c>
      <c r="C390" s="29" t="s">
        <v>1418</v>
      </c>
      <c r="D390" s="29" t="str">
        <f t="shared" si="466"/>
        <v>NO APLICA</v>
      </c>
      <c r="E390" s="27" t="s">
        <v>1152</v>
      </c>
      <c r="F390" s="43">
        <v>0</v>
      </c>
      <c r="G390" s="21">
        <v>0</v>
      </c>
      <c r="H390" s="9">
        <f t="shared" si="457"/>
        <v>0</v>
      </c>
      <c r="I390" s="9" t="s">
        <v>1287</v>
      </c>
      <c r="J390" s="9">
        <f t="shared" si="458"/>
        <v>0</v>
      </c>
      <c r="K390" s="9">
        <f t="shared" si="459"/>
        <v>0</v>
      </c>
      <c r="L390" s="9">
        <f t="shared" si="460"/>
        <v>0</v>
      </c>
      <c r="M390" s="11">
        <f t="shared" si="467"/>
        <v>0.2</v>
      </c>
      <c r="N390" s="9">
        <f t="shared" si="461"/>
        <v>0</v>
      </c>
      <c r="O390" s="12">
        <f t="shared" si="462"/>
        <v>0</v>
      </c>
      <c r="P390" s="13" t="str">
        <f t="shared" si="426"/>
        <v>NO</v>
      </c>
      <c r="Q390">
        <f t="shared" si="463"/>
        <v>0</v>
      </c>
      <c r="R390">
        <f t="shared" si="464"/>
        <v>0</v>
      </c>
      <c r="S390">
        <f t="shared" si="465"/>
        <v>0</v>
      </c>
    </row>
    <row r="391" spans="1:19" ht="15" hidden="1" customHeight="1" x14ac:dyDescent="0.3">
      <c r="A391" s="34" t="s">
        <v>1408</v>
      </c>
      <c r="B391" s="36">
        <v>273</v>
      </c>
      <c r="C391" s="29" t="s">
        <v>1419</v>
      </c>
      <c r="D391" s="29" t="str">
        <f t="shared" si="466"/>
        <v>NO APLICA</v>
      </c>
      <c r="E391" s="27" t="s">
        <v>1152</v>
      </c>
      <c r="F391" s="43">
        <v>0</v>
      </c>
      <c r="G391" s="21">
        <v>0</v>
      </c>
      <c r="H391" s="9">
        <f t="shared" si="457"/>
        <v>0</v>
      </c>
      <c r="I391" s="9" t="s">
        <v>1287</v>
      </c>
      <c r="J391" s="9">
        <f t="shared" si="458"/>
        <v>0</v>
      </c>
      <c r="K391" s="9">
        <f t="shared" si="459"/>
        <v>0</v>
      </c>
      <c r="L391" s="9">
        <f t="shared" si="460"/>
        <v>0</v>
      </c>
      <c r="M391" s="11">
        <f t="shared" si="467"/>
        <v>0.2</v>
      </c>
      <c r="N391" s="9">
        <f t="shared" si="461"/>
        <v>0</v>
      </c>
      <c r="O391" s="12">
        <f t="shared" si="462"/>
        <v>0</v>
      </c>
      <c r="P391" s="13" t="str">
        <f t="shared" si="426"/>
        <v>NO</v>
      </c>
      <c r="Q391">
        <f t="shared" si="463"/>
        <v>0</v>
      </c>
      <c r="R391">
        <f t="shared" si="464"/>
        <v>0</v>
      </c>
      <c r="S391">
        <f t="shared" si="465"/>
        <v>0</v>
      </c>
    </row>
    <row r="392" spans="1:19" ht="15" hidden="1" customHeight="1" x14ac:dyDescent="0.3">
      <c r="A392" s="34" t="s">
        <v>1408</v>
      </c>
      <c r="B392" s="36">
        <v>274</v>
      </c>
      <c r="C392" s="29" t="s">
        <v>1420</v>
      </c>
      <c r="D392" s="29" t="str">
        <f t="shared" si="466"/>
        <v>NO APLICA</v>
      </c>
      <c r="E392" s="27" t="s">
        <v>1152</v>
      </c>
      <c r="F392" s="43">
        <v>0</v>
      </c>
      <c r="G392" s="21">
        <v>0</v>
      </c>
      <c r="H392" s="9">
        <f t="shared" si="457"/>
        <v>0</v>
      </c>
      <c r="I392" s="9" t="s">
        <v>1287</v>
      </c>
      <c r="J392" s="9">
        <f t="shared" si="458"/>
        <v>0</v>
      </c>
      <c r="K392" s="9">
        <f t="shared" si="459"/>
        <v>0</v>
      </c>
      <c r="L392" s="9">
        <f t="shared" si="460"/>
        <v>0</v>
      </c>
      <c r="M392" s="11">
        <f t="shared" si="467"/>
        <v>0.2</v>
      </c>
      <c r="N392" s="9">
        <f t="shared" si="461"/>
        <v>0</v>
      </c>
      <c r="O392" s="12">
        <f t="shared" si="462"/>
        <v>0</v>
      </c>
      <c r="P392" s="13" t="str">
        <f t="shared" si="426"/>
        <v>NO</v>
      </c>
      <c r="Q392">
        <f t="shared" si="463"/>
        <v>0</v>
      </c>
      <c r="R392">
        <f t="shared" si="464"/>
        <v>0</v>
      </c>
      <c r="S392">
        <f t="shared" si="465"/>
        <v>0</v>
      </c>
    </row>
    <row r="393" spans="1:19" ht="15" hidden="1" customHeight="1" x14ac:dyDescent="0.3">
      <c r="A393" s="34" t="s">
        <v>1408</v>
      </c>
      <c r="B393" s="36">
        <v>255</v>
      </c>
      <c r="C393" s="29" t="s">
        <v>1293</v>
      </c>
      <c r="D393" s="29" t="str">
        <f t="shared" si="466"/>
        <v>NO APLICA</v>
      </c>
      <c r="E393" s="27" t="s">
        <v>1152</v>
      </c>
      <c r="F393" s="43">
        <v>0</v>
      </c>
      <c r="G393" s="21">
        <v>0</v>
      </c>
      <c r="H393" s="9">
        <f t="shared" si="457"/>
        <v>0</v>
      </c>
      <c r="I393" s="9" t="s">
        <v>1287</v>
      </c>
      <c r="J393" s="9">
        <f t="shared" si="458"/>
        <v>0</v>
      </c>
      <c r="K393" s="9">
        <f t="shared" si="459"/>
        <v>0</v>
      </c>
      <c r="L393" s="9">
        <f t="shared" si="460"/>
        <v>0</v>
      </c>
      <c r="M393" s="11">
        <f t="shared" si="467"/>
        <v>0.2</v>
      </c>
      <c r="N393" s="9">
        <f t="shared" si="461"/>
        <v>0</v>
      </c>
      <c r="O393" s="12">
        <f t="shared" si="462"/>
        <v>0</v>
      </c>
      <c r="P393" s="13" t="str">
        <f t="shared" si="426"/>
        <v>NO</v>
      </c>
      <c r="Q393">
        <f t="shared" si="463"/>
        <v>0</v>
      </c>
      <c r="R393">
        <f t="shared" si="464"/>
        <v>0</v>
      </c>
      <c r="S393">
        <f t="shared" si="465"/>
        <v>0</v>
      </c>
    </row>
    <row r="394" spans="1:19" s="18" customFormat="1" ht="15" hidden="1" customHeight="1" x14ac:dyDescent="0.3">
      <c r="A394" s="24"/>
      <c r="B394" s="26"/>
      <c r="C394" s="15" t="s">
        <v>1177</v>
      </c>
      <c r="D394" s="38" t="str">
        <f>D393</f>
        <v>NO APLICA</v>
      </c>
      <c r="E394" s="38"/>
      <c r="F394" s="16">
        <f>SUMIF(E381:E393,"Adicional",F381:F393)</f>
        <v>0</v>
      </c>
      <c r="G394" s="17"/>
      <c r="H394" s="16">
        <f>SUM(H381:H393)</f>
        <v>0</v>
      </c>
      <c r="I394" s="16"/>
      <c r="J394" s="16">
        <f t="shared" ref="J394:L394" si="468">SUM(J381:J393)</f>
        <v>0</v>
      </c>
      <c r="K394" s="16">
        <f t="shared" si="468"/>
        <v>0</v>
      </c>
      <c r="L394" s="16">
        <f t="shared" si="468"/>
        <v>0</v>
      </c>
      <c r="M394" s="16" t="s">
        <v>1178</v>
      </c>
      <c r="N394" s="16">
        <f t="shared" ref="N394:O394" si="469">SUM(N381:N393)</f>
        <v>0</v>
      </c>
      <c r="O394" s="84">
        <f t="shared" si="469"/>
        <v>0</v>
      </c>
      <c r="P394" s="13" t="str">
        <f t="shared" si="426"/>
        <v>NO</v>
      </c>
      <c r="Q394">
        <f>IF(D394="INCLUIDO",IF(H394&lt;&gt;0,1,0),0)</f>
        <v>0</v>
      </c>
    </row>
    <row r="395" spans="1:19" ht="15" hidden="1" customHeight="1" x14ac:dyDescent="0.3">
      <c r="A395" s="82">
        <v>916</v>
      </c>
      <c r="B395" s="33">
        <v>1</v>
      </c>
      <c r="C395" s="19" t="s">
        <v>1421</v>
      </c>
      <c r="D395" s="23" t="str">
        <f>'Ramo Comercial'!C171</f>
        <v>NO APLICA</v>
      </c>
      <c r="E395" s="91"/>
      <c r="F395" s="28"/>
      <c r="G395" s="28"/>
      <c r="H395" s="28"/>
      <c r="I395" s="28"/>
      <c r="J395" s="28"/>
      <c r="K395" s="28"/>
      <c r="L395" s="28"/>
      <c r="M395" s="68">
        <v>0</v>
      </c>
      <c r="N395" s="28"/>
      <c r="O395" s="83"/>
      <c r="P395" s="13" t="str">
        <f t="shared" si="426"/>
        <v>NO</v>
      </c>
      <c r="Q395" s="47">
        <f>IF(D395="INCLUIDO",IF(F396&lt;&gt;0,1,0),0)</f>
        <v>0</v>
      </c>
    </row>
    <row r="396" spans="1:19" ht="15" hidden="1" customHeight="1" x14ac:dyDescent="0.3">
      <c r="A396" s="34" t="s">
        <v>1422</v>
      </c>
      <c r="B396" s="36">
        <v>212</v>
      </c>
      <c r="C396" s="29" t="s">
        <v>1423</v>
      </c>
      <c r="D396" s="29" t="str">
        <f>$D$395</f>
        <v>NO APLICA</v>
      </c>
      <c r="E396" s="27" t="s">
        <v>1152</v>
      </c>
      <c r="F396" s="43">
        <v>0</v>
      </c>
      <c r="G396" s="21">
        <v>0</v>
      </c>
      <c r="H396" s="9">
        <f t="shared" ref="H396:H400" si="470">(IF(I396="$ Prima",G396,G396*F396/R396))*$U$9</f>
        <v>0</v>
      </c>
      <c r="I396" s="9" t="s">
        <v>1235</v>
      </c>
      <c r="J396" s="9">
        <f t="shared" ref="J396:J400" si="471">H396*$U$7</f>
        <v>0</v>
      </c>
      <c r="K396" s="9">
        <f t="shared" ref="K396:K400" si="472">(H396+J396)*$K$15</f>
        <v>0</v>
      </c>
      <c r="L396" s="9">
        <f t="shared" ref="L396:L400" si="473">ROUND(H396+J396+K396,2)</f>
        <v>0</v>
      </c>
      <c r="M396" s="11">
        <f>$M$395</f>
        <v>0</v>
      </c>
      <c r="N396" s="9">
        <f t="shared" ref="N396:N400" si="474">H396*M396</f>
        <v>0</v>
      </c>
      <c r="O396" s="12">
        <f t="shared" ref="O396:O400" si="475">N396</f>
        <v>0</v>
      </c>
      <c r="P396" s="13" t="str">
        <f t="shared" si="426"/>
        <v>NO</v>
      </c>
      <c r="Q396">
        <f>IF(D396="INCLUIDO",IF(F396&lt;&gt;0,1,0),0)</f>
        <v>0</v>
      </c>
      <c r="R396">
        <f>IF(I396="%o Al Millar",1000,IF(I396="% Al Porciento",100,IF(I396="$ Prima",G396)))</f>
        <v>100</v>
      </c>
      <c r="S396">
        <f t="shared" ref="S396:S400" si="476">IF(E396="Excluido",0,IF(D396="NO APLICA",0,1))</f>
        <v>0</v>
      </c>
    </row>
    <row r="397" spans="1:19" ht="15" hidden="1" customHeight="1" x14ac:dyDescent="0.3">
      <c r="A397" s="34" t="s">
        <v>1422</v>
      </c>
      <c r="B397" s="36">
        <v>211</v>
      </c>
      <c r="C397" s="29" t="s">
        <v>1424</v>
      </c>
      <c r="D397" s="29" t="str">
        <f t="shared" ref="D397:D400" si="477">$D$395</f>
        <v>NO APLICA</v>
      </c>
      <c r="E397" s="27" t="s">
        <v>1137</v>
      </c>
      <c r="F397" s="43">
        <v>0</v>
      </c>
      <c r="G397" s="21">
        <v>0</v>
      </c>
      <c r="H397" s="9">
        <f t="shared" si="470"/>
        <v>0</v>
      </c>
      <c r="I397" s="9" t="s">
        <v>1235</v>
      </c>
      <c r="J397" s="9">
        <f t="shared" si="471"/>
        <v>0</v>
      </c>
      <c r="K397" s="9">
        <f t="shared" si="472"/>
        <v>0</v>
      </c>
      <c r="L397" s="9">
        <f t="shared" si="473"/>
        <v>0</v>
      </c>
      <c r="M397" s="11">
        <f t="shared" ref="M397:M400" si="478">$M$395</f>
        <v>0</v>
      </c>
      <c r="N397" s="9">
        <f t="shared" si="474"/>
        <v>0</v>
      </c>
      <c r="O397" s="12">
        <f t="shared" si="475"/>
        <v>0</v>
      </c>
      <c r="P397" s="13" t="str">
        <f t="shared" si="426"/>
        <v>NO</v>
      </c>
      <c r="Q397">
        <f>IF(D397="INCLUIDO",IF(F397&lt;&gt;0,1,0),0)</f>
        <v>0</v>
      </c>
      <c r="R397">
        <f>IF(I397="%o Al Millar",1000,IF(I397="% Al Porciento",100,IF(I397="$ Prima",G397)))</f>
        <v>100</v>
      </c>
      <c r="S397">
        <f t="shared" si="476"/>
        <v>0</v>
      </c>
    </row>
    <row r="398" spans="1:19" ht="15" hidden="1" customHeight="1" x14ac:dyDescent="0.3">
      <c r="A398" s="34" t="s">
        <v>1422</v>
      </c>
      <c r="B398" s="36">
        <v>215</v>
      </c>
      <c r="C398" s="29" t="s">
        <v>1425</v>
      </c>
      <c r="D398" s="29" t="str">
        <f t="shared" si="477"/>
        <v>NO APLICA</v>
      </c>
      <c r="E398" s="27" t="s">
        <v>1137</v>
      </c>
      <c r="F398" s="43">
        <v>0</v>
      </c>
      <c r="G398" s="21">
        <v>0</v>
      </c>
      <c r="H398" s="9">
        <f t="shared" si="470"/>
        <v>0</v>
      </c>
      <c r="I398" s="9" t="s">
        <v>1235</v>
      </c>
      <c r="J398" s="9">
        <f t="shared" si="471"/>
        <v>0</v>
      </c>
      <c r="K398" s="9">
        <f t="shared" si="472"/>
        <v>0</v>
      </c>
      <c r="L398" s="9">
        <f t="shared" si="473"/>
        <v>0</v>
      </c>
      <c r="M398" s="11">
        <f t="shared" si="478"/>
        <v>0</v>
      </c>
      <c r="N398" s="9">
        <f t="shared" si="474"/>
        <v>0</v>
      </c>
      <c r="O398" s="12">
        <f t="shared" si="475"/>
        <v>0</v>
      </c>
      <c r="P398" s="13" t="str">
        <f t="shared" si="426"/>
        <v>NO</v>
      </c>
      <c r="Q398">
        <f>IF(D398="INCLUIDO",IF(F398&lt;&gt;0,1,0),0)</f>
        <v>0</v>
      </c>
      <c r="R398">
        <f>IF(I398="%o Al Millar",1000,IF(I398="% Al Porciento",100,IF(I398="$ Prima",G398)))</f>
        <v>100</v>
      </c>
      <c r="S398">
        <f t="shared" si="476"/>
        <v>0</v>
      </c>
    </row>
    <row r="399" spans="1:19" ht="15" hidden="1" customHeight="1" x14ac:dyDescent="0.3">
      <c r="A399" s="34" t="s">
        <v>1422</v>
      </c>
      <c r="B399" s="36">
        <v>217</v>
      </c>
      <c r="C399" s="29" t="s">
        <v>1426</v>
      </c>
      <c r="D399" s="29" t="str">
        <f t="shared" si="477"/>
        <v>NO APLICA</v>
      </c>
      <c r="E399" s="27" t="s">
        <v>1137</v>
      </c>
      <c r="F399" s="43">
        <v>0</v>
      </c>
      <c r="G399" s="21">
        <v>0</v>
      </c>
      <c r="H399" s="9">
        <f t="shared" si="470"/>
        <v>0</v>
      </c>
      <c r="I399" s="9" t="s">
        <v>1235</v>
      </c>
      <c r="J399" s="9">
        <f t="shared" si="471"/>
        <v>0</v>
      </c>
      <c r="K399" s="9">
        <f t="shared" si="472"/>
        <v>0</v>
      </c>
      <c r="L399" s="9">
        <f t="shared" si="473"/>
        <v>0</v>
      </c>
      <c r="M399" s="11">
        <f t="shared" si="478"/>
        <v>0</v>
      </c>
      <c r="N399" s="9">
        <f t="shared" si="474"/>
        <v>0</v>
      </c>
      <c r="O399" s="12">
        <f t="shared" si="475"/>
        <v>0</v>
      </c>
      <c r="P399" s="13" t="str">
        <f t="shared" si="426"/>
        <v>NO</v>
      </c>
      <c r="Q399">
        <f>IF(D399="INCLUIDO",IF(F399&lt;&gt;0,1,0),0)</f>
        <v>0</v>
      </c>
      <c r="R399">
        <f>IF(I399="%o Al Millar",1000,IF(I399="% Al Porciento",100,IF(I399="$ Prima",G399)))</f>
        <v>100</v>
      </c>
      <c r="S399">
        <f t="shared" si="476"/>
        <v>0</v>
      </c>
    </row>
    <row r="400" spans="1:19" ht="15" hidden="1" customHeight="1" x14ac:dyDescent="0.3">
      <c r="A400" s="34" t="s">
        <v>1422</v>
      </c>
      <c r="B400" s="36">
        <v>218</v>
      </c>
      <c r="C400" s="29" t="s">
        <v>1392</v>
      </c>
      <c r="D400" s="29" t="str">
        <f t="shared" si="477"/>
        <v>NO APLICA</v>
      </c>
      <c r="E400" s="27" t="s">
        <v>1137</v>
      </c>
      <c r="F400" s="43">
        <v>0</v>
      </c>
      <c r="G400" s="21">
        <v>0</v>
      </c>
      <c r="H400" s="9">
        <f t="shared" si="470"/>
        <v>0</v>
      </c>
      <c r="I400" s="9" t="s">
        <v>1235</v>
      </c>
      <c r="J400" s="9">
        <f t="shared" si="471"/>
        <v>0</v>
      </c>
      <c r="K400" s="9">
        <f t="shared" si="472"/>
        <v>0</v>
      </c>
      <c r="L400" s="9">
        <f t="shared" si="473"/>
        <v>0</v>
      </c>
      <c r="M400" s="11">
        <f t="shared" si="478"/>
        <v>0</v>
      </c>
      <c r="N400" s="9">
        <f t="shared" si="474"/>
        <v>0</v>
      </c>
      <c r="O400" s="12">
        <f t="shared" si="475"/>
        <v>0</v>
      </c>
      <c r="P400" s="13" t="str">
        <f t="shared" si="426"/>
        <v>NO</v>
      </c>
      <c r="Q400">
        <f>IF(D400="INCLUIDO",IF(F400&lt;&gt;0,1,0),0)</f>
        <v>0</v>
      </c>
      <c r="R400">
        <f>IF(I400="%o Al Millar",1000,IF(I400="% Al Porciento",100,IF(I400="$ Prima",G400)))</f>
        <v>100</v>
      </c>
      <c r="S400">
        <f t="shared" si="476"/>
        <v>0</v>
      </c>
    </row>
    <row r="401" spans="1:19" s="18" customFormat="1" ht="15" hidden="1" customHeight="1" x14ac:dyDescent="0.3">
      <c r="A401" s="24"/>
      <c r="B401" s="26"/>
      <c r="C401" s="15" t="s">
        <v>1177</v>
      </c>
      <c r="D401" s="38" t="str">
        <f>D400</f>
        <v>NO APLICA</v>
      </c>
      <c r="E401" s="38"/>
      <c r="F401" s="16">
        <f>SUMIF(E396:E400,"Adicional",F396:F400)</f>
        <v>0</v>
      </c>
      <c r="G401" s="17"/>
      <c r="H401" s="16">
        <f>SUM(H396:H400)</f>
        <v>0</v>
      </c>
      <c r="I401" s="16"/>
      <c r="J401" s="16">
        <f t="shared" ref="J401:L401" si="479">SUM(J396:J400)</f>
        <v>0</v>
      </c>
      <c r="K401" s="16">
        <f t="shared" si="479"/>
        <v>0</v>
      </c>
      <c r="L401" s="16">
        <f t="shared" si="479"/>
        <v>0</v>
      </c>
      <c r="M401" s="16" t="s">
        <v>1178</v>
      </c>
      <c r="N401" s="16">
        <f t="shared" ref="N401:O401" si="480">SUM(N396:N400)</f>
        <v>0</v>
      </c>
      <c r="O401" s="84">
        <f t="shared" si="480"/>
        <v>0</v>
      </c>
      <c r="P401" s="13" t="str">
        <f t="shared" si="426"/>
        <v>NO</v>
      </c>
      <c r="Q401">
        <f>IF(D401="INCLUIDO",IF(H401&lt;&gt;0,1,0),0)</f>
        <v>0</v>
      </c>
    </row>
    <row r="402" spans="1:19" ht="15" hidden="1" customHeight="1" x14ac:dyDescent="0.3">
      <c r="A402" s="82">
        <v>918</v>
      </c>
      <c r="B402" s="33">
        <v>1</v>
      </c>
      <c r="C402" s="19" t="s">
        <v>1427</v>
      </c>
      <c r="D402" s="23" t="str">
        <f>'Ramo Comercial'!C172</f>
        <v>NO APLICA</v>
      </c>
      <c r="E402" s="91"/>
      <c r="F402" s="42">
        <v>0</v>
      </c>
      <c r="G402" s="28"/>
      <c r="H402" s="28"/>
      <c r="I402" s="28"/>
      <c r="J402" s="28"/>
      <c r="K402" s="28"/>
      <c r="L402" s="28"/>
      <c r="M402" s="68">
        <v>0</v>
      </c>
      <c r="N402" s="28"/>
      <c r="O402" s="83"/>
      <c r="P402" s="13" t="str">
        <f t="shared" si="426"/>
        <v>NO</v>
      </c>
      <c r="Q402" s="48">
        <f>IF(D402="INCLUIDO",IF(F402&lt;&gt;0,1,0),0)</f>
        <v>0</v>
      </c>
    </row>
    <row r="403" spans="1:19" ht="15" hidden="1" customHeight="1" x14ac:dyDescent="0.3">
      <c r="A403" s="34" t="s">
        <v>1428</v>
      </c>
      <c r="B403" s="36">
        <v>219</v>
      </c>
      <c r="C403" s="29" t="s">
        <v>1429</v>
      </c>
      <c r="D403" s="29" t="str">
        <f>D402</f>
        <v>NO APLICA</v>
      </c>
      <c r="E403" s="27" t="s">
        <v>1152</v>
      </c>
      <c r="F403" s="20">
        <f>F402*S403</f>
        <v>0</v>
      </c>
      <c r="G403" s="21">
        <v>0</v>
      </c>
      <c r="H403" s="9">
        <f>(IF(I403="$ Prima",G403,G403*F403/R403))*$U$9</f>
        <v>0</v>
      </c>
      <c r="I403" s="9" t="s">
        <v>1235</v>
      </c>
      <c r="J403" s="9">
        <f>H403*$U$7</f>
        <v>0</v>
      </c>
      <c r="K403" s="9">
        <f>(H403+J403)*$K$15</f>
        <v>0</v>
      </c>
      <c r="L403" s="9">
        <f>ROUND(H403+J403+K403,2)</f>
        <v>0</v>
      </c>
      <c r="M403" s="11">
        <f>M402</f>
        <v>0</v>
      </c>
      <c r="N403" s="9">
        <f>H403*M403</f>
        <v>0</v>
      </c>
      <c r="O403" s="12">
        <f>N403</f>
        <v>0</v>
      </c>
      <c r="P403" s="13" t="str">
        <f t="shared" si="426"/>
        <v>NO</v>
      </c>
      <c r="Q403">
        <f>IF(D403="INCLUIDO",IF(F403&lt;&gt;0,1,0),0)</f>
        <v>0</v>
      </c>
      <c r="R403">
        <f>IF(I403="%o Al Millar",1000,IF(I403="% Al Porciento",100,IF(I403="$ Prima",G403)))</f>
        <v>100</v>
      </c>
      <c r="S403">
        <f t="shared" ref="S403" si="481">IF(E403="Excluido",0,IF(D403="NO APLICA",0,1))</f>
        <v>0</v>
      </c>
    </row>
    <row r="404" spans="1:19" s="18" customFormat="1" ht="15" hidden="1" customHeight="1" x14ac:dyDescent="0.3">
      <c r="A404" s="24"/>
      <c r="B404" s="26"/>
      <c r="C404" s="15" t="s">
        <v>1177</v>
      </c>
      <c r="D404" s="38" t="str">
        <f>D403</f>
        <v>NO APLICA</v>
      </c>
      <c r="E404" s="38"/>
      <c r="F404" s="16">
        <f>F403</f>
        <v>0</v>
      </c>
      <c r="G404" s="17"/>
      <c r="H404" s="16">
        <f>SUM(H403)</f>
        <v>0</v>
      </c>
      <c r="I404" s="16"/>
      <c r="J404" s="16">
        <f t="shared" ref="J404:L404" si="482">SUM(J403)</f>
        <v>0</v>
      </c>
      <c r="K404" s="16">
        <f t="shared" si="482"/>
        <v>0</v>
      </c>
      <c r="L404" s="16">
        <f t="shared" si="482"/>
        <v>0</v>
      </c>
      <c r="M404" s="16" t="s">
        <v>1178</v>
      </c>
      <c r="N404" s="16">
        <f t="shared" ref="N404:O404" si="483">SUM(N403)</f>
        <v>0</v>
      </c>
      <c r="O404" s="84">
        <f t="shared" si="483"/>
        <v>0</v>
      </c>
      <c r="P404" s="13" t="str">
        <f t="shared" si="426"/>
        <v>NO</v>
      </c>
      <c r="Q404">
        <f>IF(D404="INCLUIDO",IF(H404&lt;&gt;0,1,0),0)</f>
        <v>0</v>
      </c>
    </row>
    <row r="405" spans="1:19" ht="15" hidden="1" customHeight="1" x14ac:dyDescent="0.3">
      <c r="A405" s="82">
        <v>919</v>
      </c>
      <c r="B405" s="33">
        <v>1</v>
      </c>
      <c r="C405" s="19" t="s">
        <v>1430</v>
      </c>
      <c r="D405" s="23" t="str">
        <f>'Ramo Comercial'!C173</f>
        <v>NO APLICA</v>
      </c>
      <c r="E405" s="91"/>
      <c r="F405" s="28"/>
      <c r="G405" s="28"/>
      <c r="H405" s="28"/>
      <c r="I405" s="28"/>
      <c r="J405" s="28"/>
      <c r="K405" s="28"/>
      <c r="L405" s="28"/>
      <c r="M405" s="68">
        <v>0</v>
      </c>
      <c r="N405" s="28"/>
      <c r="O405" s="83"/>
      <c r="P405" s="13" t="str">
        <f t="shared" si="426"/>
        <v>NO</v>
      </c>
      <c r="Q405" s="47">
        <f>IF(D405="INCLUIDO",IF(F406&lt;&gt;0,1,0),0)</f>
        <v>0</v>
      </c>
    </row>
    <row r="406" spans="1:19" ht="15" hidden="1" customHeight="1" x14ac:dyDescent="0.3">
      <c r="A406" s="34" t="s">
        <v>1430</v>
      </c>
      <c r="B406" s="36">
        <v>220</v>
      </c>
      <c r="C406" s="29" t="s">
        <v>1431</v>
      </c>
      <c r="D406" s="29" t="str">
        <f>$D$405</f>
        <v>NO APLICA</v>
      </c>
      <c r="E406" s="27" t="s">
        <v>1152</v>
      </c>
      <c r="F406" s="43">
        <v>0</v>
      </c>
      <c r="G406" s="21">
        <v>0</v>
      </c>
      <c r="H406" s="9">
        <f t="shared" ref="H406:H409" si="484">(IF(I406="$ Prima",G406,G406*F406/R406))*$U$9</f>
        <v>0</v>
      </c>
      <c r="I406" s="9" t="s">
        <v>1287</v>
      </c>
      <c r="J406" s="9">
        <f t="shared" ref="J406:J409" si="485">H406*$U$7</f>
        <v>0</v>
      </c>
      <c r="K406" s="9">
        <f t="shared" ref="K406:K409" si="486">(H406+J406)*$K$15</f>
        <v>0</v>
      </c>
      <c r="L406" s="9">
        <f t="shared" ref="L406:L409" si="487">ROUND(H406+J406+K406,2)</f>
        <v>0</v>
      </c>
      <c r="M406" s="11">
        <f>$M$405</f>
        <v>0</v>
      </c>
      <c r="N406" s="9">
        <f t="shared" ref="N406:N409" si="488">H406*M406</f>
        <v>0</v>
      </c>
      <c r="O406" s="12">
        <f t="shared" ref="O406:O409" si="489">N406</f>
        <v>0</v>
      </c>
      <c r="P406" s="13" t="str">
        <f t="shared" si="426"/>
        <v>NO</v>
      </c>
      <c r="Q406">
        <f>IF(D406="INCLUIDO",IF(F406&lt;&gt;0,1,0),0)</f>
        <v>0</v>
      </c>
      <c r="R406">
        <f>IF(I406="%o Al Millar",1000,IF(I406="% Al Porciento",100,IF(I406="$ Prima",G406)))</f>
        <v>0</v>
      </c>
      <c r="S406">
        <f t="shared" ref="S406:S409" si="490">IF(E406="Excluido",0,IF(D406="NO APLICA",0,1))</f>
        <v>0</v>
      </c>
    </row>
    <row r="407" spans="1:19" ht="22.5" hidden="1" customHeight="1" x14ac:dyDescent="0.3">
      <c r="A407" s="34" t="s">
        <v>1430</v>
      </c>
      <c r="B407" s="36">
        <v>221</v>
      </c>
      <c r="C407" s="29" t="s">
        <v>1432</v>
      </c>
      <c r="D407" s="29" t="str">
        <f t="shared" ref="D407:D409" si="491">$D$405</f>
        <v>NO APLICA</v>
      </c>
      <c r="E407" s="27" t="s">
        <v>1137</v>
      </c>
      <c r="F407" s="43">
        <v>0</v>
      </c>
      <c r="G407" s="21">
        <v>0</v>
      </c>
      <c r="H407" s="9">
        <f t="shared" si="484"/>
        <v>0</v>
      </c>
      <c r="I407" s="9" t="s">
        <v>1287</v>
      </c>
      <c r="J407" s="9">
        <f t="shared" si="485"/>
        <v>0</v>
      </c>
      <c r="K407" s="9">
        <f t="shared" si="486"/>
        <v>0</v>
      </c>
      <c r="L407" s="9">
        <f t="shared" si="487"/>
        <v>0</v>
      </c>
      <c r="M407" s="11">
        <f t="shared" ref="M407:M409" si="492">$M$405</f>
        <v>0</v>
      </c>
      <c r="N407" s="9">
        <f t="shared" si="488"/>
        <v>0</v>
      </c>
      <c r="O407" s="12">
        <f t="shared" si="489"/>
        <v>0</v>
      </c>
      <c r="P407" s="13" t="str">
        <f t="shared" si="426"/>
        <v>NO</v>
      </c>
      <c r="Q407">
        <f>IF(D407="INCLUIDO",IF(F407&lt;&gt;0,1,0),0)</f>
        <v>0</v>
      </c>
      <c r="R407">
        <f>IF(I407="%o Al Millar",1000,IF(I407="% Al Porciento",100,IF(I407="$ Prima",G407)))</f>
        <v>0</v>
      </c>
      <c r="S407">
        <f t="shared" si="490"/>
        <v>0</v>
      </c>
    </row>
    <row r="408" spans="1:19" ht="15" hidden="1" customHeight="1" x14ac:dyDescent="0.3">
      <c r="A408" s="34" t="s">
        <v>1430</v>
      </c>
      <c r="B408" s="36">
        <v>222</v>
      </c>
      <c r="C408" s="29" t="s">
        <v>1433</v>
      </c>
      <c r="D408" s="29" t="str">
        <f t="shared" si="491"/>
        <v>NO APLICA</v>
      </c>
      <c r="E408" s="27" t="s">
        <v>1137</v>
      </c>
      <c r="F408" s="43">
        <v>0</v>
      </c>
      <c r="G408" s="21">
        <v>0</v>
      </c>
      <c r="H408" s="9">
        <f t="shared" si="484"/>
        <v>0</v>
      </c>
      <c r="I408" s="9" t="s">
        <v>1287</v>
      </c>
      <c r="J408" s="9">
        <f t="shared" si="485"/>
        <v>0</v>
      </c>
      <c r="K408" s="9">
        <f t="shared" si="486"/>
        <v>0</v>
      </c>
      <c r="L408" s="9">
        <f t="shared" si="487"/>
        <v>0</v>
      </c>
      <c r="M408" s="11">
        <f t="shared" si="492"/>
        <v>0</v>
      </c>
      <c r="N408" s="9">
        <f t="shared" si="488"/>
        <v>0</v>
      </c>
      <c r="O408" s="12">
        <f t="shared" si="489"/>
        <v>0</v>
      </c>
      <c r="P408" s="13" t="str">
        <f t="shared" si="426"/>
        <v>NO</v>
      </c>
      <c r="Q408">
        <f>IF(D408="INCLUIDO",IF(F408&lt;&gt;0,1,0),0)</f>
        <v>0</v>
      </c>
      <c r="R408">
        <f>IF(I408="%o Al Millar",1000,IF(I408="% Al Porciento",100,IF(I408="$ Prima",G408)))</f>
        <v>0</v>
      </c>
      <c r="S408">
        <f t="shared" si="490"/>
        <v>0</v>
      </c>
    </row>
    <row r="409" spans="1:19" ht="15" hidden="1" customHeight="1" x14ac:dyDescent="0.3">
      <c r="A409" s="34" t="s">
        <v>1430</v>
      </c>
      <c r="B409" s="36">
        <v>223</v>
      </c>
      <c r="C409" s="29" t="s">
        <v>1434</v>
      </c>
      <c r="D409" s="29" t="str">
        <f t="shared" si="491"/>
        <v>NO APLICA</v>
      </c>
      <c r="E409" s="27" t="s">
        <v>1137</v>
      </c>
      <c r="F409" s="43">
        <v>0</v>
      </c>
      <c r="G409" s="21">
        <v>0</v>
      </c>
      <c r="H409" s="9">
        <f t="shared" si="484"/>
        <v>0</v>
      </c>
      <c r="I409" s="9" t="s">
        <v>1287</v>
      </c>
      <c r="J409" s="9">
        <f t="shared" si="485"/>
        <v>0</v>
      </c>
      <c r="K409" s="9">
        <f t="shared" si="486"/>
        <v>0</v>
      </c>
      <c r="L409" s="9">
        <f t="shared" si="487"/>
        <v>0</v>
      </c>
      <c r="M409" s="11">
        <f t="shared" si="492"/>
        <v>0</v>
      </c>
      <c r="N409" s="9">
        <f t="shared" si="488"/>
        <v>0</v>
      </c>
      <c r="O409" s="12">
        <f t="shared" si="489"/>
        <v>0</v>
      </c>
      <c r="P409" s="13" t="str">
        <f t="shared" si="426"/>
        <v>NO</v>
      </c>
      <c r="Q409">
        <f>IF(D409="INCLUIDO",IF(F409&lt;&gt;0,1,0),0)</f>
        <v>0</v>
      </c>
      <c r="R409">
        <f>IF(I409="%o Al Millar",1000,IF(I409="% Al Porciento",100,IF(I409="$ Prima",G409)))</f>
        <v>0</v>
      </c>
      <c r="S409">
        <f t="shared" si="490"/>
        <v>0</v>
      </c>
    </row>
    <row r="410" spans="1:19" s="18" customFormat="1" ht="15.75" hidden="1" customHeight="1" thickBot="1" x14ac:dyDescent="0.35">
      <c r="A410" s="85"/>
      <c r="B410" s="86"/>
      <c r="C410" s="99" t="s">
        <v>1177</v>
      </c>
      <c r="D410" s="100" t="str">
        <f>D409</f>
        <v>NO APLICA</v>
      </c>
      <c r="E410" s="100"/>
      <c r="F410" s="87">
        <f>SUMIF(E406:E409,"Adicional",F406:F409)</f>
        <v>0</v>
      </c>
      <c r="G410" s="101"/>
      <c r="H410" s="87">
        <f>SUM(H406:H409)</f>
        <v>0</v>
      </c>
      <c r="I410" s="87"/>
      <c r="J410" s="87">
        <f t="shared" ref="J410:L410" si="493">SUM(J406:J409)</f>
        <v>0</v>
      </c>
      <c r="K410" s="87">
        <f t="shared" si="493"/>
        <v>0</v>
      </c>
      <c r="L410" s="87">
        <f t="shared" si="493"/>
        <v>0</v>
      </c>
      <c r="M410" s="87" t="s">
        <v>1178</v>
      </c>
      <c r="N410" s="87">
        <f t="shared" ref="N410:O410" si="494">SUM(N406:N409)</f>
        <v>0</v>
      </c>
      <c r="O410" s="102">
        <f t="shared" si="494"/>
        <v>0</v>
      </c>
      <c r="P410" s="13" t="str">
        <f t="shared" si="426"/>
        <v>NO</v>
      </c>
      <c r="Q410">
        <f>IF(D410="INCLUIDO",IF(H410&lt;&gt;0,1,0),0)</f>
        <v>0</v>
      </c>
    </row>
    <row r="411" spans="1:19" s="18" customFormat="1" ht="21" customHeight="1" x14ac:dyDescent="0.3">
      <c r="A411" s="69"/>
      <c r="B411" s="69"/>
      <c r="C411" s="103" t="s">
        <v>1435</v>
      </c>
      <c r="D411" s="94" t="s">
        <v>1436</v>
      </c>
      <c r="E411" s="94"/>
      <c r="F411" s="104">
        <f>SUMIF(C17:C410,"SUBTOTAL",F17:F410)</f>
        <v>20000000</v>
      </c>
      <c r="G411" s="94"/>
      <c r="H411" s="93">
        <f>H40+H77+H99+H103+H107+H111+H115+H122+H129+H137+H145+H148+H151+H154+H157+H160+H166+H172+H178+H182+H186+H202+H206+H210+H213+H216+H220+H223+H226+H230+H233+H236+H240+H272+H276+H282+H329+H336+H344+H350+H363+H369+H379+H394+H401+H404+H410</f>
        <v>0</v>
      </c>
      <c r="I411" s="104">
        <v>0</v>
      </c>
      <c r="J411" s="93">
        <v>0</v>
      </c>
      <c r="K411" s="93">
        <f>(H411+I411+J411)*16%</f>
        <v>0</v>
      </c>
      <c r="L411" s="93">
        <f>H411+I411+J411+K411</f>
        <v>0</v>
      </c>
      <c r="M411" s="94"/>
      <c r="N411" s="93">
        <f>N40+N77+N99+N103+N107+N111+N115+N122+N129+N137+N145+N148+N151+N154+N157+N160+N166+N172+N178+N182+N186+N202+N206+N210+N213+N216+N220+N223+N226+N230+N233+N236+N240+N272+N276+N282+N329+N336+N344+N350+N363+N369+N379+N394+N401+N404+N410</f>
        <v>0</v>
      </c>
      <c r="O411" s="93">
        <f>O40+O77+O99+O103+O107+O111+O115+O122+O129+O137+O145+O148+O151+O154+O157+O160+O166+O172+O178+O182+O186+O202+O206+O210+O213+O216+O220+O223+O226+O230+O233+O236+O240+O272+O276+O282+O329+O336+O344+O350+O363+O369+O379+O394+O401+O404+O410</f>
        <v>0</v>
      </c>
      <c r="P411" s="98" t="s">
        <v>1437</v>
      </c>
      <c r="Q411"/>
    </row>
    <row r="412" spans="1:19" x14ac:dyDescent="0.3">
      <c r="C412" s="3"/>
      <c r="D412" s="94" t="s">
        <v>1436</v>
      </c>
      <c r="E412" s="94"/>
      <c r="F412" s="96" t="s">
        <v>1438</v>
      </c>
      <c r="G412" s="94"/>
      <c r="H412" s="95" t="s">
        <v>1439</v>
      </c>
      <c r="I412" s="96" t="s">
        <v>56</v>
      </c>
      <c r="J412" s="95" t="s">
        <v>1440</v>
      </c>
      <c r="K412" s="95" t="s">
        <v>1131</v>
      </c>
      <c r="L412" s="95" t="s">
        <v>79</v>
      </c>
      <c r="M412" s="93"/>
      <c r="N412" s="736" t="s">
        <v>1441</v>
      </c>
      <c r="O412" s="736"/>
      <c r="P412" s="98" t="s">
        <v>1437</v>
      </c>
    </row>
    <row r="413" spans="1:19" x14ac:dyDescent="0.3">
      <c r="C413" s="3"/>
      <c r="G413" s="22"/>
      <c r="H413" s="22"/>
      <c r="I413" s="22"/>
      <c r="N413" s="432" t="e">
        <f>N411/H411</f>
        <v>#DIV/0!</v>
      </c>
    </row>
    <row r="415" spans="1:19" ht="18" x14ac:dyDescent="0.3">
      <c r="K415" s="750" t="s">
        <v>1442</v>
      </c>
      <c r="L415" s="750"/>
      <c r="M415" s="750"/>
      <c r="N415" s="750"/>
      <c r="O415" s="750"/>
    </row>
    <row r="416" spans="1:19" ht="24" x14ac:dyDescent="0.3">
      <c r="C416" s="422" t="s">
        <v>1443</v>
      </c>
      <c r="D416" s="421"/>
      <c r="E416" s="735" t="s">
        <v>1444</v>
      </c>
      <c r="F416" s="735"/>
      <c r="G416" s="735"/>
      <c r="H416" s="422" t="s">
        <v>1445</v>
      </c>
      <c r="K416" s="751"/>
      <c r="L416" s="751"/>
      <c r="M416" s="751"/>
      <c r="N416" s="751"/>
      <c r="O416" s="751"/>
    </row>
    <row r="417" spans="3:15" x14ac:dyDescent="0.3">
      <c r="C417" t="s">
        <v>1446</v>
      </c>
      <c r="F417" s="4" t="s">
        <v>1447</v>
      </c>
      <c r="H417" s="4" t="s">
        <v>1437</v>
      </c>
      <c r="K417" s="752" t="s">
        <v>1448</v>
      </c>
      <c r="L417" s="753"/>
      <c r="M417" s="753"/>
      <c r="N417" s="753"/>
      <c r="O417" s="753"/>
    </row>
    <row r="418" spans="3:15" ht="15.6" x14ac:dyDescent="0.3">
      <c r="C418" t="s">
        <v>1449</v>
      </c>
      <c r="F418" s="4" t="s">
        <v>1450</v>
      </c>
      <c r="H418" s="4" t="s">
        <v>1437</v>
      </c>
      <c r="K418" s="754"/>
      <c r="L418" s="754"/>
      <c r="M418" s="754"/>
      <c r="N418" s="754"/>
      <c r="O418" s="754"/>
    </row>
    <row r="419" spans="3:15" ht="18" x14ac:dyDescent="0.3">
      <c r="C419" t="s">
        <v>1451</v>
      </c>
      <c r="F419" s="4" t="s">
        <v>1452</v>
      </c>
      <c r="H419" s="4" t="s">
        <v>1437</v>
      </c>
      <c r="K419" s="750" t="s">
        <v>1453</v>
      </c>
      <c r="L419" s="750"/>
      <c r="M419" s="750"/>
      <c r="N419" s="750"/>
      <c r="O419" s="750"/>
    </row>
    <row r="420" spans="3:15" ht="18" x14ac:dyDescent="0.3">
      <c r="C420" t="s">
        <v>1454</v>
      </c>
      <c r="F420" s="4" t="s">
        <v>1455</v>
      </c>
      <c r="H420" s="4" t="s">
        <v>1437</v>
      </c>
      <c r="K420" s="750" t="s">
        <v>1456</v>
      </c>
      <c r="L420" s="750"/>
      <c r="M420" s="750"/>
      <c r="N420" s="750"/>
      <c r="O420" s="750"/>
    </row>
    <row r="421" spans="3:15" ht="18" x14ac:dyDescent="0.3">
      <c r="C421" t="s">
        <v>1457</v>
      </c>
      <c r="F421" s="4" t="s">
        <v>1458</v>
      </c>
      <c r="H421" s="4" t="s">
        <v>1437</v>
      </c>
      <c r="K421" s="750" t="s">
        <v>1459</v>
      </c>
      <c r="L421" s="750"/>
      <c r="M421" s="750"/>
      <c r="N421" s="750"/>
      <c r="O421" s="750"/>
    </row>
    <row r="422" spans="3:15" x14ac:dyDescent="0.3">
      <c r="C422" t="s">
        <v>1460</v>
      </c>
      <c r="F422" s="4" t="s">
        <v>1461</v>
      </c>
      <c r="H422" s="4" t="s">
        <v>1462</v>
      </c>
    </row>
  </sheetData>
  <autoFilter ref="A16:P412" xr:uid="{00000000-0009-0000-0000-000001000000}">
    <filterColumn colId="3">
      <filters>
        <filter val="INCLUIDO"/>
      </filters>
    </filterColumn>
    <filterColumn colId="15">
      <filters>
        <filter val="SI"/>
      </filters>
    </filterColumn>
  </autoFilter>
  <dataConsolidate/>
  <mergeCells count="40">
    <mergeCell ref="K417:O417"/>
    <mergeCell ref="K418:O418"/>
    <mergeCell ref="K419:O419"/>
    <mergeCell ref="K420:O420"/>
    <mergeCell ref="K421:O421"/>
    <mergeCell ref="E416:G416"/>
    <mergeCell ref="N412:O412"/>
    <mergeCell ref="A12:B12"/>
    <mergeCell ref="H12:J12"/>
    <mergeCell ref="A13:B13"/>
    <mergeCell ref="D13:E13"/>
    <mergeCell ref="H13:I13"/>
    <mergeCell ref="J13:J14"/>
    <mergeCell ref="A14:B14"/>
    <mergeCell ref="D14:E14"/>
    <mergeCell ref="A15:B15"/>
    <mergeCell ref="C15:D15"/>
    <mergeCell ref="K415:O415"/>
    <mergeCell ref="K416:O416"/>
    <mergeCell ref="S9:T9"/>
    <mergeCell ref="A10:B10"/>
    <mergeCell ref="C10:K10"/>
    <mergeCell ref="L10:M10"/>
    <mergeCell ref="N10:O10"/>
    <mergeCell ref="A11:B11"/>
    <mergeCell ref="C11:K11"/>
    <mergeCell ref="A8:B8"/>
    <mergeCell ref="C8:E8"/>
    <mergeCell ref="G8:K8"/>
    <mergeCell ref="L8:O8"/>
    <mergeCell ref="A9:B9"/>
    <mergeCell ref="C9:I9"/>
    <mergeCell ref="L9:M9"/>
    <mergeCell ref="N9:O9"/>
    <mergeCell ref="S7:T7"/>
    <mergeCell ref="E2:H3"/>
    <mergeCell ref="A5:O5"/>
    <mergeCell ref="A7:B7"/>
    <mergeCell ref="C7:J7"/>
    <mergeCell ref="L7:O7"/>
  </mergeCells>
  <conditionalFormatting sqref="E18:E19">
    <cfRule type="containsText" dxfId="2116" priority="737" operator="containsText" text="Adicional">
      <formula>NOT(ISERROR(SEARCH("Adicional",E18)))</formula>
    </cfRule>
    <cfRule type="containsText" dxfId="2115" priority="736" operator="containsText" text="Sublimite">
      <formula>NOT(ISERROR(SEARCH("Sublimite",E18)))</formula>
    </cfRule>
  </conditionalFormatting>
  <conditionalFormatting sqref="E18:E21">
    <cfRule type="containsText" dxfId="2114" priority="728" operator="containsText" text="Excluido">
      <formula>NOT(ISERROR(SEARCH("Excluido",E18)))</formula>
    </cfRule>
    <cfRule type="containsText" dxfId="2113" priority="729" operator="containsText" text="Sublimite">
      <formula>NOT(ISERROR(SEARCH("Sublimite",E18)))</formula>
    </cfRule>
  </conditionalFormatting>
  <conditionalFormatting sqref="E18:E35">
    <cfRule type="containsText" dxfId="2112" priority="13" operator="containsText" text="Excluido">
      <formula>NOT(ISERROR(SEARCH("Excluido",E18)))</formula>
    </cfRule>
  </conditionalFormatting>
  <conditionalFormatting sqref="E18:E58">
    <cfRule type="containsText" dxfId="2111" priority="622" operator="containsText" text="Sublimite">
      <formula>NOT(ISERROR(SEARCH("Sublimite",E18)))</formula>
    </cfRule>
  </conditionalFormatting>
  <conditionalFormatting sqref="E20:E21">
    <cfRule type="containsText" dxfId="2110" priority="730" operator="containsText" text="Sublimite">
      <formula>NOT(ISERROR(SEARCH("Sublimite",E20)))</formula>
    </cfRule>
  </conditionalFormatting>
  <conditionalFormatting sqref="E21:E35">
    <cfRule type="containsText" dxfId="2109" priority="14" operator="containsText" text="Sublimite">
      <formula>NOT(ISERROR(SEARCH("Sublimite",E21)))</formula>
    </cfRule>
  </conditionalFormatting>
  <conditionalFormatting sqref="E22:E25">
    <cfRule type="containsText" dxfId="2108" priority="715" operator="containsText" text="Sublimite">
      <formula>NOT(ISERROR(SEARCH("Sublimite",E22)))</formula>
    </cfRule>
  </conditionalFormatting>
  <conditionalFormatting sqref="E22:E58">
    <cfRule type="containsText" dxfId="2107" priority="624" operator="containsText" text="Sublimite">
      <formula>NOT(ISERROR(SEARCH("Sublimite",E22)))</formula>
    </cfRule>
  </conditionalFormatting>
  <conditionalFormatting sqref="E22:E60">
    <cfRule type="containsText" dxfId="2106" priority="37" operator="containsText" text="Excluido">
      <formula>NOT(ISERROR(SEARCH("Excluido",E22)))</formula>
    </cfRule>
  </conditionalFormatting>
  <conditionalFormatting sqref="E24">
    <cfRule type="containsText" dxfId="2105" priority="28" operator="containsText" text="Adicional">
      <formula>NOT(ISERROR(SEARCH("Adicional",E24)))</formula>
    </cfRule>
    <cfRule type="containsText" dxfId="2104" priority="25" operator="containsText" text="Excluido">
      <formula>NOT(ISERROR(SEARCH("Excluido",E24)))</formula>
    </cfRule>
    <cfRule type="containsText" dxfId="2103" priority="26" operator="containsText" text="Sublimite">
      <formula>NOT(ISERROR(SEARCH("Sublimite",E24)))</formula>
    </cfRule>
    <cfRule type="containsText" dxfId="2102" priority="27" operator="containsText" text="Sublimite">
      <formula>NOT(ISERROR(SEARCH("Sublimite",E24)))</formula>
    </cfRule>
  </conditionalFormatting>
  <conditionalFormatting sqref="E25:E60">
    <cfRule type="containsText" dxfId="2101" priority="36" operator="containsText" text="Sublimite">
      <formula>NOT(ISERROR(SEARCH("Sublimite",E25)))</formula>
    </cfRule>
    <cfRule type="containsText" dxfId="2100" priority="38" operator="containsText" text="Sublimite">
      <formula>NOT(ISERROR(SEARCH("Sublimite",E25)))</formula>
    </cfRule>
    <cfRule type="containsText" dxfId="2099" priority="35" operator="containsText" text="Excluido">
      <formula>NOT(ISERROR(SEARCH("Excluido",E25)))</formula>
    </cfRule>
  </conditionalFormatting>
  <conditionalFormatting sqref="E26:E27">
    <cfRule type="containsText" dxfId="2098" priority="45" operator="containsText" text="Sublimite">
      <formula>NOT(ISERROR(SEARCH("Sublimite",E26)))</formula>
    </cfRule>
    <cfRule type="containsText" dxfId="2097" priority="46" operator="containsText" text="Adicional">
      <formula>NOT(ISERROR(SEARCH("Adicional",E26)))</formula>
    </cfRule>
  </conditionalFormatting>
  <conditionalFormatting sqref="E29:E58">
    <cfRule type="containsText" dxfId="2096" priority="625" operator="containsText" text="Sublimite">
      <formula>NOT(ISERROR(SEARCH("Sublimite",E29)))</formula>
    </cfRule>
    <cfRule type="containsText" dxfId="2095" priority="623" operator="containsText" text="Excluido">
      <formula>NOT(ISERROR(SEARCH("Excluido",E29)))</formula>
    </cfRule>
    <cfRule type="containsText" dxfId="2094" priority="621" operator="containsText" text="Excluido">
      <formula>NOT(ISERROR(SEARCH("Excluido",E29)))</formula>
    </cfRule>
  </conditionalFormatting>
  <conditionalFormatting sqref="E35">
    <cfRule type="containsText" dxfId="2093" priority="17" operator="containsText" text="Sublimite">
      <formula>NOT(ISERROR(SEARCH("Sublimite",E35)))</formula>
    </cfRule>
    <cfRule type="containsText" dxfId="2092" priority="18" operator="containsText" text="Adicional">
      <formula>NOT(ISERROR(SEARCH("Adicional",E35)))</formula>
    </cfRule>
    <cfRule type="containsText" dxfId="2091" priority="16" operator="containsText" text="Sublimite">
      <formula>NOT(ISERROR(SEARCH("Sublimite",E35)))</formula>
    </cfRule>
    <cfRule type="containsText" dxfId="2090" priority="15" operator="containsText" text="Excluido">
      <formula>NOT(ISERROR(SEARCH("Excluido",E35)))</formula>
    </cfRule>
  </conditionalFormatting>
  <conditionalFormatting sqref="E37">
    <cfRule type="containsText" dxfId="2089" priority="181" operator="containsText" text="Sublimite">
      <formula>NOT(ISERROR(SEARCH("Sublimite",E37)))</formula>
    </cfRule>
  </conditionalFormatting>
  <conditionalFormatting sqref="E39">
    <cfRule type="containsText" dxfId="2088" priority="176" operator="containsText" text="Sublimite">
      <formula>NOT(ISERROR(SEARCH("Sublimite",E39)))</formula>
    </cfRule>
  </conditionalFormatting>
  <conditionalFormatting sqref="E42:E117">
    <cfRule type="containsText" dxfId="2087" priority="11" operator="containsText" text="Sublimite">
      <formula>NOT(ISERROR(SEARCH("Sublimite",E42)))</formula>
    </cfRule>
    <cfRule type="containsText" dxfId="2086" priority="12" operator="containsText" text="Adicional">
      <formula>NOT(ISERROR(SEARCH("Adicional",E42)))</formula>
    </cfRule>
  </conditionalFormatting>
  <conditionalFormatting sqref="E42:E121">
    <cfRule type="containsText" dxfId="2085" priority="8" operator="containsText" text="Sublimite">
      <formula>NOT(ISERROR(SEARCH("Sublimite",E42)))</formula>
    </cfRule>
    <cfRule type="containsText" dxfId="2084" priority="9" operator="containsText" text="Excluido">
      <formula>NOT(ISERROR(SEARCH("Excluido",E42)))</formula>
    </cfRule>
    <cfRule type="containsText" dxfId="2083" priority="10" operator="containsText" text="Sublimite">
      <formula>NOT(ISERROR(SEARCH("Sublimite",E42)))</formula>
    </cfRule>
    <cfRule type="containsText" dxfId="2082" priority="7" operator="containsText" text="Excluido">
      <formula>NOT(ISERROR(SEARCH("Excluido",E42)))</formula>
    </cfRule>
  </conditionalFormatting>
  <conditionalFormatting sqref="E43">
    <cfRule type="containsText" dxfId="2081" priority="475" operator="containsText" text="Adicional">
      <formula>NOT(ISERROR(SEARCH("Adicional",E43)))</formula>
    </cfRule>
    <cfRule type="containsText" dxfId="2080" priority="474" operator="containsText" text="Sublimite">
      <formula>NOT(ISERROR(SEARCH("Sublimite",E43)))</formula>
    </cfRule>
  </conditionalFormatting>
  <conditionalFormatting sqref="E54">
    <cfRule type="containsText" dxfId="2079" priority="620" operator="containsText" text="Sublimite">
      <formula>NOT(ISERROR(SEARCH("Sublimite",E54)))</formula>
    </cfRule>
  </conditionalFormatting>
  <conditionalFormatting sqref="E59:E60">
    <cfRule type="containsText" dxfId="2078" priority="39" operator="containsText" text="Sublimite">
      <formula>NOT(ISERROR(SEARCH("Sublimite",E59)))</formula>
    </cfRule>
    <cfRule type="containsText" dxfId="2077" priority="40" operator="containsText" text="Adicional">
      <formula>NOT(ISERROR(SEARCH("Adicional",E59)))</formula>
    </cfRule>
  </conditionalFormatting>
  <conditionalFormatting sqref="E62:E209">
    <cfRule type="containsText" dxfId="2076" priority="480" operator="containsText" text="Sublimite">
      <formula>NOT(ISERROR(SEARCH("Sublimite",E62)))</formula>
    </cfRule>
    <cfRule type="containsText" dxfId="2075" priority="479" operator="containsText" text="Sublimite">
      <formula>NOT(ISERROR(SEARCH("Sublimite",E62)))</formula>
    </cfRule>
    <cfRule type="containsText" dxfId="2074" priority="478" operator="containsText" text="Excluido">
      <formula>NOT(ISERROR(SEARCH("Excluido",E62)))</formula>
    </cfRule>
    <cfRule type="containsText" dxfId="2073" priority="477" operator="containsText" text="Sublimite">
      <formula>NOT(ISERROR(SEARCH("Sublimite",E62)))</formula>
    </cfRule>
    <cfRule type="containsText" dxfId="2072" priority="476" operator="containsText" text="Excluido">
      <formula>NOT(ISERROR(SEARCH("Excluido",E62)))</formula>
    </cfRule>
  </conditionalFormatting>
  <conditionalFormatting sqref="E70">
    <cfRule type="containsText" dxfId="2071" priority="171" operator="containsText" text="Sublimite">
      <formula>NOT(ISERROR(SEARCH("Sublimite",E70)))</formula>
    </cfRule>
  </conditionalFormatting>
  <conditionalFormatting sqref="E72">
    <cfRule type="containsText" dxfId="2070" priority="166" operator="containsText" text="Sublimite">
      <formula>NOT(ISERROR(SEARCH("Sublimite",E72)))</formula>
    </cfRule>
  </conditionalFormatting>
  <conditionalFormatting sqref="E74">
    <cfRule type="containsText" dxfId="2069" priority="161" operator="containsText" text="Sublimite">
      <formula>NOT(ISERROR(SEARCH("Sublimite",E74)))</formula>
    </cfRule>
  </conditionalFormatting>
  <conditionalFormatting sqref="E76">
    <cfRule type="containsText" dxfId="2068" priority="156" operator="containsText" text="Sublimite">
      <formula>NOT(ISERROR(SEARCH("Sublimite",E76)))</formula>
    </cfRule>
  </conditionalFormatting>
  <conditionalFormatting sqref="E87:E89">
    <cfRule type="containsText" dxfId="2067" priority="151" operator="containsText" text="Sublimite">
      <formula>NOT(ISERROR(SEARCH("Sublimite",E87)))</formula>
    </cfRule>
  </conditionalFormatting>
  <conditionalFormatting sqref="E91:E94">
    <cfRule type="containsText" dxfId="2066" priority="146" operator="containsText" text="Sublimite">
      <formula>NOT(ISERROR(SEARCH("Sublimite",E91)))</formula>
    </cfRule>
  </conditionalFormatting>
  <conditionalFormatting sqref="E96:E98">
    <cfRule type="containsText" dxfId="2065" priority="141" operator="containsText" text="Sublimite">
      <formula>NOT(ISERROR(SEARCH("Sublimite",E96)))</formula>
    </cfRule>
  </conditionalFormatting>
  <conditionalFormatting sqref="E101:E191">
    <cfRule type="containsText" dxfId="2064" priority="363" operator="containsText" text="Sublimite">
      <formula>NOT(ISERROR(SEARCH("Sublimite",E101)))</formula>
    </cfRule>
    <cfRule type="containsText" dxfId="2063" priority="362" operator="containsText" text="Excluido">
      <formula>NOT(ISERROR(SEARCH("Excluido",E101)))</formula>
    </cfRule>
    <cfRule type="containsText" dxfId="2062" priority="365" operator="containsText" text="Sublimite">
      <formula>NOT(ISERROR(SEARCH("Sublimite",E101)))</formula>
    </cfRule>
    <cfRule type="containsText" dxfId="2061" priority="367" operator="containsText" text="Adicional">
      <formula>NOT(ISERROR(SEARCH("Adicional",E101)))</formula>
    </cfRule>
    <cfRule type="containsText" dxfId="2060" priority="366" operator="containsText" text="Sublimite">
      <formula>NOT(ISERROR(SEARCH("Sublimite",E101)))</formula>
    </cfRule>
    <cfRule type="containsText" dxfId="2059" priority="364" operator="containsText" text="Excluido">
      <formula>NOT(ISERROR(SEARCH("Excluido",E101)))</formula>
    </cfRule>
  </conditionalFormatting>
  <conditionalFormatting sqref="E118:E121">
    <cfRule type="containsText" dxfId="2058" priority="136" operator="containsText" text="Sublimite">
      <formula>NOT(ISERROR(SEARCH("Sublimite",E118)))</formula>
    </cfRule>
  </conditionalFormatting>
  <conditionalFormatting sqref="E124">
    <cfRule type="containsText" dxfId="2057" priority="5" operator="containsText" text="Sublimite">
      <formula>NOT(ISERROR(SEARCH("Sublimite",E124)))</formula>
    </cfRule>
    <cfRule type="containsText" dxfId="2056" priority="6" operator="containsText" text="Adicional">
      <formula>NOT(ISERROR(SEARCH("Adicional",E124)))</formula>
    </cfRule>
  </conditionalFormatting>
  <conditionalFormatting sqref="E124:E128">
    <cfRule type="containsText" dxfId="2055" priority="2" operator="containsText" text="Sublimite">
      <formula>NOT(ISERROR(SEARCH("Sublimite",E124)))</formula>
    </cfRule>
    <cfRule type="containsText" dxfId="2054" priority="3" operator="containsText" text="Excluido">
      <formula>NOT(ISERROR(SEARCH("Excluido",E124)))</formula>
    </cfRule>
    <cfRule type="containsText" dxfId="2053" priority="4" operator="containsText" text="Sublimite">
      <formula>NOT(ISERROR(SEARCH("Sublimite",E124)))</formula>
    </cfRule>
    <cfRule type="containsText" dxfId="2052" priority="1" operator="containsText" text="Excluido">
      <formula>NOT(ISERROR(SEARCH("Excluido",E124)))</formula>
    </cfRule>
  </conditionalFormatting>
  <conditionalFormatting sqref="E125:E128">
    <cfRule type="containsText" dxfId="2051" priority="131" operator="containsText" text="Sublimite">
      <formula>NOT(ISERROR(SEARCH("Sublimite",E125)))</formula>
    </cfRule>
  </conditionalFormatting>
  <conditionalFormatting sqref="E131:E136">
    <cfRule type="containsText" dxfId="2050" priority="349" operator="containsText" text="Adicional">
      <formula>NOT(ISERROR(SEARCH("Adicional",E131)))</formula>
    </cfRule>
    <cfRule type="containsText" dxfId="2049" priority="348" operator="containsText" text="Sublimite">
      <formula>NOT(ISERROR(SEARCH("Sublimite",E131)))</formula>
    </cfRule>
  </conditionalFormatting>
  <conditionalFormatting sqref="E131:E219">
    <cfRule type="containsText" dxfId="2048" priority="123" operator="containsText" text="Sublimite">
      <formula>NOT(ISERROR(SEARCH("Sublimite",E131)))</formula>
    </cfRule>
    <cfRule type="containsText" dxfId="2047" priority="124" operator="containsText" text="Excluido">
      <formula>NOT(ISERROR(SEARCH("Excluido",E131)))</formula>
    </cfRule>
    <cfRule type="containsText" dxfId="2046" priority="125" operator="containsText" text="Sublimite">
      <formula>NOT(ISERROR(SEARCH("Sublimite",E131)))</formula>
    </cfRule>
    <cfRule type="containsText" dxfId="2045" priority="122" operator="containsText" text="Excluido">
      <formula>NOT(ISERROR(SEARCH("Excluido",E131)))</formula>
    </cfRule>
  </conditionalFormatting>
  <conditionalFormatting sqref="E139:E144">
    <cfRule type="containsText" dxfId="2044" priority="342" operator="containsText" text="Sublimite">
      <formula>NOT(ISERROR(SEARCH("Sublimite",E139)))</formula>
    </cfRule>
    <cfRule type="containsText" dxfId="2043" priority="343" operator="containsText" text="Adicional">
      <formula>NOT(ISERROR(SEARCH("Adicional",E139)))</formula>
    </cfRule>
  </conditionalFormatting>
  <conditionalFormatting sqref="E147">
    <cfRule type="containsText" dxfId="2042" priority="337" operator="containsText" text="Adicional">
      <formula>NOT(ISERROR(SEARCH("Adicional",E147)))</formula>
    </cfRule>
    <cfRule type="containsText" dxfId="2041" priority="336" operator="containsText" text="Sublimite">
      <formula>NOT(ISERROR(SEARCH("Sublimite",E147)))</formula>
    </cfRule>
  </conditionalFormatting>
  <conditionalFormatting sqref="E150">
    <cfRule type="containsText" dxfId="2040" priority="331" operator="containsText" text="Adicional">
      <formula>NOT(ISERROR(SEARCH("Adicional",E150)))</formula>
    </cfRule>
    <cfRule type="containsText" dxfId="2039" priority="330" operator="containsText" text="Sublimite">
      <formula>NOT(ISERROR(SEARCH("Sublimite",E150)))</formula>
    </cfRule>
  </conditionalFormatting>
  <conditionalFormatting sqref="E153">
    <cfRule type="containsText" dxfId="2038" priority="325" operator="containsText" text="Adicional">
      <formula>NOT(ISERROR(SEARCH("Adicional",E153)))</formula>
    </cfRule>
    <cfRule type="containsText" dxfId="2037" priority="324" operator="containsText" text="Sublimite">
      <formula>NOT(ISERROR(SEARCH("Sublimite",E153)))</formula>
    </cfRule>
  </conditionalFormatting>
  <conditionalFormatting sqref="E156">
    <cfRule type="containsText" dxfId="2036" priority="318" operator="containsText" text="Sublimite">
      <formula>NOT(ISERROR(SEARCH("Sublimite",E156)))</formula>
    </cfRule>
    <cfRule type="containsText" dxfId="2035" priority="319" operator="containsText" text="Adicional">
      <formula>NOT(ISERROR(SEARCH("Adicional",E156)))</formula>
    </cfRule>
  </conditionalFormatting>
  <conditionalFormatting sqref="E159">
    <cfRule type="containsText" dxfId="2034" priority="312" operator="containsText" text="Sublimite">
      <formula>NOT(ISERROR(SEARCH("Sublimite",E159)))</formula>
    </cfRule>
    <cfRule type="containsText" dxfId="2033" priority="313" operator="containsText" text="Adicional">
      <formula>NOT(ISERROR(SEARCH("Adicional",E159)))</formula>
    </cfRule>
  </conditionalFormatting>
  <conditionalFormatting sqref="E212">
    <cfRule type="containsText" dxfId="2032" priority="306" operator="containsText" text="Sublimite">
      <formula>NOT(ISERROR(SEARCH("Sublimite",E212)))</formula>
    </cfRule>
    <cfRule type="containsText" dxfId="2031" priority="307" operator="containsText" text="Adicional">
      <formula>NOT(ISERROR(SEARCH("Adicional",E212)))</formula>
    </cfRule>
  </conditionalFormatting>
  <conditionalFormatting sqref="E215">
    <cfRule type="containsText" dxfId="2030" priority="300" operator="containsText" text="Sublimite">
      <formula>NOT(ISERROR(SEARCH("Sublimite",E215)))</formula>
    </cfRule>
    <cfRule type="containsText" dxfId="2029" priority="301" operator="containsText" text="Adicional">
      <formula>NOT(ISERROR(SEARCH("Adicional",E215)))</formula>
    </cfRule>
  </conditionalFormatting>
  <conditionalFormatting sqref="E218">
    <cfRule type="containsText" dxfId="2028" priority="294" operator="containsText" text="Sublimite">
      <formula>NOT(ISERROR(SEARCH("Sublimite",E218)))</formula>
    </cfRule>
    <cfRule type="containsText" dxfId="2027" priority="295" operator="containsText" text="Adicional">
      <formula>NOT(ISERROR(SEARCH("Adicional",E218)))</formula>
    </cfRule>
  </conditionalFormatting>
  <conditionalFormatting sqref="E219">
    <cfRule type="containsText" dxfId="2026" priority="126" operator="containsText" text="Sublimite">
      <formula>NOT(ISERROR(SEARCH("Sublimite",E219)))</formula>
    </cfRule>
  </conditionalFormatting>
  <conditionalFormatting sqref="E222">
    <cfRule type="containsText" dxfId="2025" priority="121" operator="containsText" text="Sublimite">
      <formula>NOT(ISERROR(SEARCH("Sublimite",E222)))</formula>
    </cfRule>
    <cfRule type="containsText" dxfId="2024" priority="117" operator="containsText" text="Excluido">
      <formula>NOT(ISERROR(SEARCH("Excluido",E222)))</formula>
    </cfRule>
    <cfRule type="containsText" dxfId="2023" priority="118" operator="containsText" text="Sublimite">
      <formula>NOT(ISERROR(SEARCH("Sublimite",E222)))</formula>
    </cfRule>
    <cfRule type="containsText" dxfId="2022" priority="119" operator="containsText" text="Excluido">
      <formula>NOT(ISERROR(SEARCH("Excluido",E222)))</formula>
    </cfRule>
    <cfRule type="containsText" dxfId="2021" priority="120" operator="containsText" text="Sublimite">
      <formula>NOT(ISERROR(SEARCH("Sublimite",E222)))</formula>
    </cfRule>
  </conditionalFormatting>
  <conditionalFormatting sqref="E225">
    <cfRule type="containsText" dxfId="2020" priority="112" operator="containsText" text="Excluido">
      <formula>NOT(ISERROR(SEARCH("Excluido",E225)))</formula>
    </cfRule>
    <cfRule type="containsText" dxfId="2019" priority="113" operator="containsText" text="Sublimite">
      <formula>NOT(ISERROR(SEARCH("Sublimite",E225)))</formula>
    </cfRule>
    <cfRule type="containsText" dxfId="2018" priority="114" operator="containsText" text="Excluido">
      <formula>NOT(ISERROR(SEARCH("Excluido",E225)))</formula>
    </cfRule>
    <cfRule type="containsText" dxfId="2017" priority="115" operator="containsText" text="Sublimite">
      <formula>NOT(ISERROR(SEARCH("Sublimite",E225)))</formula>
    </cfRule>
    <cfRule type="containsText" dxfId="2016" priority="116" operator="containsText" text="Sublimite">
      <formula>NOT(ISERROR(SEARCH("Sublimite",E225)))</formula>
    </cfRule>
  </conditionalFormatting>
  <conditionalFormatting sqref="E228">
    <cfRule type="containsText" dxfId="2015" priority="288" operator="containsText" text="Sublimite">
      <formula>NOT(ISERROR(SEARCH("Sublimite",E228)))</formula>
    </cfRule>
    <cfRule type="containsText" dxfId="2014" priority="289" operator="containsText" text="Adicional">
      <formula>NOT(ISERROR(SEARCH("Adicional",E228)))</formula>
    </cfRule>
  </conditionalFormatting>
  <conditionalFormatting sqref="E228:E229">
    <cfRule type="containsText" dxfId="2013" priority="110" operator="containsText" text="Sublimite">
      <formula>NOT(ISERROR(SEARCH("Sublimite",E228)))</formula>
    </cfRule>
    <cfRule type="containsText" dxfId="2012" priority="109" operator="containsText" text="Excluido">
      <formula>NOT(ISERROR(SEARCH("Excluido",E228)))</formula>
    </cfRule>
    <cfRule type="containsText" dxfId="2011" priority="108" operator="containsText" text="Sublimite">
      <formula>NOT(ISERROR(SEARCH("Sublimite",E228)))</formula>
    </cfRule>
    <cfRule type="containsText" dxfId="2010" priority="107" operator="containsText" text="Excluido">
      <formula>NOT(ISERROR(SEARCH("Excluido",E228)))</formula>
    </cfRule>
  </conditionalFormatting>
  <conditionalFormatting sqref="E229">
    <cfRule type="containsText" dxfId="2009" priority="111" operator="containsText" text="Sublimite">
      <formula>NOT(ISERROR(SEARCH("Sublimite",E229)))</formula>
    </cfRule>
  </conditionalFormatting>
  <conditionalFormatting sqref="E232">
    <cfRule type="containsText" dxfId="2008" priority="106" operator="containsText" text="Sublimite">
      <formula>NOT(ISERROR(SEARCH("Sublimite",E232)))</formula>
    </cfRule>
    <cfRule type="containsText" dxfId="2007" priority="105" operator="containsText" text="Sublimite">
      <formula>NOT(ISERROR(SEARCH("Sublimite",E232)))</formula>
    </cfRule>
    <cfRule type="containsText" dxfId="2006" priority="104" operator="containsText" text="Excluido">
      <formula>NOT(ISERROR(SEARCH("Excluido",E232)))</formula>
    </cfRule>
    <cfRule type="containsText" dxfId="2005" priority="103" operator="containsText" text="Sublimite">
      <formula>NOT(ISERROR(SEARCH("Sublimite",E232)))</formula>
    </cfRule>
    <cfRule type="containsText" dxfId="2004" priority="102" operator="containsText" text="Excluido">
      <formula>NOT(ISERROR(SEARCH("Excluido",E232)))</formula>
    </cfRule>
  </conditionalFormatting>
  <conditionalFormatting sqref="E235">
    <cfRule type="containsText" dxfId="2003" priority="101" operator="containsText" text="Sublimite">
      <formula>NOT(ISERROR(SEARCH("Sublimite",E235)))</formula>
    </cfRule>
    <cfRule type="containsText" dxfId="2002" priority="100" operator="containsText" text="Sublimite">
      <formula>NOT(ISERROR(SEARCH("Sublimite",E235)))</formula>
    </cfRule>
    <cfRule type="containsText" dxfId="2001" priority="99" operator="containsText" text="Excluido">
      <formula>NOT(ISERROR(SEARCH("Excluido",E235)))</formula>
    </cfRule>
    <cfRule type="containsText" dxfId="2000" priority="98" operator="containsText" text="Sublimite">
      <formula>NOT(ISERROR(SEARCH("Sublimite",E235)))</formula>
    </cfRule>
    <cfRule type="containsText" dxfId="1999" priority="97" operator="containsText" text="Excluido">
      <formula>NOT(ISERROR(SEARCH("Excluido",E235)))</formula>
    </cfRule>
  </conditionalFormatting>
  <conditionalFormatting sqref="E238:E239">
    <cfRule type="containsText" dxfId="1998" priority="282" operator="containsText" text="Sublimite">
      <formula>NOT(ISERROR(SEARCH("Sublimite",E238)))</formula>
    </cfRule>
    <cfRule type="containsText" dxfId="1997" priority="283" operator="containsText" text="Adicional">
      <formula>NOT(ISERROR(SEARCH("Adicional",E238)))</formula>
    </cfRule>
  </conditionalFormatting>
  <conditionalFormatting sqref="E238:E271">
    <cfRule type="containsText" dxfId="1996" priority="82" operator="containsText" text="Excluido">
      <formula>NOT(ISERROR(SEARCH("Excluido",E238)))</formula>
    </cfRule>
    <cfRule type="containsText" dxfId="1995" priority="83" operator="containsText" text="Sublimite">
      <formula>NOT(ISERROR(SEARCH("Sublimite",E238)))</formula>
    </cfRule>
    <cfRule type="containsText" dxfId="1994" priority="84" operator="containsText" text="Excluido">
      <formula>NOT(ISERROR(SEARCH("Excluido",E238)))</formula>
    </cfRule>
    <cfRule type="containsText" dxfId="1993" priority="85" operator="containsText" text="Sublimite">
      <formula>NOT(ISERROR(SEARCH("Sublimite",E238)))</formula>
    </cfRule>
  </conditionalFormatting>
  <conditionalFormatting sqref="E242:E243">
    <cfRule type="containsText" dxfId="1992" priority="276" operator="containsText" text="Sublimite">
      <formula>NOT(ISERROR(SEARCH("Sublimite",E242)))</formula>
    </cfRule>
    <cfRule type="containsText" dxfId="1991" priority="277" operator="containsText" text="Adicional">
      <formula>NOT(ISERROR(SEARCH("Adicional",E242)))</formula>
    </cfRule>
  </conditionalFormatting>
  <conditionalFormatting sqref="E244:E265">
    <cfRule type="containsText" dxfId="1990" priority="96" operator="containsText" text="Sublimite">
      <formula>NOT(ISERROR(SEARCH("Sublimite",E244)))</formula>
    </cfRule>
  </conditionalFormatting>
  <conditionalFormatting sqref="E266">
    <cfRule type="containsText" dxfId="1989" priority="271" operator="containsText" text="Adicional">
      <formula>NOT(ISERROR(SEARCH("Adicional",E266)))</formula>
    </cfRule>
    <cfRule type="containsText" dxfId="1988" priority="270" operator="containsText" text="Sublimite">
      <formula>NOT(ISERROR(SEARCH("Sublimite",E266)))</formula>
    </cfRule>
  </conditionalFormatting>
  <conditionalFormatting sqref="E267:E268">
    <cfRule type="containsText" dxfId="1987" priority="91" operator="containsText" text="Sublimite">
      <formula>NOT(ISERROR(SEARCH("Sublimite",E267)))</formula>
    </cfRule>
  </conditionalFormatting>
  <conditionalFormatting sqref="E269">
    <cfRule type="containsText" dxfId="1986" priority="264" operator="containsText" text="Sublimite">
      <formula>NOT(ISERROR(SEARCH("Sublimite",E269)))</formula>
    </cfRule>
    <cfRule type="containsText" dxfId="1985" priority="265" operator="containsText" text="Adicional">
      <formula>NOT(ISERROR(SEARCH("Adicional",E269)))</formula>
    </cfRule>
  </conditionalFormatting>
  <conditionalFormatting sqref="E270:E271">
    <cfRule type="containsText" dxfId="1984" priority="86" operator="containsText" text="Sublimite">
      <formula>NOT(ISERROR(SEARCH("Sublimite",E270)))</formula>
    </cfRule>
  </conditionalFormatting>
  <conditionalFormatting sqref="E274">
    <cfRule type="containsText" dxfId="1983" priority="259" operator="containsText" text="Adicional">
      <formula>NOT(ISERROR(SEARCH("Adicional",E274)))</formula>
    </cfRule>
    <cfRule type="containsText" dxfId="1982" priority="258" operator="containsText" text="Sublimite">
      <formula>NOT(ISERROR(SEARCH("Sublimite",E274)))</formula>
    </cfRule>
  </conditionalFormatting>
  <conditionalFormatting sqref="E274:E275">
    <cfRule type="containsText" dxfId="1981" priority="78" operator="containsText" text="Sublimite">
      <formula>NOT(ISERROR(SEARCH("Sublimite",E274)))</formula>
    </cfRule>
    <cfRule type="containsText" dxfId="1980" priority="79" operator="containsText" text="Excluido">
      <formula>NOT(ISERROR(SEARCH("Excluido",E274)))</formula>
    </cfRule>
    <cfRule type="containsText" dxfId="1979" priority="80" operator="containsText" text="Sublimite">
      <formula>NOT(ISERROR(SEARCH("Sublimite",E274)))</formula>
    </cfRule>
    <cfRule type="containsText" dxfId="1978" priority="77" operator="containsText" text="Excluido">
      <formula>NOT(ISERROR(SEARCH("Excluido",E274)))</formula>
    </cfRule>
  </conditionalFormatting>
  <conditionalFormatting sqref="E275">
    <cfRule type="containsText" dxfId="1977" priority="81" operator="containsText" text="Sublimite">
      <formula>NOT(ISERROR(SEARCH("Sublimite",E275)))</formula>
    </cfRule>
  </conditionalFormatting>
  <conditionalFormatting sqref="E278">
    <cfRule type="containsText" dxfId="1976" priority="253" operator="containsText" text="Adicional">
      <formula>NOT(ISERROR(SEARCH("Adicional",E278)))</formula>
    </cfRule>
    <cfRule type="containsText" dxfId="1975" priority="252" operator="containsText" text="Sublimite">
      <formula>NOT(ISERROR(SEARCH("Sublimite",E278)))</formula>
    </cfRule>
  </conditionalFormatting>
  <conditionalFormatting sqref="E278:E281">
    <cfRule type="containsText" dxfId="1974" priority="73" operator="containsText" text="Sublimite">
      <formula>NOT(ISERROR(SEARCH("Sublimite",E278)))</formula>
    </cfRule>
    <cfRule type="containsText" dxfId="1973" priority="74" operator="containsText" text="Excluido">
      <formula>NOT(ISERROR(SEARCH("Excluido",E278)))</formula>
    </cfRule>
    <cfRule type="containsText" dxfId="1972" priority="75" operator="containsText" text="Sublimite">
      <formula>NOT(ISERROR(SEARCH("Sublimite",E278)))</formula>
    </cfRule>
    <cfRule type="containsText" dxfId="1971" priority="72" operator="containsText" text="Excluido">
      <formula>NOT(ISERROR(SEARCH("Excluido",E278)))</formula>
    </cfRule>
  </conditionalFormatting>
  <conditionalFormatting sqref="E279:E281">
    <cfRule type="containsText" dxfId="1970" priority="76" operator="containsText" text="Sublimite">
      <formula>NOT(ISERROR(SEARCH("Sublimite",E279)))</formula>
    </cfRule>
  </conditionalFormatting>
  <conditionalFormatting sqref="E284:E328">
    <cfRule type="containsText" dxfId="1969" priority="247" operator="containsText" text="Adicional">
      <formula>NOT(ISERROR(SEARCH("Adicional",E284)))</formula>
    </cfRule>
    <cfRule type="containsText" dxfId="1968" priority="246" operator="containsText" text="Sublimite">
      <formula>NOT(ISERROR(SEARCH("Sublimite",E284)))</formula>
    </cfRule>
  </conditionalFormatting>
  <conditionalFormatting sqref="E284:E335">
    <cfRule type="containsText" dxfId="1967" priority="68" operator="containsText" text="Sublimite">
      <formula>NOT(ISERROR(SEARCH("Sublimite",E284)))</formula>
    </cfRule>
    <cfRule type="containsText" dxfId="1966" priority="67" operator="containsText" text="Excluido">
      <formula>NOT(ISERROR(SEARCH("Excluido",E284)))</formula>
    </cfRule>
    <cfRule type="containsText" dxfId="1965" priority="70" operator="containsText" text="Sublimite">
      <formula>NOT(ISERROR(SEARCH("Sublimite",E284)))</formula>
    </cfRule>
    <cfRule type="containsText" dxfId="1964" priority="69" operator="containsText" text="Excluido">
      <formula>NOT(ISERROR(SEARCH("Excluido",E284)))</formula>
    </cfRule>
  </conditionalFormatting>
  <conditionalFormatting sqref="E331">
    <cfRule type="containsText" dxfId="1963" priority="240" operator="containsText" text="Sublimite">
      <formula>NOT(ISERROR(SEARCH("Sublimite",E331)))</formula>
    </cfRule>
    <cfRule type="containsText" dxfId="1962" priority="241" operator="containsText" text="Adicional">
      <formula>NOT(ISERROR(SEARCH("Adicional",E331)))</formula>
    </cfRule>
  </conditionalFormatting>
  <conditionalFormatting sqref="E332:E335">
    <cfRule type="containsText" dxfId="1961" priority="71" operator="containsText" text="Sublimite">
      <formula>NOT(ISERROR(SEARCH("Sublimite",E332)))</formula>
    </cfRule>
  </conditionalFormatting>
  <conditionalFormatting sqref="E338">
    <cfRule type="containsText" dxfId="1960" priority="235" operator="containsText" text="Adicional">
      <formula>NOT(ISERROR(SEARCH("Adicional",E338)))</formula>
    </cfRule>
    <cfRule type="containsText" dxfId="1959" priority="234" operator="containsText" text="Sublimite">
      <formula>NOT(ISERROR(SEARCH("Sublimite",E338)))</formula>
    </cfRule>
  </conditionalFormatting>
  <conditionalFormatting sqref="E338:E343">
    <cfRule type="containsText" dxfId="1958" priority="62" operator="containsText" text="Excluido">
      <formula>NOT(ISERROR(SEARCH("Excluido",E338)))</formula>
    </cfRule>
    <cfRule type="containsText" dxfId="1957" priority="63" operator="containsText" text="Sublimite">
      <formula>NOT(ISERROR(SEARCH("Sublimite",E338)))</formula>
    </cfRule>
    <cfRule type="containsText" dxfId="1956" priority="64" operator="containsText" text="Excluido">
      <formula>NOT(ISERROR(SEARCH("Excluido",E338)))</formula>
    </cfRule>
    <cfRule type="containsText" dxfId="1955" priority="65" operator="containsText" text="Sublimite">
      <formula>NOT(ISERROR(SEARCH("Sublimite",E338)))</formula>
    </cfRule>
  </conditionalFormatting>
  <conditionalFormatting sqref="E339:E343">
    <cfRule type="containsText" dxfId="1954" priority="66" operator="containsText" text="Sublimite">
      <formula>NOT(ISERROR(SEARCH("Sublimite",E339)))</formula>
    </cfRule>
  </conditionalFormatting>
  <conditionalFormatting sqref="E346:E348">
    <cfRule type="containsText" dxfId="1953" priority="229" operator="containsText" text="Adicional">
      <formula>NOT(ISERROR(SEARCH("Adicional",E346)))</formula>
    </cfRule>
    <cfRule type="containsText" dxfId="1952" priority="228" operator="containsText" text="Sublimite">
      <formula>NOT(ISERROR(SEARCH("Sublimite",E346)))</formula>
    </cfRule>
  </conditionalFormatting>
  <conditionalFormatting sqref="E346:E378">
    <cfRule type="containsText" dxfId="1951" priority="60" operator="containsText" text="Sublimite">
      <formula>NOT(ISERROR(SEARCH("Sublimite",E346)))</formula>
    </cfRule>
    <cfRule type="containsText" dxfId="1950" priority="59" operator="containsText" text="Excluido">
      <formula>NOT(ISERROR(SEARCH("Excluido",E346)))</formula>
    </cfRule>
    <cfRule type="containsText" dxfId="1949" priority="58" operator="containsText" text="Sublimite">
      <formula>NOT(ISERROR(SEARCH("Sublimite",E346)))</formula>
    </cfRule>
    <cfRule type="containsText" dxfId="1948" priority="57" operator="containsText" text="Excluido">
      <formula>NOT(ISERROR(SEARCH("Excluido",E346)))</formula>
    </cfRule>
  </conditionalFormatting>
  <conditionalFormatting sqref="E349">
    <cfRule type="containsText" dxfId="1947" priority="745" operator="containsText" text="Sublimite">
      <formula>NOT(ISERROR(SEARCH("Sublimite",E349)))</formula>
    </cfRule>
    <cfRule type="containsText" dxfId="1946" priority="749" operator="containsText" text="Sublimite">
      <formula>NOT(ISERROR(SEARCH("Sublimite",E349)))</formula>
    </cfRule>
    <cfRule type="containsText" dxfId="1945" priority="740" operator="containsText" text="Sublimite">
      <formula>NOT(ISERROR(SEARCH("Sublimite",E349)))</formula>
    </cfRule>
    <cfRule type="containsText" dxfId="1944" priority="741" operator="containsText" text="Excluido">
      <formula>NOT(ISERROR(SEARCH("Excluido",E349)))</formula>
    </cfRule>
  </conditionalFormatting>
  <conditionalFormatting sqref="E352:E362">
    <cfRule type="containsText" dxfId="1943" priority="222" operator="containsText" text="Sublimite">
      <formula>NOT(ISERROR(SEARCH("Sublimite",E352)))</formula>
    </cfRule>
    <cfRule type="containsText" dxfId="1942" priority="223" operator="containsText" text="Adicional">
      <formula>NOT(ISERROR(SEARCH("Adicional",E352)))</formula>
    </cfRule>
  </conditionalFormatting>
  <conditionalFormatting sqref="E365:E368">
    <cfRule type="containsText" dxfId="1941" priority="216" operator="containsText" text="Sublimite">
      <formula>NOT(ISERROR(SEARCH("Sublimite",E365)))</formula>
    </cfRule>
    <cfRule type="containsText" dxfId="1940" priority="217" operator="containsText" text="Adicional">
      <formula>NOT(ISERROR(SEARCH("Adicional",E365)))</formula>
    </cfRule>
  </conditionalFormatting>
  <conditionalFormatting sqref="E371">
    <cfRule type="containsText" dxfId="1939" priority="211" operator="containsText" text="Adicional">
      <formula>NOT(ISERROR(SEARCH("Adicional",E371)))</formula>
    </cfRule>
    <cfRule type="containsText" dxfId="1938" priority="210" operator="containsText" text="Sublimite">
      <formula>NOT(ISERROR(SEARCH("Sublimite",E371)))</formula>
    </cfRule>
  </conditionalFormatting>
  <conditionalFormatting sqref="E372:E378">
    <cfRule type="containsText" dxfId="1937" priority="61" operator="containsText" text="Sublimite">
      <formula>NOT(ISERROR(SEARCH("Sublimite",E372)))</formula>
    </cfRule>
  </conditionalFormatting>
  <conditionalFormatting sqref="E381:E393">
    <cfRule type="containsText" dxfId="1936" priority="205" operator="containsText" text="Adicional">
      <formula>NOT(ISERROR(SEARCH("Adicional",E381)))</formula>
    </cfRule>
    <cfRule type="containsText" dxfId="1935" priority="204" operator="containsText" text="Sublimite">
      <formula>NOT(ISERROR(SEARCH("Sublimite",E381)))</formula>
    </cfRule>
  </conditionalFormatting>
  <conditionalFormatting sqref="E381:E400">
    <cfRule type="containsText" dxfId="1934" priority="55" operator="containsText" text="Sublimite">
      <formula>NOT(ISERROR(SEARCH("Sublimite",E381)))</formula>
    </cfRule>
    <cfRule type="containsText" dxfId="1933" priority="54" operator="containsText" text="Excluido">
      <formula>NOT(ISERROR(SEARCH("Excluido",E381)))</formula>
    </cfRule>
    <cfRule type="containsText" dxfId="1932" priority="53" operator="containsText" text="Sublimite">
      <formula>NOT(ISERROR(SEARCH("Sublimite",E381)))</formula>
    </cfRule>
    <cfRule type="containsText" dxfId="1931" priority="52" operator="containsText" text="Excluido">
      <formula>NOT(ISERROR(SEARCH("Excluido",E381)))</formula>
    </cfRule>
  </conditionalFormatting>
  <conditionalFormatting sqref="E396">
    <cfRule type="containsText" dxfId="1930" priority="199" operator="containsText" text="Adicional">
      <formula>NOT(ISERROR(SEARCH("Adicional",E396)))</formula>
    </cfRule>
    <cfRule type="containsText" dxfId="1929" priority="198" operator="containsText" text="Sublimite">
      <formula>NOT(ISERROR(SEARCH("Sublimite",E396)))</formula>
    </cfRule>
  </conditionalFormatting>
  <conditionalFormatting sqref="E397:E400">
    <cfRule type="containsText" dxfId="1928" priority="56" operator="containsText" text="Sublimite">
      <formula>NOT(ISERROR(SEARCH("Sublimite",E397)))</formula>
    </cfRule>
  </conditionalFormatting>
  <conditionalFormatting sqref="E403">
    <cfRule type="containsText" dxfId="1927" priority="193" operator="containsText" text="Adicional">
      <formula>NOT(ISERROR(SEARCH("Adicional",E403)))</formula>
    </cfRule>
    <cfRule type="containsText" dxfId="1926" priority="192" operator="containsText" text="Sublimite">
      <formula>NOT(ISERROR(SEARCH("Sublimite",E403)))</formula>
    </cfRule>
  </conditionalFormatting>
  <conditionalFormatting sqref="E403:E409">
    <cfRule type="containsText" dxfId="1925" priority="50" operator="containsText" text="Sublimite">
      <formula>NOT(ISERROR(SEARCH("Sublimite",E403)))</formula>
    </cfRule>
    <cfRule type="containsText" dxfId="1924" priority="49" operator="containsText" text="Excluido">
      <formula>NOT(ISERROR(SEARCH("Excluido",E403)))</formula>
    </cfRule>
    <cfRule type="containsText" dxfId="1923" priority="48" operator="containsText" text="Sublimite">
      <formula>NOT(ISERROR(SEARCH("Sublimite",E403)))</formula>
    </cfRule>
    <cfRule type="containsText" dxfId="1922" priority="47" operator="containsText" text="Excluido">
      <formula>NOT(ISERROR(SEARCH("Excluido",E403)))</formula>
    </cfRule>
  </conditionalFormatting>
  <conditionalFormatting sqref="E406">
    <cfRule type="containsText" dxfId="1921" priority="187" operator="containsText" text="Adicional">
      <formula>NOT(ISERROR(SEARCH("Adicional",E406)))</formula>
    </cfRule>
    <cfRule type="containsText" dxfId="1920" priority="186" operator="containsText" text="Sublimite">
      <formula>NOT(ISERROR(SEARCH("Sublimite",E406)))</formula>
    </cfRule>
  </conditionalFormatting>
  <conditionalFormatting sqref="E407:E409">
    <cfRule type="containsText" dxfId="1919" priority="51" operator="containsText" text="Sublimite">
      <formula>NOT(ISERROR(SEARCH("Sublimite",E407)))</formula>
    </cfRule>
  </conditionalFormatting>
  <conditionalFormatting sqref="L7:O7">
    <cfRule type="containsText" dxfId="1918" priority="20" operator="containsText" text="POLIZA SIN PRIMER RIESGO">
      <formula>NOT(ISERROR(SEARCH("POLIZA SIN PRIMER RIESGO",L7)))</formula>
    </cfRule>
    <cfRule type="containsText" dxfId="1917" priority="19" operator="containsText" text="POLIZA A VALORES TOTALES">
      <formula>NOT(ISERROR(SEARCH("POLIZA A VALORES TOTALES",L7)))</formula>
    </cfRule>
  </conditionalFormatting>
  <dataValidations count="10">
    <dataValidation type="list" allowBlank="1" showInputMessage="1" showErrorMessage="1" sqref="L7:O7" xr:uid="{633A0C52-80BE-4A20-842C-E609E5CF4C7C}">
      <formula1>"POLIZA CON COASEGURO CONVENIDO, POLIZA A PRIMER RIESGO, POLIZA A VALORES TOTALES"</formula1>
    </dataValidation>
    <dataValidation type="list" allowBlank="1" showInputMessage="1" showErrorMessage="1" sqref="E18 E42 E24 E242" xr:uid="{E93FBBAD-43E8-40F0-B070-C81B378266B7}">
      <formula1>"Adicional, Sublimite"</formula1>
    </dataValidation>
    <dataValidation type="list" allowBlank="1" showInputMessage="1" showErrorMessage="1" sqref="F12" xr:uid="{38983AAE-4DF6-4BE6-87E8-3BA815C93FD2}">
      <formula1>"ORDINARIO, COMERCIAL E INDUSTRIAL, GRANDES RIESGOS, HABITACIONAL"</formula1>
    </dataValidation>
    <dataValidation type="list" allowBlank="1" showInputMessage="1" showErrorMessage="1" sqref="E37 E235 E25 E407:E409 E29:E30 E32:E33 E44:E58 E62:E63 E39 E70 E72 E74 E76 E87:E89 E91:E94 E96:E98 E118:E121 E65:E66 E164:E165 E170:E171 E176:E177 E180:E181 E397:E400 E192:E201 E204:E205 E125:E128 E219 E222 E225 E229 E232 E184:E185 E244:E265 E267:E268 E270:E271 E332:E335 E275 E279:E281 E339:E343 E372:E378 E208:E209 E349 E20:E23" xr:uid="{E4570A31-C30B-4AC2-BB10-D889F5F9911B}">
      <formula1>"Sublimite, Excluido"</formula1>
    </dataValidation>
    <dataValidation type="list" allowBlank="1" showInputMessage="1" showErrorMessage="1" sqref="E406 E396 E168:E169 E365:E368 E26:E27 E188:E191 E68 E19 E101:E102 E105:E106 E109:E110 E79:E86 E331 E43 E131:E136 E139:E144 E147 E150 E153 E156 E174:E175 E59:E60 E113:E114 E381:E393 E162:E163 E371 E403 E159 E212 E215 E218 E228 E278 E269 E274 E124 E338 E346:E348 E352:E362 E238:E239 E266 E243 E35 E117 E284:E328" xr:uid="{5322D261-16B3-4CDC-B7FB-48536DE7C212}">
      <formula1>"Adicional, Sublimite, Excluido"</formula1>
    </dataValidation>
    <dataValidation type="list" allowBlank="1" showInputMessage="1" showErrorMessage="1" sqref="N9:O9" xr:uid="{5B3F0C5F-31D4-408B-8929-9FA5D03A668B}">
      <formula1>"POLIZA NUEVA, RENOVACION, CANCELACION, ENDOSO DE AUMENTO, ENDOSO DE DISMINUCION, ENDOSO DE DECLARACION, ENDOSO DE EXTENSIÓN DE VIGENCIA, ENDOSO DE REDUCCIÓN DE VIGENCIA, CAMBIO DE FORMA DE PAGO, ANULACIÓN DE PÓLIZA, ANULACIÓN DE ENDOSO"</formula1>
    </dataValidation>
    <dataValidation type="list" allowBlank="1" showInputMessage="1" showErrorMessage="1" sqref="H14" xr:uid="{56069BB7-2D5C-4ADA-97DB-0E418BC36AE6}">
      <formula1>"PRORRATA, DIRECTA"</formula1>
    </dataValidation>
    <dataValidation type="list" allowBlank="1" showInputMessage="1" showErrorMessage="1" sqref="N10" xr:uid="{139A9F30-672A-4DEF-B3CF-A1BBCD01D945}">
      <formula1>"TODO RIESGO, RIESGOS NOMBRADOS"</formula1>
    </dataValidation>
    <dataValidation type="list" allowBlank="1" showInputMessage="1" showErrorMessage="1" sqref="F13" xr:uid="{CDA2A5A4-EB30-425B-A405-E2A76D0FCE89}">
      <formula1>"NACIONAL, DÓLARES"</formula1>
    </dataValidation>
    <dataValidation type="list" allowBlank="1" showInputMessage="1" showErrorMessage="1" sqref="I29:I30 I32:I33 I35 I37 I39 I18:I27 I62:I63 I65:I66 I68 I70 I235 I76 I91:I94 I96:I98 I101:I102 I105:I106 I109:I110 I113:I114 I117:I121 I124:I128 I131:I136 I139:I144 I147 I150 I153 I156 I159 I174:I177 I162:I165 I168:I171 I180:I181 I184:I185 I284:I328 I204:I205 I208:I209 I212 I215 I218:I219 I222 I225 I228:I229 I232 I238:I239 I242:I271 I274:I275 I278:I281 I331:I335 I338:I343 I352:I362 I365:I368 I371:I378 I381:I393 I396:I400 I403 I406:I409 I72 I74 I42:I60 I79:I89 I188:I201 I346:I349" xr:uid="{A3E3C91A-9CD3-4A1F-981A-AA36B3AE9790}">
      <formula1>"%o Al Millar,% Al Porciento,$ Prima"</formula1>
    </dataValidation>
  </dataValidations>
  <hyperlinks>
    <hyperlink ref="K417" r:id="rId1" display="juliop@arvida.com.mx" xr:uid="{B8B77A17-7488-462F-9120-A469BCA2ABAA}"/>
  </hyperlinks>
  <pageMargins left="0.51181102362204722" right="0.31496062992125984" top="0.35433070866141736" bottom="0.35433070866141736" header="0.31496062992125984" footer="0.31496062992125984"/>
  <pageSetup scale="50" orientation="landscape" r:id="rId2"/>
  <headerFooter>
    <oddFooter>&amp;CPágina &amp;P de &amp;F &amp;RERIN ROBLES&amp;G</oddFooter>
  </headerFooter>
  <drawing r:id="rId3"/>
  <legacyDrawing r:id="rId4"/>
  <legacyDrawingHF r:id="rId5"/>
  <mc:AlternateContent xmlns:mc="http://schemas.openxmlformats.org/markup-compatibility/2006">
    <mc:Choice Requires="x14">
      <controls>
        <mc:AlternateContent xmlns:mc="http://schemas.openxmlformats.org/markup-compatibility/2006">
          <mc:Choice Requires="x14">
            <control shapeId="21505" r:id="rId6" name="Drop Down 25">
              <controlPr defaultSize="0" autoLine="0" autoPict="0">
                <anchor moveWithCells="1">
                  <from>
                    <xdr:col>5</xdr:col>
                    <xdr:colOff>7620</xdr:colOff>
                    <xdr:row>13</xdr:row>
                    <xdr:rowOff>0</xdr:rowOff>
                  </from>
                  <to>
                    <xdr:col>5</xdr:col>
                    <xdr:colOff>1531620</xdr:colOff>
                    <xdr:row>13</xdr:row>
                    <xdr:rowOff>198120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containsText" priority="21" operator="containsText" id="{DC456E53-51E2-46E5-8F5D-8BB4FEFD40F2}">
            <xm:f>NOT(ISERROR(SEARCH($L$8,L7)))</xm:f>
            <xm:f>$L$8</xm:f>
            <x14:dxf>
              <font>
                <b/>
                <i val="0"/>
                <color theme="0"/>
              </font>
              <fill>
                <patternFill>
                  <bgColor rgb="FFFF0000"/>
                </patternFill>
              </fill>
            </x14:dxf>
          </x14:cfRule>
          <x14:cfRule type="containsText" priority="22" operator="containsText" id="{DBC56614-2B1B-4A1C-8BEF-83858F312541}">
            <xm:f>NOT(ISERROR(SEARCH($L$8,L7)))</xm:f>
            <xm:f>$L$8</xm:f>
            <x14:dxf>
              <font>
                <color rgb="FF9C0006"/>
              </font>
              <fill>
                <patternFill>
                  <bgColor rgb="FFFFC7CE"/>
                </patternFill>
              </fill>
            </x14:dxf>
          </x14:cfRule>
          <xm:sqref>L7:O8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69D958EA-1B0F-4A3B-B7C5-0B9594F21B60}">
          <x14:formula1>
            <xm:f>Hoja3!$F$2:$F$39</xm:f>
          </x14:formula1>
          <xm:sqref>G8:K8</xm:sqref>
        </x14:dataValidation>
        <x14:dataValidation type="list" allowBlank="1" showInputMessage="1" showErrorMessage="1" xr:uid="{7613DDB2-CAED-47C5-91CD-E09983E0F98C}">
          <x14:formula1>
            <xm:f>Hoja1!$B$4653:$B$4730</xm:f>
          </x14:formula1>
          <xm:sqref>C7:J7</xm:sqref>
        </x14:dataValidation>
        <x14:dataValidation type="list" allowBlank="1" showInputMessage="1" showErrorMessage="1" xr:uid="{9DCCCB4D-45C8-47C4-A218-9384B4838153}">
          <x14:formula1>
            <xm:f>Hoja1!$J$3:$J$134</xm:f>
          </x14:formula1>
          <xm:sqref>C8</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1" filterMode="1"/>
  <dimension ref="A1:IO420"/>
  <sheetViews>
    <sheetView topLeftCell="A170" zoomScale="80" zoomScaleNormal="80" workbookViewId="0">
      <selection activeCell="G27" sqref="G27"/>
    </sheetView>
  </sheetViews>
  <sheetFormatPr baseColWidth="10" defaultColWidth="11.44140625" defaultRowHeight="14.4" x14ac:dyDescent="0.3"/>
  <cols>
    <col min="1" max="1" width="14.6640625" style="3" customWidth="1"/>
    <col min="2" max="2" width="12.5546875" style="3" customWidth="1"/>
    <col min="3" max="3" width="38" customWidth="1"/>
    <col min="4" max="4" width="14.88671875" customWidth="1"/>
    <col min="5" max="5" width="12.5546875" customWidth="1"/>
    <col min="6" max="6" width="23.6640625" style="4" customWidth="1"/>
    <col min="7" max="7" width="15.88671875" style="4" customWidth="1"/>
    <col min="8" max="8" width="16.109375" style="4" customWidth="1"/>
    <col min="9" max="9" width="14.88671875" style="4" customWidth="1"/>
    <col min="10" max="10" width="15.44140625" style="4" customWidth="1"/>
    <col min="11" max="11" width="14.88671875" style="4" customWidth="1"/>
    <col min="12" max="12" width="14.6640625" style="4" customWidth="1"/>
    <col min="13" max="13" width="12" style="5" customWidth="1"/>
    <col min="14" max="14" width="18.109375" style="4" customWidth="1"/>
    <col min="15" max="15" width="13.44140625" style="4" customWidth="1"/>
    <col min="16" max="16" width="11.44140625" style="6" customWidth="1"/>
    <col min="17" max="19" width="11.44140625" hidden="1" customWidth="1"/>
    <col min="20" max="20" width="14.33203125" hidden="1" customWidth="1"/>
    <col min="21" max="21" width="13" hidden="1" customWidth="1"/>
    <col min="22" max="22" width="14.5546875" hidden="1" customWidth="1"/>
    <col min="23" max="23" width="14.5546875" style="111" customWidth="1"/>
    <col min="24" max="25" width="6.33203125" bestFit="1" customWidth="1"/>
    <col min="26" max="26" width="6.6640625" customWidth="1"/>
    <col min="27" max="27" width="7.33203125" customWidth="1"/>
    <col min="28" max="28" width="6.33203125" bestFit="1" customWidth="1"/>
  </cols>
  <sheetData>
    <row r="1" spans="1:249" x14ac:dyDescent="0.3">
      <c r="S1" s="55">
        <v>3</v>
      </c>
      <c r="T1" s="52" t="str">
        <f>VLOOKUP(S1,S2:T5,2)</f>
        <v>TRIMESTRAL</v>
      </c>
      <c r="U1" s="56">
        <f>IF(F13="NACIONAL",1,2)</f>
        <v>2</v>
      </c>
      <c r="V1" s="53" t="str">
        <f>F13</f>
        <v>DÓLARES</v>
      </c>
    </row>
    <row r="2" spans="1:249" ht="18.75" customHeight="1" x14ac:dyDescent="0.3">
      <c r="E2" s="755"/>
      <c r="F2" s="755"/>
      <c r="G2" s="755"/>
      <c r="H2" s="755"/>
      <c r="S2" s="57">
        <v>1</v>
      </c>
      <c r="T2" s="57" t="s">
        <v>789</v>
      </c>
      <c r="U2" s="54">
        <v>0</v>
      </c>
      <c r="V2" s="54">
        <v>0</v>
      </c>
    </row>
    <row r="3" spans="1:249" x14ac:dyDescent="0.3">
      <c r="E3" s="755"/>
      <c r="F3" s="755"/>
      <c r="G3" s="755"/>
      <c r="H3" s="755"/>
      <c r="S3" s="57">
        <v>2</v>
      </c>
      <c r="T3" s="57" t="s">
        <v>793</v>
      </c>
      <c r="U3" s="54">
        <v>4.2000000000000003E-2</v>
      </c>
      <c r="V3" s="54">
        <v>1.4E-2</v>
      </c>
    </row>
    <row r="4" spans="1:249" x14ac:dyDescent="0.3">
      <c r="S4" s="57">
        <v>3</v>
      </c>
      <c r="T4" s="57" t="s">
        <v>797</v>
      </c>
      <c r="U4" s="54">
        <v>6.4000000000000001E-2</v>
      </c>
      <c r="V4" s="54">
        <v>2.1100000000000001E-2</v>
      </c>
    </row>
    <row r="5" spans="1:249" ht="24.6" x14ac:dyDescent="0.3">
      <c r="A5" s="700" t="s">
        <v>1093</v>
      </c>
      <c r="B5" s="700"/>
      <c r="C5" s="700"/>
      <c r="D5" s="700"/>
      <c r="E5" s="700"/>
      <c r="F5" s="700"/>
      <c r="G5" s="700"/>
      <c r="H5" s="700"/>
      <c r="I5" s="700"/>
      <c r="J5" s="700"/>
      <c r="K5" s="700"/>
      <c r="L5" s="700"/>
      <c r="M5" s="700"/>
      <c r="N5" s="700"/>
      <c r="O5" s="700"/>
      <c r="S5" s="57">
        <v>4</v>
      </c>
      <c r="T5" s="57" t="s">
        <v>801</v>
      </c>
      <c r="U5" s="54">
        <v>7.6999999999999999E-2</v>
      </c>
      <c r="V5" s="54">
        <v>2.58E-2</v>
      </c>
    </row>
    <row r="6" spans="1:249" ht="15" thickBot="1" x14ac:dyDescent="0.35"/>
    <row r="7" spans="1:249" ht="21" customHeight="1" thickTop="1" thickBot="1" x14ac:dyDescent="0.35">
      <c r="A7" s="701" t="s">
        <v>1094</v>
      </c>
      <c r="B7" s="702"/>
      <c r="C7" s="703" t="s">
        <v>1095</v>
      </c>
      <c r="D7" s="704"/>
      <c r="E7" s="704"/>
      <c r="F7" s="704"/>
      <c r="G7" s="704"/>
      <c r="H7" s="704"/>
      <c r="I7" s="704"/>
      <c r="J7" s="705"/>
      <c r="K7" s="116">
        <f>MID(C7,1,2)*1</f>
        <v>20</v>
      </c>
      <c r="L7" s="706" t="s">
        <v>1096</v>
      </c>
      <c r="M7" s="707"/>
      <c r="N7" s="707"/>
      <c r="O7" s="708"/>
      <c r="S7" s="698" t="s">
        <v>1097</v>
      </c>
      <c r="T7" s="698"/>
      <c r="U7" s="54">
        <f>VLOOKUP(S1,S2:V5,U1+2)</f>
        <v>2.1100000000000001E-2</v>
      </c>
    </row>
    <row r="8" spans="1:249" ht="21" customHeight="1" thickTop="1" thickBot="1" x14ac:dyDescent="0.35">
      <c r="A8" s="701" t="s">
        <v>1098</v>
      </c>
      <c r="B8" s="702"/>
      <c r="C8" s="724" t="s">
        <v>1099</v>
      </c>
      <c r="D8" s="725"/>
      <c r="E8" s="726"/>
      <c r="F8" s="117" t="s">
        <v>1100</v>
      </c>
      <c r="G8" s="727" t="s">
        <v>1101</v>
      </c>
      <c r="H8" s="728"/>
      <c r="I8" s="728"/>
      <c r="J8" s="728"/>
      <c r="K8" s="729"/>
      <c r="L8" s="709" t="str">
        <f>Hoja3!A8</f>
        <v/>
      </c>
      <c r="M8" s="710"/>
      <c r="N8" s="710"/>
      <c r="O8" s="711"/>
      <c r="S8" s="90"/>
      <c r="T8" s="90"/>
      <c r="U8" s="54"/>
    </row>
    <row r="9" spans="1:249" ht="16.5" customHeight="1" thickTop="1" x14ac:dyDescent="0.3">
      <c r="A9" s="712" t="s">
        <v>1102</v>
      </c>
      <c r="B9" s="713"/>
      <c r="C9" s="714" t="s">
        <v>695</v>
      </c>
      <c r="D9" s="715"/>
      <c r="E9" s="715"/>
      <c r="F9" s="715"/>
      <c r="G9" s="715"/>
      <c r="H9" s="715"/>
      <c r="I9" s="716"/>
      <c r="J9" s="88" t="s">
        <v>1103</v>
      </c>
      <c r="K9" s="89">
        <v>0</v>
      </c>
      <c r="L9" s="717" t="s">
        <v>1104</v>
      </c>
      <c r="M9" s="717"/>
      <c r="N9" s="718" t="s">
        <v>1463</v>
      </c>
      <c r="O9" s="719"/>
      <c r="P9"/>
      <c r="S9" s="698" t="s">
        <v>1106</v>
      </c>
      <c r="T9" s="698"/>
      <c r="U9" s="58">
        <f>IF(H14="DIRECTA",1,J15/I15)</f>
        <v>1</v>
      </c>
    </row>
    <row r="10" spans="1:249" x14ac:dyDescent="0.3">
      <c r="A10" s="720" t="s">
        <v>1107</v>
      </c>
      <c r="B10" s="721"/>
      <c r="C10" s="722" t="s">
        <v>1108</v>
      </c>
      <c r="D10" s="722"/>
      <c r="E10" s="722"/>
      <c r="F10" s="722"/>
      <c r="G10" s="722"/>
      <c r="H10" s="722"/>
      <c r="I10" s="722"/>
      <c r="J10" s="722"/>
      <c r="K10" s="730"/>
      <c r="L10" s="731" t="s">
        <v>1109</v>
      </c>
      <c r="M10" s="732"/>
      <c r="N10" s="733" t="s">
        <v>1110</v>
      </c>
      <c r="O10" s="734"/>
      <c r="P10"/>
    </row>
    <row r="11" spans="1:249" x14ac:dyDescent="0.3">
      <c r="A11" s="720" t="s">
        <v>1111</v>
      </c>
      <c r="B11" s="721"/>
      <c r="C11" s="722" t="str">
        <f>C10</f>
        <v xml:space="preserve">JAVIER BARROS SIERRA 540 TORRE 1 PH1 COL SANTA FE ALVARO OBREGON CDMX CP 01210 </v>
      </c>
      <c r="D11" s="722"/>
      <c r="E11" s="722"/>
      <c r="F11" s="722"/>
      <c r="G11" s="722"/>
      <c r="H11" s="722"/>
      <c r="I11" s="722"/>
      <c r="J11" s="722"/>
      <c r="K11" s="723"/>
      <c r="L11" s="79" t="s">
        <v>1112</v>
      </c>
      <c r="M11" s="207" t="str">
        <f>'COTIZACIÓN M.N.'!G13</f>
        <v xml:space="preserve">A </v>
      </c>
      <c r="N11" s="71" t="s">
        <v>1113</v>
      </c>
      <c r="O11" s="413" t="str">
        <f>'COTIZACIÓN M.N.'!G17</f>
        <v>A1PS</v>
      </c>
      <c r="P11"/>
    </row>
    <row r="12" spans="1:249" x14ac:dyDescent="0.3">
      <c r="A12" s="720" t="s">
        <v>1114</v>
      </c>
      <c r="B12" s="721"/>
      <c r="C12" s="50">
        <v>45107</v>
      </c>
      <c r="D12" s="73" t="s">
        <v>1115</v>
      </c>
      <c r="E12" s="73"/>
      <c r="F12" s="74" t="s">
        <v>1116</v>
      </c>
      <c r="G12" s="75" t="s">
        <v>1117</v>
      </c>
      <c r="H12" s="737" t="s">
        <v>724</v>
      </c>
      <c r="I12" s="737"/>
      <c r="J12" s="737"/>
      <c r="K12" s="78">
        <v>1</v>
      </c>
      <c r="L12" s="79" t="s">
        <v>1118</v>
      </c>
      <c r="M12" s="80">
        <f>'COTIZACIÓN M.N.'!G15</f>
        <v>0.2</v>
      </c>
      <c r="N12" s="76" t="s">
        <v>1119</v>
      </c>
      <c r="O12" s="77">
        <f>'COTIZACIÓN M.N.'!G16</f>
        <v>0</v>
      </c>
      <c r="P12"/>
    </row>
    <row r="13" spans="1:249" ht="17.25" customHeight="1" x14ac:dyDescent="0.3">
      <c r="A13" s="720" t="s">
        <v>1120</v>
      </c>
      <c r="B13" s="721"/>
      <c r="C13" s="50">
        <v>45473</v>
      </c>
      <c r="D13" s="738" t="s">
        <v>1121</v>
      </c>
      <c r="E13" s="739"/>
      <c r="F13" s="72" t="s">
        <v>1122</v>
      </c>
      <c r="G13" s="70" t="s">
        <v>1123</v>
      </c>
      <c r="H13" s="740" t="s">
        <v>98</v>
      </c>
      <c r="I13" s="740"/>
      <c r="J13" s="741" t="s">
        <v>1124</v>
      </c>
      <c r="N13" s="76" t="s">
        <v>1125</v>
      </c>
      <c r="O13" s="77">
        <f>100%-'COTIZACIÓN M.N.'!G18</f>
        <v>1</v>
      </c>
      <c r="P13"/>
    </row>
    <row r="14" spans="1:249" ht="16.5" customHeight="1" thickBot="1" x14ac:dyDescent="0.35">
      <c r="A14" s="742" t="s">
        <v>1126</v>
      </c>
      <c r="B14" s="743"/>
      <c r="C14" s="109" t="s">
        <v>1127</v>
      </c>
      <c r="D14" s="744" t="s">
        <v>1128</v>
      </c>
      <c r="E14" s="745"/>
      <c r="F14" s="133"/>
      <c r="G14" s="134" t="s">
        <v>1129</v>
      </c>
      <c r="H14" s="135" t="s">
        <v>1130</v>
      </c>
      <c r="I14" s="51"/>
      <c r="J14" s="741"/>
      <c r="K14" s="7" t="s">
        <v>1131</v>
      </c>
      <c r="N14" s="76" t="s">
        <v>1132</v>
      </c>
      <c r="O14" s="77">
        <f>100%-'COTIZACIÓN M.N.'!G14</f>
        <v>1</v>
      </c>
      <c r="P14"/>
    </row>
    <row r="15" spans="1:249" ht="15.6" thickTop="1" thickBot="1" x14ac:dyDescent="0.35">
      <c r="A15" s="746"/>
      <c r="B15" s="747"/>
      <c r="C15" s="748">
        <v>1</v>
      </c>
      <c r="D15" s="749"/>
      <c r="E15" s="138"/>
      <c r="F15" s="139"/>
      <c r="G15" s="139"/>
      <c r="H15" s="140"/>
      <c r="I15" s="59">
        <v>365</v>
      </c>
      <c r="J15" s="59">
        <f>C13-C12</f>
        <v>366</v>
      </c>
      <c r="K15" s="60">
        <v>0.16</v>
      </c>
      <c r="O15" s="61"/>
      <c r="P15" s="8"/>
    </row>
    <row r="16" spans="1:249" s="41" customFormat="1" ht="30" customHeight="1" thickTop="1" thickBot="1" x14ac:dyDescent="0.3">
      <c r="A16" s="62" t="s">
        <v>1133</v>
      </c>
      <c r="B16" s="63" t="s">
        <v>1134</v>
      </c>
      <c r="C16" s="64" t="s">
        <v>1135</v>
      </c>
      <c r="D16" s="64" t="s">
        <v>1136</v>
      </c>
      <c r="E16" s="136" t="s">
        <v>1137</v>
      </c>
      <c r="F16" s="137" t="s">
        <v>1138</v>
      </c>
      <c r="G16" s="137" t="s">
        <v>1139</v>
      </c>
      <c r="H16" s="137" t="s">
        <v>1140</v>
      </c>
      <c r="I16" s="65" t="s">
        <v>1141</v>
      </c>
      <c r="J16" s="65" t="s">
        <v>1142</v>
      </c>
      <c r="K16" s="65" t="s">
        <v>1131</v>
      </c>
      <c r="L16" s="65" t="s">
        <v>73</v>
      </c>
      <c r="M16" s="66" t="s">
        <v>1143</v>
      </c>
      <c r="N16" s="65" t="s">
        <v>1144</v>
      </c>
      <c r="O16" s="67" t="s">
        <v>1145</v>
      </c>
      <c r="P16" s="40" t="s">
        <v>1146</v>
      </c>
      <c r="Q16" s="1"/>
      <c r="R16" s="1"/>
      <c r="S16" s="1"/>
      <c r="T16" s="1"/>
      <c r="U16" s="1"/>
      <c r="V16" s="1"/>
      <c r="W16" s="482"/>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pans="1:23" ht="15.6" thickTop="1" thickBot="1" x14ac:dyDescent="0.35">
      <c r="A17" s="82" t="s">
        <v>1147</v>
      </c>
      <c r="B17" s="30" t="s">
        <v>1148</v>
      </c>
      <c r="C17" s="28" t="s">
        <v>1149</v>
      </c>
      <c r="D17" s="28" t="str">
        <f>'Ramo Comercial'!C121</f>
        <v>INCLUIDO</v>
      </c>
      <c r="E17" s="28"/>
      <c r="F17" s="113">
        <f>'COTIZACIÓN M.N.'!D24</f>
        <v>155549.70000000001</v>
      </c>
      <c r="G17" s="210">
        <f>'COTIZACIÓN M.N.'!E24+'COTIZACIÓN M.N.'!E25+'COTIZACIÓN M.N.'!E26</f>
        <v>0.30781530000000001</v>
      </c>
      <c r="H17" s="28"/>
      <c r="I17" s="28"/>
      <c r="J17" s="28"/>
      <c r="K17" s="28"/>
      <c r="L17" s="28"/>
      <c r="M17" s="68">
        <v>0.1201</v>
      </c>
      <c r="N17" s="28"/>
      <c r="O17" s="83"/>
      <c r="P17" s="13" t="str">
        <f>IF(Q17=1,"SI","NO")</f>
        <v>SI</v>
      </c>
      <c r="Q17" s="48">
        <f t="shared" ref="Q17:Q27" si="0">IF(D17="INCLUIDO",IF(F17&lt;&gt;0,1,0),0)</f>
        <v>1</v>
      </c>
      <c r="T17" s="146">
        <f>G17</f>
        <v>0.30781530000000001</v>
      </c>
      <c r="U17" s="150"/>
      <c r="V17" s="151"/>
    </row>
    <row r="18" spans="1:23" x14ac:dyDescent="0.3">
      <c r="A18" s="31" t="s">
        <v>1150</v>
      </c>
      <c r="B18" s="32" t="s">
        <v>1148</v>
      </c>
      <c r="C18" s="27" t="s">
        <v>1151</v>
      </c>
      <c r="D18" s="27" t="str">
        <f>$D$17</f>
        <v>INCLUIDO</v>
      </c>
      <c r="E18" s="27" t="s">
        <v>1137</v>
      </c>
      <c r="F18" s="9">
        <f>$F$17*S18</f>
        <v>155549.70000000001</v>
      </c>
      <c r="G18" s="49">
        <f>V18</f>
        <v>0.24625224000000001</v>
      </c>
      <c r="H18" s="9">
        <f>(((IF(I18="$ Prima",G18,G18*F18/R18))*$U$9)/365)*$J$15</f>
        <v>38.409405787989179</v>
      </c>
      <c r="I18" s="9" t="s">
        <v>1153</v>
      </c>
      <c r="J18" s="9">
        <f>H18*$U$7</f>
        <v>0.81043846212657167</v>
      </c>
      <c r="K18" s="9">
        <f>(H18+J18)*$K$15</f>
        <v>6.2751750800185198</v>
      </c>
      <c r="L18" s="9">
        <f>ROUND(H18+J18+K18,2)</f>
        <v>45.5</v>
      </c>
      <c r="M18" s="11">
        <f t="shared" ref="M18:M27" si="1">$M$17</f>
        <v>0.1201</v>
      </c>
      <c r="N18" s="9">
        <f>H18*M18</f>
        <v>4.6129696351375005</v>
      </c>
      <c r="O18" s="12">
        <f>N18</f>
        <v>4.6129696351375005</v>
      </c>
      <c r="P18" s="13" t="str">
        <f t="shared" ref="P18:P90" si="2">IF(Q18=1,"SI","NO")</f>
        <v>SI</v>
      </c>
      <c r="Q18">
        <f t="shared" si="0"/>
        <v>1</v>
      </c>
      <c r="R18">
        <f t="shared" ref="R18:R27" si="3">IF(I18="%o Al Millar",1000,IF(I18="% Al Porciento",100,IF(I18="$ Prima",G18)))</f>
        <v>1000</v>
      </c>
      <c r="S18">
        <f t="shared" ref="S18:S39" si="4">IF(E18="Excluido",0,IF(D18="NO APLICA",0,1))</f>
        <v>1</v>
      </c>
      <c r="T18" s="152">
        <v>0.8</v>
      </c>
      <c r="U18">
        <f>IF(E18="Excluido",0,T17*T18)</f>
        <v>0.24625224000000001</v>
      </c>
      <c r="V18" s="153">
        <f>IF(F17=0,0,(U23-U22-U20)+(T17-U23))</f>
        <v>0.24625224000000001</v>
      </c>
      <c r="W18" s="111" t="e">
        <f>'UB (1)'!H18+'UB (2)'!H18+'UB (3)'!H18+#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9" spans="1:23" hidden="1" x14ac:dyDescent="0.3">
      <c r="A19" s="31" t="s">
        <v>1150</v>
      </c>
      <c r="B19" s="32"/>
      <c r="C19" s="81">
        <f>$O$12</f>
        <v>0</v>
      </c>
      <c r="D19" s="27" t="str">
        <f t="shared" ref="D19:D39" si="5">$D$17</f>
        <v>INCLUIDO</v>
      </c>
      <c r="E19" s="27" t="s">
        <v>1152</v>
      </c>
      <c r="F19" s="9">
        <f>(F18*$O$12)*S19</f>
        <v>0</v>
      </c>
      <c r="G19" s="10">
        <f>G18*0.35</f>
        <v>8.6188284000000004E-2</v>
      </c>
      <c r="H19" s="9">
        <f t="shared" ref="H19" si="6">(IF(I19="$ Prima",G19,G19*F19/R19))*$U$9</f>
        <v>0</v>
      </c>
      <c r="I19" s="9" t="s">
        <v>1153</v>
      </c>
      <c r="J19" s="9">
        <f t="shared" ref="J19" si="7">H19*$U$7</f>
        <v>0</v>
      </c>
      <c r="K19" s="9">
        <f t="shared" ref="K19" si="8">(H19+J19)*$K$15</f>
        <v>0</v>
      </c>
      <c r="L19" s="9">
        <f t="shared" ref="L19" si="9">ROUND(H19+J19+K19,2)</f>
        <v>0</v>
      </c>
      <c r="M19" s="11">
        <f t="shared" si="1"/>
        <v>0.1201</v>
      </c>
      <c r="N19" s="9">
        <f t="shared" ref="N19" si="10">H19*M19</f>
        <v>0</v>
      </c>
      <c r="O19" s="12">
        <f t="shared" ref="O19" si="11">N19</f>
        <v>0</v>
      </c>
      <c r="P19" s="13" t="str">
        <f t="shared" ref="P19" si="12">IF(Q19=1,"SI","NO")</f>
        <v>NO</v>
      </c>
      <c r="Q19">
        <f t="shared" si="0"/>
        <v>0</v>
      </c>
      <c r="R19">
        <f t="shared" ref="R19" si="13">IF(I19="%o Al Millar",1000,IF(I19="% Al Porciento",100,IF(I19="$ Prima",G19)))</f>
        <v>1000</v>
      </c>
      <c r="S19">
        <f t="shared" si="4"/>
        <v>1</v>
      </c>
      <c r="T19" s="152"/>
      <c r="V19" s="153"/>
      <c r="W19"/>
    </row>
    <row r="20" spans="1:23" ht="20.399999999999999" x14ac:dyDescent="0.3">
      <c r="A20" s="31" t="s">
        <v>1150</v>
      </c>
      <c r="B20" s="32" t="s">
        <v>1154</v>
      </c>
      <c r="C20" s="27" t="s">
        <v>1155</v>
      </c>
      <c r="D20" s="27" t="str">
        <f t="shared" si="5"/>
        <v>INCLUIDO</v>
      </c>
      <c r="E20" s="27" t="s">
        <v>1137</v>
      </c>
      <c r="F20" s="9">
        <f>$F$17*S20</f>
        <v>155549.70000000001</v>
      </c>
      <c r="G20" s="49">
        <f>V20</f>
        <v>3.0781530000000001E-2</v>
      </c>
      <c r="H20" s="9">
        <f>(((IF(I20="$ Prima",G20,G20*F20/R20))*$U$9)/365)*$J$15</f>
        <v>4.8011757234986474</v>
      </c>
      <c r="I20" s="9" t="s">
        <v>1153</v>
      </c>
      <c r="J20" s="9">
        <f>H20*$U$7</f>
        <v>0.10130480776582146</v>
      </c>
      <c r="K20" s="9">
        <f>(H20+J20)*$K$15</f>
        <v>0.78439688500231497</v>
      </c>
      <c r="L20" s="9">
        <f t="shared" ref="L20:L27" si="14">ROUND(H20+J20+K20,2)</f>
        <v>5.69</v>
      </c>
      <c r="M20" s="11">
        <f t="shared" si="1"/>
        <v>0.1201</v>
      </c>
      <c r="N20" s="9">
        <f t="shared" ref="N20:N27" si="15">H20*M20</f>
        <v>0.57662120439218756</v>
      </c>
      <c r="O20" s="12">
        <f t="shared" ref="O20:O27" si="16">N20</f>
        <v>0.57662120439218756</v>
      </c>
      <c r="P20" s="13" t="str">
        <f t="shared" si="2"/>
        <v>SI</v>
      </c>
      <c r="Q20">
        <f t="shared" si="0"/>
        <v>1</v>
      </c>
      <c r="R20">
        <f t="shared" si="3"/>
        <v>1000</v>
      </c>
      <c r="S20">
        <f t="shared" si="4"/>
        <v>1</v>
      </c>
      <c r="T20" s="152">
        <v>0.1</v>
      </c>
      <c r="U20">
        <f>IF(E20="Excluido",0,T17*T20)</f>
        <v>3.0781530000000001E-2</v>
      </c>
      <c r="V20" s="153">
        <f>IF(F$17=0,0,U20)</f>
        <v>3.0781530000000001E-2</v>
      </c>
      <c r="W20" s="111" t="e">
        <f>'UB (1)'!H20+'UB (2)'!H20+'UB (3)'!H20+#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21" spans="1:23" hidden="1" x14ac:dyDescent="0.3">
      <c r="A21" s="31" t="s">
        <v>1150</v>
      </c>
      <c r="B21" s="32"/>
      <c r="C21" s="81">
        <f>$O$12</f>
        <v>0</v>
      </c>
      <c r="D21" s="27" t="str">
        <f t="shared" si="5"/>
        <v>INCLUIDO</v>
      </c>
      <c r="E21" s="27" t="str">
        <f>E20</f>
        <v>Sublimite</v>
      </c>
      <c r="F21" s="9">
        <f>(F20*$O$12)*S21</f>
        <v>0</v>
      </c>
      <c r="G21" s="10">
        <f>G20*0.35</f>
        <v>1.07735355E-2</v>
      </c>
      <c r="H21" s="9">
        <f t="shared" ref="H21" si="17">(IF(I21="$ Prima",G21,G21*F21/R21))*$U$9</f>
        <v>0</v>
      </c>
      <c r="I21" s="9" t="s">
        <v>1153</v>
      </c>
      <c r="J21" s="9">
        <f t="shared" ref="J21" si="18">H21*$U$7</f>
        <v>0</v>
      </c>
      <c r="K21" s="9">
        <f t="shared" ref="K21" si="19">(H21+J21)*$K$15</f>
        <v>0</v>
      </c>
      <c r="L21" s="9">
        <f t="shared" ref="L21" si="20">ROUND(H21+J21+K21,2)</f>
        <v>0</v>
      </c>
      <c r="M21" s="11">
        <f t="shared" si="1"/>
        <v>0.1201</v>
      </c>
      <c r="N21" s="9">
        <f t="shared" ref="N21" si="21">H21*M21</f>
        <v>0</v>
      </c>
      <c r="O21" s="12">
        <f t="shared" ref="O21" si="22">N21</f>
        <v>0</v>
      </c>
      <c r="P21" s="13" t="str">
        <f t="shared" ref="P21" si="23">IF(Q21=1,"SI","NO")</f>
        <v>NO</v>
      </c>
      <c r="Q21">
        <f t="shared" si="0"/>
        <v>0</v>
      </c>
      <c r="R21">
        <f t="shared" ref="R21" si="24">IF(I21="%o Al Millar",1000,IF(I21="% Al Porciento",100,IF(I21="$ Prima",G21)))</f>
        <v>1000</v>
      </c>
      <c r="S21">
        <f t="shared" si="4"/>
        <v>1</v>
      </c>
      <c r="T21" s="152"/>
      <c r="V21" s="153"/>
      <c r="W21"/>
    </row>
    <row r="22" spans="1:23" ht="15" customHeight="1" x14ac:dyDescent="0.3">
      <c r="A22" s="31" t="s">
        <v>1150</v>
      </c>
      <c r="B22" s="32" t="s">
        <v>1156</v>
      </c>
      <c r="C22" s="27" t="s">
        <v>1110</v>
      </c>
      <c r="D22" s="27" t="str">
        <f t="shared" si="5"/>
        <v>INCLUIDO</v>
      </c>
      <c r="E22" s="27" t="s">
        <v>1137</v>
      </c>
      <c r="F22" s="9">
        <f>'COTIZACIÓN M.N.'!D26</f>
        <v>155549.70000000001</v>
      </c>
      <c r="G22" s="49">
        <f>V22</f>
        <v>3.0781530000000001E-2</v>
      </c>
      <c r="H22" s="9">
        <f>(((IF(I22="$ Prima",G22,G22*F22/R22))*$U$9)/365)*$J$15</f>
        <v>4.8011757234986474</v>
      </c>
      <c r="I22" s="9" t="s">
        <v>1153</v>
      </c>
      <c r="J22" s="9">
        <f>H22*$U$7</f>
        <v>0.10130480776582146</v>
      </c>
      <c r="K22" s="9">
        <f>(H22+J22)*$K$15</f>
        <v>0.78439688500231497</v>
      </c>
      <c r="L22" s="9">
        <f t="shared" si="14"/>
        <v>5.69</v>
      </c>
      <c r="M22" s="11">
        <f t="shared" si="1"/>
        <v>0.1201</v>
      </c>
      <c r="N22" s="9">
        <f t="shared" si="15"/>
        <v>0.57662120439218756</v>
      </c>
      <c r="O22" s="12">
        <f t="shared" si="16"/>
        <v>0.57662120439218756</v>
      </c>
      <c r="P22" s="13" t="str">
        <f t="shared" si="2"/>
        <v>SI</v>
      </c>
      <c r="Q22">
        <f t="shared" si="0"/>
        <v>1</v>
      </c>
      <c r="R22">
        <f t="shared" si="3"/>
        <v>1000</v>
      </c>
      <c r="S22">
        <f t="shared" si="4"/>
        <v>1</v>
      </c>
      <c r="T22" s="152">
        <v>0.1</v>
      </c>
      <c r="U22">
        <f>IF(E22="Excluido",0,T17*T22)</f>
        <v>3.0781530000000001E-2</v>
      </c>
      <c r="V22" s="153">
        <f>IF(F$17=0,0,U22)</f>
        <v>3.0781530000000001E-2</v>
      </c>
      <c r="W22" s="111" t="e">
        <f>'UB (1)'!H22+'UB (2)'!H22+'UB (3)'!H22+#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23" spans="1:23" ht="15" hidden="1" customHeight="1" thickBot="1" x14ac:dyDescent="0.35">
      <c r="A23" s="31" t="s">
        <v>1150</v>
      </c>
      <c r="B23" s="32"/>
      <c r="C23" s="81">
        <f>$O$12</f>
        <v>0</v>
      </c>
      <c r="D23" s="27" t="str">
        <f t="shared" si="5"/>
        <v>INCLUIDO</v>
      </c>
      <c r="E23" s="27" t="str">
        <f>E22</f>
        <v>Sublimite</v>
      </c>
      <c r="F23" s="9">
        <f>(F22*$O$12)*S23</f>
        <v>0</v>
      </c>
      <c r="G23" s="10">
        <f>G22*0.35</f>
        <v>1.07735355E-2</v>
      </c>
      <c r="H23" s="9">
        <f t="shared" ref="H23:H25" si="25">(IF(I23="$ Prima",G23,G23*F23/R23))*$U$9</f>
        <v>0</v>
      </c>
      <c r="I23" s="9" t="s">
        <v>1153</v>
      </c>
      <c r="J23" s="9">
        <f t="shared" ref="J23:J25" si="26">H23*$U$7</f>
        <v>0</v>
      </c>
      <c r="K23" s="9">
        <f t="shared" ref="K23:K25" si="27">(H23+J23)*$K$15</f>
        <v>0</v>
      </c>
      <c r="L23" s="9">
        <f t="shared" ref="L23:L25" si="28">ROUND(H23+J23+K23,2)</f>
        <v>0</v>
      </c>
      <c r="M23" s="11">
        <f t="shared" si="1"/>
        <v>0.1201</v>
      </c>
      <c r="N23" s="9">
        <f t="shared" ref="N23:N25" si="29">H23*M23</f>
        <v>0</v>
      </c>
      <c r="O23" s="12">
        <f t="shared" ref="O23:O25" si="30">N23</f>
        <v>0</v>
      </c>
      <c r="P23" s="13" t="str">
        <f t="shared" ref="P23:P25" si="31">IF(Q23=1,"SI","NO")</f>
        <v>NO</v>
      </c>
      <c r="Q23">
        <f t="shared" si="0"/>
        <v>0</v>
      </c>
      <c r="R23">
        <f t="shared" ref="R23:R25" si="32">IF(I23="%o Al Millar",1000,IF(I23="% Al Porciento",100,IF(I23="$ Prima",G23)))</f>
        <v>1000</v>
      </c>
      <c r="S23">
        <f t="shared" si="4"/>
        <v>1</v>
      </c>
      <c r="T23" s="143">
        <f>SUM(T18:T22)</f>
        <v>1</v>
      </c>
      <c r="U23" s="147">
        <f>SUM(U18:U22)</f>
        <v>0.30781530000000001</v>
      </c>
      <c r="V23" s="148">
        <f>SUM(V18:V22)</f>
        <v>0.30781530000000001</v>
      </c>
      <c r="W23" s="141"/>
    </row>
    <row r="24" spans="1:23" ht="15" hidden="1" customHeight="1" x14ac:dyDescent="0.3">
      <c r="A24" s="31" t="s">
        <v>1150</v>
      </c>
      <c r="B24" s="32">
        <v>280</v>
      </c>
      <c r="C24" s="27" t="s">
        <v>1157</v>
      </c>
      <c r="D24" s="27" t="str">
        <f t="shared" si="5"/>
        <v>INCLUIDO</v>
      </c>
      <c r="E24" s="27" t="s">
        <v>1137</v>
      </c>
      <c r="F24" s="113">
        <v>0</v>
      </c>
      <c r="G24" s="113">
        <v>0</v>
      </c>
      <c r="H24" s="9">
        <f t="shared" si="25"/>
        <v>0</v>
      </c>
      <c r="I24" s="9" t="s">
        <v>1153</v>
      </c>
      <c r="J24" s="9">
        <f t="shared" si="26"/>
        <v>0</v>
      </c>
      <c r="K24" s="9">
        <f t="shared" si="27"/>
        <v>0</v>
      </c>
      <c r="L24" s="9">
        <f t="shared" si="28"/>
        <v>0</v>
      </c>
      <c r="M24" s="11">
        <f t="shared" si="1"/>
        <v>0.1201</v>
      </c>
      <c r="N24" s="9">
        <f t="shared" si="29"/>
        <v>0</v>
      </c>
      <c r="O24" s="12">
        <f t="shared" si="30"/>
        <v>0</v>
      </c>
      <c r="P24" s="13" t="str">
        <f t="shared" si="31"/>
        <v>NO</v>
      </c>
      <c r="Q24">
        <f t="shared" si="0"/>
        <v>0</v>
      </c>
      <c r="R24">
        <f t="shared" si="32"/>
        <v>1000</v>
      </c>
      <c r="S24">
        <f t="shared" si="4"/>
        <v>1</v>
      </c>
      <c r="W24"/>
    </row>
    <row r="25" spans="1:23" ht="15" hidden="1" customHeight="1" x14ac:dyDescent="0.3">
      <c r="A25" s="31" t="s">
        <v>1150</v>
      </c>
      <c r="B25" s="32"/>
      <c r="C25" s="81">
        <f>$O$12</f>
        <v>0</v>
      </c>
      <c r="D25" s="27" t="str">
        <f t="shared" si="5"/>
        <v>INCLUIDO</v>
      </c>
      <c r="E25" s="27" t="str">
        <f>E24</f>
        <v>Sublimite</v>
      </c>
      <c r="F25" s="9">
        <f>(F24*$O$12)*S25</f>
        <v>0</v>
      </c>
      <c r="G25" s="10">
        <f>G24*0.35</f>
        <v>0</v>
      </c>
      <c r="H25" s="9">
        <f t="shared" si="25"/>
        <v>0</v>
      </c>
      <c r="I25" s="9" t="s">
        <v>1153</v>
      </c>
      <c r="J25" s="9">
        <f t="shared" si="26"/>
        <v>0</v>
      </c>
      <c r="K25" s="9">
        <f t="shared" si="27"/>
        <v>0</v>
      </c>
      <c r="L25" s="9">
        <f t="shared" si="28"/>
        <v>0</v>
      </c>
      <c r="M25" s="11">
        <f t="shared" si="1"/>
        <v>0.1201</v>
      </c>
      <c r="N25" s="9">
        <f t="shared" si="29"/>
        <v>0</v>
      </c>
      <c r="O25" s="12">
        <f t="shared" si="30"/>
        <v>0</v>
      </c>
      <c r="P25" s="13" t="str">
        <f t="shared" si="31"/>
        <v>NO</v>
      </c>
      <c r="Q25">
        <f t="shared" si="0"/>
        <v>0</v>
      </c>
      <c r="R25">
        <f t="shared" si="32"/>
        <v>1000</v>
      </c>
      <c r="S25">
        <f t="shared" si="4"/>
        <v>1</v>
      </c>
      <c r="W25"/>
    </row>
    <row r="26" spans="1:23" ht="15" customHeight="1" x14ac:dyDescent="0.3">
      <c r="A26" s="31" t="s">
        <v>1150</v>
      </c>
      <c r="B26" s="32" t="s">
        <v>1158</v>
      </c>
      <c r="C26" s="27" t="s">
        <v>1159</v>
      </c>
      <c r="D26" s="27" t="str">
        <f t="shared" si="5"/>
        <v>INCLUIDO</v>
      </c>
      <c r="E26" s="27" t="s">
        <v>1137</v>
      </c>
      <c r="F26" s="42">
        <v>0</v>
      </c>
      <c r="G26" s="10">
        <f>'COTIZACIÓN M.N.'!E67*50%</f>
        <v>1.1000000000000001E-3</v>
      </c>
      <c r="H26" s="75">
        <f>(((IF(I26="$ Prima",G26,G26*F26/R26))*$U$9)/365)*$J$15</f>
        <v>0</v>
      </c>
      <c r="I26" s="9" t="s">
        <v>1153</v>
      </c>
      <c r="J26" s="9">
        <f>H26*$U$7</f>
        <v>0</v>
      </c>
      <c r="K26" s="9">
        <f>(H26+J26)*$K$15</f>
        <v>0</v>
      </c>
      <c r="L26" s="9">
        <f t="shared" si="14"/>
        <v>0</v>
      </c>
      <c r="M26" s="11">
        <f t="shared" si="1"/>
        <v>0.1201</v>
      </c>
      <c r="N26" s="9">
        <f t="shared" si="15"/>
        <v>0</v>
      </c>
      <c r="O26" s="12">
        <f t="shared" si="16"/>
        <v>0</v>
      </c>
      <c r="P26" s="13" t="str">
        <f t="shared" si="2"/>
        <v>NO</v>
      </c>
      <c r="Q26">
        <f t="shared" si="0"/>
        <v>0</v>
      </c>
      <c r="R26">
        <f t="shared" si="3"/>
        <v>1000</v>
      </c>
      <c r="S26">
        <f t="shared" si="4"/>
        <v>1</v>
      </c>
      <c r="W26" s="111" t="e">
        <f>'UB (1)'!H26+'UB (2)'!H26+'UB (3)'!H26+#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27" spans="1:23" ht="15" customHeight="1" x14ac:dyDescent="0.3">
      <c r="A27" s="31" t="s">
        <v>1150</v>
      </c>
      <c r="B27" s="32" t="s">
        <v>1160</v>
      </c>
      <c r="C27" s="27" t="s">
        <v>1161</v>
      </c>
      <c r="D27" s="27" t="str">
        <f t="shared" si="5"/>
        <v>INCLUIDO</v>
      </c>
      <c r="E27" s="27" t="s">
        <v>1137</v>
      </c>
      <c r="F27" s="42">
        <v>0</v>
      </c>
      <c r="G27" s="10">
        <f>G26</f>
        <v>1.1000000000000001E-3</v>
      </c>
      <c r="H27" s="75">
        <f>(((IF(I27="$ Prima",G27,G27*F27/R27))*$U$9)/365)*$J$15</f>
        <v>0</v>
      </c>
      <c r="I27" s="9" t="s">
        <v>1153</v>
      </c>
      <c r="J27" s="9">
        <f>H27*$U$7</f>
        <v>0</v>
      </c>
      <c r="K27" s="9">
        <f>(H27+J27)*$K$15</f>
        <v>0</v>
      </c>
      <c r="L27" s="9">
        <f t="shared" si="14"/>
        <v>0</v>
      </c>
      <c r="M27" s="11">
        <f t="shared" si="1"/>
        <v>0.1201</v>
      </c>
      <c r="N27" s="9">
        <f t="shared" si="15"/>
        <v>0</v>
      </c>
      <c r="O27" s="12">
        <f t="shared" si="16"/>
        <v>0</v>
      </c>
      <c r="P27" s="13" t="str">
        <f t="shared" si="2"/>
        <v>NO</v>
      </c>
      <c r="Q27">
        <f t="shared" si="0"/>
        <v>0</v>
      </c>
      <c r="R27">
        <f t="shared" si="3"/>
        <v>1000</v>
      </c>
      <c r="S27">
        <f t="shared" si="4"/>
        <v>1</v>
      </c>
      <c r="W27" s="111" t="e">
        <f>'UB (1)'!H27+'UB (2)'!H27+'UB (3)'!H27+#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28" spans="1:23" x14ac:dyDescent="0.3">
      <c r="A28" s="82" t="s">
        <v>1162</v>
      </c>
      <c r="B28" s="33">
        <v>1</v>
      </c>
      <c r="C28" s="28" t="s">
        <v>1163</v>
      </c>
      <c r="D28" s="28" t="str">
        <f>$D$17</f>
        <v>INCLUIDO</v>
      </c>
      <c r="E28" s="28"/>
      <c r="F28" s="28"/>
      <c r="G28" s="28"/>
      <c r="H28" s="28"/>
      <c r="I28" s="28"/>
      <c r="J28" s="28"/>
      <c r="K28" s="28"/>
      <c r="L28" s="28"/>
      <c r="M28" s="68">
        <v>0.05</v>
      </c>
      <c r="N28" s="28"/>
      <c r="O28" s="83"/>
      <c r="P28" s="13" t="str">
        <f t="shared" si="2"/>
        <v>SI</v>
      </c>
      <c r="Q28" s="47">
        <f>IF(D28="INCLUIDO",IF(F29&lt;&gt;0,1,0),0)</f>
        <v>1</v>
      </c>
      <c r="W28" s="111" t="e">
        <f>'UB (1)'!H28+'UB (2)'!H28+'UB (3)'!H28+#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29" spans="1:23" x14ac:dyDescent="0.3">
      <c r="A29" s="31" t="s">
        <v>1164</v>
      </c>
      <c r="B29" s="32" t="s">
        <v>1165</v>
      </c>
      <c r="C29" s="27" t="s">
        <v>1166</v>
      </c>
      <c r="D29" s="27" t="str">
        <f t="shared" si="5"/>
        <v>INCLUIDO</v>
      </c>
      <c r="E29" s="27" t="s">
        <v>1137</v>
      </c>
      <c r="F29" s="9">
        <f>$F$17*S29</f>
        <v>155549.70000000001</v>
      </c>
      <c r="G29" s="10">
        <f>'COTIZACIÓN M.N.'!E28</f>
        <v>0.25</v>
      </c>
      <c r="H29" s="75">
        <f>((((IF(I29="$ Prima",G29,G29*F29/R29))*$U$9)/365)*$J$15)</f>
        <v>38.993965890410962</v>
      </c>
      <c r="I29" s="9" t="s">
        <v>1153</v>
      </c>
      <c r="J29" s="9">
        <f t="shared" ref="J29:J30" si="33">H29*$U$7</f>
        <v>0.82277268028767137</v>
      </c>
      <c r="K29" s="9">
        <f t="shared" ref="K29:K30" si="34">(H29+J29)*$K$15</f>
        <v>6.3706781713117815</v>
      </c>
      <c r="L29" s="9">
        <f t="shared" ref="L29:L30" si="35">ROUND(H29+J29+K29,2)</f>
        <v>46.19</v>
      </c>
      <c r="M29" s="11">
        <f>$M$28</f>
        <v>0.05</v>
      </c>
      <c r="N29" s="9">
        <f t="shared" ref="N29:N30" si="36">H29*M29</f>
        <v>1.9496982945205481</v>
      </c>
      <c r="O29" s="12">
        <f t="shared" ref="O29:O30" si="37">N29</f>
        <v>1.9496982945205481</v>
      </c>
      <c r="P29" s="13" t="str">
        <f t="shared" si="2"/>
        <v>SI</v>
      </c>
      <c r="Q29">
        <f>IF(D29="INCLUIDO",IF(F29&lt;&gt;0,1,0),0)</f>
        <v>1</v>
      </c>
      <c r="R29">
        <f>IF(I29="%o Al Millar",1000,IF(I29="% Al Porciento",100,IF(I29="$ Prima",G29)))</f>
        <v>1000</v>
      </c>
      <c r="S29">
        <f t="shared" si="4"/>
        <v>1</v>
      </c>
      <c r="W29" s="111" t="e">
        <f>'UB (1)'!H29+'UB (2)'!H29+'UB (3)'!H29+#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30" spans="1:23" hidden="1" x14ac:dyDescent="0.3">
      <c r="A30" s="31" t="s">
        <v>1164</v>
      </c>
      <c r="B30" s="32"/>
      <c r="C30" s="81">
        <f>$O$12</f>
        <v>0</v>
      </c>
      <c r="D30" s="27" t="str">
        <f t="shared" si="5"/>
        <v>INCLUIDO</v>
      </c>
      <c r="E30" s="27" t="str">
        <f>E29</f>
        <v>Sublimite</v>
      </c>
      <c r="F30" s="9">
        <f>(F29*$O$12)*S30</f>
        <v>0</v>
      </c>
      <c r="G30" s="10">
        <f>G29*0.35</f>
        <v>8.7499999999999994E-2</v>
      </c>
      <c r="H30" s="9">
        <f>((IF(I30="$ Prima",G30,G30*F30/R30))*$U$9)*O13</f>
        <v>0</v>
      </c>
      <c r="I30" s="9" t="s">
        <v>1153</v>
      </c>
      <c r="J30" s="9">
        <f t="shared" si="33"/>
        <v>0</v>
      </c>
      <c r="K30" s="9">
        <f t="shared" si="34"/>
        <v>0</v>
      </c>
      <c r="L30" s="9">
        <f t="shared" si="35"/>
        <v>0</v>
      </c>
      <c r="M30" s="11">
        <f>$M$28</f>
        <v>0.05</v>
      </c>
      <c r="N30" s="9">
        <f t="shared" si="36"/>
        <v>0</v>
      </c>
      <c r="O30" s="12">
        <f t="shared" si="37"/>
        <v>0</v>
      </c>
      <c r="P30" s="13" t="str">
        <f t="shared" si="2"/>
        <v>NO</v>
      </c>
      <c r="Q30">
        <f>IF(D30="INCLUIDO",IF(F30&lt;&gt;0,1,0),0)</f>
        <v>0</v>
      </c>
      <c r="R30">
        <f>IF(I30="%o Al Millar",1000,IF(I30="% Al Porciento",100,IF(I30="$ Prima",G30)))</f>
        <v>1000</v>
      </c>
      <c r="S30">
        <f t="shared" si="4"/>
        <v>1</v>
      </c>
      <c r="W30"/>
    </row>
    <row r="31" spans="1:23" x14ac:dyDescent="0.3">
      <c r="A31" s="82">
        <v>904</v>
      </c>
      <c r="B31" s="33">
        <v>1</v>
      </c>
      <c r="C31" s="28" t="s">
        <v>1167</v>
      </c>
      <c r="D31" s="28" t="str">
        <f>$D$17</f>
        <v>INCLUIDO</v>
      </c>
      <c r="E31" s="28"/>
      <c r="F31" s="28"/>
      <c r="G31" s="28"/>
      <c r="H31" s="28"/>
      <c r="I31" s="28"/>
      <c r="J31" s="28"/>
      <c r="K31" s="28"/>
      <c r="L31" s="28"/>
      <c r="M31" s="68">
        <v>0.05</v>
      </c>
      <c r="N31" s="28"/>
      <c r="O31" s="83"/>
      <c r="P31" s="13" t="str">
        <f t="shared" si="2"/>
        <v>SI</v>
      </c>
      <c r="Q31" s="47">
        <f>IF(D31="INCLUIDO",IF(F32&lt;&gt;0,1,0),0)</f>
        <v>1</v>
      </c>
      <c r="W31" s="111" t="e">
        <f>'UB (1)'!H31+'UB (2)'!H31+'UB (3)'!H31+#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32" spans="1:23" x14ac:dyDescent="0.3">
      <c r="A32" s="31" t="s">
        <v>1168</v>
      </c>
      <c r="B32" s="32" t="s">
        <v>1169</v>
      </c>
      <c r="C32" s="27" t="s">
        <v>1170</v>
      </c>
      <c r="D32" s="27" t="str">
        <f t="shared" si="5"/>
        <v>INCLUIDO</v>
      </c>
      <c r="E32" s="27" t="s">
        <v>1137</v>
      </c>
      <c r="F32" s="9">
        <f>F17</f>
        <v>155549.70000000001</v>
      </c>
      <c r="G32" s="10">
        <f>'COTIZACIÓN M.N.'!E30</f>
        <v>0.4</v>
      </c>
      <c r="H32" s="75">
        <f>((((IF(I32="$ Prima",G32,G32*F32/R32))*$U$9)*O14)/365)*$J$15</f>
        <v>62.390345424657539</v>
      </c>
      <c r="I32" s="9" t="s">
        <v>1153</v>
      </c>
      <c r="J32" s="9">
        <f t="shared" ref="J32:J33" si="38">H32*$U$7</f>
        <v>1.3164362884602741</v>
      </c>
      <c r="K32" s="9">
        <f t="shared" ref="K32:K33" si="39">(H32+J32)*$K$15</f>
        <v>10.19308507409885</v>
      </c>
      <c r="L32" s="9">
        <f t="shared" ref="L32:L33" si="40">ROUND(H32+J32+K32,2)</f>
        <v>73.900000000000006</v>
      </c>
      <c r="M32" s="11">
        <f>$M$31</f>
        <v>0.05</v>
      </c>
      <c r="N32" s="9">
        <f t="shared" ref="N32:N33" si="41">H32*M32</f>
        <v>3.1195172712328771</v>
      </c>
      <c r="O32" s="12">
        <f t="shared" ref="O32:O33" si="42">N32</f>
        <v>3.1195172712328771</v>
      </c>
      <c r="P32" s="13" t="str">
        <f t="shared" si="2"/>
        <v>SI</v>
      </c>
      <c r="Q32">
        <f>IF(D32="INCLUIDO",IF(F32&lt;&gt;0,1,0),0)</f>
        <v>1</v>
      </c>
      <c r="R32">
        <f>IF(I32="%o Al Millar",1000,IF(I32="% Al Porciento",100,IF(I32="$ Prima",G32)))</f>
        <v>1000</v>
      </c>
      <c r="S32">
        <f t="shared" si="4"/>
        <v>1</v>
      </c>
      <c r="W32" s="111" t="e">
        <f>'UB (1)'!H32+'UB (2)'!H32+'UB (3)'!H32+#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33" spans="1:23" hidden="1" x14ac:dyDescent="0.3">
      <c r="A33" s="31" t="s">
        <v>1168</v>
      </c>
      <c r="B33" s="32"/>
      <c r="C33" s="81">
        <f>$O$12</f>
        <v>0</v>
      </c>
      <c r="D33" s="27" t="str">
        <f t="shared" si="5"/>
        <v>INCLUIDO</v>
      </c>
      <c r="E33" s="27" t="str">
        <f>E32</f>
        <v>Sublimite</v>
      </c>
      <c r="F33" s="9">
        <f>(F32*$O$12)*S33</f>
        <v>0</v>
      </c>
      <c r="G33" s="10">
        <f>G32*0.35</f>
        <v>0.13999999999999999</v>
      </c>
      <c r="H33" s="9">
        <f>((IF(I33="$ Prima",G33,G33*F33/R33))*$U$9)*O14</f>
        <v>0</v>
      </c>
      <c r="I33" s="9" t="s">
        <v>1153</v>
      </c>
      <c r="J33" s="9">
        <f t="shared" si="38"/>
        <v>0</v>
      </c>
      <c r="K33" s="9">
        <f t="shared" si="39"/>
        <v>0</v>
      </c>
      <c r="L33" s="9">
        <f t="shared" si="40"/>
        <v>0</v>
      </c>
      <c r="M33" s="11">
        <f>$M$31</f>
        <v>0.05</v>
      </c>
      <c r="N33" s="9">
        <f t="shared" si="41"/>
        <v>0</v>
      </c>
      <c r="O33" s="12">
        <f t="shared" si="42"/>
        <v>0</v>
      </c>
      <c r="P33" s="13" t="str">
        <f t="shared" si="2"/>
        <v>NO</v>
      </c>
      <c r="Q33">
        <f>IF(D33="INCLUIDO",IF(F33&lt;&gt;0,1,0),0)</f>
        <v>0</v>
      </c>
      <c r="R33">
        <f>IF(I33="%o Al Millar",1000,IF(I33="% Al Porciento",100,IF(I33="$ Prima",G33)))</f>
        <v>1000</v>
      </c>
      <c r="S33">
        <f t="shared" si="4"/>
        <v>1</v>
      </c>
      <c r="W33"/>
    </row>
    <row r="34" spans="1:23" x14ac:dyDescent="0.3">
      <c r="A34" s="82" t="s">
        <v>1147</v>
      </c>
      <c r="B34" s="33" t="s">
        <v>1148</v>
      </c>
      <c r="C34" s="28" t="s">
        <v>1171</v>
      </c>
      <c r="D34" s="28" t="str">
        <f>$D$17</f>
        <v>INCLUIDO</v>
      </c>
      <c r="E34" s="28"/>
      <c r="F34" s="113">
        <f>'COTIZACIÓN M.N.'!D61</f>
        <v>31109.940000000002</v>
      </c>
      <c r="G34" s="28"/>
      <c r="H34" s="28"/>
      <c r="I34" s="28"/>
      <c r="J34" s="28"/>
      <c r="K34" s="28"/>
      <c r="L34" s="28"/>
      <c r="M34" s="68">
        <v>0.25</v>
      </c>
      <c r="N34" s="28"/>
      <c r="O34" s="83"/>
      <c r="P34" s="13" t="str">
        <f t="shared" si="2"/>
        <v>SI</v>
      </c>
      <c r="Q34" s="47">
        <f>IF(D34="INCLUIDO",IF(F35&lt;&gt;0,1,0),0)</f>
        <v>1</v>
      </c>
      <c r="W34" s="111" t="e">
        <f>'UB (1)'!H34+'UB (2)'!H34+'UB (3)'!H34+#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35" spans="1:23" x14ac:dyDescent="0.3">
      <c r="A35" s="31" t="s">
        <v>1150</v>
      </c>
      <c r="B35" s="32" t="s">
        <v>1172</v>
      </c>
      <c r="C35" s="27" t="s">
        <v>1173</v>
      </c>
      <c r="D35" s="27" t="str">
        <f t="shared" si="5"/>
        <v>INCLUIDO</v>
      </c>
      <c r="E35" s="27" t="s">
        <v>1137</v>
      </c>
      <c r="F35" s="9">
        <f>F34*S35</f>
        <v>31109.940000000002</v>
      </c>
      <c r="G35" s="10">
        <f>'COTIZACIÓN M.N.'!E61*75%</f>
        <v>4.1836147500000004E-2</v>
      </c>
      <c r="H35" s="471">
        <f>(((IF(I35="$ Prima",G35,G35*F35/R35))*$U$9)/365)*$J$15</f>
        <v>1.3050858468809616</v>
      </c>
      <c r="I35" s="9" t="s">
        <v>1153</v>
      </c>
      <c r="J35" s="9">
        <f>H35*$U$7</f>
        <v>2.7537311369188293E-2</v>
      </c>
      <c r="K35" s="9">
        <f>(H35+J35)*$K$15</f>
        <v>0.21321970532002399</v>
      </c>
      <c r="L35" s="9">
        <f>ROUND(H35+J35+K35,2)</f>
        <v>1.55</v>
      </c>
      <c r="M35" s="11">
        <f>M34</f>
        <v>0.25</v>
      </c>
      <c r="N35" s="9">
        <f>H35*M35</f>
        <v>0.32627146172024041</v>
      </c>
      <c r="O35" s="12">
        <f>N35</f>
        <v>0.32627146172024041</v>
      </c>
      <c r="P35" s="13" t="str">
        <f t="shared" si="2"/>
        <v>SI</v>
      </c>
      <c r="Q35">
        <f>IF(D35="INCLUIDO",IF(F35&lt;&gt;0,1,0),0)</f>
        <v>1</v>
      </c>
      <c r="R35">
        <f>IF(I35="%o Al Millar",1000,IF(I35="% Al Porciento",100,IF(I35="$ Prima",G35)))</f>
        <v>1000</v>
      </c>
      <c r="S35">
        <f t="shared" si="4"/>
        <v>1</v>
      </c>
      <c r="W35" s="111" t="e">
        <f>'UB (1)'!H35+'UB (2)'!H35+'UB (3)'!H35+#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36" spans="1:23" x14ac:dyDescent="0.3">
      <c r="A36" s="82" t="s">
        <v>1162</v>
      </c>
      <c r="B36" s="33">
        <v>1</v>
      </c>
      <c r="C36" s="28" t="s">
        <v>1163</v>
      </c>
      <c r="D36" s="28" t="str">
        <f>$D$17</f>
        <v>INCLUIDO</v>
      </c>
      <c r="E36" s="28"/>
      <c r="F36" s="28"/>
      <c r="G36" s="28"/>
      <c r="H36" s="28"/>
      <c r="I36" s="28"/>
      <c r="J36" s="28"/>
      <c r="K36" s="28"/>
      <c r="L36" s="28"/>
      <c r="M36" s="68">
        <f>M28</f>
        <v>0.05</v>
      </c>
      <c r="N36" s="28"/>
      <c r="O36" s="83"/>
      <c r="P36" s="13" t="str">
        <f t="shared" si="2"/>
        <v>SI</v>
      </c>
      <c r="Q36" s="47">
        <f>IF(D36="INCLUIDO",IF(F37&lt;&gt;0,1,0),0)</f>
        <v>1</v>
      </c>
      <c r="W36" s="111" t="e">
        <f>'UB (1)'!H36+'UB (2)'!H36+'UB (3)'!H36+#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37" spans="1:23" ht="20.399999999999999" x14ac:dyDescent="0.3">
      <c r="A37" s="31" t="s">
        <v>1164</v>
      </c>
      <c r="B37" s="32" t="s">
        <v>1174</v>
      </c>
      <c r="C37" s="27" t="s">
        <v>1175</v>
      </c>
      <c r="D37" s="27" t="str">
        <f t="shared" si="5"/>
        <v>INCLUIDO</v>
      </c>
      <c r="E37" s="27" t="s">
        <v>1137</v>
      </c>
      <c r="F37" s="9">
        <f>'COTIZACIÓN M.N.'!D61</f>
        <v>31109.940000000002</v>
      </c>
      <c r="G37" s="10">
        <f>'COTIZACIÓN M.N.'!E61*25%</f>
        <v>1.3945382500000001E-2</v>
      </c>
      <c r="H37" s="75">
        <f>(((IF(I37="$ Prima",G37,G37*F37/R37))*$U$9)/365)*$J$15</f>
        <v>0.43502861562698714</v>
      </c>
      <c r="I37" s="9" t="s">
        <v>1153</v>
      </c>
      <c r="J37" s="9">
        <f>H37*$U$7</f>
        <v>9.1791037897294286E-3</v>
      </c>
      <c r="K37" s="9">
        <f>(H37+J37)*$K$15</f>
        <v>7.1073235106674654E-2</v>
      </c>
      <c r="L37" s="9">
        <f>ROUND(H37+J37+K37,2)</f>
        <v>0.52</v>
      </c>
      <c r="M37" s="11">
        <f>M36</f>
        <v>0.05</v>
      </c>
      <c r="N37" s="9">
        <f>H37*M37</f>
        <v>2.1751430781349359E-2</v>
      </c>
      <c r="O37" s="12">
        <f>N37</f>
        <v>2.1751430781349359E-2</v>
      </c>
      <c r="P37" s="13" t="str">
        <f t="shared" si="2"/>
        <v>SI</v>
      </c>
      <c r="Q37">
        <f>IF(D37="INCLUIDO",IF(F37&lt;&gt;0,1,0),0)</f>
        <v>1</v>
      </c>
      <c r="R37">
        <f>IF(I37="%o Al Millar",1000,IF(I37="% Al Porciento",100,IF(I37="$ Prima",G37)))</f>
        <v>1000</v>
      </c>
      <c r="S37">
        <f t="shared" si="4"/>
        <v>1</v>
      </c>
      <c r="W37" s="111" t="e">
        <f>'UB (1)'!H37+'UB (2)'!H37+'UB (3)'!H37+#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38" spans="1:23" x14ac:dyDescent="0.3">
      <c r="A38" s="82">
        <v>904</v>
      </c>
      <c r="B38" s="33">
        <v>1</v>
      </c>
      <c r="C38" s="28" t="s">
        <v>1167</v>
      </c>
      <c r="D38" s="28" t="str">
        <f>$D$17</f>
        <v>INCLUIDO</v>
      </c>
      <c r="E38" s="28"/>
      <c r="F38" s="28"/>
      <c r="G38" s="28"/>
      <c r="H38" s="28"/>
      <c r="I38" s="28"/>
      <c r="J38" s="28"/>
      <c r="K38" s="28"/>
      <c r="L38" s="28"/>
      <c r="M38" s="68">
        <f>M31</f>
        <v>0.05</v>
      </c>
      <c r="N38" s="28"/>
      <c r="O38" s="83"/>
      <c r="P38" s="13" t="str">
        <f t="shared" si="2"/>
        <v>SI</v>
      </c>
      <c r="Q38" s="47">
        <f>IF(D38="INCLUIDO",IF(F39&lt;&gt;0,1,0),0)</f>
        <v>1</v>
      </c>
      <c r="W38" s="111" t="e">
        <f>'UB (1)'!H38+'UB (2)'!H38+'UB (3)'!H38+#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39" spans="1:23" ht="20.399999999999999" x14ac:dyDescent="0.3">
      <c r="A39" s="31" t="s">
        <v>1168</v>
      </c>
      <c r="B39" s="32" t="s">
        <v>1176</v>
      </c>
      <c r="C39" s="27" t="s">
        <v>1175</v>
      </c>
      <c r="D39" s="27" t="str">
        <f t="shared" si="5"/>
        <v>INCLUIDO</v>
      </c>
      <c r="E39" s="27" t="s">
        <v>1137</v>
      </c>
      <c r="F39" s="9">
        <f>'COTIZACIÓN M.N.'!D62</f>
        <v>31109.940000000002</v>
      </c>
      <c r="G39" s="10">
        <f>'COTIZACIÓN M.N.'!E62</f>
        <v>4.0000000000000008E-2</v>
      </c>
      <c r="H39" s="75">
        <f>(((IF(I39="$ Prima",G39,G39*F39/R39))*$U$9)/365)*$J$15</f>
        <v>1.2478069084931511</v>
      </c>
      <c r="I39" s="9" t="s">
        <v>1153</v>
      </c>
      <c r="J39" s="9">
        <f>H39*$U$7</f>
        <v>2.6328725769205488E-2</v>
      </c>
      <c r="K39" s="9">
        <f>(H39+J39)*$K$15</f>
        <v>0.20386170148197708</v>
      </c>
      <c r="L39" s="9">
        <f>ROUND(H39+J39+K39,2)</f>
        <v>1.48</v>
      </c>
      <c r="M39" s="11">
        <f>M38</f>
        <v>0.05</v>
      </c>
      <c r="N39" s="9">
        <f>H39*M39</f>
        <v>6.2390345424657559E-2</v>
      </c>
      <c r="O39" s="12">
        <f>N39</f>
        <v>6.2390345424657559E-2</v>
      </c>
      <c r="P39" s="13" t="str">
        <f t="shared" si="2"/>
        <v>SI</v>
      </c>
      <c r="Q39">
        <f>IF(D39="INCLUIDO",IF(F39&lt;&gt;0,1,0),0)</f>
        <v>1</v>
      </c>
      <c r="R39">
        <f>IF(I39="%o Al Millar",1000,IF(I39="% Al Porciento",100,IF(I39="$ Prima",G39)))</f>
        <v>1000</v>
      </c>
      <c r="S39">
        <f t="shared" si="4"/>
        <v>1</v>
      </c>
      <c r="W39" s="111" t="e">
        <f>'UB (1)'!H39+'UB (2)'!H39+'UB (3)'!H39+#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40" spans="1:23" s="18" customFormat="1" ht="15" thickBot="1" x14ac:dyDescent="0.35">
      <c r="A40" s="14"/>
      <c r="B40" s="25"/>
      <c r="C40" s="15" t="s">
        <v>1177</v>
      </c>
      <c r="D40" s="38" t="str">
        <f>D39</f>
        <v>INCLUIDO</v>
      </c>
      <c r="E40" s="38"/>
      <c r="F40" s="16">
        <f>SUMIF(E18:E39,"Adicional",F18:F39)</f>
        <v>0</v>
      </c>
      <c r="G40" s="17"/>
      <c r="H40" s="16">
        <f>SUM(H18:H39)</f>
        <v>152.38398992105604</v>
      </c>
      <c r="I40" s="16"/>
      <c r="J40" s="16">
        <f>SUM(J18:J39)</f>
        <v>3.2153021873342831</v>
      </c>
      <c r="K40" s="16">
        <f>SUM(K18:K39)</f>
        <v>24.895886737342455</v>
      </c>
      <c r="L40" s="16">
        <f>SUM(L18:L39)</f>
        <v>180.52</v>
      </c>
      <c r="M40" s="16" t="s">
        <v>1178</v>
      </c>
      <c r="N40" s="16">
        <f>SUM(N18:N39)</f>
        <v>11.245840847601551</v>
      </c>
      <c r="O40" s="84">
        <f>SUM(O18:O39)</f>
        <v>11.245840847601551</v>
      </c>
      <c r="P40" s="13" t="str">
        <f t="shared" si="2"/>
        <v>SI</v>
      </c>
      <c r="Q40">
        <f>IF(D40="INCLUIDO",IF(H40&lt;&gt;0,1,0),0)</f>
        <v>1</v>
      </c>
      <c r="W40" s="111" t="e">
        <f>'UB (1)'!H40+'UB (2)'!H40+'UB (3)'!H40+#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41" spans="1:23" ht="15" thickBot="1" x14ac:dyDescent="0.35">
      <c r="A41" s="82" t="s">
        <v>1147</v>
      </c>
      <c r="B41" s="33">
        <v>2</v>
      </c>
      <c r="C41" s="28" t="s">
        <v>1179</v>
      </c>
      <c r="D41" s="28" t="str">
        <f>$D$17</f>
        <v>INCLUIDO</v>
      </c>
      <c r="E41" s="28"/>
      <c r="F41" s="113">
        <f>'COTIZACIÓN M.N.'!D33</f>
        <v>869216450.12531984</v>
      </c>
      <c r="G41" s="209">
        <f>'COTIZACIÓN M.N.'!E33+'COTIZACIÓN M.N.'!E34+'COTIZACIÓN M.N.'!E35</f>
        <v>0.30781530000000001</v>
      </c>
      <c r="H41" s="28"/>
      <c r="I41" s="28"/>
      <c r="J41" s="28"/>
      <c r="K41" s="28"/>
      <c r="L41" s="28"/>
      <c r="M41" s="68">
        <f>M17</f>
        <v>0.1201</v>
      </c>
      <c r="N41" s="28"/>
      <c r="O41" s="83"/>
      <c r="P41" s="13" t="str">
        <f t="shared" si="2"/>
        <v>SI</v>
      </c>
      <c r="Q41" s="48">
        <f t="shared" ref="Q41:Q60" si="43">IF(D41="INCLUIDO",IF(F41&lt;&gt;0,1,0),0)</f>
        <v>1</v>
      </c>
      <c r="T41" s="146">
        <f>G41</f>
        <v>0.30781530000000001</v>
      </c>
      <c r="U41" s="150"/>
      <c r="V41" s="151"/>
      <c r="W41" s="111" t="e">
        <f>'UB (1)'!H41+'UB (2)'!H41+'UB (3)'!H41+#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42" spans="1:23" x14ac:dyDescent="0.3">
      <c r="A42" s="34" t="s">
        <v>1150</v>
      </c>
      <c r="B42" s="35" t="s">
        <v>1180</v>
      </c>
      <c r="C42" s="29" t="s">
        <v>1151</v>
      </c>
      <c r="D42" s="27" t="str">
        <f t="shared" ref="D42:D76" si="44">$D$17</f>
        <v>INCLUIDO</v>
      </c>
      <c r="E42" s="27" t="s">
        <v>1137</v>
      </c>
      <c r="F42" s="20">
        <f>$F$41*S42</f>
        <v>869216450.12531984</v>
      </c>
      <c r="G42" s="49">
        <f>V42</f>
        <v>0.24625224000000001</v>
      </c>
      <c r="H42" s="9">
        <f>(((IF(I42="$ Prima",G42,G42*F42/R42))*$U$9)/365)*$J$15</f>
        <v>214632.92664954587</v>
      </c>
      <c r="I42" s="9" t="s">
        <v>1153</v>
      </c>
      <c r="J42" s="9">
        <f t="shared" ref="J42:J60" si="45">H42*$U$7</f>
        <v>4528.7547523054182</v>
      </c>
      <c r="K42" s="9">
        <f t="shared" ref="K42:K60" si="46">(H42+J42)*$K$15</f>
        <v>35065.869024296211</v>
      </c>
      <c r="L42" s="9">
        <f t="shared" ref="L42:L60" si="47">ROUND(H42+J42+K42,2)</f>
        <v>254227.55</v>
      </c>
      <c r="M42" s="11">
        <f>$M$41</f>
        <v>0.1201</v>
      </c>
      <c r="N42" s="9">
        <f t="shared" ref="N42:N60" si="48">H42*M42</f>
        <v>25777.414490610459</v>
      </c>
      <c r="O42" s="12">
        <f t="shared" ref="O42:O60" si="49">N42</f>
        <v>25777.414490610459</v>
      </c>
      <c r="P42" s="13" t="str">
        <f t="shared" si="2"/>
        <v>SI</v>
      </c>
      <c r="Q42">
        <f t="shared" si="43"/>
        <v>1</v>
      </c>
      <c r="R42">
        <f t="shared" ref="R42:R60" si="50">IF(I42="%o Al Millar",1000,IF(I42="% Al Porciento",100,IF(I42="$ Prima",G42)))</f>
        <v>1000</v>
      </c>
      <c r="S42">
        <f t="shared" ref="S42:S76" si="51">IF(E42="Excluido",0,IF(D42="NO APLICA",0,1))</f>
        <v>1</v>
      </c>
      <c r="T42" s="152">
        <v>0.7</v>
      </c>
      <c r="U42">
        <f>IF(E42="Excluido",0,T41*T42)</f>
        <v>0.21547071000000001</v>
      </c>
      <c r="V42" s="153">
        <f>IF(F41=0,0,(U51-U46-U44-U50)+(T41-U51))</f>
        <v>0.24625224000000001</v>
      </c>
      <c r="W42" s="111" t="e">
        <f>'UB (1)'!H42+'UB (2)'!H42+'UB (3)'!H42+#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43" spans="1:23" hidden="1" x14ac:dyDescent="0.3">
      <c r="A43" s="34" t="s">
        <v>1150</v>
      </c>
      <c r="B43" s="35"/>
      <c r="C43" s="81">
        <f>$O$12</f>
        <v>0</v>
      </c>
      <c r="D43" s="27" t="str">
        <f t="shared" si="44"/>
        <v>INCLUIDO</v>
      </c>
      <c r="E43" s="27" t="str">
        <f>E42</f>
        <v>Sublimite</v>
      </c>
      <c r="F43" s="9">
        <f>(F42*$O$12)*S42</f>
        <v>0</v>
      </c>
      <c r="G43" s="10">
        <f>G42*0.35</f>
        <v>8.6188284000000004E-2</v>
      </c>
      <c r="H43" s="9">
        <f t="shared" ref="H43" si="52">(IF(I43="$ Prima",G43,G43*F43/R43))*$U$9</f>
        <v>0</v>
      </c>
      <c r="I43" s="9" t="s">
        <v>1153</v>
      </c>
      <c r="J43" s="9">
        <f t="shared" ref="J43" si="53">H43*$U$7</f>
        <v>0</v>
      </c>
      <c r="K43" s="9">
        <f t="shared" ref="K43" si="54">(H43+J43)*$K$15</f>
        <v>0</v>
      </c>
      <c r="L43" s="9">
        <f t="shared" ref="L43" si="55">ROUND(H43+J43+K43,2)</f>
        <v>0</v>
      </c>
      <c r="M43" s="11">
        <f t="shared" ref="M43:M60" si="56">$M$41</f>
        <v>0.1201</v>
      </c>
      <c r="N43" s="9">
        <f t="shared" ref="N43" si="57">H43*M43</f>
        <v>0</v>
      </c>
      <c r="O43" s="12">
        <f t="shared" ref="O43" si="58">N43</f>
        <v>0</v>
      </c>
      <c r="P43" s="13" t="str">
        <f t="shared" ref="P43" si="59">IF(Q43=1,"SI","NO")</f>
        <v>NO</v>
      </c>
      <c r="Q43">
        <f t="shared" si="43"/>
        <v>0</v>
      </c>
      <c r="R43">
        <f t="shared" ref="R43" si="60">IF(I43="%o Al Millar",1000,IF(I43="% Al Porciento",100,IF(I43="$ Prima",G43)))</f>
        <v>1000</v>
      </c>
      <c r="S43">
        <f t="shared" si="51"/>
        <v>1</v>
      </c>
      <c r="T43" s="152"/>
      <c r="V43" s="153"/>
      <c r="W43"/>
    </row>
    <row r="44" spans="1:23" ht="20.399999999999999" x14ac:dyDescent="0.3">
      <c r="A44" s="34" t="s">
        <v>1150</v>
      </c>
      <c r="B44" s="35" t="s">
        <v>1181</v>
      </c>
      <c r="C44" s="29" t="s">
        <v>1155</v>
      </c>
      <c r="D44" s="27" t="str">
        <f t="shared" si="44"/>
        <v>INCLUIDO</v>
      </c>
      <c r="E44" s="27" t="s">
        <v>1137</v>
      </c>
      <c r="F44" s="20">
        <f>$F$41*S44</f>
        <v>869216450.12531984</v>
      </c>
      <c r="G44" s="49">
        <f>V44</f>
        <v>3.0781530000000001E-2</v>
      </c>
      <c r="H44" s="9">
        <f>(((IF(I44="$ Prima",G44,G44*F44/R44))*$U$9)/365)*$J$15</f>
        <v>26829.115831193234</v>
      </c>
      <c r="I44" s="9" t="s">
        <v>1153</v>
      </c>
      <c r="J44" s="9">
        <f t="shared" si="45"/>
        <v>566.09434403817727</v>
      </c>
      <c r="K44" s="9">
        <f t="shared" si="46"/>
        <v>4383.2336280370264</v>
      </c>
      <c r="L44" s="9">
        <f t="shared" si="47"/>
        <v>31778.44</v>
      </c>
      <c r="M44" s="11">
        <f t="shared" si="56"/>
        <v>0.1201</v>
      </c>
      <c r="N44" s="9">
        <f t="shared" si="48"/>
        <v>3222.1768113263074</v>
      </c>
      <c r="O44" s="12">
        <f t="shared" si="49"/>
        <v>3222.1768113263074</v>
      </c>
      <c r="P44" s="13" t="str">
        <f t="shared" si="2"/>
        <v>SI</v>
      </c>
      <c r="Q44">
        <f t="shared" si="43"/>
        <v>1</v>
      </c>
      <c r="R44">
        <f t="shared" si="50"/>
        <v>1000</v>
      </c>
      <c r="S44">
        <f t="shared" si="51"/>
        <v>1</v>
      </c>
      <c r="T44" s="152">
        <v>0.1</v>
      </c>
      <c r="U44">
        <f>IF(E44="Excluido",0,T41*T44)</f>
        <v>3.0781530000000001E-2</v>
      </c>
      <c r="V44" s="153">
        <f>IF(F41=0,0,U44)</f>
        <v>3.0781530000000001E-2</v>
      </c>
      <c r="W44" s="111" t="e">
        <f>'UB (1)'!H44+'UB (2)'!H44+'UB (3)'!H44+#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45" spans="1:23" hidden="1" x14ac:dyDescent="0.3">
      <c r="A45" s="34" t="s">
        <v>1150</v>
      </c>
      <c r="B45" s="35"/>
      <c r="C45" s="81">
        <f>$O$12</f>
        <v>0</v>
      </c>
      <c r="D45" s="27" t="str">
        <f t="shared" si="44"/>
        <v>INCLUIDO</v>
      </c>
      <c r="E45" s="27" t="str">
        <f>E44</f>
        <v>Sublimite</v>
      </c>
      <c r="F45" s="9">
        <f>(F44*$O$12)*S44</f>
        <v>0</v>
      </c>
      <c r="G45" s="10">
        <f>G44*0.35</f>
        <v>1.07735355E-2</v>
      </c>
      <c r="H45" s="9">
        <f t="shared" ref="H45:H58" si="61">(IF(I45="$ Prima",G45,G45*F45/R45))*$U$9</f>
        <v>0</v>
      </c>
      <c r="I45" s="9" t="s">
        <v>1153</v>
      </c>
      <c r="J45" s="9">
        <f t="shared" si="45"/>
        <v>0</v>
      </c>
      <c r="K45" s="9">
        <f t="shared" si="46"/>
        <v>0</v>
      </c>
      <c r="L45" s="9">
        <f t="shared" si="47"/>
        <v>0</v>
      </c>
      <c r="M45" s="11">
        <f t="shared" si="56"/>
        <v>0.1201</v>
      </c>
      <c r="N45" s="9">
        <f t="shared" si="48"/>
        <v>0</v>
      </c>
      <c r="O45" s="12">
        <f t="shared" si="49"/>
        <v>0</v>
      </c>
      <c r="P45" s="13" t="str">
        <f t="shared" si="2"/>
        <v>NO</v>
      </c>
      <c r="Q45">
        <f t="shared" si="43"/>
        <v>0</v>
      </c>
      <c r="R45">
        <f t="shared" si="50"/>
        <v>1000</v>
      </c>
      <c r="S45">
        <f t="shared" si="51"/>
        <v>1</v>
      </c>
      <c r="T45" s="152"/>
      <c r="V45" s="153"/>
      <c r="W45"/>
    </row>
    <row r="46" spans="1:23" x14ac:dyDescent="0.3">
      <c r="A46" s="34" t="s">
        <v>1150</v>
      </c>
      <c r="B46" s="35" t="s">
        <v>1182</v>
      </c>
      <c r="C46" s="29" t="s">
        <v>1110</v>
      </c>
      <c r="D46" s="27" t="str">
        <f t="shared" si="44"/>
        <v>INCLUIDO</v>
      </c>
      <c r="E46" s="27" t="s">
        <v>1137</v>
      </c>
      <c r="F46" s="20">
        <f>'COTIZACIÓN M.N.'!D35</f>
        <v>869216450.12531984</v>
      </c>
      <c r="G46" s="49">
        <f>V46</f>
        <v>3.0781530000000001E-2</v>
      </c>
      <c r="H46" s="9">
        <f>(((IF(I46="$ Prima",G46,G46*F46/R46))*$U$9)/365)*$J$15</f>
        <v>26829.115831193234</v>
      </c>
      <c r="I46" s="9" t="s">
        <v>1153</v>
      </c>
      <c r="J46" s="9">
        <f t="shared" si="45"/>
        <v>566.09434403817727</v>
      </c>
      <c r="K46" s="9">
        <f t="shared" si="46"/>
        <v>4383.2336280370264</v>
      </c>
      <c r="L46" s="9">
        <f t="shared" si="47"/>
        <v>31778.44</v>
      </c>
      <c r="M46" s="11">
        <f t="shared" si="56"/>
        <v>0.1201</v>
      </c>
      <c r="N46" s="9">
        <f t="shared" si="48"/>
        <v>3222.1768113263074</v>
      </c>
      <c r="O46" s="12">
        <f t="shared" si="49"/>
        <v>3222.1768113263074</v>
      </c>
      <c r="P46" s="13" t="str">
        <f t="shared" si="2"/>
        <v>SI</v>
      </c>
      <c r="Q46">
        <f t="shared" si="43"/>
        <v>1</v>
      </c>
      <c r="R46">
        <f t="shared" si="50"/>
        <v>1000</v>
      </c>
      <c r="S46">
        <f t="shared" si="51"/>
        <v>1</v>
      </c>
      <c r="T46" s="152">
        <v>0.1</v>
      </c>
      <c r="U46">
        <f>IF(E46="Excluido",0,T41*T46)</f>
        <v>3.0781530000000001E-2</v>
      </c>
      <c r="V46" s="153">
        <f>IF(F41=0,0,U46)</f>
        <v>3.0781530000000001E-2</v>
      </c>
      <c r="W46" s="111" t="e">
        <f>'UB (1)'!H46+'UB (2)'!H46+'UB (3)'!H46+#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47" spans="1:23" hidden="1" x14ac:dyDescent="0.3">
      <c r="A47" s="34" t="s">
        <v>1150</v>
      </c>
      <c r="B47" s="35"/>
      <c r="C47" s="81">
        <f>$O$12</f>
        <v>0</v>
      </c>
      <c r="D47" s="27" t="str">
        <f t="shared" si="44"/>
        <v>INCLUIDO</v>
      </c>
      <c r="E47" s="27" t="str">
        <f>E46</f>
        <v>Sublimite</v>
      </c>
      <c r="F47" s="9">
        <f>(F46*$O$12)*S46</f>
        <v>0</v>
      </c>
      <c r="G47" s="10">
        <f>G46*0.35</f>
        <v>1.07735355E-2</v>
      </c>
      <c r="H47" s="9">
        <f t="shared" ref="H47" si="62">(IF(I47="$ Prima",G47,G47*F47/R47))*$U$9</f>
        <v>0</v>
      </c>
      <c r="I47" s="9" t="s">
        <v>1153</v>
      </c>
      <c r="J47" s="9">
        <f t="shared" ref="J47" si="63">H47*$U$7</f>
        <v>0</v>
      </c>
      <c r="K47" s="9">
        <f t="shared" ref="K47" si="64">(H47+J47)*$K$15</f>
        <v>0</v>
      </c>
      <c r="L47" s="9">
        <f t="shared" ref="L47" si="65">ROUND(H47+J47+K47,2)</f>
        <v>0</v>
      </c>
      <c r="M47" s="11">
        <f t="shared" si="56"/>
        <v>0.1201</v>
      </c>
      <c r="N47" s="9">
        <f t="shared" ref="N47" si="66">H47*M47</f>
        <v>0</v>
      </c>
      <c r="O47" s="12">
        <f t="shared" ref="O47" si="67">N47</f>
        <v>0</v>
      </c>
      <c r="P47" s="13" t="str">
        <f t="shared" ref="P47" si="68">IF(Q47=1,"SI","NO")</f>
        <v>NO</v>
      </c>
      <c r="Q47">
        <f t="shared" si="43"/>
        <v>0</v>
      </c>
      <c r="R47">
        <f t="shared" ref="R47" si="69">IF(I47="%o Al Millar",1000,IF(I47="% Al Porciento",100,IF(I47="$ Prima",G47)))</f>
        <v>1000</v>
      </c>
      <c r="S47">
        <f t="shared" si="51"/>
        <v>1</v>
      </c>
      <c r="T47" s="154"/>
      <c r="V47" s="153"/>
      <c r="W47"/>
    </row>
    <row r="48" spans="1:23" ht="15" hidden="1" customHeight="1" x14ac:dyDescent="0.3">
      <c r="A48" s="34" t="s">
        <v>1150</v>
      </c>
      <c r="B48" s="35" t="s">
        <v>1183</v>
      </c>
      <c r="C48" s="29" t="s">
        <v>1184</v>
      </c>
      <c r="D48" s="27" t="str">
        <f t="shared" si="44"/>
        <v>INCLUIDO</v>
      </c>
      <c r="E48" s="27" t="s">
        <v>1137</v>
      </c>
      <c r="F48" s="43">
        <v>0</v>
      </c>
      <c r="G48" s="21">
        <v>0</v>
      </c>
      <c r="H48" s="9">
        <f t="shared" si="61"/>
        <v>0</v>
      </c>
      <c r="I48" s="9" t="s">
        <v>1153</v>
      </c>
      <c r="J48" s="9">
        <f t="shared" si="45"/>
        <v>0</v>
      </c>
      <c r="K48" s="9">
        <f t="shared" si="46"/>
        <v>0</v>
      </c>
      <c r="L48" s="9">
        <f t="shared" si="47"/>
        <v>0</v>
      </c>
      <c r="M48" s="11">
        <f t="shared" si="56"/>
        <v>0.1201</v>
      </c>
      <c r="N48" s="9">
        <f t="shared" si="48"/>
        <v>0</v>
      </c>
      <c r="O48" s="12">
        <f t="shared" si="49"/>
        <v>0</v>
      </c>
      <c r="P48" s="13" t="str">
        <f t="shared" si="2"/>
        <v>NO</v>
      </c>
      <c r="Q48">
        <f t="shared" si="43"/>
        <v>0</v>
      </c>
      <c r="R48">
        <f t="shared" si="50"/>
        <v>1000</v>
      </c>
      <c r="S48">
        <f t="shared" si="51"/>
        <v>1</v>
      </c>
      <c r="T48" s="154"/>
      <c r="V48" s="153"/>
      <c r="W48"/>
    </row>
    <row r="49" spans="1:23" ht="15" hidden="1" customHeight="1" x14ac:dyDescent="0.3">
      <c r="A49" s="34" t="s">
        <v>1150</v>
      </c>
      <c r="B49" s="35"/>
      <c r="C49" s="81">
        <f>$O$12</f>
        <v>0</v>
      </c>
      <c r="D49" s="27" t="str">
        <f t="shared" si="44"/>
        <v>INCLUIDO</v>
      </c>
      <c r="E49" s="27" t="str">
        <f>E48</f>
        <v>Sublimite</v>
      </c>
      <c r="F49" s="9">
        <f>(F48*$O$12)*S48</f>
        <v>0</v>
      </c>
      <c r="G49" s="10">
        <f>G48*0.35</f>
        <v>0</v>
      </c>
      <c r="H49" s="9">
        <f t="shared" ref="H49" si="70">(IF(I49="$ Prima",G49,G49*F49/R49))*$U$9</f>
        <v>0</v>
      </c>
      <c r="I49" s="9" t="s">
        <v>1153</v>
      </c>
      <c r="J49" s="9">
        <f t="shared" ref="J49" si="71">H49*$U$7</f>
        <v>0</v>
      </c>
      <c r="K49" s="9">
        <f t="shared" ref="K49" si="72">(H49+J49)*$K$15</f>
        <v>0</v>
      </c>
      <c r="L49" s="9">
        <f t="shared" ref="L49" si="73">ROUND(H49+J49+K49,2)</f>
        <v>0</v>
      </c>
      <c r="M49" s="11">
        <f t="shared" si="56"/>
        <v>0.1201</v>
      </c>
      <c r="N49" s="9">
        <f t="shared" ref="N49" si="74">H49*M49</f>
        <v>0</v>
      </c>
      <c r="O49" s="12">
        <f t="shared" ref="O49" si="75">N49</f>
        <v>0</v>
      </c>
      <c r="P49" s="13" t="str">
        <f t="shared" ref="P49" si="76">IF(Q49=1,"SI","NO")</f>
        <v>NO</v>
      </c>
      <c r="Q49">
        <f t="shared" si="43"/>
        <v>0</v>
      </c>
      <c r="R49">
        <f t="shared" ref="R49" si="77">IF(I49="%o Al Millar",1000,IF(I49="% Al Porciento",100,IF(I49="$ Prima",G49)))</f>
        <v>1000</v>
      </c>
      <c r="S49">
        <f t="shared" si="51"/>
        <v>1</v>
      </c>
      <c r="T49" s="154"/>
      <c r="V49" s="153"/>
      <c r="W49"/>
    </row>
    <row r="50" spans="1:23" ht="15" hidden="1" customHeight="1" thickBot="1" x14ac:dyDescent="0.35">
      <c r="A50" s="34" t="s">
        <v>1150</v>
      </c>
      <c r="B50" s="35">
        <v>229</v>
      </c>
      <c r="C50" s="29" t="s">
        <v>1185</v>
      </c>
      <c r="D50" s="27" t="str">
        <f t="shared" si="44"/>
        <v>INCLUIDO</v>
      </c>
      <c r="E50" s="27" t="s">
        <v>1186</v>
      </c>
      <c r="F50" s="20">
        <f>$F$41*S50</f>
        <v>0</v>
      </c>
      <c r="G50" s="21">
        <f>V50</f>
        <v>0</v>
      </c>
      <c r="H50" s="9">
        <f t="shared" si="61"/>
        <v>0</v>
      </c>
      <c r="I50" s="9" t="s">
        <v>1153</v>
      </c>
      <c r="J50" s="9">
        <f t="shared" si="45"/>
        <v>0</v>
      </c>
      <c r="K50" s="9">
        <f t="shared" si="46"/>
        <v>0</v>
      </c>
      <c r="L50" s="9">
        <f t="shared" si="47"/>
        <v>0</v>
      </c>
      <c r="M50" s="11">
        <f t="shared" si="56"/>
        <v>0.1201</v>
      </c>
      <c r="N50" s="9">
        <f t="shared" si="48"/>
        <v>0</v>
      </c>
      <c r="O50" s="12">
        <f t="shared" si="49"/>
        <v>0</v>
      </c>
      <c r="P50" s="13" t="str">
        <f t="shared" si="2"/>
        <v>NO</v>
      </c>
      <c r="Q50">
        <f t="shared" si="43"/>
        <v>0</v>
      </c>
      <c r="R50">
        <f t="shared" si="50"/>
        <v>1000</v>
      </c>
      <c r="S50">
        <f t="shared" si="51"/>
        <v>0</v>
      </c>
      <c r="T50" s="152">
        <v>0.1</v>
      </c>
      <c r="U50">
        <f>IF(E50="Excluido",0,T41*T50)</f>
        <v>0</v>
      </c>
      <c r="V50" s="153">
        <f>IF(F41=0,0,U50)</f>
        <v>0</v>
      </c>
      <c r="W50"/>
    </row>
    <row r="51" spans="1:23" ht="15" hidden="1" customHeight="1" thickBot="1" x14ac:dyDescent="0.35">
      <c r="A51" s="34" t="s">
        <v>1150</v>
      </c>
      <c r="B51" s="35"/>
      <c r="C51" s="81">
        <f>$O$12</f>
        <v>0</v>
      </c>
      <c r="D51" s="27" t="str">
        <f t="shared" si="44"/>
        <v>INCLUIDO</v>
      </c>
      <c r="E51" s="27" t="str">
        <f>E50</f>
        <v>Excluido</v>
      </c>
      <c r="F51" s="9">
        <f>(F50*$O$12)*S50</f>
        <v>0</v>
      </c>
      <c r="G51" s="10">
        <f>G50*0.35</f>
        <v>0</v>
      </c>
      <c r="H51" s="9">
        <f t="shared" si="61"/>
        <v>0</v>
      </c>
      <c r="I51" s="9" t="s">
        <v>1153</v>
      </c>
      <c r="J51" s="9">
        <f t="shared" si="45"/>
        <v>0</v>
      </c>
      <c r="K51" s="9">
        <f t="shared" si="46"/>
        <v>0</v>
      </c>
      <c r="L51" s="9">
        <f t="shared" si="47"/>
        <v>0</v>
      </c>
      <c r="M51" s="11">
        <f t="shared" si="56"/>
        <v>0.1201</v>
      </c>
      <c r="N51" s="9">
        <f t="shared" si="48"/>
        <v>0</v>
      </c>
      <c r="O51" s="12">
        <f t="shared" si="49"/>
        <v>0</v>
      </c>
      <c r="P51" s="13" t="str">
        <f t="shared" si="2"/>
        <v>NO</v>
      </c>
      <c r="Q51">
        <f t="shared" si="43"/>
        <v>0</v>
      </c>
      <c r="R51">
        <f t="shared" si="50"/>
        <v>1000</v>
      </c>
      <c r="S51">
        <f t="shared" si="51"/>
        <v>0</v>
      </c>
      <c r="T51" s="143">
        <f>SUM(T42:T50)</f>
        <v>0.99999999999999989</v>
      </c>
      <c r="U51" s="147">
        <f>SUM(U42:U50)</f>
        <v>0.27703377000000001</v>
      </c>
      <c r="V51" s="148">
        <f>SUM(V42:V50)</f>
        <v>0.30781530000000001</v>
      </c>
      <c r="W51"/>
    </row>
    <row r="52" spans="1:23" ht="15" hidden="1" customHeight="1" x14ac:dyDescent="0.3">
      <c r="A52" s="34" t="s">
        <v>1150</v>
      </c>
      <c r="B52" s="35">
        <v>230</v>
      </c>
      <c r="C52" s="29" t="s">
        <v>1187</v>
      </c>
      <c r="D52" s="27" t="str">
        <f t="shared" si="44"/>
        <v>INCLUIDO</v>
      </c>
      <c r="E52" s="27" t="s">
        <v>1137</v>
      </c>
      <c r="F52" s="43">
        <v>0</v>
      </c>
      <c r="G52" s="21">
        <v>0</v>
      </c>
      <c r="H52" s="9">
        <f t="shared" si="61"/>
        <v>0</v>
      </c>
      <c r="I52" s="9" t="s">
        <v>1153</v>
      </c>
      <c r="J52" s="9">
        <f t="shared" si="45"/>
        <v>0</v>
      </c>
      <c r="K52" s="9">
        <f t="shared" si="46"/>
        <v>0</v>
      </c>
      <c r="L52" s="9">
        <f t="shared" si="47"/>
        <v>0</v>
      </c>
      <c r="M52" s="11">
        <f t="shared" si="56"/>
        <v>0.1201</v>
      </c>
      <c r="N52" s="9">
        <f t="shared" si="48"/>
        <v>0</v>
      </c>
      <c r="O52" s="12">
        <f t="shared" si="49"/>
        <v>0</v>
      </c>
      <c r="P52" s="13" t="str">
        <f t="shared" si="2"/>
        <v>NO</v>
      </c>
      <c r="Q52">
        <f t="shared" si="43"/>
        <v>0</v>
      </c>
      <c r="R52">
        <f t="shared" si="50"/>
        <v>1000</v>
      </c>
      <c r="S52">
        <f t="shared" si="51"/>
        <v>1</v>
      </c>
      <c r="W52"/>
    </row>
    <row r="53" spans="1:23" ht="15" hidden="1" customHeight="1" x14ac:dyDescent="0.3">
      <c r="A53" s="34" t="s">
        <v>1150</v>
      </c>
      <c r="B53" s="35"/>
      <c r="C53" s="81">
        <f>$O$12</f>
        <v>0</v>
      </c>
      <c r="D53" s="27" t="str">
        <f t="shared" si="44"/>
        <v>INCLUIDO</v>
      </c>
      <c r="E53" s="27" t="str">
        <f>E52</f>
        <v>Sublimite</v>
      </c>
      <c r="F53" s="9">
        <f>(F52*$O$12)*S52</f>
        <v>0</v>
      </c>
      <c r="G53" s="10">
        <f>G52*0.35</f>
        <v>0</v>
      </c>
      <c r="H53" s="9">
        <f t="shared" ref="H53" si="78">(IF(I53="$ Prima",G53,G53*F53/R53))*$U$9</f>
        <v>0</v>
      </c>
      <c r="I53" s="9" t="s">
        <v>1153</v>
      </c>
      <c r="J53" s="9">
        <f t="shared" ref="J53" si="79">H53*$U$7</f>
        <v>0</v>
      </c>
      <c r="K53" s="9">
        <f t="shared" ref="K53" si="80">(H53+J53)*$K$15</f>
        <v>0</v>
      </c>
      <c r="L53" s="9">
        <f t="shared" ref="L53" si="81">ROUND(H53+J53+K53,2)</f>
        <v>0</v>
      </c>
      <c r="M53" s="11">
        <f t="shared" si="56"/>
        <v>0.1201</v>
      </c>
      <c r="N53" s="9">
        <f t="shared" ref="N53" si="82">H53*M53</f>
        <v>0</v>
      </c>
      <c r="O53" s="12">
        <f t="shared" ref="O53" si="83">N53</f>
        <v>0</v>
      </c>
      <c r="P53" s="13" t="str">
        <f t="shared" ref="P53" si="84">IF(Q53=1,"SI","NO")</f>
        <v>NO</v>
      </c>
      <c r="Q53">
        <f t="shared" si="43"/>
        <v>0</v>
      </c>
      <c r="R53">
        <f t="shared" ref="R53" si="85">IF(I53="%o Al Millar",1000,IF(I53="% Al Porciento",100,IF(I53="$ Prima",G53)))</f>
        <v>1000</v>
      </c>
      <c r="S53">
        <f t="shared" si="51"/>
        <v>1</v>
      </c>
      <c r="W53"/>
    </row>
    <row r="54" spans="1:23" ht="15" hidden="1" customHeight="1" x14ac:dyDescent="0.3">
      <c r="A54" s="34" t="s">
        <v>1150</v>
      </c>
      <c r="B54" s="35">
        <v>231</v>
      </c>
      <c r="C54" s="29" t="s">
        <v>1188</v>
      </c>
      <c r="D54" s="27" t="str">
        <f t="shared" si="44"/>
        <v>INCLUIDO</v>
      </c>
      <c r="E54" s="27" t="s">
        <v>1137</v>
      </c>
      <c r="F54" s="43">
        <v>0</v>
      </c>
      <c r="G54" s="21">
        <v>0</v>
      </c>
      <c r="H54" s="9">
        <f t="shared" si="61"/>
        <v>0</v>
      </c>
      <c r="I54" s="9" t="s">
        <v>1153</v>
      </c>
      <c r="J54" s="9">
        <f t="shared" si="45"/>
        <v>0</v>
      </c>
      <c r="K54" s="9">
        <f t="shared" si="46"/>
        <v>0</v>
      </c>
      <c r="L54" s="9">
        <f t="shared" si="47"/>
        <v>0</v>
      </c>
      <c r="M54" s="11">
        <f t="shared" si="56"/>
        <v>0.1201</v>
      </c>
      <c r="N54" s="9">
        <f t="shared" si="48"/>
        <v>0</v>
      </c>
      <c r="O54" s="12">
        <f t="shared" si="49"/>
        <v>0</v>
      </c>
      <c r="P54" s="13" t="str">
        <f t="shared" si="2"/>
        <v>NO</v>
      </c>
      <c r="Q54">
        <f t="shared" si="43"/>
        <v>0</v>
      </c>
      <c r="R54">
        <f t="shared" si="50"/>
        <v>1000</v>
      </c>
      <c r="S54">
        <f t="shared" si="51"/>
        <v>1</v>
      </c>
      <c r="W54"/>
    </row>
    <row r="55" spans="1:23" ht="15" customHeight="1" x14ac:dyDescent="0.3">
      <c r="A55" s="34" t="s">
        <v>1150</v>
      </c>
      <c r="B55" s="35" t="s">
        <v>1189</v>
      </c>
      <c r="C55" s="29" t="s">
        <v>1190</v>
      </c>
      <c r="D55" s="27" t="str">
        <f t="shared" si="44"/>
        <v>INCLUIDO</v>
      </c>
      <c r="E55" s="27" t="s">
        <v>1137</v>
      </c>
      <c r="F55" s="43">
        <f>'COTIZACIÓN M.N.'!D65</f>
        <v>3000000</v>
      </c>
      <c r="G55" s="21">
        <f>'COTIZACIÓN M.N.'!E65</f>
        <v>0.25</v>
      </c>
      <c r="H55" s="75">
        <f>((((IF(I55="$ Prima",G55,G55*F55/R55))*$U$9)/365)*$J$15)/3</f>
        <v>250.68493150684935</v>
      </c>
      <c r="I55" s="9" t="s">
        <v>1153</v>
      </c>
      <c r="J55" s="9">
        <f t="shared" si="45"/>
        <v>5.2894520547945216</v>
      </c>
      <c r="K55" s="9">
        <f t="shared" si="46"/>
        <v>40.955901369863021</v>
      </c>
      <c r="L55" s="9">
        <f t="shared" si="47"/>
        <v>296.93</v>
      </c>
      <c r="M55" s="11">
        <f t="shared" si="56"/>
        <v>0.1201</v>
      </c>
      <c r="N55" s="9">
        <f t="shared" si="48"/>
        <v>30.107260273972607</v>
      </c>
      <c r="O55" s="12">
        <f t="shared" si="49"/>
        <v>30.107260273972607</v>
      </c>
      <c r="P55" s="13" t="str">
        <f t="shared" si="2"/>
        <v>SI</v>
      </c>
      <c r="Q55">
        <f t="shared" si="43"/>
        <v>1</v>
      </c>
      <c r="R55">
        <f t="shared" si="50"/>
        <v>1000</v>
      </c>
      <c r="S55">
        <f t="shared" si="51"/>
        <v>1</v>
      </c>
      <c r="W55" s="111" t="e">
        <f>'UB (1)'!H55+'UB (2)'!H55+'UB (3)'!H55+#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56" spans="1:23" ht="15" hidden="1" customHeight="1" x14ac:dyDescent="0.3">
      <c r="A56" s="34" t="s">
        <v>1150</v>
      </c>
      <c r="B56" s="35"/>
      <c r="C56" s="81">
        <f>$O$12</f>
        <v>0</v>
      </c>
      <c r="D56" s="27" t="str">
        <f t="shared" si="44"/>
        <v>INCLUIDO</v>
      </c>
      <c r="E56" s="27" t="str">
        <f>E55</f>
        <v>Sublimite</v>
      </c>
      <c r="F56" s="9">
        <v>0</v>
      </c>
      <c r="G56" s="10">
        <f>G55*0.35</f>
        <v>8.7499999999999994E-2</v>
      </c>
      <c r="H56" s="9">
        <f t="shared" ref="H56" si="86">(IF(I56="$ Prima",G56,G56*F56/R56))*$U$9</f>
        <v>0</v>
      </c>
      <c r="I56" s="9" t="s">
        <v>1153</v>
      </c>
      <c r="J56" s="9">
        <f t="shared" ref="J56" si="87">H56*$U$7</f>
        <v>0</v>
      </c>
      <c r="K56" s="9">
        <f t="shared" ref="K56" si="88">(H56+J56)*$K$15</f>
        <v>0</v>
      </c>
      <c r="L56" s="9">
        <f t="shared" ref="L56" si="89">ROUND(H56+J56+K56,2)</f>
        <v>0</v>
      </c>
      <c r="M56" s="11">
        <f t="shared" si="56"/>
        <v>0.1201</v>
      </c>
      <c r="N56" s="9">
        <f t="shared" ref="N56" si="90">H56*M56</f>
        <v>0</v>
      </c>
      <c r="O56" s="12">
        <f t="shared" ref="O56" si="91">N56</f>
        <v>0</v>
      </c>
      <c r="P56" s="13" t="str">
        <f t="shared" ref="P56" si="92">IF(Q56=1,"SI","NO")</f>
        <v>NO</v>
      </c>
      <c r="Q56">
        <f t="shared" si="43"/>
        <v>0</v>
      </c>
      <c r="R56">
        <f t="shared" ref="R56" si="93">IF(I56="%o Al Millar",1000,IF(I56="% Al Porciento",100,IF(I56="$ Prima",G56)))</f>
        <v>1000</v>
      </c>
      <c r="S56">
        <f t="shared" si="51"/>
        <v>1</v>
      </c>
      <c r="W56"/>
    </row>
    <row r="57" spans="1:23" ht="15" customHeight="1" x14ac:dyDescent="0.3">
      <c r="A57" s="34" t="s">
        <v>1150</v>
      </c>
      <c r="B57" s="35" t="s">
        <v>1191</v>
      </c>
      <c r="C57" s="29" t="s">
        <v>1192</v>
      </c>
      <c r="D57" s="27" t="str">
        <f t="shared" si="44"/>
        <v>INCLUIDO</v>
      </c>
      <c r="E57" s="27" t="s">
        <v>1137</v>
      </c>
      <c r="F57" s="43">
        <f>'COTIZACIÓN M.N.'!D66</f>
        <v>150000</v>
      </c>
      <c r="G57" s="21">
        <f>'COTIZACIÓN M.N.'!E66</f>
        <v>0.2</v>
      </c>
      <c r="H57" s="75">
        <f>(((IF(I57="$ Prima",G57,G57*F57/R57))*$U$9)/365)*$J$15</f>
        <v>30.082191780821915</v>
      </c>
      <c r="I57" s="9" t="s">
        <v>1153</v>
      </c>
      <c r="J57" s="9">
        <f t="shared" si="45"/>
        <v>0.63473424657534239</v>
      </c>
      <c r="K57" s="9">
        <f t="shared" si="46"/>
        <v>4.9147081643835611</v>
      </c>
      <c r="L57" s="9">
        <f t="shared" si="47"/>
        <v>35.630000000000003</v>
      </c>
      <c r="M57" s="11">
        <f t="shared" si="56"/>
        <v>0.1201</v>
      </c>
      <c r="N57" s="9">
        <f t="shared" si="48"/>
        <v>3.6128712328767119</v>
      </c>
      <c r="O57" s="12">
        <f t="shared" si="49"/>
        <v>3.6128712328767119</v>
      </c>
      <c r="P57" s="13" t="str">
        <f t="shared" si="2"/>
        <v>SI</v>
      </c>
      <c r="Q57">
        <f t="shared" si="43"/>
        <v>1</v>
      </c>
      <c r="R57">
        <f t="shared" si="50"/>
        <v>1000</v>
      </c>
      <c r="S57">
        <f t="shared" si="51"/>
        <v>1</v>
      </c>
      <c r="W57" s="111" t="e">
        <f>'UB (1)'!H57+'UB (2)'!H57+'UB (3)'!H57+#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58" spans="1:23" ht="15" hidden="1" customHeight="1" x14ac:dyDescent="0.3">
      <c r="A58" s="34" t="s">
        <v>1150</v>
      </c>
      <c r="B58" s="35"/>
      <c r="C58" s="81">
        <f>$O$12</f>
        <v>0</v>
      </c>
      <c r="D58" s="27" t="str">
        <f t="shared" si="44"/>
        <v>INCLUIDO</v>
      </c>
      <c r="E58" s="27" t="str">
        <f>E57</f>
        <v>Sublimite</v>
      </c>
      <c r="F58" s="9">
        <v>0</v>
      </c>
      <c r="G58" s="10">
        <f>G57*0.35</f>
        <v>6.9999999999999993E-2</v>
      </c>
      <c r="H58" s="9">
        <f t="shared" si="61"/>
        <v>0</v>
      </c>
      <c r="I58" s="9" t="s">
        <v>1153</v>
      </c>
      <c r="J58" s="9">
        <f t="shared" si="45"/>
        <v>0</v>
      </c>
      <c r="K58" s="9">
        <f t="shared" si="46"/>
        <v>0</v>
      </c>
      <c r="L58" s="9">
        <f t="shared" si="47"/>
        <v>0</v>
      </c>
      <c r="M58" s="11">
        <f t="shared" si="56"/>
        <v>0.1201</v>
      </c>
      <c r="N58" s="9">
        <f t="shared" si="48"/>
        <v>0</v>
      </c>
      <c r="O58" s="12">
        <f t="shared" si="49"/>
        <v>0</v>
      </c>
      <c r="P58" s="13" t="str">
        <f t="shared" si="2"/>
        <v>NO</v>
      </c>
      <c r="Q58">
        <f t="shared" si="43"/>
        <v>0</v>
      </c>
      <c r="R58">
        <f t="shared" si="50"/>
        <v>1000</v>
      </c>
      <c r="S58">
        <f t="shared" si="51"/>
        <v>1</v>
      </c>
      <c r="W58"/>
    </row>
    <row r="59" spans="1:23" ht="15" customHeight="1" x14ac:dyDescent="0.3">
      <c r="A59" s="34" t="s">
        <v>1150</v>
      </c>
      <c r="B59" s="35" t="s">
        <v>1193</v>
      </c>
      <c r="C59" s="29" t="s">
        <v>1159</v>
      </c>
      <c r="D59" s="27" t="str">
        <f t="shared" si="44"/>
        <v>INCLUIDO</v>
      </c>
      <c r="E59" s="27" t="s">
        <v>1137</v>
      </c>
      <c r="F59" s="43">
        <f>'COTIZACIÓN M.N.'!D67</f>
        <v>5000000</v>
      </c>
      <c r="G59" s="49">
        <f>G26</f>
        <v>1.1000000000000001E-3</v>
      </c>
      <c r="H59" s="75">
        <f>((IF(I59="$ Prima",G59,G59*F59/R59))*$U$9)*2</f>
        <v>11</v>
      </c>
      <c r="I59" s="9" t="s">
        <v>1153</v>
      </c>
      <c r="J59" s="9">
        <f t="shared" si="45"/>
        <v>0.2321</v>
      </c>
      <c r="K59" s="9">
        <f t="shared" si="46"/>
        <v>1.7971360000000001</v>
      </c>
      <c r="L59" s="9">
        <f t="shared" si="47"/>
        <v>13.03</v>
      </c>
      <c r="M59" s="11">
        <f t="shared" si="56"/>
        <v>0.1201</v>
      </c>
      <c r="N59" s="9">
        <f t="shared" si="48"/>
        <v>1.3210999999999999</v>
      </c>
      <c r="O59" s="12">
        <f t="shared" si="49"/>
        <v>1.3210999999999999</v>
      </c>
      <c r="P59" s="13" t="str">
        <f t="shared" si="2"/>
        <v>SI</v>
      </c>
      <c r="Q59">
        <f t="shared" si="43"/>
        <v>1</v>
      </c>
      <c r="R59">
        <f t="shared" si="50"/>
        <v>1000</v>
      </c>
      <c r="S59">
        <f t="shared" si="51"/>
        <v>1</v>
      </c>
      <c r="W59" s="111" t="e">
        <f>'UB (1)'!H59+'UB (2)'!H59+'UB (3)'!H59+#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60" spans="1:23" ht="15" customHeight="1" x14ac:dyDescent="0.3">
      <c r="A60" s="34" t="s">
        <v>1150</v>
      </c>
      <c r="B60" s="35" t="s">
        <v>1194</v>
      </c>
      <c r="C60" s="29" t="s">
        <v>1161</v>
      </c>
      <c r="D60" s="27" t="str">
        <f t="shared" si="44"/>
        <v>INCLUIDO</v>
      </c>
      <c r="E60" s="27" t="s">
        <v>1137</v>
      </c>
      <c r="F60" s="43">
        <f>'COTIZACIÓN M.N.'!D68</f>
        <v>5000000</v>
      </c>
      <c r="G60" s="49">
        <f>G59</f>
        <v>1.1000000000000001E-3</v>
      </c>
      <c r="H60" s="75">
        <f>((IF(I60="$ Prima",G60,G60*F60/R60))*$U$9)*2</f>
        <v>11</v>
      </c>
      <c r="I60" s="9" t="s">
        <v>1153</v>
      </c>
      <c r="J60" s="9">
        <f t="shared" si="45"/>
        <v>0.2321</v>
      </c>
      <c r="K60" s="9">
        <f t="shared" si="46"/>
        <v>1.7971360000000001</v>
      </c>
      <c r="L60" s="9">
        <f t="shared" si="47"/>
        <v>13.03</v>
      </c>
      <c r="M60" s="11">
        <f t="shared" si="56"/>
        <v>0.1201</v>
      </c>
      <c r="N60" s="9">
        <f t="shared" si="48"/>
        <v>1.3210999999999999</v>
      </c>
      <c r="O60" s="12">
        <f t="shared" si="49"/>
        <v>1.3210999999999999</v>
      </c>
      <c r="P60" s="13" t="str">
        <f t="shared" si="2"/>
        <v>SI</v>
      </c>
      <c r="Q60">
        <f t="shared" si="43"/>
        <v>1</v>
      </c>
      <c r="R60">
        <f t="shared" si="50"/>
        <v>1000</v>
      </c>
      <c r="S60">
        <f t="shared" si="51"/>
        <v>1</v>
      </c>
      <c r="W60" s="111" t="e">
        <f>'UB (1)'!H60+'UB (2)'!H60+'UB (3)'!H60+#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61" spans="1:23" x14ac:dyDescent="0.3">
      <c r="A61" s="82" t="s">
        <v>1162</v>
      </c>
      <c r="B61" s="33">
        <v>2</v>
      </c>
      <c r="C61" s="28" t="s">
        <v>1195</v>
      </c>
      <c r="D61" s="28" t="str">
        <f>$D$17</f>
        <v>INCLUIDO</v>
      </c>
      <c r="E61" s="28"/>
      <c r="F61" s="28"/>
      <c r="G61" s="28"/>
      <c r="H61" s="28"/>
      <c r="I61" s="28"/>
      <c r="J61" s="28"/>
      <c r="K61" s="28"/>
      <c r="L61" s="28"/>
      <c r="M61" s="68">
        <v>0.05</v>
      </c>
      <c r="N61" s="28"/>
      <c r="O61" s="83"/>
      <c r="P61" s="13" t="str">
        <f t="shared" si="2"/>
        <v>SI</v>
      </c>
      <c r="Q61" s="47">
        <f>IF(D61="INCLUIDO",IF(F62&lt;&gt;0,1,0),0)</f>
        <v>1</v>
      </c>
      <c r="S61">
        <f t="shared" si="51"/>
        <v>1</v>
      </c>
      <c r="W61" s="111" t="e">
        <f>'UB (1)'!H61+'UB (2)'!H61+'UB (3)'!H61+#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62" spans="1:23" x14ac:dyDescent="0.3">
      <c r="A62" s="31" t="s">
        <v>1164</v>
      </c>
      <c r="B62" s="32" t="s">
        <v>1196</v>
      </c>
      <c r="C62" s="27" t="s">
        <v>1166</v>
      </c>
      <c r="D62" s="27" t="str">
        <f t="shared" si="44"/>
        <v>INCLUIDO</v>
      </c>
      <c r="E62" s="27" t="s">
        <v>1137</v>
      </c>
      <c r="F62" s="20">
        <f>$F$41*S62</f>
        <v>869216450.12531984</v>
      </c>
      <c r="G62" s="49">
        <f>'COTIZACIÓN M.N.'!E37</f>
        <v>0.25</v>
      </c>
      <c r="H62" s="75">
        <f>((((IF(I62="$ Prima",G62,G62*F62/R62))*$U$9)/365)*$J$15)</f>
        <v>217899.46626429251</v>
      </c>
      <c r="I62" s="9" t="s">
        <v>1153</v>
      </c>
      <c r="J62" s="9">
        <f t="shared" ref="J62:J63" si="94">H62*$U$7</f>
        <v>4597.6787381765726</v>
      </c>
      <c r="K62" s="9">
        <f t="shared" ref="K62:K63" si="95">(H62+J62)*$K$15</f>
        <v>35599.543200395055</v>
      </c>
      <c r="L62" s="9">
        <f t="shared" ref="L62:L63" si="96">ROUND(H62+J62+K62,2)</f>
        <v>258096.69</v>
      </c>
      <c r="M62" s="11">
        <v>0.05</v>
      </c>
      <c r="N62" s="9">
        <f t="shared" ref="N62:N63" si="97">H62*M62</f>
        <v>10894.973313214627</v>
      </c>
      <c r="O62" s="12">
        <f t="shared" ref="O62:O63" si="98">N62</f>
        <v>10894.973313214627</v>
      </c>
      <c r="P62" s="13" t="str">
        <f t="shared" si="2"/>
        <v>SI</v>
      </c>
      <c r="Q62">
        <f>IF(D62="INCLUIDO",IF(F62&lt;&gt;0,1,0),0)</f>
        <v>1</v>
      </c>
      <c r="R62">
        <f>IF(I62="%o Al Millar",1000,IF(I62="% Al Porciento",100,IF(I62="$ Prima",G62)))</f>
        <v>1000</v>
      </c>
      <c r="S62">
        <f t="shared" si="51"/>
        <v>1</v>
      </c>
      <c r="W62" s="111" t="e">
        <f>'UB (1)'!H62+'UB (2)'!H62+'UB (3)'!H62+#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63" spans="1:23" hidden="1" x14ac:dyDescent="0.3">
      <c r="A63" s="31" t="s">
        <v>1164</v>
      </c>
      <c r="B63" s="32"/>
      <c r="C63" s="81">
        <f>$O$12</f>
        <v>0</v>
      </c>
      <c r="D63" s="27" t="str">
        <f t="shared" si="44"/>
        <v>INCLUIDO</v>
      </c>
      <c r="E63" s="27" t="str">
        <f>E62</f>
        <v>Sublimite</v>
      </c>
      <c r="F63" s="9">
        <f>(F62*$O$12)*S62</f>
        <v>0</v>
      </c>
      <c r="G63" s="10">
        <f>G62*35%</f>
        <v>8.7499999999999994E-2</v>
      </c>
      <c r="H63" s="9">
        <f>((IF(I63="$ Prima",G63,G63*F63/R63))*$U$9)</f>
        <v>0</v>
      </c>
      <c r="I63" s="9" t="s">
        <v>1153</v>
      </c>
      <c r="J63" s="9">
        <f t="shared" si="94"/>
        <v>0</v>
      </c>
      <c r="K63" s="9">
        <f t="shared" si="95"/>
        <v>0</v>
      </c>
      <c r="L63" s="9">
        <f t="shared" si="96"/>
        <v>0</v>
      </c>
      <c r="M63" s="11">
        <f>$M$61</f>
        <v>0.05</v>
      </c>
      <c r="N63" s="9">
        <f t="shared" si="97"/>
        <v>0</v>
      </c>
      <c r="O63" s="12">
        <f t="shared" si="98"/>
        <v>0</v>
      </c>
      <c r="P63" s="13" t="str">
        <f t="shared" si="2"/>
        <v>NO</v>
      </c>
      <c r="Q63">
        <f>IF(D63="INCLUIDO",IF(F63&lt;&gt;0,1,0),0)</f>
        <v>0</v>
      </c>
      <c r="R63">
        <f>IF(I63="%o Al Millar",1000,IF(I63="% Al Porciento",100,IF(I63="$ Prima",G63)))</f>
        <v>1000</v>
      </c>
      <c r="S63">
        <f t="shared" si="51"/>
        <v>1</v>
      </c>
      <c r="W63"/>
    </row>
    <row r="64" spans="1:23" x14ac:dyDescent="0.3">
      <c r="A64" s="82">
        <v>904</v>
      </c>
      <c r="B64" s="33">
        <v>2</v>
      </c>
      <c r="C64" s="28" t="s">
        <v>1197</v>
      </c>
      <c r="D64" s="28" t="str">
        <f>$D$17</f>
        <v>INCLUIDO</v>
      </c>
      <c r="E64" s="28"/>
      <c r="F64" s="28"/>
      <c r="G64" s="28"/>
      <c r="H64" s="28"/>
      <c r="I64" s="28"/>
      <c r="J64" s="28"/>
      <c r="K64" s="28"/>
      <c r="L64" s="28"/>
      <c r="M64" s="68">
        <v>0.05</v>
      </c>
      <c r="N64" s="28"/>
      <c r="O64" s="83"/>
      <c r="P64" s="13" t="str">
        <f t="shared" si="2"/>
        <v>SI</v>
      </c>
      <c r="Q64" s="47">
        <f>IF(D64="INCLUIDO",IF(F65&lt;&gt;0,1,0),0)</f>
        <v>1</v>
      </c>
      <c r="S64">
        <f t="shared" si="51"/>
        <v>1</v>
      </c>
      <c r="W64" s="111" t="e">
        <f>'UB (1)'!H64+'UB (2)'!H64+'UB (3)'!H64+#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65" spans="1:23" x14ac:dyDescent="0.3">
      <c r="A65" s="31" t="s">
        <v>1168</v>
      </c>
      <c r="B65" s="36">
        <v>63</v>
      </c>
      <c r="C65" s="37" t="s">
        <v>1170</v>
      </c>
      <c r="D65" s="27" t="str">
        <f t="shared" si="44"/>
        <v>INCLUIDO</v>
      </c>
      <c r="E65" s="27" t="s">
        <v>1137</v>
      </c>
      <c r="F65" s="20">
        <f>F41</f>
        <v>869216450.12531984</v>
      </c>
      <c r="G65" s="10">
        <f>'COTIZACIÓN M.N.'!E39</f>
        <v>0.2</v>
      </c>
      <c r="H65" s="75">
        <f>((((IF(I65="$ Prima",G65,G65*F65/R65))*$U$9)*O14)/365)*$J$15</f>
        <v>174319.57301143403</v>
      </c>
      <c r="I65" s="9" t="s">
        <v>1153</v>
      </c>
      <c r="J65" s="9">
        <f t="shared" ref="J65:J66" si="99">H65*$U$7</f>
        <v>3678.1429905412579</v>
      </c>
      <c r="K65" s="9">
        <f t="shared" ref="K65:K66" si="100">(H65+J65)*$K$15</f>
        <v>28479.634560316048</v>
      </c>
      <c r="L65" s="9">
        <f t="shared" ref="L65:L66" si="101">ROUND(H65+J65+K65,2)</f>
        <v>206477.35</v>
      </c>
      <c r="M65" s="11">
        <f>$M$64</f>
        <v>0.05</v>
      </c>
      <c r="N65" s="9">
        <f t="shared" ref="N65:N66" si="102">H65*M65</f>
        <v>8715.978650571702</v>
      </c>
      <c r="O65" s="12">
        <f t="shared" ref="O65:O66" si="103">N65</f>
        <v>8715.978650571702</v>
      </c>
      <c r="P65" s="13" t="str">
        <f t="shared" si="2"/>
        <v>SI</v>
      </c>
      <c r="Q65">
        <f>IF(D65="INCLUIDO",IF(F65&lt;&gt;0,1,0),0)</f>
        <v>1</v>
      </c>
      <c r="R65">
        <f>IF(I65="%o Al Millar",1000,IF(I65="% Al Porciento",100,IF(I65="$ Prima",G65)))</f>
        <v>1000</v>
      </c>
      <c r="S65">
        <f t="shared" si="51"/>
        <v>1</v>
      </c>
      <c r="W65" s="111" t="e">
        <f>'UB (1)'!H65+'UB (2)'!H65+'UB (3)'!H65+#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66" spans="1:23" hidden="1" x14ac:dyDescent="0.3">
      <c r="A66" s="31" t="s">
        <v>1168</v>
      </c>
      <c r="B66" s="32"/>
      <c r="C66" s="81">
        <f>$O$12</f>
        <v>0</v>
      </c>
      <c r="D66" s="27" t="str">
        <f t="shared" si="44"/>
        <v>INCLUIDO</v>
      </c>
      <c r="E66" s="27" t="str">
        <f>E65</f>
        <v>Sublimite</v>
      </c>
      <c r="F66" s="9">
        <f>(F65*$O$12)*S65</f>
        <v>0</v>
      </c>
      <c r="G66" s="10">
        <f>G65*0.35</f>
        <v>6.9999999999999993E-2</v>
      </c>
      <c r="H66" s="9">
        <f>((IF(I66="$ Prima",G66,G66*F66/R66))*$U$9)*O14</f>
        <v>0</v>
      </c>
      <c r="I66" s="9" t="s">
        <v>1153</v>
      </c>
      <c r="J66" s="9">
        <f t="shared" si="99"/>
        <v>0</v>
      </c>
      <c r="K66" s="9">
        <f t="shared" si="100"/>
        <v>0</v>
      </c>
      <c r="L66" s="9">
        <f t="shared" si="101"/>
        <v>0</v>
      </c>
      <c r="M66" s="11">
        <f>$M$64</f>
        <v>0.05</v>
      </c>
      <c r="N66" s="9">
        <f t="shared" si="102"/>
        <v>0</v>
      </c>
      <c r="O66" s="12">
        <f t="shared" si="103"/>
        <v>0</v>
      </c>
      <c r="P66" s="13" t="str">
        <f t="shared" si="2"/>
        <v>NO</v>
      </c>
      <c r="Q66">
        <f>IF(D66="INCLUIDO",IF(F66&lt;&gt;0,1,0),0)</f>
        <v>0</v>
      </c>
      <c r="R66">
        <f>IF(I66="%o Al Millar",1000,IF(I66="% Al Porciento",100,IF(I66="$ Prima",G66)))</f>
        <v>1000</v>
      </c>
      <c r="S66">
        <f t="shared" si="51"/>
        <v>1</v>
      </c>
      <c r="W66"/>
    </row>
    <row r="67" spans="1:23" x14ac:dyDescent="0.3">
      <c r="A67" s="82">
        <v>902</v>
      </c>
      <c r="B67" s="33">
        <v>2</v>
      </c>
      <c r="C67" s="28" t="s">
        <v>1198</v>
      </c>
      <c r="D67" s="28" t="str">
        <f>$D$17</f>
        <v>INCLUIDO</v>
      </c>
      <c r="E67" s="28"/>
      <c r="F67" s="42">
        <f>'COTIZACIÓN M.N.'!D63</f>
        <v>173843290.02506399</v>
      </c>
      <c r="G67" s="28"/>
      <c r="H67" s="28"/>
      <c r="I67" s="28"/>
      <c r="J67" s="28"/>
      <c r="K67" s="28"/>
      <c r="L67" s="28"/>
      <c r="M67" s="68">
        <f>M41</f>
        <v>0.1201</v>
      </c>
      <c r="N67" s="28"/>
      <c r="O67" s="83"/>
      <c r="P67" s="13" t="str">
        <f t="shared" si="2"/>
        <v>SI</v>
      </c>
      <c r="Q67" s="47">
        <f>IF(D67="INCLUIDO",IF(F68&lt;&gt;0,1,0),0)</f>
        <v>1</v>
      </c>
      <c r="S67">
        <f t="shared" si="51"/>
        <v>1</v>
      </c>
      <c r="W67" s="111" t="e">
        <f>'UB (1)'!H67+'UB (2)'!H67+'UB (3)'!H67+#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68" spans="1:23" x14ac:dyDescent="0.3">
      <c r="A68" s="31" t="s">
        <v>1150</v>
      </c>
      <c r="B68" s="36">
        <v>27</v>
      </c>
      <c r="C68" s="27" t="s">
        <v>1173</v>
      </c>
      <c r="D68" s="27" t="str">
        <f t="shared" si="44"/>
        <v>INCLUIDO</v>
      </c>
      <c r="E68" s="27" t="s">
        <v>1137</v>
      </c>
      <c r="F68" s="9">
        <f>F67*S68</f>
        <v>173843290.02506399</v>
      </c>
      <c r="G68" s="10">
        <f>'COTIZACIÓN M.N.'!E63*75%</f>
        <v>4.1836147500000004E-2</v>
      </c>
      <c r="H68" s="75">
        <f>(((IF(I68="$ Prima",G68,G68*F68/R68))*$U$9)/365)*$J$15</f>
        <v>7292.8593686433751</v>
      </c>
      <c r="I68" s="9" t="s">
        <v>1153</v>
      </c>
      <c r="J68" s="9">
        <f>H68*$U$7</f>
        <v>153.87933267837522</v>
      </c>
      <c r="K68" s="9">
        <f>(H68+J68)*$K$15</f>
        <v>1191.4781922114801</v>
      </c>
      <c r="L68" s="9">
        <f>ROUND(H68+J68+K68,2)</f>
        <v>8638.2199999999993</v>
      </c>
      <c r="M68" s="11">
        <f>M67</f>
        <v>0.1201</v>
      </c>
      <c r="N68" s="9">
        <f>H68*M68</f>
        <v>875.87241017406939</v>
      </c>
      <c r="O68" s="12">
        <f>N68</f>
        <v>875.87241017406939</v>
      </c>
      <c r="P68" s="13" t="str">
        <f t="shared" si="2"/>
        <v>SI</v>
      </c>
      <c r="Q68">
        <f>IF(D68="INCLUIDO",IF(F68&lt;&gt;0,1,0),0)</f>
        <v>1</v>
      </c>
      <c r="R68">
        <f>IF(I68="%o Al Millar",1000,IF(I68="% Al Porciento",100,IF(I68="$ Prima",G68)))</f>
        <v>1000</v>
      </c>
      <c r="S68">
        <f t="shared" si="51"/>
        <v>1</v>
      </c>
      <c r="W68" s="111" t="e">
        <f>'UB (1)'!H68+'UB (2)'!H68+'UB (3)'!H68+#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69" spans="1:23" x14ac:dyDescent="0.3">
      <c r="A69" s="82" t="s">
        <v>1162</v>
      </c>
      <c r="B69" s="33">
        <v>2</v>
      </c>
      <c r="C69" s="28" t="s">
        <v>1195</v>
      </c>
      <c r="D69" s="28" t="str">
        <f>$D$17</f>
        <v>INCLUIDO</v>
      </c>
      <c r="E69" s="28"/>
      <c r="F69" s="28"/>
      <c r="G69" s="28"/>
      <c r="H69" s="28"/>
      <c r="I69" s="28"/>
      <c r="J69" s="28"/>
      <c r="K69" s="28"/>
      <c r="L69" s="28"/>
      <c r="M69" s="68">
        <f>M61</f>
        <v>0.05</v>
      </c>
      <c r="N69" s="28"/>
      <c r="O69" s="83"/>
      <c r="P69" s="13" t="str">
        <f t="shared" si="2"/>
        <v>SI</v>
      </c>
      <c r="Q69" s="47">
        <f>IF(D69="INCLUIDO",IF(F70&lt;&gt;0,1,0),0)</f>
        <v>1</v>
      </c>
      <c r="S69">
        <f t="shared" si="51"/>
        <v>1</v>
      </c>
      <c r="W69" s="111" t="e">
        <f>'UB (1)'!H69+'UB (2)'!H69+'UB (3)'!H69+#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70" spans="1:23" ht="20.399999999999999" x14ac:dyDescent="0.3">
      <c r="A70" s="31" t="s">
        <v>1164</v>
      </c>
      <c r="B70" s="36">
        <v>44</v>
      </c>
      <c r="C70" s="27" t="s">
        <v>1175</v>
      </c>
      <c r="D70" s="27" t="str">
        <f t="shared" si="44"/>
        <v>INCLUIDO</v>
      </c>
      <c r="E70" s="27" t="s">
        <v>1137</v>
      </c>
      <c r="F70" s="9">
        <f>'COTIZACIÓN M.N.'!D63</f>
        <v>173843290.02506399</v>
      </c>
      <c r="G70" s="10">
        <f>'COTIZACIÓN M.N.'!E63*25%</f>
        <v>1.3945382500000001E-2</v>
      </c>
      <c r="H70" s="75">
        <f>(((IF(I70="$ Prima",G70,G70*F70/R70))*$U$9)/365)*$J$15</f>
        <v>2430.9531228811243</v>
      </c>
      <c r="I70" s="9" t="s">
        <v>1153</v>
      </c>
      <c r="J70" s="9">
        <f>H70*$U$7</f>
        <v>51.293110892791724</v>
      </c>
      <c r="K70" s="9">
        <f>(H70+J70)*$K$15</f>
        <v>397.15939740382657</v>
      </c>
      <c r="L70" s="9">
        <f>ROUND(H70+J70+K70,2)</f>
        <v>2879.41</v>
      </c>
      <c r="M70" s="11">
        <f>M69</f>
        <v>0.05</v>
      </c>
      <c r="N70" s="9">
        <f>H70*M70</f>
        <v>121.54765614405622</v>
      </c>
      <c r="O70" s="12">
        <f>N70</f>
        <v>121.54765614405622</v>
      </c>
      <c r="P70" s="13" t="str">
        <f t="shared" si="2"/>
        <v>SI</v>
      </c>
      <c r="Q70">
        <f>IF(D70="INCLUIDO",IF(F70&lt;&gt;0,1,0),0)</f>
        <v>1</v>
      </c>
      <c r="R70">
        <f>IF(I70="%o Al Millar",1000,IF(I70="% Al Porciento",100,IF(I70="$ Prima",G70)))</f>
        <v>1000</v>
      </c>
      <c r="S70">
        <f t="shared" si="51"/>
        <v>1</v>
      </c>
      <c r="W70" s="111" t="e">
        <f>'UB (1)'!H70+'UB (2)'!H70+'UB (3)'!H70+#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71" spans="1:23" x14ac:dyDescent="0.3">
      <c r="A71" s="82">
        <v>904</v>
      </c>
      <c r="B71" s="33">
        <v>2</v>
      </c>
      <c r="C71" s="28" t="s">
        <v>1197</v>
      </c>
      <c r="D71" s="28" t="str">
        <f>$D$17</f>
        <v>INCLUIDO</v>
      </c>
      <c r="E71" s="28"/>
      <c r="F71" s="28"/>
      <c r="G71" s="28"/>
      <c r="H71" s="28"/>
      <c r="I71" s="28"/>
      <c r="J71" s="28"/>
      <c r="K71" s="28"/>
      <c r="L71" s="28"/>
      <c r="M71" s="68">
        <f>M64</f>
        <v>0.05</v>
      </c>
      <c r="N71" s="28"/>
      <c r="O71" s="83"/>
      <c r="P71" s="13" t="str">
        <f t="shared" si="2"/>
        <v>SI</v>
      </c>
      <c r="Q71" s="47">
        <f>IF(D71="INCLUIDO",IF(F72&lt;&gt;0,1,0),0)</f>
        <v>1</v>
      </c>
      <c r="S71">
        <f t="shared" si="51"/>
        <v>1</v>
      </c>
      <c r="W71" s="111" t="e">
        <f>'UB (1)'!H71+'UB (2)'!H71+'UB (3)'!H71+#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72" spans="1:23" ht="20.399999999999999" x14ac:dyDescent="0.3">
      <c r="A72" s="31" t="s">
        <v>1168</v>
      </c>
      <c r="B72" s="36">
        <v>62</v>
      </c>
      <c r="C72" s="27" t="s">
        <v>1199</v>
      </c>
      <c r="D72" s="27" t="str">
        <f t="shared" si="44"/>
        <v>INCLUIDO</v>
      </c>
      <c r="E72" s="27" t="s">
        <v>1137</v>
      </c>
      <c r="F72" s="9">
        <f>F68*S72*O14</f>
        <v>173843290.02506399</v>
      </c>
      <c r="G72" s="10">
        <f>'COTIZACIÓN M.N.'!E64</f>
        <v>2.0000000000000004E-2</v>
      </c>
      <c r="H72" s="75">
        <f>(((IF(I72="$ Prima",G72,G72*F72/R72))*$U$9)/365)*$J$15</f>
        <v>3486.3914602286814</v>
      </c>
      <c r="I72" s="9" t="s">
        <v>1153</v>
      </c>
      <c r="J72" s="9">
        <f>H72*$U$7</f>
        <v>73.562859810825174</v>
      </c>
      <c r="K72" s="9">
        <f>(H72+J72)*$K$15</f>
        <v>569.59269120632109</v>
      </c>
      <c r="L72" s="9">
        <f>ROUND(H72+J72+K72,2)</f>
        <v>4129.55</v>
      </c>
      <c r="M72" s="11">
        <f>M71</f>
        <v>0.05</v>
      </c>
      <c r="N72" s="9">
        <f>H72*M72</f>
        <v>174.31957301143407</v>
      </c>
      <c r="O72" s="12">
        <f>N72</f>
        <v>174.31957301143407</v>
      </c>
      <c r="P72" s="13" t="str">
        <f t="shared" si="2"/>
        <v>SI</v>
      </c>
      <c r="Q72">
        <f>IF(D72="INCLUIDO",IF(F72&lt;&gt;0,1,0),0)</f>
        <v>1</v>
      </c>
      <c r="R72">
        <f>IF(I72="%o Al Millar",1000,IF(I72="% Al Porciento",100,IF(I72="$ Prima",G72)))</f>
        <v>1000</v>
      </c>
      <c r="S72">
        <f t="shared" si="51"/>
        <v>1</v>
      </c>
      <c r="W72" s="111" t="e">
        <f>'UB (1)'!H72+'UB (2)'!H72+'UB (3)'!H72+#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73" spans="1:23" ht="15" customHeight="1" x14ac:dyDescent="0.3">
      <c r="A73" s="82" t="s">
        <v>1162</v>
      </c>
      <c r="B73" s="33">
        <v>2</v>
      </c>
      <c r="C73" s="28" t="s">
        <v>1195</v>
      </c>
      <c r="D73" s="28" t="str">
        <f>$D$17</f>
        <v>INCLUIDO</v>
      </c>
      <c r="E73" s="28"/>
      <c r="F73" s="28"/>
      <c r="G73" s="28"/>
      <c r="H73" s="28"/>
      <c r="I73" s="28"/>
      <c r="J73" s="28"/>
      <c r="K73" s="28"/>
      <c r="L73" s="28"/>
      <c r="M73" s="68">
        <f>M61</f>
        <v>0.05</v>
      </c>
      <c r="N73" s="28"/>
      <c r="O73" s="83"/>
      <c r="P73" s="13" t="str">
        <f t="shared" si="2"/>
        <v>SI</v>
      </c>
      <c r="Q73" s="47">
        <f>IF(D73="INCLUIDO",IF(F74&lt;&gt;0,1,0),0)</f>
        <v>1</v>
      </c>
      <c r="S73">
        <f t="shared" si="51"/>
        <v>1</v>
      </c>
      <c r="W73" s="111" t="e">
        <f>'UB (1)'!H73+'UB (2)'!H73+'UB (3)'!H73+#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74" spans="1:23" ht="22.5" customHeight="1" x14ac:dyDescent="0.3">
      <c r="A74" s="34" t="s">
        <v>1164</v>
      </c>
      <c r="B74" s="36" t="s">
        <v>1200</v>
      </c>
      <c r="C74" s="29" t="s">
        <v>1201</v>
      </c>
      <c r="D74" s="27" t="str">
        <f t="shared" si="44"/>
        <v>INCLUIDO</v>
      </c>
      <c r="E74" s="27" t="s">
        <v>1137</v>
      </c>
      <c r="F74" s="43">
        <f>F55</f>
        <v>3000000</v>
      </c>
      <c r="G74" s="21">
        <v>0</v>
      </c>
      <c r="H74" s="9">
        <f>H55</f>
        <v>250.68493150684935</v>
      </c>
      <c r="I74" s="9" t="s">
        <v>1153</v>
      </c>
      <c r="J74" s="9">
        <f>H74*$U$7</f>
        <v>5.2894520547945216</v>
      </c>
      <c r="K74" s="9">
        <f>(H74+J74)*$K$15</f>
        <v>40.955901369863021</v>
      </c>
      <c r="L74" s="9">
        <f>ROUND(H74+J74+K74,2)</f>
        <v>296.93</v>
      </c>
      <c r="M74" s="11">
        <f>M73</f>
        <v>0.05</v>
      </c>
      <c r="N74" s="9">
        <f>H74*M74</f>
        <v>12.534246575342468</v>
      </c>
      <c r="O74" s="12">
        <f>N74</f>
        <v>12.534246575342468</v>
      </c>
      <c r="P74" s="13" t="str">
        <f t="shared" si="2"/>
        <v>SI</v>
      </c>
      <c r="Q74">
        <f>IF(D74="INCLUIDO",IF(F74&lt;&gt;0,1,0),0)</f>
        <v>1</v>
      </c>
      <c r="R74">
        <f>IF(I74="%o Al Millar",1000,IF(I74="% Al Porciento",100,IF(I74="$ Prima",G74)))</f>
        <v>1000</v>
      </c>
      <c r="S74">
        <f t="shared" si="51"/>
        <v>1</v>
      </c>
      <c r="W74" s="111" t="e">
        <f>'UB (1)'!H74+'UB (2)'!H74+'UB (3)'!H74+#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75" spans="1:23" ht="15" customHeight="1" x14ac:dyDescent="0.3">
      <c r="A75" s="82">
        <v>904</v>
      </c>
      <c r="B75" s="33">
        <v>2</v>
      </c>
      <c r="C75" s="28" t="s">
        <v>1197</v>
      </c>
      <c r="D75" s="28" t="str">
        <f>$D$17</f>
        <v>INCLUIDO</v>
      </c>
      <c r="E75" s="28"/>
      <c r="F75" s="28"/>
      <c r="G75" s="28"/>
      <c r="H75" s="28"/>
      <c r="I75" s="28"/>
      <c r="J75" s="28"/>
      <c r="K75" s="28"/>
      <c r="L75" s="28"/>
      <c r="M75" s="68">
        <f>M64</f>
        <v>0.05</v>
      </c>
      <c r="N75" s="28"/>
      <c r="O75" s="83"/>
      <c r="P75" s="13" t="str">
        <f t="shared" si="2"/>
        <v>SI</v>
      </c>
      <c r="Q75" s="47">
        <f>IF(D75="INCLUIDO",IF(F76&lt;&gt;0,1,0),0)</f>
        <v>1</v>
      </c>
      <c r="S75">
        <f t="shared" si="51"/>
        <v>1</v>
      </c>
      <c r="W75" s="111" t="e">
        <f>'UB (1)'!H75+'UB (2)'!H75+'UB (3)'!H75+#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76" spans="1:23" ht="22.5" customHeight="1" x14ac:dyDescent="0.3">
      <c r="A76" s="34" t="s">
        <v>1168</v>
      </c>
      <c r="B76" s="36">
        <v>58</v>
      </c>
      <c r="C76" s="29" t="s">
        <v>1202</v>
      </c>
      <c r="D76" s="27" t="str">
        <f t="shared" si="44"/>
        <v>INCLUIDO</v>
      </c>
      <c r="E76" s="27" t="s">
        <v>1137</v>
      </c>
      <c r="F76" s="43">
        <f>F74</f>
        <v>3000000</v>
      </c>
      <c r="G76" s="10">
        <v>0</v>
      </c>
      <c r="H76" s="9">
        <f>H74</f>
        <v>250.68493150684935</v>
      </c>
      <c r="I76" s="9" t="s">
        <v>1153</v>
      </c>
      <c r="J76" s="9">
        <f>H76*$U$7</f>
        <v>5.2894520547945216</v>
      </c>
      <c r="K76" s="9">
        <f>(H76+J76)*$K$15</f>
        <v>40.955901369863021</v>
      </c>
      <c r="L76" s="9">
        <f>ROUND(H76+J76+K76,2)</f>
        <v>296.93</v>
      </c>
      <c r="M76" s="11">
        <f>M75</f>
        <v>0.05</v>
      </c>
      <c r="N76" s="9">
        <f>H76*M76</f>
        <v>12.534246575342468</v>
      </c>
      <c r="O76" s="12">
        <f>N76</f>
        <v>12.534246575342468</v>
      </c>
      <c r="P76" s="13" t="str">
        <f t="shared" si="2"/>
        <v>SI</v>
      </c>
      <c r="Q76">
        <f>IF(D76="INCLUIDO",IF(F76&lt;&gt;0,1,0),0)</f>
        <v>1</v>
      </c>
      <c r="R76">
        <f>IF(I76="%o Al Millar",1000,IF(I76="% Al Porciento",100,IF(I76="$ Prima",G76)))</f>
        <v>1000</v>
      </c>
      <c r="S76">
        <f t="shared" si="51"/>
        <v>1</v>
      </c>
      <c r="W76" s="111" t="e">
        <f>'UB (1)'!H76+'UB (2)'!H76+'UB (3)'!H76+#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77" spans="1:23" s="18" customFormat="1" x14ac:dyDescent="0.3">
      <c r="A77" s="24"/>
      <c r="B77" s="26"/>
      <c r="C77" s="15" t="s">
        <v>1177</v>
      </c>
      <c r="D77" s="38" t="str">
        <f>D76</f>
        <v>INCLUIDO</v>
      </c>
      <c r="E77" s="38"/>
      <c r="F77" s="16">
        <f>SUMIF(E42:E76,"Adicional",F42:F76)</f>
        <v>0</v>
      </c>
      <c r="G77" s="17"/>
      <c r="H77" s="16">
        <f>SUM(H42:H76)</f>
        <v>674524.53852571361</v>
      </c>
      <c r="I77" s="16"/>
      <c r="J77" s="16">
        <f>SUM(J42:J76)</f>
        <v>14232.467762892551</v>
      </c>
      <c r="K77" s="16">
        <f>SUM(K42:K76)</f>
        <v>110201.12100617695</v>
      </c>
      <c r="L77" s="16">
        <f>SUM(L42:L76)</f>
        <v>798958.13000000012</v>
      </c>
      <c r="M77" s="16" t="s">
        <v>1178</v>
      </c>
      <c r="N77" s="16">
        <f>SUM(N42:N76)</f>
        <v>53065.89054103649</v>
      </c>
      <c r="O77" s="84">
        <f>SUM(O42:O76)</f>
        <v>53065.89054103649</v>
      </c>
      <c r="P77" s="13" t="str">
        <f t="shared" ref="P77" si="104">IF(Q77=1,"SI","NO")</f>
        <v>SI</v>
      </c>
      <c r="Q77">
        <f>IF(D77="INCLUIDO",IF(H77&lt;&gt;0,1,0),0)</f>
        <v>1</v>
      </c>
      <c r="W77" s="111" t="e">
        <f>'UB (1)'!H77+'UB (2)'!H77+'UB (3)'!H77+#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78" spans="1:23" ht="20.25" hidden="1" customHeight="1" x14ac:dyDescent="0.3">
      <c r="A78" s="82" t="s">
        <v>1147</v>
      </c>
      <c r="B78" s="30" t="s">
        <v>1203</v>
      </c>
      <c r="C78" s="19" t="s">
        <v>1204</v>
      </c>
      <c r="D78" s="28" t="str">
        <f>$D$17</f>
        <v>INCLUIDO</v>
      </c>
      <c r="E78" s="28"/>
      <c r="F78" s="28"/>
      <c r="G78" s="28"/>
      <c r="H78" s="28"/>
      <c r="I78" s="28"/>
      <c r="J78" s="28"/>
      <c r="K78" s="28"/>
      <c r="L78" s="28"/>
      <c r="M78" s="68">
        <f>M41</f>
        <v>0.1201</v>
      </c>
      <c r="N78" s="28"/>
      <c r="O78" s="83"/>
      <c r="P78" s="13" t="str">
        <f t="shared" si="2"/>
        <v>NO</v>
      </c>
      <c r="Q78" s="47">
        <f>IF(D78="INCLUIDO",IF(F79&lt;&gt;0,1,0),0)</f>
        <v>0</v>
      </c>
      <c r="W78"/>
    </row>
    <row r="79" spans="1:23" ht="15" hidden="1" customHeight="1" x14ac:dyDescent="0.3">
      <c r="A79" s="34" t="s">
        <v>1150</v>
      </c>
      <c r="B79" s="36" t="s">
        <v>1205</v>
      </c>
      <c r="C79" s="29" t="s">
        <v>1206</v>
      </c>
      <c r="D79" s="27" t="str">
        <f t="shared" ref="D79:D98" si="105">$D$17</f>
        <v>INCLUIDO</v>
      </c>
      <c r="E79" s="27" t="s">
        <v>1186</v>
      </c>
      <c r="F79" s="42">
        <v>0</v>
      </c>
      <c r="G79" s="10">
        <v>0</v>
      </c>
      <c r="H79" s="9">
        <f t="shared" ref="H79:H89" si="106">(IF(I79="$ Prima",G79,G79*F79/R79))*$U$9</f>
        <v>0</v>
      </c>
      <c r="I79" s="9" t="s">
        <v>1153</v>
      </c>
      <c r="J79" s="9">
        <f t="shared" ref="J79:J89" si="107">H79*$U$7</f>
        <v>0</v>
      </c>
      <c r="K79" s="9">
        <f t="shared" ref="K79:K89" si="108">(H79+J79)*$K$15</f>
        <v>0</v>
      </c>
      <c r="L79" s="9">
        <f t="shared" ref="L79:L89" si="109">ROUND(H79+J79+K79,2)</f>
        <v>0</v>
      </c>
      <c r="M79" s="11">
        <f>$M$78</f>
        <v>0.1201</v>
      </c>
      <c r="N79" s="9">
        <f t="shared" ref="N79:N89" si="110">H79*M79</f>
        <v>0</v>
      </c>
      <c r="O79" s="12">
        <f t="shared" ref="O79:O89" si="111">N79</f>
        <v>0</v>
      </c>
      <c r="P79" s="13" t="str">
        <f t="shared" si="2"/>
        <v>NO</v>
      </c>
      <c r="Q79">
        <f t="shared" ref="Q79:Q89" si="112">IF(D79="INCLUIDO",IF(F79&lt;&gt;0,1,0),0)</f>
        <v>0</v>
      </c>
      <c r="R79">
        <f t="shared" ref="R79:R89" si="113">IF(I79="%o Al Millar",1000,IF(I79="% Al Porciento",100,IF(I79="$ Prima",G79)))</f>
        <v>1000</v>
      </c>
      <c r="S79">
        <f t="shared" ref="S79:S89" si="114">IF(E79="Excluido",0,IF(D79="NO APLICA",0,1))</f>
        <v>0</v>
      </c>
      <c r="W79"/>
    </row>
    <row r="80" spans="1:23" ht="15" customHeight="1" x14ac:dyDescent="0.3">
      <c r="A80" s="34" t="s">
        <v>1150</v>
      </c>
      <c r="B80" s="36" t="s">
        <v>1207</v>
      </c>
      <c r="C80" s="29" t="s">
        <v>1208</v>
      </c>
      <c r="D80" s="27" t="str">
        <f t="shared" si="105"/>
        <v>INCLUIDO</v>
      </c>
      <c r="E80" s="27" t="s">
        <v>1137</v>
      </c>
      <c r="F80" s="42">
        <f>'COTIZACIÓN M.N.'!D42</f>
        <v>324299019.92821944</v>
      </c>
      <c r="G80" s="10">
        <f>'COTIZACIÓN M.N.'!E42</f>
        <v>0.24625224000000001</v>
      </c>
      <c r="H80" s="9">
        <f>(((IF(I80="$ Prima",G80,G80*F80/R80))*$U$9)/365)*$J$15</f>
        <v>80078.152854490691</v>
      </c>
      <c r="I80" s="9" t="s">
        <v>1153</v>
      </c>
      <c r="J80" s="9">
        <f t="shared" si="107"/>
        <v>1689.6490252297535</v>
      </c>
      <c r="K80" s="9">
        <f t="shared" si="108"/>
        <v>13082.848300755271</v>
      </c>
      <c r="L80" s="9">
        <f t="shared" si="109"/>
        <v>94850.65</v>
      </c>
      <c r="M80" s="11">
        <f t="shared" ref="M80:M89" si="115">$M$78</f>
        <v>0.1201</v>
      </c>
      <c r="N80" s="9">
        <f t="shared" si="110"/>
        <v>9617.3861578243323</v>
      </c>
      <c r="O80" s="12">
        <f t="shared" si="111"/>
        <v>9617.3861578243323</v>
      </c>
      <c r="P80" s="13" t="str">
        <f t="shared" si="2"/>
        <v>SI</v>
      </c>
      <c r="Q80">
        <f t="shared" si="112"/>
        <v>1</v>
      </c>
      <c r="R80">
        <f t="shared" si="113"/>
        <v>1000</v>
      </c>
      <c r="S80">
        <f t="shared" si="114"/>
        <v>1</v>
      </c>
      <c r="W80" s="483" t="e">
        <f>'UB (1)'!H80+'UB (2)'!H80+'UB (3)'!H80+#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81" spans="1:23" ht="15" hidden="1" customHeight="1" x14ac:dyDescent="0.3">
      <c r="A81" s="34" t="s">
        <v>1150</v>
      </c>
      <c r="B81" s="36" t="s">
        <v>1209</v>
      </c>
      <c r="C81" s="29" t="s">
        <v>1210</v>
      </c>
      <c r="D81" s="27" t="str">
        <f t="shared" si="105"/>
        <v>INCLUIDO</v>
      </c>
      <c r="E81" s="27" t="s">
        <v>1152</v>
      </c>
      <c r="F81" s="42">
        <v>0</v>
      </c>
      <c r="G81" s="10">
        <v>0</v>
      </c>
      <c r="H81" s="9">
        <f t="shared" si="106"/>
        <v>0</v>
      </c>
      <c r="I81" s="9" t="s">
        <v>1153</v>
      </c>
      <c r="J81" s="9">
        <f t="shared" si="107"/>
        <v>0</v>
      </c>
      <c r="K81" s="9">
        <f t="shared" si="108"/>
        <v>0</v>
      </c>
      <c r="L81" s="9">
        <f t="shared" si="109"/>
        <v>0</v>
      </c>
      <c r="M81" s="11">
        <f t="shared" si="115"/>
        <v>0.1201</v>
      </c>
      <c r="N81" s="9">
        <f t="shared" si="110"/>
        <v>0</v>
      </c>
      <c r="O81" s="12">
        <f t="shared" si="111"/>
        <v>0</v>
      </c>
      <c r="P81" s="13" t="str">
        <f t="shared" si="2"/>
        <v>NO</v>
      </c>
      <c r="Q81">
        <f t="shared" si="112"/>
        <v>0</v>
      </c>
      <c r="R81">
        <f t="shared" si="113"/>
        <v>1000</v>
      </c>
      <c r="S81">
        <f t="shared" si="114"/>
        <v>1</v>
      </c>
      <c r="W81"/>
    </row>
    <row r="82" spans="1:23" ht="22.5" hidden="1" customHeight="1" x14ac:dyDescent="0.3">
      <c r="A82" s="34" t="s">
        <v>1150</v>
      </c>
      <c r="B82" s="36">
        <v>276</v>
      </c>
      <c r="C82" s="29" t="s">
        <v>1211</v>
      </c>
      <c r="D82" s="27" t="str">
        <f t="shared" si="105"/>
        <v>INCLUIDO</v>
      </c>
      <c r="E82" s="27" t="s">
        <v>1186</v>
      </c>
      <c r="F82" s="42">
        <v>0</v>
      </c>
      <c r="G82" s="10">
        <v>0</v>
      </c>
      <c r="H82" s="9">
        <f t="shared" si="106"/>
        <v>0</v>
      </c>
      <c r="I82" s="9" t="s">
        <v>1153</v>
      </c>
      <c r="J82" s="9">
        <f t="shared" si="107"/>
        <v>0</v>
      </c>
      <c r="K82" s="9">
        <f t="shared" si="108"/>
        <v>0</v>
      </c>
      <c r="L82" s="9">
        <f t="shared" si="109"/>
        <v>0</v>
      </c>
      <c r="M82" s="11">
        <f t="shared" si="115"/>
        <v>0.1201</v>
      </c>
      <c r="N82" s="9">
        <f t="shared" si="110"/>
        <v>0</v>
      </c>
      <c r="O82" s="12">
        <f t="shared" si="111"/>
        <v>0</v>
      </c>
      <c r="P82" s="13" t="str">
        <f t="shared" si="2"/>
        <v>NO</v>
      </c>
      <c r="Q82">
        <f t="shared" si="112"/>
        <v>0</v>
      </c>
      <c r="R82">
        <f t="shared" si="113"/>
        <v>1000</v>
      </c>
      <c r="S82">
        <f t="shared" si="114"/>
        <v>0</v>
      </c>
      <c r="W82"/>
    </row>
    <row r="83" spans="1:23" ht="15" customHeight="1" x14ac:dyDescent="0.3">
      <c r="A83" s="34" t="s">
        <v>1150</v>
      </c>
      <c r="B83" s="36" t="s">
        <v>1212</v>
      </c>
      <c r="C83" s="29" t="s">
        <v>1213</v>
      </c>
      <c r="D83" s="27" t="str">
        <f t="shared" si="105"/>
        <v>INCLUIDO</v>
      </c>
      <c r="E83" s="27" t="s">
        <v>1137</v>
      </c>
      <c r="F83" s="43">
        <f>'COTIZACIÓN M.N.'!D58</f>
        <v>86937199.982531995</v>
      </c>
      <c r="G83" s="10">
        <f>'COTIZACIÓN M.N.'!E58</f>
        <v>0.11240080626426369</v>
      </c>
      <c r="H83" s="9">
        <f>(((IF(I83="$ Prima",G83,G83*F83/R83))*$U$9)/365)*$J$15</f>
        <v>9798.5834583458927</v>
      </c>
      <c r="I83" s="9" t="s">
        <v>1153</v>
      </c>
      <c r="J83" s="9">
        <f t="shared" si="107"/>
        <v>206.75011097109834</v>
      </c>
      <c r="K83" s="9">
        <f t="shared" si="108"/>
        <v>1600.8533710907184</v>
      </c>
      <c r="L83" s="9">
        <f t="shared" si="109"/>
        <v>11606.19</v>
      </c>
      <c r="M83" s="11">
        <f t="shared" si="115"/>
        <v>0.1201</v>
      </c>
      <c r="N83" s="9">
        <f t="shared" si="110"/>
        <v>1176.8098733473416</v>
      </c>
      <c r="O83" s="12">
        <f t="shared" si="111"/>
        <v>1176.8098733473416</v>
      </c>
      <c r="P83" s="13" t="str">
        <f t="shared" si="2"/>
        <v>SI</v>
      </c>
      <c r="Q83">
        <f t="shared" si="112"/>
        <v>1</v>
      </c>
      <c r="R83">
        <f t="shared" si="113"/>
        <v>1000</v>
      </c>
      <c r="S83">
        <f t="shared" si="114"/>
        <v>1</v>
      </c>
      <c r="W83" s="111" t="e">
        <f>'UB (1)'!H83+'UB (2)'!H83+'UB (3)'!H83+#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84" spans="1:23" ht="22.5" hidden="1" customHeight="1" x14ac:dyDescent="0.3">
      <c r="A84" s="34" t="s">
        <v>1150</v>
      </c>
      <c r="B84" s="36" t="s">
        <v>1214</v>
      </c>
      <c r="C84" s="29" t="s">
        <v>1215</v>
      </c>
      <c r="D84" s="27" t="str">
        <f t="shared" si="105"/>
        <v>INCLUIDO</v>
      </c>
      <c r="E84" s="27" t="s">
        <v>1186</v>
      </c>
      <c r="F84" s="43">
        <v>0</v>
      </c>
      <c r="G84" s="10">
        <v>0</v>
      </c>
      <c r="H84" s="9">
        <f t="shared" si="106"/>
        <v>0</v>
      </c>
      <c r="I84" s="9" t="s">
        <v>1153</v>
      </c>
      <c r="J84" s="9">
        <f t="shared" si="107"/>
        <v>0</v>
      </c>
      <c r="K84" s="9">
        <f t="shared" si="108"/>
        <v>0</v>
      </c>
      <c r="L84" s="9">
        <f t="shared" si="109"/>
        <v>0</v>
      </c>
      <c r="M84" s="11">
        <f t="shared" si="115"/>
        <v>0.1201</v>
      </c>
      <c r="N84" s="9">
        <f t="shared" si="110"/>
        <v>0</v>
      </c>
      <c r="O84" s="12">
        <f t="shared" si="111"/>
        <v>0</v>
      </c>
      <c r="P84" s="13" t="str">
        <f t="shared" si="2"/>
        <v>NO</v>
      </c>
      <c r="Q84">
        <f t="shared" si="112"/>
        <v>0</v>
      </c>
      <c r="R84">
        <f t="shared" si="113"/>
        <v>1000</v>
      </c>
      <c r="S84">
        <f t="shared" si="114"/>
        <v>0</v>
      </c>
      <c r="W84"/>
    </row>
    <row r="85" spans="1:23" ht="15" hidden="1" customHeight="1" x14ac:dyDescent="0.3">
      <c r="A85" s="34" t="s">
        <v>1150</v>
      </c>
      <c r="B85" s="36" t="s">
        <v>1216</v>
      </c>
      <c r="C85" s="29" t="s">
        <v>1217</v>
      </c>
      <c r="D85" s="27" t="str">
        <f t="shared" si="105"/>
        <v>INCLUIDO</v>
      </c>
      <c r="E85" s="27" t="s">
        <v>1186</v>
      </c>
      <c r="F85" s="43">
        <v>0</v>
      </c>
      <c r="G85" s="21">
        <v>0</v>
      </c>
      <c r="H85" s="9">
        <f t="shared" si="106"/>
        <v>0</v>
      </c>
      <c r="I85" s="9" t="s">
        <v>1153</v>
      </c>
      <c r="J85" s="9">
        <f t="shared" si="107"/>
        <v>0</v>
      </c>
      <c r="K85" s="9">
        <f t="shared" si="108"/>
        <v>0</v>
      </c>
      <c r="L85" s="9">
        <f t="shared" si="109"/>
        <v>0</v>
      </c>
      <c r="M85" s="11">
        <f t="shared" si="115"/>
        <v>0.1201</v>
      </c>
      <c r="N85" s="9">
        <f t="shared" si="110"/>
        <v>0</v>
      </c>
      <c r="O85" s="12">
        <f t="shared" si="111"/>
        <v>0</v>
      </c>
      <c r="P85" s="13" t="str">
        <f t="shared" si="2"/>
        <v>NO</v>
      </c>
      <c r="Q85">
        <f t="shared" si="112"/>
        <v>0</v>
      </c>
      <c r="R85">
        <f t="shared" si="113"/>
        <v>1000</v>
      </c>
      <c r="S85">
        <f t="shared" si="114"/>
        <v>0</v>
      </c>
      <c r="W85"/>
    </row>
    <row r="86" spans="1:23" ht="15" hidden="1" customHeight="1" x14ac:dyDescent="0.3">
      <c r="A86" s="34" t="s">
        <v>1150</v>
      </c>
      <c r="B86" s="36" t="s">
        <v>1218</v>
      </c>
      <c r="C86" s="29" t="s">
        <v>1219</v>
      </c>
      <c r="D86" s="27" t="str">
        <f t="shared" si="105"/>
        <v>INCLUIDO</v>
      </c>
      <c r="E86" s="27" t="s">
        <v>1186</v>
      </c>
      <c r="F86" s="43">
        <v>0</v>
      </c>
      <c r="G86" s="21">
        <v>0</v>
      </c>
      <c r="H86" s="9">
        <f t="shared" si="106"/>
        <v>0</v>
      </c>
      <c r="I86" s="9" t="s">
        <v>1153</v>
      </c>
      <c r="J86" s="9">
        <f t="shared" si="107"/>
        <v>0</v>
      </c>
      <c r="K86" s="9">
        <f t="shared" si="108"/>
        <v>0</v>
      </c>
      <c r="L86" s="9">
        <f t="shared" si="109"/>
        <v>0</v>
      </c>
      <c r="M86" s="11">
        <f t="shared" si="115"/>
        <v>0.1201</v>
      </c>
      <c r="N86" s="9">
        <f t="shared" si="110"/>
        <v>0</v>
      </c>
      <c r="O86" s="12">
        <f t="shared" si="111"/>
        <v>0</v>
      </c>
      <c r="P86" s="13" t="str">
        <f t="shared" si="2"/>
        <v>NO</v>
      </c>
      <c r="Q86">
        <f t="shared" si="112"/>
        <v>0</v>
      </c>
      <c r="R86">
        <f t="shared" si="113"/>
        <v>1000</v>
      </c>
      <c r="S86">
        <f t="shared" si="114"/>
        <v>0</v>
      </c>
      <c r="W86"/>
    </row>
    <row r="87" spans="1:23" ht="15" hidden="1" customHeight="1" x14ac:dyDescent="0.3">
      <c r="A87" s="34" t="s">
        <v>1150</v>
      </c>
      <c r="B87" s="36">
        <v>277</v>
      </c>
      <c r="C87" s="29" t="s">
        <v>1220</v>
      </c>
      <c r="D87" s="27" t="str">
        <f t="shared" si="105"/>
        <v>INCLUIDO</v>
      </c>
      <c r="E87" s="27" t="s">
        <v>1186</v>
      </c>
      <c r="F87" s="43">
        <v>0</v>
      </c>
      <c r="G87" s="21">
        <v>0</v>
      </c>
      <c r="H87" s="9">
        <f t="shared" si="106"/>
        <v>0</v>
      </c>
      <c r="I87" s="9" t="s">
        <v>1153</v>
      </c>
      <c r="J87" s="9">
        <f t="shared" si="107"/>
        <v>0</v>
      </c>
      <c r="K87" s="9">
        <f t="shared" si="108"/>
        <v>0</v>
      </c>
      <c r="L87" s="9">
        <f t="shared" si="109"/>
        <v>0</v>
      </c>
      <c r="M87" s="11">
        <f t="shared" si="115"/>
        <v>0.1201</v>
      </c>
      <c r="N87" s="9">
        <f t="shared" si="110"/>
        <v>0</v>
      </c>
      <c r="O87" s="12">
        <f t="shared" si="111"/>
        <v>0</v>
      </c>
      <c r="P87" s="13" t="str">
        <f t="shared" si="2"/>
        <v>NO</v>
      </c>
      <c r="Q87">
        <f t="shared" si="112"/>
        <v>0</v>
      </c>
      <c r="R87">
        <f t="shared" si="113"/>
        <v>1000</v>
      </c>
      <c r="S87">
        <f t="shared" si="114"/>
        <v>0</v>
      </c>
      <c r="W87"/>
    </row>
    <row r="88" spans="1:23" ht="15" hidden="1" customHeight="1" x14ac:dyDescent="0.3">
      <c r="A88" s="34" t="s">
        <v>1150</v>
      </c>
      <c r="B88" s="36">
        <v>278</v>
      </c>
      <c r="C88" s="29" t="s">
        <v>1221</v>
      </c>
      <c r="D88" s="27" t="str">
        <f t="shared" si="105"/>
        <v>INCLUIDO</v>
      </c>
      <c r="E88" s="27" t="s">
        <v>1186</v>
      </c>
      <c r="F88" s="43">
        <v>0</v>
      </c>
      <c r="G88" s="21">
        <v>0</v>
      </c>
      <c r="H88" s="9">
        <f t="shared" si="106"/>
        <v>0</v>
      </c>
      <c r="I88" s="9" t="s">
        <v>1153</v>
      </c>
      <c r="J88" s="9">
        <f t="shared" si="107"/>
        <v>0</v>
      </c>
      <c r="K88" s="9">
        <f t="shared" si="108"/>
        <v>0</v>
      </c>
      <c r="L88" s="9">
        <f t="shared" si="109"/>
        <v>0</v>
      </c>
      <c r="M88" s="11">
        <f t="shared" si="115"/>
        <v>0.1201</v>
      </c>
      <c r="N88" s="9">
        <f t="shared" si="110"/>
        <v>0</v>
      </c>
      <c r="O88" s="12">
        <f t="shared" si="111"/>
        <v>0</v>
      </c>
      <c r="P88" s="13" t="str">
        <f t="shared" si="2"/>
        <v>NO</v>
      </c>
      <c r="Q88">
        <f t="shared" si="112"/>
        <v>0</v>
      </c>
      <c r="R88">
        <f t="shared" si="113"/>
        <v>1000</v>
      </c>
      <c r="S88">
        <f t="shared" si="114"/>
        <v>0</v>
      </c>
      <c r="W88"/>
    </row>
    <row r="89" spans="1:23" ht="15" hidden="1" customHeight="1" x14ac:dyDescent="0.3">
      <c r="A89" s="34" t="s">
        <v>1150</v>
      </c>
      <c r="B89" s="36">
        <v>279</v>
      </c>
      <c r="C89" s="29" t="s">
        <v>1222</v>
      </c>
      <c r="D89" s="27" t="str">
        <f t="shared" si="105"/>
        <v>INCLUIDO</v>
      </c>
      <c r="E89" s="27" t="s">
        <v>1186</v>
      </c>
      <c r="F89" s="43">
        <v>0</v>
      </c>
      <c r="G89" s="21">
        <v>0</v>
      </c>
      <c r="H89" s="9">
        <f t="shared" si="106"/>
        <v>0</v>
      </c>
      <c r="I89" s="9" t="s">
        <v>1153</v>
      </c>
      <c r="J89" s="9">
        <f t="shared" si="107"/>
        <v>0</v>
      </c>
      <c r="K89" s="9">
        <f t="shared" si="108"/>
        <v>0</v>
      </c>
      <c r="L89" s="9">
        <f t="shared" si="109"/>
        <v>0</v>
      </c>
      <c r="M89" s="11">
        <f t="shared" si="115"/>
        <v>0.1201</v>
      </c>
      <c r="N89" s="9">
        <f t="shared" si="110"/>
        <v>0</v>
      </c>
      <c r="O89" s="12">
        <f t="shared" si="111"/>
        <v>0</v>
      </c>
      <c r="P89" s="13" t="str">
        <f t="shared" si="2"/>
        <v>NO</v>
      </c>
      <c r="Q89">
        <f t="shared" si="112"/>
        <v>0</v>
      </c>
      <c r="R89">
        <f t="shared" si="113"/>
        <v>1000</v>
      </c>
      <c r="S89">
        <f t="shared" si="114"/>
        <v>0</v>
      </c>
      <c r="W89"/>
    </row>
    <row r="90" spans="1:23" ht="15" customHeight="1" x14ac:dyDescent="0.3">
      <c r="A90" s="82" t="s">
        <v>1162</v>
      </c>
      <c r="B90" s="33">
        <v>3</v>
      </c>
      <c r="C90" s="19" t="s">
        <v>1223</v>
      </c>
      <c r="D90" s="28" t="str">
        <f>$D$17</f>
        <v>INCLUIDO</v>
      </c>
      <c r="E90" s="28"/>
      <c r="F90" s="28"/>
      <c r="G90" s="28"/>
      <c r="H90" s="28"/>
      <c r="I90" s="28"/>
      <c r="J90" s="28"/>
      <c r="K90" s="28"/>
      <c r="L90" s="28"/>
      <c r="M90" s="68">
        <f>M61</f>
        <v>0.05</v>
      </c>
      <c r="N90" s="28"/>
      <c r="O90" s="83"/>
      <c r="P90" s="13" t="str">
        <f t="shared" si="2"/>
        <v>SI</v>
      </c>
      <c r="Q90" s="47">
        <f>IF(D90="INCLUIDO",IF(F91&lt;&gt;0,1,0),0)</f>
        <v>1</v>
      </c>
      <c r="W90" s="111" t="e">
        <f>'UB (1)'!H90+'UB (2)'!H90+'UB (3)'!H90+#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91" spans="1:23" ht="22.5" customHeight="1" x14ac:dyDescent="0.3">
      <c r="A91" s="34" t="s">
        <v>1164</v>
      </c>
      <c r="B91" s="36">
        <v>50</v>
      </c>
      <c r="C91" s="29" t="s">
        <v>1224</v>
      </c>
      <c r="D91" s="27" t="str">
        <f t="shared" si="105"/>
        <v>INCLUIDO</v>
      </c>
      <c r="E91" s="27" t="s">
        <v>1137</v>
      </c>
      <c r="F91" s="42">
        <f>'COTIZACIÓN M.N.'!D43</f>
        <v>324299019.92821944</v>
      </c>
      <c r="G91" s="10">
        <f>'COTIZACIÓN M.N.'!E43</f>
        <v>0.2</v>
      </c>
      <c r="H91" s="9">
        <f t="shared" ref="H91:H92" si="116">(((IF(I91="$ Prima",G91,G91*F91/R91))*$U$9)/365)*$J$15</f>
        <v>65037.502078755249</v>
      </c>
      <c r="I91" s="9" t="s">
        <v>1153</v>
      </c>
      <c r="J91" s="9">
        <f t="shared" ref="J91:J94" si="117">H91*$U$7</f>
        <v>1372.2912938617358</v>
      </c>
      <c r="K91" s="9">
        <f t="shared" ref="K91:K94" si="118">(H91+J91)*$K$15</f>
        <v>10625.566939618719</v>
      </c>
      <c r="L91" s="9">
        <f t="shared" ref="L91:L94" si="119">ROUND(H91+J91+K91,2)</f>
        <v>77035.360000000001</v>
      </c>
      <c r="M91" s="11">
        <f>$M$90</f>
        <v>0.05</v>
      </c>
      <c r="N91" s="9">
        <f t="shared" ref="N91:N94" si="120">H91*M91</f>
        <v>3251.8751039377626</v>
      </c>
      <c r="O91" s="12">
        <f t="shared" ref="O91:O94" si="121">N91</f>
        <v>3251.8751039377626</v>
      </c>
      <c r="P91" s="13" t="str">
        <f t="shared" ref="P91:P154" si="122">IF(Q91=1,"SI","NO")</f>
        <v>SI</v>
      </c>
      <c r="Q91">
        <f>IF(D91="INCLUIDO",IF(F91&lt;&gt;0,1,0),0)</f>
        <v>1</v>
      </c>
      <c r="R91">
        <f>IF(I91="%o Al Millar",1000,IF(I91="% Al Porciento",100,IF(I91="$ Prima",G91)))</f>
        <v>1000</v>
      </c>
      <c r="S91">
        <f t="shared" ref="S91:S94" si="123">IF(E91="Excluido",0,IF(D91="NO APLICA",0,1))</f>
        <v>1</v>
      </c>
      <c r="W91" s="483" t="e">
        <f>'UB (1)'!H91+'UB (2)'!H91+'UB (3)'!H91+#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92" spans="1:23" ht="22.5" customHeight="1" x14ac:dyDescent="0.3">
      <c r="A92" s="34" t="s">
        <v>1164</v>
      </c>
      <c r="B92" s="36">
        <v>49</v>
      </c>
      <c r="C92" s="29" t="s">
        <v>1225</v>
      </c>
      <c r="D92" s="27" t="str">
        <f t="shared" si="105"/>
        <v>INCLUIDO</v>
      </c>
      <c r="E92" s="27" t="s">
        <v>1137</v>
      </c>
      <c r="F92" s="43">
        <f>'COTIZACIÓN M.N.'!D59</f>
        <v>86937199.982531995</v>
      </c>
      <c r="G92" s="10">
        <f>'COTIZACIÓN M.N.'!E59</f>
        <v>9.1289164528423131E-2</v>
      </c>
      <c r="H92" s="9">
        <f t="shared" si="116"/>
        <v>7958.16798120975</v>
      </c>
      <c r="I92" s="9" t="s">
        <v>1153</v>
      </c>
      <c r="J92" s="9">
        <f t="shared" si="117"/>
        <v>167.91734440352573</v>
      </c>
      <c r="K92" s="9">
        <f t="shared" si="118"/>
        <v>1300.1736520981242</v>
      </c>
      <c r="L92" s="9">
        <f t="shared" si="119"/>
        <v>9426.26</v>
      </c>
      <c r="M92" s="11">
        <f t="shared" ref="M92:M94" si="124">$M$90</f>
        <v>0.05</v>
      </c>
      <c r="N92" s="9">
        <f t="shared" si="120"/>
        <v>397.90839906048751</v>
      </c>
      <c r="O92" s="12">
        <f t="shared" si="121"/>
        <v>397.90839906048751</v>
      </c>
      <c r="P92" s="13" t="str">
        <f t="shared" si="122"/>
        <v>SI</v>
      </c>
      <c r="Q92">
        <f>IF(D92="INCLUIDO",IF(F92&lt;&gt;0,1,0),0)</f>
        <v>1</v>
      </c>
      <c r="R92">
        <f>IF(I92="%o Al Millar",1000,IF(I92="% Al Porciento",100,IF(I92="$ Prima",G92)))</f>
        <v>1000</v>
      </c>
      <c r="S92">
        <f t="shared" si="123"/>
        <v>1</v>
      </c>
      <c r="W92" s="111" t="e">
        <f>'UB (1)'!H92+'UB (2)'!H92+'UB (3)'!H92+#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93" spans="1:23" ht="22.5" hidden="1" customHeight="1" x14ac:dyDescent="0.3">
      <c r="A93" s="34" t="s">
        <v>1164</v>
      </c>
      <c r="B93" s="36">
        <v>48</v>
      </c>
      <c r="C93" s="29" t="s">
        <v>1226</v>
      </c>
      <c r="D93" s="27" t="str">
        <f t="shared" si="105"/>
        <v>INCLUIDO</v>
      </c>
      <c r="E93" s="27" t="s">
        <v>1186</v>
      </c>
      <c r="F93" s="43">
        <v>0</v>
      </c>
      <c r="G93" s="21">
        <v>0</v>
      </c>
      <c r="H93" s="9">
        <f t="shared" ref="H93:H94" si="125">(IF(I93="$ Prima",G93,G93*F93/R93))*$U$9</f>
        <v>0</v>
      </c>
      <c r="I93" s="9" t="s">
        <v>1153</v>
      </c>
      <c r="J93" s="9">
        <f t="shared" si="117"/>
        <v>0</v>
      </c>
      <c r="K93" s="9">
        <f t="shared" si="118"/>
        <v>0</v>
      </c>
      <c r="L93" s="9">
        <f t="shared" si="119"/>
        <v>0</v>
      </c>
      <c r="M93" s="11">
        <f t="shared" si="124"/>
        <v>0.05</v>
      </c>
      <c r="N93" s="9">
        <f t="shared" si="120"/>
        <v>0</v>
      </c>
      <c r="O93" s="12">
        <f t="shared" si="121"/>
        <v>0</v>
      </c>
      <c r="P93" s="13" t="str">
        <f t="shared" si="122"/>
        <v>NO</v>
      </c>
      <c r="Q93">
        <f>IF(D93="INCLUIDO",IF(F93&lt;&gt;0,1,0),0)</f>
        <v>0</v>
      </c>
      <c r="R93">
        <f>IF(I93="%o Al Millar",1000,IF(I93="% Al Porciento",100,IF(I93="$ Prima",G93)))</f>
        <v>1000</v>
      </c>
      <c r="S93">
        <f t="shared" si="123"/>
        <v>0</v>
      </c>
      <c r="W93"/>
    </row>
    <row r="94" spans="1:23" ht="15" hidden="1" customHeight="1" x14ac:dyDescent="0.3">
      <c r="A94" s="34" t="s">
        <v>1164</v>
      </c>
      <c r="B94" s="36">
        <v>47</v>
      </c>
      <c r="C94" s="29" t="s">
        <v>1227</v>
      </c>
      <c r="D94" s="27" t="str">
        <f t="shared" si="105"/>
        <v>INCLUIDO</v>
      </c>
      <c r="E94" s="27" t="s">
        <v>1186</v>
      </c>
      <c r="F94" s="43">
        <v>0</v>
      </c>
      <c r="G94" s="21">
        <v>0</v>
      </c>
      <c r="H94" s="9">
        <f t="shared" si="125"/>
        <v>0</v>
      </c>
      <c r="I94" s="9" t="s">
        <v>1153</v>
      </c>
      <c r="J94" s="9">
        <f t="shared" si="117"/>
        <v>0</v>
      </c>
      <c r="K94" s="9">
        <f t="shared" si="118"/>
        <v>0</v>
      </c>
      <c r="L94" s="9">
        <f t="shared" si="119"/>
        <v>0</v>
      </c>
      <c r="M94" s="11">
        <f t="shared" si="124"/>
        <v>0.05</v>
      </c>
      <c r="N94" s="9">
        <f t="shared" si="120"/>
        <v>0</v>
      </c>
      <c r="O94" s="12">
        <f t="shared" si="121"/>
        <v>0</v>
      </c>
      <c r="P94" s="13" t="str">
        <f t="shared" si="122"/>
        <v>NO</v>
      </c>
      <c r="Q94">
        <f>IF(D94="INCLUIDO",IF(F94&lt;&gt;0,1,0),0)</f>
        <v>0</v>
      </c>
      <c r="R94">
        <f>IF(I94="%o Al Millar",1000,IF(I94="% Al Porciento",100,IF(I94="$ Prima",G94)))</f>
        <v>1000</v>
      </c>
      <c r="S94">
        <f t="shared" si="123"/>
        <v>0</v>
      </c>
      <c r="W94"/>
    </row>
    <row r="95" spans="1:23" ht="15" customHeight="1" x14ac:dyDescent="0.3">
      <c r="A95" s="82">
        <v>904</v>
      </c>
      <c r="B95" s="33">
        <v>3</v>
      </c>
      <c r="C95" s="19" t="s">
        <v>1228</v>
      </c>
      <c r="D95" s="28" t="str">
        <f>$D$17</f>
        <v>INCLUIDO</v>
      </c>
      <c r="E95" s="28"/>
      <c r="F95" s="28"/>
      <c r="G95" s="28"/>
      <c r="H95" s="28"/>
      <c r="I95" s="28"/>
      <c r="J95" s="28"/>
      <c r="K95" s="28"/>
      <c r="L95" s="28"/>
      <c r="M95" s="68">
        <f>M64</f>
        <v>0.05</v>
      </c>
      <c r="N95" s="28"/>
      <c r="O95" s="83"/>
      <c r="P95" s="13" t="str">
        <f t="shared" si="122"/>
        <v>SI</v>
      </c>
      <c r="Q95" s="47">
        <f>IF(D95="INCLUIDO",IF(F96&lt;&gt;0,1,0),0)</f>
        <v>1</v>
      </c>
      <c r="W95" s="111" t="e">
        <f>'UB (1)'!H95+'UB (2)'!H95+'UB (3)'!H95+#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96" spans="1:23" ht="22.5" customHeight="1" x14ac:dyDescent="0.3">
      <c r="A96" s="34" t="s">
        <v>1168</v>
      </c>
      <c r="B96" s="36">
        <v>68</v>
      </c>
      <c r="C96" s="29" t="s">
        <v>1229</v>
      </c>
      <c r="D96" s="27" t="str">
        <f t="shared" si="105"/>
        <v>INCLUIDO</v>
      </c>
      <c r="E96" s="27" t="s">
        <v>1137</v>
      </c>
      <c r="F96" s="42">
        <f>'COTIZACIÓN M.N.'!D44</f>
        <v>324299019.92821944</v>
      </c>
      <c r="G96" s="10">
        <f>'COTIZACIÓN M.N.'!E44</f>
        <v>0.32000000000000006</v>
      </c>
      <c r="H96" s="9">
        <f t="shared" ref="H96:H97" si="126">(((IF(I96="$ Prima",G96,G96*F96/R96))*$U$9)/365)*$J$15</f>
        <v>104060.0033260084</v>
      </c>
      <c r="I96" s="9" t="s">
        <v>1153</v>
      </c>
      <c r="J96" s="9">
        <f t="shared" ref="J96:J98" si="127">H96*$U$7</f>
        <v>2195.6660701787773</v>
      </c>
      <c r="K96" s="9">
        <f t="shared" ref="K96:K98" si="128">(H96+J96)*$K$15</f>
        <v>17000.907103389949</v>
      </c>
      <c r="L96" s="9">
        <f t="shared" ref="L96:L98" si="129">ROUND(H96+J96+K96,2)</f>
        <v>123256.58</v>
      </c>
      <c r="M96" s="11">
        <f>$M$95</f>
        <v>0.05</v>
      </c>
      <c r="N96" s="9">
        <f t="shared" ref="N96:N98" si="130">H96*M96</f>
        <v>5203.0001663004205</v>
      </c>
      <c r="O96" s="12">
        <f t="shared" ref="O96:O98" si="131">N96</f>
        <v>5203.0001663004205</v>
      </c>
      <c r="P96" s="13" t="str">
        <f t="shared" si="122"/>
        <v>SI</v>
      </c>
      <c r="Q96">
        <f>IF(D96="INCLUIDO",IF(F96&lt;&gt;0,1,0),0)</f>
        <v>1</v>
      </c>
      <c r="R96">
        <f>IF(I96="%o Al Millar",1000,IF(I96="% Al Porciento",100,IF(I96="$ Prima",G96)))</f>
        <v>1000</v>
      </c>
      <c r="S96">
        <f t="shared" ref="S96:S98" si="132">IF(E96="Excluido",0,IF(D96="NO APLICA",0,1))</f>
        <v>1</v>
      </c>
      <c r="W96" s="483" t="e">
        <f>'UB (1)'!H96+'UB (2)'!H96+'UB (3)'!H96+#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97" spans="1:23" ht="22.5" customHeight="1" x14ac:dyDescent="0.3">
      <c r="A97" s="34" t="s">
        <v>1168</v>
      </c>
      <c r="B97" s="36">
        <v>67</v>
      </c>
      <c r="C97" s="29" t="s">
        <v>1230</v>
      </c>
      <c r="D97" s="27" t="str">
        <f t="shared" si="105"/>
        <v>INCLUIDO</v>
      </c>
      <c r="E97" s="27" t="s">
        <v>1137</v>
      </c>
      <c r="F97" s="43">
        <f>'COTIZACIÓN M.N.'!D60</f>
        <v>86937199.982531995</v>
      </c>
      <c r="G97" s="10">
        <f>'COTIZACIÓN M.N.'!E60</f>
        <v>7.304439852819071E-2</v>
      </c>
      <c r="H97" s="9">
        <f t="shared" si="126"/>
        <v>6367.67349746949</v>
      </c>
      <c r="I97" s="9" t="s">
        <v>1153</v>
      </c>
      <c r="J97" s="9">
        <f t="shared" si="127"/>
        <v>134.35791079660623</v>
      </c>
      <c r="K97" s="9">
        <f t="shared" si="128"/>
        <v>1040.3250253225754</v>
      </c>
      <c r="L97" s="9">
        <f t="shared" si="129"/>
        <v>7542.36</v>
      </c>
      <c r="M97" s="11">
        <f t="shared" ref="M97:M98" si="133">$M$95</f>
        <v>0.05</v>
      </c>
      <c r="N97" s="9">
        <f t="shared" si="130"/>
        <v>318.38367487347455</v>
      </c>
      <c r="O97" s="12">
        <f t="shared" si="131"/>
        <v>318.38367487347455</v>
      </c>
      <c r="P97" s="13" t="str">
        <f t="shared" si="122"/>
        <v>SI</v>
      </c>
      <c r="Q97">
        <f>IF(D97="INCLUIDO",IF(F97&lt;&gt;0,1,0),0)</f>
        <v>1</v>
      </c>
      <c r="R97">
        <f>IF(I97="%o Al Millar",1000,IF(I97="% Al Porciento",100,IF(I97="$ Prima",G97)))</f>
        <v>1000</v>
      </c>
      <c r="S97">
        <f t="shared" si="132"/>
        <v>1</v>
      </c>
      <c r="W97" s="111" t="e">
        <f>'UB (1)'!H97+'UB (2)'!H97+'UB (3)'!H97+#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98" spans="1:23" ht="22.5" hidden="1" customHeight="1" x14ac:dyDescent="0.3">
      <c r="A98" s="34" t="s">
        <v>1168</v>
      </c>
      <c r="B98" s="36">
        <v>65</v>
      </c>
      <c r="C98" s="29" t="s">
        <v>1231</v>
      </c>
      <c r="D98" s="27" t="str">
        <f t="shared" si="105"/>
        <v>INCLUIDO</v>
      </c>
      <c r="E98" s="27" t="s">
        <v>1186</v>
      </c>
      <c r="F98" s="43">
        <v>0</v>
      </c>
      <c r="G98" s="21">
        <v>0</v>
      </c>
      <c r="H98" s="9">
        <f t="shared" ref="H98" si="134">(IF(I98="$ Prima",G98,G98*F98/R98))*$U$9</f>
        <v>0</v>
      </c>
      <c r="I98" s="9" t="s">
        <v>1153</v>
      </c>
      <c r="J98" s="9">
        <f t="shared" si="127"/>
        <v>0</v>
      </c>
      <c r="K98" s="9">
        <f t="shared" si="128"/>
        <v>0</v>
      </c>
      <c r="L98" s="9">
        <f t="shared" si="129"/>
        <v>0</v>
      </c>
      <c r="M98" s="11">
        <f t="shared" si="133"/>
        <v>0.05</v>
      </c>
      <c r="N98" s="9">
        <f t="shared" si="130"/>
        <v>0</v>
      </c>
      <c r="O98" s="12">
        <f t="shared" si="131"/>
        <v>0</v>
      </c>
      <c r="P98" s="13" t="str">
        <f t="shared" si="122"/>
        <v>NO</v>
      </c>
      <c r="Q98">
        <f>IF(D98="INCLUIDO",IF(F98&lt;&gt;0,1,0),0)</f>
        <v>0</v>
      </c>
      <c r="R98">
        <f>IF(I98="%o Al Millar",1000,IF(I98="% Al Porciento",100,IF(I98="$ Prima",G98)))</f>
        <v>1000</v>
      </c>
      <c r="S98">
        <f t="shared" si="132"/>
        <v>0</v>
      </c>
      <c r="W98"/>
    </row>
    <row r="99" spans="1:23" s="18" customFormat="1" ht="15" customHeight="1" x14ac:dyDescent="0.3">
      <c r="A99" s="24"/>
      <c r="B99" s="26"/>
      <c r="C99" s="15" t="s">
        <v>1177</v>
      </c>
      <c r="D99" s="38" t="str">
        <f>D98</f>
        <v>INCLUIDO</v>
      </c>
      <c r="E99" s="38"/>
      <c r="F99" s="16">
        <f>SUMIF(E79:E98,"Adicional",F79:F98)</f>
        <v>0</v>
      </c>
      <c r="G99" s="17"/>
      <c r="H99" s="16">
        <f>SUM(H79:H98)</f>
        <v>273300.08319627948</v>
      </c>
      <c r="I99" s="16"/>
      <c r="J99" s="16">
        <f>SUM(J79:J98)</f>
        <v>5766.6317554414973</v>
      </c>
      <c r="K99" s="16">
        <f>SUM(K79:K98)</f>
        <v>44650.674392275359</v>
      </c>
      <c r="L99" s="16">
        <f>SUM(L79:L98)</f>
        <v>323717.40000000002</v>
      </c>
      <c r="M99" s="16" t="s">
        <v>1178</v>
      </c>
      <c r="N99" s="16">
        <f>SUM(N79:N98)</f>
        <v>19965.363375343819</v>
      </c>
      <c r="O99" s="84">
        <f>SUM(O79:O98)</f>
        <v>19965.363375343819</v>
      </c>
      <c r="P99" s="13" t="str">
        <f t="shared" si="122"/>
        <v>SI</v>
      </c>
      <c r="Q99">
        <f>IF(D99="INCLUIDO",IF(H99&lt;&gt;0,1,0),0)</f>
        <v>1</v>
      </c>
      <c r="W99" s="111" t="e">
        <f>'UB (1)'!H99+'UB (2)'!H99+'UB (3)'!H99+#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00" spans="1:23" ht="15" customHeight="1" x14ac:dyDescent="0.3">
      <c r="A100" s="82">
        <v>905</v>
      </c>
      <c r="B100" s="33">
        <v>1</v>
      </c>
      <c r="C100" s="19" t="s">
        <v>1232</v>
      </c>
      <c r="D100" s="23" t="str">
        <f>'Ramo Comercial'!C130</f>
        <v>INCLUIDO</v>
      </c>
      <c r="E100" s="91"/>
      <c r="F100" s="43">
        <f>'COTIZACIÓN M.N.'!D86</f>
        <v>13000</v>
      </c>
      <c r="G100" s="43">
        <f>'COTIZACIÓN M.N.'!E86</f>
        <v>5</v>
      </c>
      <c r="H100" s="28"/>
      <c r="I100" s="28"/>
      <c r="J100" s="28"/>
      <c r="K100" s="28"/>
      <c r="L100" s="28"/>
      <c r="M100" s="68">
        <v>0.1</v>
      </c>
      <c r="N100" s="28"/>
      <c r="O100" s="83"/>
      <c r="P100" s="13" t="str">
        <f t="shared" si="122"/>
        <v>SI</v>
      </c>
      <c r="Q100" s="48">
        <f>IF(D100="INCLUIDO",IF(F100&lt;&gt;0,1,0),0)</f>
        <v>1</v>
      </c>
      <c r="S100">
        <f t="shared" ref="S100:S102" si="135">IF(E100="Excluido",0,IF(D100="NO APLICA",0,1))</f>
        <v>1</v>
      </c>
      <c r="W100" s="111" t="e">
        <f>'UB (1)'!H100+'UB (2)'!H100+'UB (3)'!H100+#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01" spans="1:23" ht="15" customHeight="1" x14ac:dyDescent="0.3">
      <c r="A101" s="34" t="s">
        <v>1233</v>
      </c>
      <c r="B101" s="36">
        <v>71</v>
      </c>
      <c r="C101" s="29" t="s">
        <v>1234</v>
      </c>
      <c r="D101" s="29" t="str">
        <f>$D$100</f>
        <v>INCLUIDO</v>
      </c>
      <c r="E101" s="27" t="s">
        <v>1152</v>
      </c>
      <c r="F101" s="20">
        <f>F100*S101</f>
        <v>13000</v>
      </c>
      <c r="G101" s="21">
        <f>G100</f>
        <v>5</v>
      </c>
      <c r="H101" s="9">
        <f t="shared" ref="H101" si="136">(((IF(I101="$ Prima",G101,G101*F101/R101))*$U$9)/365)*$J$15</f>
        <v>651.78082191780823</v>
      </c>
      <c r="I101" s="9" t="s">
        <v>1235</v>
      </c>
      <c r="J101" s="9">
        <f t="shared" ref="J101:J102" si="137">H101*$U$7</f>
        <v>13.752575342465754</v>
      </c>
      <c r="K101" s="9">
        <f t="shared" ref="K101:K102" si="138">(H101+J101)*$K$15</f>
        <v>106.48534356164384</v>
      </c>
      <c r="L101" s="9">
        <f t="shared" ref="L101:L102" si="139">ROUND(H101+J101+K101,2)</f>
        <v>772.02</v>
      </c>
      <c r="M101" s="11">
        <f>$M$100</f>
        <v>0.1</v>
      </c>
      <c r="N101" s="9">
        <f t="shared" ref="N101:N102" si="140">H101*M101</f>
        <v>65.178082191780831</v>
      </c>
      <c r="O101" s="12">
        <f t="shared" ref="O101:O102" si="141">N101</f>
        <v>65.178082191780831</v>
      </c>
      <c r="P101" s="13" t="str">
        <f t="shared" si="122"/>
        <v>SI</v>
      </c>
      <c r="Q101">
        <f>IF(D101="INCLUIDO",IF(F101&lt;&gt;0,1,0),0)</f>
        <v>1</v>
      </c>
      <c r="R101">
        <f>IF(I101="%o Al Millar",1000,IF(I101="% Al Porciento",100,IF(I101="$ Prima",G101)))</f>
        <v>100</v>
      </c>
      <c r="S101">
        <f t="shared" si="135"/>
        <v>1</v>
      </c>
      <c r="W101" s="111" t="e">
        <f>'UB (1)'!H101+'UB (2)'!H101+'UB (3)'!H101+#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02" spans="1:23" ht="15" hidden="1" customHeight="1" x14ac:dyDescent="0.3">
      <c r="A102" s="34" t="s">
        <v>1233</v>
      </c>
      <c r="B102" s="36"/>
      <c r="C102" s="81">
        <f>$O$12</f>
        <v>0</v>
      </c>
      <c r="D102" s="29" t="str">
        <f>$D$100</f>
        <v>INCLUIDO</v>
      </c>
      <c r="E102" s="27" t="s">
        <v>1186</v>
      </c>
      <c r="F102" s="9">
        <f>(F101*$O$12)*S102</f>
        <v>0</v>
      </c>
      <c r="G102" s="10">
        <f>G101*0.35</f>
        <v>1.75</v>
      </c>
      <c r="H102" s="9">
        <f t="shared" ref="H102" si="142">(IF(I102="$ Prima",G102,G102*F102/R102))*$U$9</f>
        <v>0</v>
      </c>
      <c r="I102" s="9" t="s">
        <v>1235</v>
      </c>
      <c r="J102" s="9">
        <f t="shared" si="137"/>
        <v>0</v>
      </c>
      <c r="K102" s="9">
        <f t="shared" si="138"/>
        <v>0</v>
      </c>
      <c r="L102" s="9">
        <f t="shared" si="139"/>
        <v>0</v>
      </c>
      <c r="M102" s="11">
        <f>$M$100</f>
        <v>0.1</v>
      </c>
      <c r="N102" s="9">
        <f t="shared" si="140"/>
        <v>0</v>
      </c>
      <c r="O102" s="12">
        <f t="shared" si="141"/>
        <v>0</v>
      </c>
      <c r="P102" s="13" t="str">
        <f t="shared" si="122"/>
        <v>NO</v>
      </c>
      <c r="Q102">
        <f>IF(D102="INCLUIDO",IF(F102&lt;&gt;0,1,0),0)</f>
        <v>0</v>
      </c>
      <c r="R102">
        <f>IF(I102="%o Al Millar",1000,IF(I102="% Al Porciento",100,IF(I102="$ Prima",G102)))</f>
        <v>100</v>
      </c>
      <c r="S102">
        <f t="shared" si="135"/>
        <v>0</v>
      </c>
      <c r="W102"/>
    </row>
    <row r="103" spans="1:23" s="18" customFormat="1" ht="15" customHeight="1" x14ac:dyDescent="0.3">
      <c r="A103" s="24"/>
      <c r="B103" s="26"/>
      <c r="C103" s="15" t="s">
        <v>1177</v>
      </c>
      <c r="D103" s="38" t="str">
        <f>D102</f>
        <v>INCLUIDO</v>
      </c>
      <c r="E103" s="38"/>
      <c r="F103" s="16">
        <f>SUMIF(E101:E102,"Adicional",F101:F102)</f>
        <v>13000</v>
      </c>
      <c r="G103" s="17"/>
      <c r="H103" s="16">
        <f>SUM(H101:H102)</f>
        <v>651.78082191780823</v>
      </c>
      <c r="I103" s="16"/>
      <c r="J103" s="16">
        <f t="shared" ref="J103:L103" si="143">SUM(J101:J102)</f>
        <v>13.752575342465754</v>
      </c>
      <c r="K103" s="16">
        <f t="shared" si="143"/>
        <v>106.48534356164384</v>
      </c>
      <c r="L103" s="16">
        <f t="shared" si="143"/>
        <v>772.02</v>
      </c>
      <c r="M103" s="16" t="s">
        <v>1178</v>
      </c>
      <c r="N103" s="16">
        <f t="shared" ref="N103:O103" si="144">SUM(N101:N102)</f>
        <v>65.178082191780831</v>
      </c>
      <c r="O103" s="84">
        <f t="shared" si="144"/>
        <v>65.178082191780831</v>
      </c>
      <c r="P103" s="13" t="str">
        <f t="shared" si="122"/>
        <v>SI</v>
      </c>
      <c r="Q103">
        <f>IF(D103="INCLUIDO",IF(H103&lt;&gt;0,1,0),0)</f>
        <v>1</v>
      </c>
      <c r="W103" s="111" t="e">
        <f>'UB (1)'!H103+'UB (2)'!H103+'UB (3)'!H103+#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04" spans="1:23" ht="15" hidden="1" customHeight="1" x14ac:dyDescent="0.3">
      <c r="A104" s="82">
        <v>905</v>
      </c>
      <c r="B104" s="33">
        <v>2</v>
      </c>
      <c r="C104" s="19" t="s">
        <v>1236</v>
      </c>
      <c r="D104" s="23" t="str">
        <f>$D$100</f>
        <v>INCLUIDO</v>
      </c>
      <c r="E104" s="91"/>
      <c r="F104" s="43">
        <v>0</v>
      </c>
      <c r="G104" s="43">
        <v>0</v>
      </c>
      <c r="H104" s="28"/>
      <c r="I104" s="28"/>
      <c r="J104" s="28"/>
      <c r="K104" s="28"/>
      <c r="L104" s="28"/>
      <c r="M104" s="68">
        <v>0</v>
      </c>
      <c r="N104" s="28"/>
      <c r="O104" s="83"/>
      <c r="P104" s="13" t="str">
        <f t="shared" si="122"/>
        <v>NO</v>
      </c>
      <c r="Q104" s="48">
        <f>IF(D104="INCLUIDO",IF(F104&lt;&gt;0,1,0),0)</f>
        <v>0</v>
      </c>
      <c r="W104"/>
    </row>
    <row r="105" spans="1:23" ht="15" hidden="1" customHeight="1" x14ac:dyDescent="0.3">
      <c r="A105" s="34" t="s">
        <v>1233</v>
      </c>
      <c r="B105" s="36">
        <v>73</v>
      </c>
      <c r="C105" s="29" t="s">
        <v>1234</v>
      </c>
      <c r="D105" s="29" t="str">
        <f>$D$100</f>
        <v>INCLUIDO</v>
      </c>
      <c r="E105" s="27" t="s">
        <v>1186</v>
      </c>
      <c r="F105" s="20">
        <f>F104*S105</f>
        <v>0</v>
      </c>
      <c r="G105" s="21">
        <v>0</v>
      </c>
      <c r="H105" s="9">
        <f t="shared" ref="H105:H106" si="145">(IF(I105="$ Prima",G105,G105*F105/R105))*$U$9</f>
        <v>0</v>
      </c>
      <c r="I105" s="9" t="s">
        <v>1235</v>
      </c>
      <c r="J105" s="9">
        <f t="shared" ref="J105:J106" si="146">H105*$U$7</f>
        <v>0</v>
      </c>
      <c r="K105" s="9">
        <f t="shared" ref="K105:K106" si="147">(H105+J105)*$K$15</f>
        <v>0</v>
      </c>
      <c r="L105" s="9">
        <f t="shared" ref="L105:L106" si="148">ROUND(H105+J105+K105,2)</f>
        <v>0</v>
      </c>
      <c r="M105" s="11">
        <v>0</v>
      </c>
      <c r="N105" s="9">
        <f t="shared" ref="N105:N106" si="149">H105*M105</f>
        <v>0</v>
      </c>
      <c r="O105" s="12">
        <f t="shared" ref="O105:O106" si="150">N105</f>
        <v>0</v>
      </c>
      <c r="P105" s="13" t="str">
        <f t="shared" si="122"/>
        <v>NO</v>
      </c>
      <c r="Q105">
        <f>IF(D105="INCLUIDO",IF(F105&lt;&gt;0,1,0),0)</f>
        <v>0</v>
      </c>
      <c r="R105">
        <f>IF(I105="%o Al Millar",1000,IF(I105="% Al Porciento",100,IF(I105="$ Prima",G105)))</f>
        <v>100</v>
      </c>
      <c r="S105">
        <f t="shared" ref="S105:S106" si="151">IF(E105="Excluido",0,IF(D105="NO APLICA",0,1))</f>
        <v>0</v>
      </c>
      <c r="W105"/>
    </row>
    <row r="106" spans="1:23" ht="15" hidden="1" customHeight="1" x14ac:dyDescent="0.3">
      <c r="A106" s="34" t="s">
        <v>1233</v>
      </c>
      <c r="B106" s="36"/>
      <c r="C106" s="81">
        <f>$O$12</f>
        <v>0</v>
      </c>
      <c r="D106" s="29" t="str">
        <f>$D$100</f>
        <v>INCLUIDO</v>
      </c>
      <c r="E106" s="27" t="str">
        <f>E105</f>
        <v>Excluido</v>
      </c>
      <c r="F106" s="9">
        <f>(F105*$O$12)*S106</f>
        <v>0</v>
      </c>
      <c r="G106" s="10">
        <f>G105*0.35</f>
        <v>0</v>
      </c>
      <c r="H106" s="9">
        <f t="shared" si="145"/>
        <v>0</v>
      </c>
      <c r="I106" s="9" t="s">
        <v>1235</v>
      </c>
      <c r="J106" s="9">
        <f t="shared" si="146"/>
        <v>0</v>
      </c>
      <c r="K106" s="9">
        <f t="shared" si="147"/>
        <v>0</v>
      </c>
      <c r="L106" s="9">
        <f t="shared" si="148"/>
        <v>0</v>
      </c>
      <c r="M106" s="11">
        <v>0</v>
      </c>
      <c r="N106" s="9">
        <f t="shared" si="149"/>
        <v>0</v>
      </c>
      <c r="O106" s="12">
        <f t="shared" si="150"/>
        <v>0</v>
      </c>
      <c r="P106" s="13" t="str">
        <f t="shared" si="122"/>
        <v>NO</v>
      </c>
      <c r="Q106">
        <f>IF(D106="INCLUIDO",IF(F106&lt;&gt;0,1,0),0)</f>
        <v>0</v>
      </c>
      <c r="R106">
        <f>IF(I106="%o Al Millar",1000,IF(I106="% Al Porciento",100,IF(I106="$ Prima",G106)))</f>
        <v>100</v>
      </c>
      <c r="S106">
        <f t="shared" si="151"/>
        <v>0</v>
      </c>
      <c r="W106"/>
    </row>
    <row r="107" spans="1:23" s="18" customFormat="1" ht="15" hidden="1" customHeight="1" x14ac:dyDescent="0.3">
      <c r="A107" s="24"/>
      <c r="B107" s="26"/>
      <c r="C107" s="15" t="s">
        <v>1177</v>
      </c>
      <c r="D107" s="38" t="str">
        <f>D106</f>
        <v>INCLUIDO</v>
      </c>
      <c r="E107" s="38"/>
      <c r="F107" s="16">
        <f>SUMIF(E105:E106,"Adicional",F105:F106)</f>
        <v>0</v>
      </c>
      <c r="G107" s="17"/>
      <c r="H107" s="16">
        <f>SUM(H105:H106)</f>
        <v>0</v>
      </c>
      <c r="I107" s="16"/>
      <c r="J107" s="16">
        <f t="shared" ref="J107:L107" si="152">SUM(J105:J106)</f>
        <v>0</v>
      </c>
      <c r="K107" s="16">
        <f t="shared" si="152"/>
        <v>0</v>
      </c>
      <c r="L107" s="16">
        <f t="shared" si="152"/>
        <v>0</v>
      </c>
      <c r="M107" s="16" t="s">
        <v>1178</v>
      </c>
      <c r="N107" s="16">
        <f t="shared" ref="N107:O107" si="153">SUM(N105:N106)</f>
        <v>0</v>
      </c>
      <c r="O107" s="84">
        <f t="shared" si="153"/>
        <v>0</v>
      </c>
      <c r="P107" s="13" t="str">
        <f t="shared" si="122"/>
        <v>NO</v>
      </c>
      <c r="Q107">
        <f>IF(D107="INCLUIDO",IF(H107&lt;&gt;0,1,0),0)</f>
        <v>0</v>
      </c>
    </row>
    <row r="108" spans="1:23" ht="15" hidden="1" customHeight="1" x14ac:dyDescent="0.3">
      <c r="A108" s="82">
        <v>905</v>
      </c>
      <c r="B108" s="33">
        <v>3</v>
      </c>
      <c r="C108" s="19" t="s">
        <v>1237</v>
      </c>
      <c r="D108" s="23" t="str">
        <f>$D$100</f>
        <v>INCLUIDO</v>
      </c>
      <c r="E108" s="91"/>
      <c r="F108" s="43">
        <v>0</v>
      </c>
      <c r="G108" s="43">
        <v>0</v>
      </c>
      <c r="H108" s="28"/>
      <c r="I108" s="28"/>
      <c r="J108" s="28"/>
      <c r="K108" s="28"/>
      <c r="L108" s="28"/>
      <c r="M108" s="68">
        <v>0</v>
      </c>
      <c r="N108" s="28"/>
      <c r="O108" s="83"/>
      <c r="P108" s="13" t="str">
        <f t="shared" si="122"/>
        <v>NO</v>
      </c>
      <c r="Q108" s="48">
        <f>IF(D108="INCLUIDO",IF(F108&lt;&gt;0,1,0),0)</f>
        <v>0</v>
      </c>
      <c r="W108"/>
    </row>
    <row r="109" spans="1:23" ht="15" hidden="1" customHeight="1" x14ac:dyDescent="0.3">
      <c r="A109" s="34" t="s">
        <v>1233</v>
      </c>
      <c r="B109" s="36">
        <v>74</v>
      </c>
      <c r="C109" s="29" t="s">
        <v>1237</v>
      </c>
      <c r="D109" s="29" t="str">
        <f>$D$100</f>
        <v>INCLUIDO</v>
      </c>
      <c r="E109" s="27" t="s">
        <v>1186</v>
      </c>
      <c r="F109" s="20">
        <f>F108*S109</f>
        <v>0</v>
      </c>
      <c r="G109" s="21">
        <v>0</v>
      </c>
      <c r="H109" s="9">
        <f t="shared" ref="H109:H110" si="154">(IF(I109="$ Prima",G109,G109*F109/R109))*$U$9</f>
        <v>0</v>
      </c>
      <c r="I109" s="9" t="s">
        <v>1235</v>
      </c>
      <c r="J109" s="9">
        <f t="shared" ref="J109:J110" si="155">H109*$U$7</f>
        <v>0</v>
      </c>
      <c r="K109" s="9">
        <f t="shared" ref="K109:K110" si="156">(H109+J109)*$K$15</f>
        <v>0</v>
      </c>
      <c r="L109" s="9">
        <f t="shared" ref="L109:L110" si="157">ROUND(H109+J109+K109,2)</f>
        <v>0</v>
      </c>
      <c r="M109" s="11">
        <f>$M$108</f>
        <v>0</v>
      </c>
      <c r="N109" s="9">
        <f t="shared" ref="N109:N110" si="158">H109*M109</f>
        <v>0</v>
      </c>
      <c r="O109" s="12">
        <f t="shared" ref="O109:O110" si="159">N109</f>
        <v>0</v>
      </c>
      <c r="P109" s="13" t="str">
        <f t="shared" si="122"/>
        <v>NO</v>
      </c>
      <c r="Q109">
        <f>IF(D109="INCLUIDO",IF(F109&lt;&gt;0,1,0),0)</f>
        <v>0</v>
      </c>
      <c r="R109">
        <f>IF(I109="%o Al Millar",1000,IF(I109="% Al Porciento",100,IF(I109="$ Prima",G109)))</f>
        <v>100</v>
      </c>
      <c r="S109">
        <f t="shared" ref="S109:S110" si="160">IF(E109="Excluido",0,IF(D109="NO APLICA",0,1))</f>
        <v>0</v>
      </c>
      <c r="W109"/>
    </row>
    <row r="110" spans="1:23" ht="15" hidden="1" customHeight="1" x14ac:dyDescent="0.3">
      <c r="A110" s="34" t="s">
        <v>1233</v>
      </c>
      <c r="B110" s="36"/>
      <c r="C110" s="81">
        <f>$O$12</f>
        <v>0</v>
      </c>
      <c r="D110" s="29" t="str">
        <f>$D$100</f>
        <v>INCLUIDO</v>
      </c>
      <c r="E110" s="27" t="str">
        <f>E109</f>
        <v>Excluido</v>
      </c>
      <c r="F110" s="9">
        <f>(F109*$O$12)*S110</f>
        <v>0</v>
      </c>
      <c r="G110" s="10">
        <f>G109*0.35</f>
        <v>0</v>
      </c>
      <c r="H110" s="9">
        <f t="shared" si="154"/>
        <v>0</v>
      </c>
      <c r="I110" s="9" t="s">
        <v>1235</v>
      </c>
      <c r="J110" s="9">
        <f t="shared" si="155"/>
        <v>0</v>
      </c>
      <c r="K110" s="9">
        <f t="shared" si="156"/>
        <v>0</v>
      </c>
      <c r="L110" s="9">
        <f t="shared" si="157"/>
        <v>0</v>
      </c>
      <c r="M110" s="11">
        <f>$M$108</f>
        <v>0</v>
      </c>
      <c r="N110" s="9">
        <f t="shared" si="158"/>
        <v>0</v>
      </c>
      <c r="O110" s="12">
        <f t="shared" si="159"/>
        <v>0</v>
      </c>
      <c r="P110" s="13" t="str">
        <f t="shared" si="122"/>
        <v>NO</v>
      </c>
      <c r="Q110">
        <f>IF(D110="INCLUIDO",IF(F110&lt;&gt;0,1,0),0)</f>
        <v>0</v>
      </c>
      <c r="R110">
        <f>IF(I110="%o Al Millar",1000,IF(I110="% Al Porciento",100,IF(I110="$ Prima",G110)))</f>
        <v>100</v>
      </c>
      <c r="S110">
        <f t="shared" si="160"/>
        <v>0</v>
      </c>
      <c r="W110"/>
    </row>
    <row r="111" spans="1:23" s="18" customFormat="1" ht="15" hidden="1" customHeight="1" x14ac:dyDescent="0.3">
      <c r="A111" s="24"/>
      <c r="B111" s="26"/>
      <c r="C111" s="15" t="s">
        <v>1177</v>
      </c>
      <c r="D111" s="38" t="str">
        <f>D110</f>
        <v>INCLUIDO</v>
      </c>
      <c r="E111" s="38"/>
      <c r="F111" s="16">
        <f>SUMIF(E109:E110,"Adicional",F109:F110)</f>
        <v>0</v>
      </c>
      <c r="G111" s="17"/>
      <c r="H111" s="16">
        <f>SUM(H109:H110)</f>
        <v>0</v>
      </c>
      <c r="I111" s="16"/>
      <c r="J111" s="16">
        <f t="shared" ref="J111:L111" si="161">SUM(J109:J110)</f>
        <v>0</v>
      </c>
      <c r="K111" s="16">
        <f t="shared" si="161"/>
        <v>0</v>
      </c>
      <c r="L111" s="16">
        <f t="shared" si="161"/>
        <v>0</v>
      </c>
      <c r="M111" s="16" t="s">
        <v>1178</v>
      </c>
      <c r="N111" s="16">
        <f t="shared" ref="N111:O111" si="162">SUM(N109:N110)</f>
        <v>0</v>
      </c>
      <c r="O111" s="84">
        <f t="shared" si="162"/>
        <v>0</v>
      </c>
      <c r="P111" s="13" t="str">
        <f t="shared" si="122"/>
        <v>NO</v>
      </c>
      <c r="Q111">
        <f>IF(D111="INCLUIDO",IF(H111&lt;&gt;0,1,0),0)</f>
        <v>0</v>
      </c>
    </row>
    <row r="112" spans="1:23" ht="15" customHeight="1" x14ac:dyDescent="0.3">
      <c r="A112" s="82">
        <v>905</v>
      </c>
      <c r="B112" s="33">
        <v>4</v>
      </c>
      <c r="C112" s="19" t="s">
        <v>1238</v>
      </c>
      <c r="D112" s="23" t="str">
        <f>$D$100</f>
        <v>INCLUIDO</v>
      </c>
      <c r="E112" s="91"/>
      <c r="F112" s="43">
        <f>'COTIZACIÓN M.N.'!D89</f>
        <v>13000</v>
      </c>
      <c r="G112" s="43">
        <f>'COTIZACIÓN M.N.'!E89</f>
        <v>4</v>
      </c>
      <c r="H112" s="28"/>
      <c r="I112" s="28"/>
      <c r="J112" s="28"/>
      <c r="K112" s="28"/>
      <c r="L112" s="28"/>
      <c r="M112" s="68">
        <f>M100</f>
        <v>0.1</v>
      </c>
      <c r="N112" s="28"/>
      <c r="O112" s="83"/>
      <c r="P112" s="13" t="str">
        <f t="shared" si="122"/>
        <v>SI</v>
      </c>
      <c r="Q112" s="48">
        <f>IF(D112="INCLUIDO",IF(F112&lt;&gt;0,1,0),0)</f>
        <v>1</v>
      </c>
      <c r="W112" s="111" t="e">
        <f>'UB (1)'!H112+'UB (2)'!H112+'UB (3)'!H112+#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13" spans="1:23" ht="15" customHeight="1" x14ac:dyDescent="0.3">
      <c r="A113" s="34" t="s">
        <v>1233</v>
      </c>
      <c r="B113" s="36">
        <v>76</v>
      </c>
      <c r="C113" s="29" t="s">
        <v>1237</v>
      </c>
      <c r="D113" s="29" t="str">
        <f>$D$100</f>
        <v>INCLUIDO</v>
      </c>
      <c r="E113" s="27" t="s">
        <v>1152</v>
      </c>
      <c r="F113" s="20">
        <f>F112*S113</f>
        <v>13000</v>
      </c>
      <c r="G113" s="21">
        <f>G112</f>
        <v>4</v>
      </c>
      <c r="H113" s="9">
        <f t="shared" ref="H113:H114" si="163">(IF(I113="$ Prima",G113,G113*F113/R113))*$U$9</f>
        <v>520</v>
      </c>
      <c r="I113" s="9" t="s">
        <v>1235</v>
      </c>
      <c r="J113" s="9">
        <f t="shared" ref="J113:J114" si="164">H113*$U$7</f>
        <v>10.972</v>
      </c>
      <c r="K113" s="9">
        <f t="shared" ref="K113:K114" si="165">(H113+J113)*$K$15</f>
        <v>84.955519999999993</v>
      </c>
      <c r="L113" s="9">
        <f t="shared" ref="L113:L114" si="166">ROUND(H113+J113+K113,2)</f>
        <v>615.92999999999995</v>
      </c>
      <c r="M113" s="11">
        <f>$M$112</f>
        <v>0.1</v>
      </c>
      <c r="N113" s="9">
        <f t="shared" ref="N113:N114" si="167">H113*M113</f>
        <v>52</v>
      </c>
      <c r="O113" s="12">
        <f t="shared" ref="O113:O114" si="168">N113</f>
        <v>52</v>
      </c>
      <c r="P113" s="13" t="str">
        <f t="shared" si="122"/>
        <v>SI</v>
      </c>
      <c r="Q113">
        <f>IF(D113="INCLUIDO",IF(F113&lt;&gt;0,1,0),0)</f>
        <v>1</v>
      </c>
      <c r="R113">
        <f>IF(I113="%o Al Millar",1000,IF(I113="% Al Porciento",100,IF(I113="$ Prima",G113)))</f>
        <v>100</v>
      </c>
      <c r="S113">
        <f t="shared" ref="S113:S114" si="169">IF(E113="Excluido",0,IF(D113="NO APLICA",0,1))</f>
        <v>1</v>
      </c>
      <c r="W113" s="111" t="e">
        <f>'UB (1)'!H113+'UB (2)'!H113+'UB (3)'!H113+#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14" spans="1:23" ht="15" hidden="1" customHeight="1" x14ac:dyDescent="0.3">
      <c r="A114" s="34" t="s">
        <v>1233</v>
      </c>
      <c r="B114" s="36"/>
      <c r="C114" s="81">
        <f>$O$12</f>
        <v>0</v>
      </c>
      <c r="D114" s="29" t="str">
        <f>$D$100</f>
        <v>INCLUIDO</v>
      </c>
      <c r="E114" s="27" t="str">
        <f>E113</f>
        <v>Adicional</v>
      </c>
      <c r="F114" s="9">
        <f>(F113*$O$12)*S114</f>
        <v>0</v>
      </c>
      <c r="G114" s="10">
        <f>G113*0.35</f>
        <v>1.4</v>
      </c>
      <c r="H114" s="9">
        <f t="shared" si="163"/>
        <v>0</v>
      </c>
      <c r="I114" s="9" t="s">
        <v>1235</v>
      </c>
      <c r="J114" s="9">
        <f t="shared" si="164"/>
        <v>0</v>
      </c>
      <c r="K114" s="9">
        <f t="shared" si="165"/>
        <v>0</v>
      </c>
      <c r="L114" s="9">
        <f t="shared" si="166"/>
        <v>0</v>
      </c>
      <c r="M114" s="11">
        <f>$M$112</f>
        <v>0.1</v>
      </c>
      <c r="N114" s="9">
        <f t="shared" si="167"/>
        <v>0</v>
      </c>
      <c r="O114" s="12">
        <f t="shared" si="168"/>
        <v>0</v>
      </c>
      <c r="P114" s="13" t="str">
        <f t="shared" si="122"/>
        <v>NO</v>
      </c>
      <c r="Q114">
        <f>IF(D114="INCLUIDO",IF(F114&lt;&gt;0,1,0),0)</f>
        <v>0</v>
      </c>
      <c r="R114">
        <f>IF(I114="%o Al Millar",1000,IF(I114="% Al Porciento",100,IF(I114="$ Prima",G114)))</f>
        <v>100</v>
      </c>
      <c r="S114">
        <f t="shared" si="169"/>
        <v>1</v>
      </c>
      <c r="W114"/>
    </row>
    <row r="115" spans="1:23" s="18" customFormat="1" ht="15" customHeight="1" thickBot="1" x14ac:dyDescent="0.35">
      <c r="A115" s="24"/>
      <c r="B115" s="26"/>
      <c r="C115" s="15" t="s">
        <v>1177</v>
      </c>
      <c r="D115" s="38" t="str">
        <f>D114</f>
        <v>INCLUIDO</v>
      </c>
      <c r="E115" s="38"/>
      <c r="F115" s="16">
        <f>SUMIF(E113:E114,"Adicional",F113:F114)</f>
        <v>13000</v>
      </c>
      <c r="G115" s="17"/>
      <c r="H115" s="16">
        <f>SUM(H113:H114)</f>
        <v>520</v>
      </c>
      <c r="I115" s="16"/>
      <c r="J115" s="16">
        <f t="shared" ref="J115:L115" si="170">SUM(J113:J114)</f>
        <v>10.972</v>
      </c>
      <c r="K115" s="16">
        <f t="shared" si="170"/>
        <v>84.955519999999993</v>
      </c>
      <c r="L115" s="16">
        <f t="shared" si="170"/>
        <v>615.92999999999995</v>
      </c>
      <c r="M115" s="16" t="s">
        <v>1178</v>
      </c>
      <c r="N115" s="16">
        <f t="shared" ref="N115:O115" si="171">SUM(N113:N114)</f>
        <v>52</v>
      </c>
      <c r="O115" s="84">
        <f t="shared" si="171"/>
        <v>52</v>
      </c>
      <c r="P115" s="13" t="str">
        <f t="shared" si="122"/>
        <v>SI</v>
      </c>
      <c r="Q115">
        <f>IF(D115="INCLUIDO",IF(H115&lt;&gt;0,1,0),0)</f>
        <v>1</v>
      </c>
      <c r="W115" s="111" t="e">
        <f>'UB (1)'!H115+'UB (2)'!H115+'UB (3)'!H115+#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16" spans="1:23" ht="15" thickBot="1" x14ac:dyDescent="0.35">
      <c r="A116" s="82">
        <v>905</v>
      </c>
      <c r="B116" s="33">
        <v>5</v>
      </c>
      <c r="C116" s="19" t="s">
        <v>1239</v>
      </c>
      <c r="D116" s="23" t="str">
        <f>$D$100</f>
        <v>INCLUIDO</v>
      </c>
      <c r="E116" s="91"/>
      <c r="F116" s="132">
        <f>'COTIZACIÓN M.N.'!D85</f>
        <v>270000</v>
      </c>
      <c r="G116" s="132">
        <f>'COTIZACIÓN M.N.'!E85</f>
        <v>2.3275999999999999</v>
      </c>
      <c r="H116" s="28"/>
      <c r="I116" s="28"/>
      <c r="J116" s="28"/>
      <c r="K116" s="28"/>
      <c r="L116" s="28"/>
      <c r="M116" s="68">
        <f>M100</f>
        <v>0.1</v>
      </c>
      <c r="N116" s="28"/>
      <c r="O116" s="83"/>
      <c r="P116" s="13" t="str">
        <f t="shared" si="122"/>
        <v>SI</v>
      </c>
      <c r="Q116" s="48">
        <f t="shared" ref="Q116:Q121" si="172">IF(D116="INCLUIDO",IF(F116&lt;&gt;0,1,0),0)</f>
        <v>1</v>
      </c>
      <c r="T116" s="142">
        <f>G116</f>
        <v>2.3275999999999999</v>
      </c>
      <c r="W116" s="111" t="e">
        <f>'UB (1)'!H116+'UB (2)'!H116+'UB (3)'!H116+#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17" spans="1:23" x14ac:dyDescent="0.3">
      <c r="A117" s="34" t="s">
        <v>1233</v>
      </c>
      <c r="B117" s="36">
        <v>82</v>
      </c>
      <c r="C117" s="29" t="s">
        <v>1240</v>
      </c>
      <c r="D117" s="29" t="str">
        <f>$D$100</f>
        <v>INCLUIDO</v>
      </c>
      <c r="E117" s="27" t="s">
        <v>1152</v>
      </c>
      <c r="F117" s="20">
        <f>$F$116*S117</f>
        <v>270000</v>
      </c>
      <c r="G117" s="21">
        <f>V117</f>
        <v>0.93104000000000009</v>
      </c>
      <c r="H117" s="9">
        <f t="shared" ref="H117:H119" si="173">(((IF(I117="$ Prima",G117,G117*F117/R117))*$U$9)/365)*$J$15</f>
        <v>2520.6951452054795</v>
      </c>
      <c r="I117" s="9" t="s">
        <v>1235</v>
      </c>
      <c r="J117" s="9">
        <f t="shared" ref="J117:J121" si="174">H117*$U$7</f>
        <v>53.18666756383562</v>
      </c>
      <c r="K117" s="9">
        <f t="shared" ref="K117:K121" si="175">(H117+J117)*$K$15</f>
        <v>411.82109004309046</v>
      </c>
      <c r="L117" s="9">
        <f t="shared" ref="L117:L121" si="176">ROUND(H117+J117+K117,2)</f>
        <v>2985.7</v>
      </c>
      <c r="M117" s="11">
        <f>$M$116</f>
        <v>0.1</v>
      </c>
      <c r="N117" s="9">
        <f t="shared" ref="N117:N121" si="177">H117*M117</f>
        <v>252.06951452054795</v>
      </c>
      <c r="O117" s="12">
        <f t="shared" ref="O117:O121" si="178">N117</f>
        <v>252.06951452054795</v>
      </c>
      <c r="P117" s="13" t="str">
        <f t="shared" si="122"/>
        <v>SI</v>
      </c>
      <c r="Q117">
        <f t="shared" si="172"/>
        <v>1</v>
      </c>
      <c r="R117">
        <f>IF(I117="%o Al Millar",1000,IF(I117="% Al Porciento",100,IF(I117="$ Prima",G117)))</f>
        <v>100</v>
      </c>
      <c r="S117">
        <f t="shared" ref="S117:S121" si="179">IF(E117="Excluido",0,IF(D117="NO APLICA",0,1))</f>
        <v>1</v>
      </c>
      <c r="T117" s="110">
        <v>0.4</v>
      </c>
      <c r="U117" s="111">
        <f>IF(E117="Excluido",0,$T$116*T117)</f>
        <v>0.93103999999999998</v>
      </c>
      <c r="V117" s="111">
        <f>IF(F116=0,0,(U120-U118-U119)+(T116-U120))</f>
        <v>0.93104000000000009</v>
      </c>
      <c r="W117" s="111" t="e">
        <f>'UB (1)'!H117+'UB (2)'!H117+'UB (3)'!H117+#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18" spans="1:23" x14ac:dyDescent="0.3">
      <c r="A118" s="34" t="s">
        <v>1233</v>
      </c>
      <c r="B118" s="36">
        <v>83</v>
      </c>
      <c r="C118" s="29" t="s">
        <v>1241</v>
      </c>
      <c r="D118" s="29" t="str">
        <f>$D$100</f>
        <v>INCLUIDO</v>
      </c>
      <c r="E118" s="27" t="s">
        <v>1137</v>
      </c>
      <c r="F118" s="20">
        <f>$F$117*S118</f>
        <v>270000</v>
      </c>
      <c r="G118" s="21">
        <f t="shared" ref="G118:G119" si="180">V118</f>
        <v>0.93103999999999998</v>
      </c>
      <c r="H118" s="9">
        <f t="shared" si="173"/>
        <v>2520.6951452054795</v>
      </c>
      <c r="I118" s="9" t="str">
        <f>I117</f>
        <v>% Al Porciento</v>
      </c>
      <c r="J118" s="9">
        <f t="shared" si="174"/>
        <v>53.18666756383562</v>
      </c>
      <c r="K118" s="9">
        <f t="shared" si="175"/>
        <v>411.82109004309046</v>
      </c>
      <c r="L118" s="9">
        <f t="shared" si="176"/>
        <v>2985.7</v>
      </c>
      <c r="M118" s="11">
        <f t="shared" ref="M118:M121" si="181">$M$116</f>
        <v>0.1</v>
      </c>
      <c r="N118" s="9">
        <f t="shared" si="177"/>
        <v>252.06951452054795</v>
      </c>
      <c r="O118" s="12">
        <f t="shared" si="178"/>
        <v>252.06951452054795</v>
      </c>
      <c r="P118" s="13" t="str">
        <f t="shared" si="122"/>
        <v>SI</v>
      </c>
      <c r="Q118">
        <f t="shared" si="172"/>
        <v>1</v>
      </c>
      <c r="R118">
        <f>IF(I118="%o Al Millar",1000,IF(I118="% Al Porciento",100,IF(I118="$ Prima",G118)))</f>
        <v>100</v>
      </c>
      <c r="S118">
        <f t="shared" si="179"/>
        <v>1</v>
      </c>
      <c r="T118" s="110">
        <v>0.4</v>
      </c>
      <c r="U118" s="111">
        <f t="shared" ref="U118:U119" si="182">IF(E118="Excluido",0,$T$116*T118)</f>
        <v>0.93103999999999998</v>
      </c>
      <c r="V118" s="111">
        <f>IF($F$116=0,0,U118)</f>
        <v>0.93103999999999998</v>
      </c>
      <c r="W118" s="111" t="e">
        <f>'UB (1)'!H118+'UB (2)'!H118+'UB (3)'!H118+#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19" spans="1:23" x14ac:dyDescent="0.3">
      <c r="A119" s="34" t="s">
        <v>1233</v>
      </c>
      <c r="B119" s="36">
        <v>79</v>
      </c>
      <c r="C119" s="29" t="s">
        <v>1242</v>
      </c>
      <c r="D119" s="29" t="str">
        <f t="shared" ref="D119:D121" si="183">$D$100</f>
        <v>INCLUIDO</v>
      </c>
      <c r="E119" s="27" t="s">
        <v>1137</v>
      </c>
      <c r="F119" s="20">
        <f>$F$117*S119</f>
        <v>270000</v>
      </c>
      <c r="G119" s="21">
        <f t="shared" si="180"/>
        <v>0.46551999999999999</v>
      </c>
      <c r="H119" s="9">
        <f t="shared" si="173"/>
        <v>1260.3475726027398</v>
      </c>
      <c r="I119" s="9" t="str">
        <f>I117</f>
        <v>% Al Porciento</v>
      </c>
      <c r="J119" s="9">
        <f t="shared" si="174"/>
        <v>26.59333378191781</v>
      </c>
      <c r="K119" s="9">
        <f t="shared" si="175"/>
        <v>205.91054502154523</v>
      </c>
      <c r="L119" s="9">
        <f t="shared" si="176"/>
        <v>1492.85</v>
      </c>
      <c r="M119" s="11">
        <f t="shared" si="181"/>
        <v>0.1</v>
      </c>
      <c r="N119" s="9">
        <f t="shared" si="177"/>
        <v>126.03475726027398</v>
      </c>
      <c r="O119" s="12">
        <f t="shared" si="178"/>
        <v>126.03475726027398</v>
      </c>
      <c r="P119" s="13" t="str">
        <f t="shared" si="122"/>
        <v>SI</v>
      </c>
      <c r="Q119">
        <f t="shared" si="172"/>
        <v>1</v>
      </c>
      <c r="R119">
        <f>IF(I119="%o Al Millar",1000,IF(I119="% Al Porciento",100,IF(I119="$ Prima",G119)))</f>
        <v>100</v>
      </c>
      <c r="S119">
        <f t="shared" si="179"/>
        <v>1</v>
      </c>
      <c r="T119" s="110">
        <v>0.2</v>
      </c>
      <c r="U119" s="111">
        <f t="shared" si="182"/>
        <v>0.46551999999999999</v>
      </c>
      <c r="V119" s="111">
        <f>IF($F$116=0,0,U119)</f>
        <v>0.46551999999999999</v>
      </c>
      <c r="W119" s="111" t="e">
        <f>'UB (1)'!H119+'UB (2)'!H119+'UB (3)'!H119+#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20" spans="1:23" ht="15" hidden="1" customHeight="1" thickBot="1" x14ac:dyDescent="0.35">
      <c r="A120" s="34" t="s">
        <v>1233</v>
      </c>
      <c r="B120" s="36">
        <v>80</v>
      </c>
      <c r="C120" s="29" t="s">
        <v>1243</v>
      </c>
      <c r="D120" s="29" t="str">
        <f t="shared" si="183"/>
        <v>INCLUIDO</v>
      </c>
      <c r="E120" s="27" t="s">
        <v>1186</v>
      </c>
      <c r="F120" s="43">
        <v>0</v>
      </c>
      <c r="G120" s="42">
        <v>0</v>
      </c>
      <c r="H120" s="9">
        <f t="shared" ref="H120:H121" si="184">(IF(I120="$ Prima",G120,G120*F120/R120))*$U$9</f>
        <v>0</v>
      </c>
      <c r="I120" s="9" t="s">
        <v>1235</v>
      </c>
      <c r="J120" s="9">
        <f t="shared" si="174"/>
        <v>0</v>
      </c>
      <c r="K120" s="9">
        <f t="shared" si="175"/>
        <v>0</v>
      </c>
      <c r="L120" s="9">
        <f t="shared" si="176"/>
        <v>0</v>
      </c>
      <c r="M120" s="11">
        <f t="shared" si="181"/>
        <v>0.1</v>
      </c>
      <c r="N120" s="9">
        <f t="shared" si="177"/>
        <v>0</v>
      </c>
      <c r="O120" s="12">
        <f t="shared" si="178"/>
        <v>0</v>
      </c>
      <c r="P120" s="13" t="str">
        <f t="shared" si="122"/>
        <v>NO</v>
      </c>
      <c r="Q120" s="48">
        <f t="shared" si="172"/>
        <v>0</v>
      </c>
      <c r="R120">
        <f>IF(I120="%o Al Millar",1000,IF(I120="% Al Porciento",100,IF(I120="$ Prima",G120)))</f>
        <v>100</v>
      </c>
      <c r="S120">
        <f t="shared" si="179"/>
        <v>0</v>
      </c>
      <c r="T120" s="143">
        <f>SUM(T117:T119)</f>
        <v>1</v>
      </c>
      <c r="U120" s="144">
        <f>SUM(U117:U119)</f>
        <v>2.3275999999999999</v>
      </c>
      <c r="V120" s="145">
        <f>SUM(V117:V119)</f>
        <v>2.3276000000000003</v>
      </c>
      <c r="W120"/>
    </row>
    <row r="121" spans="1:23" ht="15" hidden="1" customHeight="1" x14ac:dyDescent="0.3">
      <c r="A121" s="34" t="s">
        <v>1233</v>
      </c>
      <c r="B121" s="36">
        <v>78</v>
      </c>
      <c r="C121" s="29" t="s">
        <v>1244</v>
      </c>
      <c r="D121" s="29" t="str">
        <f t="shared" si="183"/>
        <v>INCLUIDO</v>
      </c>
      <c r="E121" s="27" t="s">
        <v>1186</v>
      </c>
      <c r="F121" s="43">
        <v>0</v>
      </c>
      <c r="G121" s="42">
        <v>0</v>
      </c>
      <c r="H121" s="9">
        <f t="shared" si="184"/>
        <v>0</v>
      </c>
      <c r="I121" s="9" t="s">
        <v>1235</v>
      </c>
      <c r="J121" s="9">
        <f t="shared" si="174"/>
        <v>0</v>
      </c>
      <c r="K121" s="9">
        <f t="shared" si="175"/>
        <v>0</v>
      </c>
      <c r="L121" s="9">
        <f t="shared" si="176"/>
        <v>0</v>
      </c>
      <c r="M121" s="11">
        <f t="shared" si="181"/>
        <v>0.1</v>
      </c>
      <c r="N121" s="9">
        <f t="shared" si="177"/>
        <v>0</v>
      </c>
      <c r="O121" s="12">
        <f t="shared" si="178"/>
        <v>0</v>
      </c>
      <c r="P121" s="13" t="str">
        <f t="shared" si="122"/>
        <v>NO</v>
      </c>
      <c r="Q121" s="48">
        <f t="shared" si="172"/>
        <v>0</v>
      </c>
      <c r="R121">
        <f>IF(I121="%o Al Millar",1000,IF(I121="% Al Porciento",100,IF(I121="$ Prima",G121)))</f>
        <v>100</v>
      </c>
      <c r="S121">
        <f t="shared" si="179"/>
        <v>0</v>
      </c>
      <c r="W121"/>
    </row>
    <row r="122" spans="1:23" s="18" customFormat="1" x14ac:dyDescent="0.3">
      <c r="A122" s="24"/>
      <c r="B122" s="26"/>
      <c r="C122" s="15" t="s">
        <v>1177</v>
      </c>
      <c r="D122" s="38" t="str">
        <f>D121</f>
        <v>INCLUIDO</v>
      </c>
      <c r="E122" s="38"/>
      <c r="F122" s="16">
        <f>SUMIF(E117:E121,"Adicional",F117:F121)</f>
        <v>270000</v>
      </c>
      <c r="G122" s="17"/>
      <c r="H122" s="16">
        <f>SUM(H117:H121)</f>
        <v>6301.7378630136991</v>
      </c>
      <c r="I122" s="16"/>
      <c r="J122" s="16">
        <f t="shared" ref="J122:L122" si="185">SUM(J117:J121)</f>
        <v>132.96666890958906</v>
      </c>
      <c r="K122" s="16">
        <f t="shared" si="185"/>
        <v>1029.5527251077262</v>
      </c>
      <c r="L122" s="16">
        <f t="shared" si="185"/>
        <v>7464.25</v>
      </c>
      <c r="M122" s="16" t="s">
        <v>1178</v>
      </c>
      <c r="N122" s="16">
        <f t="shared" ref="N122:O122" si="186">SUM(N117:N121)</f>
        <v>630.17378630136989</v>
      </c>
      <c r="O122" s="84">
        <f t="shared" si="186"/>
        <v>630.17378630136989</v>
      </c>
      <c r="P122" s="13" t="str">
        <f t="shared" si="122"/>
        <v>SI</v>
      </c>
      <c r="Q122">
        <f>IF(D122="INCLUIDO",IF(H122&lt;&gt;0,1,0),0)</f>
        <v>1</v>
      </c>
      <c r="W122" s="111" t="e">
        <f>'UB (1)'!H122+'UB (2)'!H122+'UB (3)'!H122+#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23" spans="1:23" ht="15" hidden="1" thickBot="1" x14ac:dyDescent="0.35">
      <c r="A123" s="82">
        <v>905</v>
      </c>
      <c r="B123" s="33">
        <v>6</v>
      </c>
      <c r="C123" s="19" t="s">
        <v>1245</v>
      </c>
      <c r="D123" s="23" t="str">
        <f>$D$100</f>
        <v>INCLUIDO</v>
      </c>
      <c r="E123" s="91"/>
      <c r="F123" s="132">
        <v>0</v>
      </c>
      <c r="G123" s="132">
        <v>0</v>
      </c>
      <c r="H123" s="28"/>
      <c r="I123" s="28"/>
      <c r="J123" s="28"/>
      <c r="K123" s="28"/>
      <c r="L123" s="28"/>
      <c r="M123" s="68">
        <v>0</v>
      </c>
      <c r="N123" s="28"/>
      <c r="O123" s="83"/>
      <c r="P123" s="13" t="str">
        <f t="shared" si="122"/>
        <v>NO</v>
      </c>
      <c r="Q123" s="48">
        <f t="shared" ref="Q123:Q128" si="187">IF(D123="INCLUIDO",IF(F123&lt;&gt;0,1,0),0)</f>
        <v>0</v>
      </c>
      <c r="S123">
        <f t="shared" ref="S123:S128" si="188">IF(E123="Excluido",0,IF(D123="NO APLICA",0,1))</f>
        <v>1</v>
      </c>
      <c r="T123" s="142">
        <f>G123</f>
        <v>0</v>
      </c>
      <c r="W123"/>
    </row>
    <row r="124" spans="1:23" ht="15" hidden="1" customHeight="1" x14ac:dyDescent="0.3">
      <c r="A124" s="34" t="s">
        <v>1233</v>
      </c>
      <c r="B124" s="36">
        <v>88</v>
      </c>
      <c r="C124" s="29" t="s">
        <v>1240</v>
      </c>
      <c r="D124" s="29" t="str">
        <f>$D$100</f>
        <v>INCLUIDO</v>
      </c>
      <c r="E124" s="27" t="s">
        <v>1186</v>
      </c>
      <c r="F124" s="20">
        <f>$F$123*S124</f>
        <v>0</v>
      </c>
      <c r="G124" s="21">
        <f>V124</f>
        <v>0</v>
      </c>
      <c r="H124" s="9">
        <f t="shared" ref="H124:H128" si="189">(IF(I124="$ Prima",G124,G124*F124/R124))*$U$9</f>
        <v>0</v>
      </c>
      <c r="I124" s="9" t="s">
        <v>1235</v>
      </c>
      <c r="J124" s="9">
        <f t="shared" ref="J124:J128" si="190">H124*$U$7</f>
        <v>0</v>
      </c>
      <c r="K124" s="9">
        <f t="shared" ref="K124:K128" si="191">(H124+J124)*$K$15</f>
        <v>0</v>
      </c>
      <c r="L124" s="9">
        <f t="shared" ref="L124:L128" si="192">ROUND(H124+J124+K124,2)</f>
        <v>0</v>
      </c>
      <c r="M124" s="11">
        <f>$M$123</f>
        <v>0</v>
      </c>
      <c r="N124" s="9">
        <f t="shared" ref="N124:N128" si="193">H124*M124</f>
        <v>0</v>
      </c>
      <c r="O124" s="12">
        <f t="shared" ref="O124:O128" si="194">N124</f>
        <v>0</v>
      </c>
      <c r="P124" s="13" t="str">
        <f t="shared" si="122"/>
        <v>NO</v>
      </c>
      <c r="Q124">
        <f t="shared" si="187"/>
        <v>0</v>
      </c>
      <c r="R124">
        <f>IF(I124="%o Al Millar",1000,IF(I124="% Al Porciento",100,IF(I124="$ Prima",G124)))</f>
        <v>100</v>
      </c>
      <c r="S124">
        <f t="shared" si="188"/>
        <v>0</v>
      </c>
      <c r="T124" s="110">
        <v>0.9</v>
      </c>
      <c r="U124" s="111">
        <f>IF(E124="Excluido",0,$T$123*T124)</f>
        <v>0</v>
      </c>
      <c r="V124" s="111">
        <f>IF(F123=0,0,(U127-U125-U126)+(T123-U127))</f>
        <v>0</v>
      </c>
      <c r="W124"/>
    </row>
    <row r="125" spans="1:23" ht="15" hidden="1" customHeight="1" x14ac:dyDescent="0.3">
      <c r="A125" s="34" t="s">
        <v>1233</v>
      </c>
      <c r="B125" s="36">
        <v>89</v>
      </c>
      <c r="C125" s="29" t="s">
        <v>1241</v>
      </c>
      <c r="D125" s="29" t="str">
        <f>$D$100</f>
        <v>INCLUIDO</v>
      </c>
      <c r="E125" s="27" t="s">
        <v>1186</v>
      </c>
      <c r="F125" s="20">
        <f>$F$124*S125</f>
        <v>0</v>
      </c>
      <c r="G125" s="21">
        <f t="shared" ref="G125:G126" si="195">V125</f>
        <v>0</v>
      </c>
      <c r="H125" s="9">
        <f t="shared" si="189"/>
        <v>0</v>
      </c>
      <c r="I125" s="9" t="s">
        <v>1235</v>
      </c>
      <c r="J125" s="9">
        <f t="shared" si="190"/>
        <v>0</v>
      </c>
      <c r="K125" s="9">
        <f t="shared" si="191"/>
        <v>0</v>
      </c>
      <c r="L125" s="9">
        <f t="shared" si="192"/>
        <v>0</v>
      </c>
      <c r="M125" s="11">
        <f t="shared" ref="M125:M128" si="196">$M$123</f>
        <v>0</v>
      </c>
      <c r="N125" s="9">
        <f t="shared" si="193"/>
        <v>0</v>
      </c>
      <c r="O125" s="12">
        <f t="shared" si="194"/>
        <v>0</v>
      </c>
      <c r="P125" s="13" t="str">
        <f t="shared" si="122"/>
        <v>NO</v>
      </c>
      <c r="Q125">
        <f t="shared" si="187"/>
        <v>0</v>
      </c>
      <c r="R125">
        <f>IF(I125="%o Al Millar",1000,IF(I125="% Al Porciento",100,IF(I125="$ Prima",G125)))</f>
        <v>100</v>
      </c>
      <c r="S125">
        <f t="shared" si="188"/>
        <v>0</v>
      </c>
      <c r="T125" s="110">
        <v>0.05</v>
      </c>
      <c r="U125" s="111">
        <f t="shared" ref="U125:U126" si="197">IF(E125="Excluido",0,$T$123*T125)</f>
        <v>0</v>
      </c>
      <c r="V125" s="111">
        <f>IF($F$123=0,0,U125)</f>
        <v>0</v>
      </c>
      <c r="W125"/>
    </row>
    <row r="126" spans="1:23" ht="15" hidden="1" customHeight="1" thickBot="1" x14ac:dyDescent="0.35">
      <c r="A126" s="34" t="s">
        <v>1233</v>
      </c>
      <c r="B126" s="36">
        <v>85</v>
      </c>
      <c r="C126" s="29" t="s">
        <v>1242</v>
      </c>
      <c r="D126" s="29" t="str">
        <f t="shared" ref="D126:D128" si="198">$D$100</f>
        <v>INCLUIDO</v>
      </c>
      <c r="E126" s="27" t="s">
        <v>1186</v>
      </c>
      <c r="F126" s="20">
        <f>$F$124*S126</f>
        <v>0</v>
      </c>
      <c r="G126" s="21">
        <f t="shared" si="195"/>
        <v>0</v>
      </c>
      <c r="H126" s="9">
        <f t="shared" si="189"/>
        <v>0</v>
      </c>
      <c r="I126" s="9" t="s">
        <v>1235</v>
      </c>
      <c r="J126" s="9">
        <f t="shared" si="190"/>
        <v>0</v>
      </c>
      <c r="K126" s="9">
        <f t="shared" si="191"/>
        <v>0</v>
      </c>
      <c r="L126" s="9">
        <f t="shared" si="192"/>
        <v>0</v>
      </c>
      <c r="M126" s="11">
        <f t="shared" si="196"/>
        <v>0</v>
      </c>
      <c r="N126" s="9">
        <f t="shared" si="193"/>
        <v>0</v>
      </c>
      <c r="O126" s="12">
        <f t="shared" si="194"/>
        <v>0</v>
      </c>
      <c r="P126" s="13" t="str">
        <f t="shared" si="122"/>
        <v>NO</v>
      </c>
      <c r="Q126">
        <f t="shared" si="187"/>
        <v>0</v>
      </c>
      <c r="R126">
        <f>IF(I126="%o Al Millar",1000,IF(I126="% Al Porciento",100,IF(I126="$ Prima",G126)))</f>
        <v>100</v>
      </c>
      <c r="S126">
        <f t="shared" si="188"/>
        <v>0</v>
      </c>
      <c r="T126" s="110">
        <v>0.05</v>
      </c>
      <c r="U126" s="111">
        <f t="shared" si="197"/>
        <v>0</v>
      </c>
      <c r="V126" s="111">
        <f>IF($F$123=0,0,U126)</f>
        <v>0</v>
      </c>
      <c r="W126"/>
    </row>
    <row r="127" spans="1:23" ht="15" hidden="1" customHeight="1" thickBot="1" x14ac:dyDescent="0.35">
      <c r="A127" s="34" t="s">
        <v>1233</v>
      </c>
      <c r="B127" s="36">
        <v>86</v>
      </c>
      <c r="C127" s="29" t="s">
        <v>1243</v>
      </c>
      <c r="D127" s="29" t="str">
        <f t="shared" si="198"/>
        <v>INCLUIDO</v>
      </c>
      <c r="E127" s="27" t="s">
        <v>1186</v>
      </c>
      <c r="F127" s="43">
        <v>0</v>
      </c>
      <c r="G127" s="113">
        <v>0</v>
      </c>
      <c r="H127" s="9">
        <f t="shared" si="189"/>
        <v>0</v>
      </c>
      <c r="I127" s="9" t="s">
        <v>1235</v>
      </c>
      <c r="J127" s="9">
        <f t="shared" si="190"/>
        <v>0</v>
      </c>
      <c r="K127" s="9">
        <f t="shared" si="191"/>
        <v>0</v>
      </c>
      <c r="L127" s="9">
        <f t="shared" si="192"/>
        <v>0</v>
      </c>
      <c r="M127" s="11">
        <f t="shared" si="196"/>
        <v>0</v>
      </c>
      <c r="N127" s="9">
        <f t="shared" si="193"/>
        <v>0</v>
      </c>
      <c r="O127" s="12">
        <f t="shared" si="194"/>
        <v>0</v>
      </c>
      <c r="P127" s="13" t="str">
        <f t="shared" si="122"/>
        <v>NO</v>
      </c>
      <c r="Q127" s="48">
        <f t="shared" si="187"/>
        <v>0</v>
      </c>
      <c r="R127">
        <f>IF(I127="%o Al Millar",1000,IF(I127="% Al Porciento",100,IF(I127="$ Prima",G127)))</f>
        <v>100</v>
      </c>
      <c r="S127">
        <f t="shared" si="188"/>
        <v>0</v>
      </c>
      <c r="T127" s="143">
        <f>SUM(T124:T126)</f>
        <v>1</v>
      </c>
      <c r="U127" s="144">
        <f>SUM(U124:U126)</f>
        <v>0</v>
      </c>
      <c r="V127" s="145">
        <f>SUM(V124:V126)</f>
        <v>0</v>
      </c>
      <c r="W127"/>
    </row>
    <row r="128" spans="1:23" ht="15" hidden="1" customHeight="1" x14ac:dyDescent="0.3">
      <c r="A128" s="34" t="s">
        <v>1233</v>
      </c>
      <c r="B128" s="36">
        <v>84</v>
      </c>
      <c r="C128" s="29" t="s">
        <v>1244</v>
      </c>
      <c r="D128" s="29" t="str">
        <f t="shared" si="198"/>
        <v>INCLUIDO</v>
      </c>
      <c r="E128" s="27" t="s">
        <v>1186</v>
      </c>
      <c r="F128" s="43">
        <v>0</v>
      </c>
      <c r="G128" s="113">
        <v>0</v>
      </c>
      <c r="H128" s="9">
        <f t="shared" si="189"/>
        <v>0</v>
      </c>
      <c r="I128" s="9" t="s">
        <v>1235</v>
      </c>
      <c r="J128" s="9">
        <f t="shared" si="190"/>
        <v>0</v>
      </c>
      <c r="K128" s="9">
        <f t="shared" si="191"/>
        <v>0</v>
      </c>
      <c r="L128" s="9">
        <f t="shared" si="192"/>
        <v>0</v>
      </c>
      <c r="M128" s="11">
        <f t="shared" si="196"/>
        <v>0</v>
      </c>
      <c r="N128" s="9">
        <f t="shared" si="193"/>
        <v>0</v>
      </c>
      <c r="O128" s="12">
        <f t="shared" si="194"/>
        <v>0</v>
      </c>
      <c r="P128" s="13" t="str">
        <f t="shared" si="122"/>
        <v>NO</v>
      </c>
      <c r="Q128" s="48">
        <f t="shared" si="187"/>
        <v>0</v>
      </c>
      <c r="R128">
        <f>IF(I128="%o Al Millar",1000,IF(I128="% Al Porciento",100,IF(I128="$ Prima",G128)))</f>
        <v>100</v>
      </c>
      <c r="S128">
        <f t="shared" si="188"/>
        <v>0</v>
      </c>
      <c r="W128"/>
    </row>
    <row r="129" spans="1:23" s="18" customFormat="1" ht="15" hidden="1" customHeight="1" x14ac:dyDescent="0.3">
      <c r="A129" s="24"/>
      <c r="B129" s="26"/>
      <c r="C129" s="15" t="s">
        <v>1177</v>
      </c>
      <c r="D129" s="38" t="str">
        <f>D128</f>
        <v>INCLUIDO</v>
      </c>
      <c r="E129" s="38"/>
      <c r="F129" s="16">
        <f>SUMIF(E124:E128,"Adicional",F124:F128)</f>
        <v>0</v>
      </c>
      <c r="G129" s="17"/>
      <c r="H129" s="16">
        <f>SUM(H124:H128)</f>
        <v>0</v>
      </c>
      <c r="I129" s="16"/>
      <c r="J129" s="16">
        <f t="shared" ref="J129:L129" si="199">SUM(J124:J128)</f>
        <v>0</v>
      </c>
      <c r="K129" s="16">
        <f t="shared" si="199"/>
        <v>0</v>
      </c>
      <c r="L129" s="16">
        <f t="shared" si="199"/>
        <v>0</v>
      </c>
      <c r="M129" s="16" t="s">
        <v>1178</v>
      </c>
      <c r="N129" s="16">
        <f t="shared" ref="N129:O129" si="200">SUM(N124:N128)</f>
        <v>0</v>
      </c>
      <c r="O129" s="84">
        <f t="shared" si="200"/>
        <v>0</v>
      </c>
      <c r="P129" s="13" t="str">
        <f t="shared" si="122"/>
        <v>NO</v>
      </c>
      <c r="Q129">
        <f>IF(D129="INCLUIDO",IF(H129&lt;&gt;0,1,0),0)</f>
        <v>0</v>
      </c>
    </row>
    <row r="130" spans="1:23" x14ac:dyDescent="0.3">
      <c r="A130" s="82">
        <v>905</v>
      </c>
      <c r="B130" s="33">
        <v>7</v>
      </c>
      <c r="C130" s="19" t="s">
        <v>1246</v>
      </c>
      <c r="D130" s="23" t="str">
        <f>$D$100</f>
        <v>INCLUIDO</v>
      </c>
      <c r="E130" s="91"/>
      <c r="F130" s="208">
        <f>'COTIZACIÓN M.N.'!D88</f>
        <v>54000</v>
      </c>
      <c r="G130" s="28">
        <f>'COTIZACIÓN M.N.'!E88</f>
        <v>12</v>
      </c>
      <c r="H130" s="28"/>
      <c r="I130" s="28"/>
      <c r="J130" s="28"/>
      <c r="K130" s="28"/>
      <c r="L130" s="28"/>
      <c r="M130" s="68">
        <f>M100</f>
        <v>0.1</v>
      </c>
      <c r="N130" s="28"/>
      <c r="O130" s="83"/>
      <c r="P130" s="13" t="str">
        <f t="shared" si="122"/>
        <v>SI</v>
      </c>
      <c r="Q130" s="47">
        <f>IF(D130="INCLUIDO",IF(F131&lt;&gt;0,1,0),0)</f>
        <v>1</v>
      </c>
      <c r="W130" s="111" t="e">
        <f>'UB (1)'!H130+'UB (2)'!H130+'UB (3)'!H130+#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31" spans="1:23" x14ac:dyDescent="0.3">
      <c r="A131" s="34" t="s">
        <v>1233</v>
      </c>
      <c r="B131" s="36">
        <v>92</v>
      </c>
      <c r="C131" s="29" t="s">
        <v>1247</v>
      </c>
      <c r="D131" s="29" t="str">
        <f>$D$100</f>
        <v>INCLUIDO</v>
      </c>
      <c r="E131" s="27" t="s">
        <v>1152</v>
      </c>
      <c r="F131" s="43">
        <f>F130</f>
        <v>54000</v>
      </c>
      <c r="G131" s="43">
        <f>G130</f>
        <v>12</v>
      </c>
      <c r="H131" s="9">
        <f>(((IF(I131="$ Prima",G131,G131*F131/R131))*$U$9)/365)*$J$15</f>
        <v>6497.7534246575342</v>
      </c>
      <c r="I131" s="9" t="s">
        <v>1235</v>
      </c>
      <c r="J131" s="9">
        <f t="shared" ref="J131:J136" si="201">H131*$U$7</f>
        <v>137.10259726027397</v>
      </c>
      <c r="K131" s="9">
        <f t="shared" ref="K131:K136" si="202">(H131+J131)*$K$15</f>
        <v>1061.5769635068493</v>
      </c>
      <c r="L131" s="9">
        <f t="shared" ref="L131:L136" si="203">ROUND(H131+J131+K131,2)</f>
        <v>7696.43</v>
      </c>
      <c r="M131" s="11">
        <f>$M$130</f>
        <v>0.1</v>
      </c>
      <c r="N131" s="9">
        <f t="shared" ref="N131:N136" si="204">H131*M131</f>
        <v>649.77534246575351</v>
      </c>
      <c r="O131" s="12">
        <f t="shared" ref="O131:O136" si="205">N131</f>
        <v>649.77534246575351</v>
      </c>
      <c r="P131" s="13" t="str">
        <f t="shared" si="122"/>
        <v>SI</v>
      </c>
      <c r="Q131" s="48">
        <f t="shared" ref="Q131:Q136" si="206">IF(D131="INCLUIDO",IF(F131&lt;&gt;0,1,0),0)</f>
        <v>1</v>
      </c>
      <c r="R131">
        <f t="shared" ref="R131:R136" si="207">IF(I131="%o Al Millar",1000,IF(I131="% Al Porciento",100,IF(I131="$ Prima",G131)))</f>
        <v>100</v>
      </c>
      <c r="S131">
        <f t="shared" ref="S131:S136" si="208">IF(E131="Excluido",0,IF(D131="NO APLICA",0,1))</f>
        <v>1</v>
      </c>
      <c r="W131" s="111" t="e">
        <f>'UB (1)'!H131+'UB (2)'!H131+'UB (3)'!H131+#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32" spans="1:23" ht="15" hidden="1" customHeight="1" x14ac:dyDescent="0.3">
      <c r="A132" s="34" t="s">
        <v>1233</v>
      </c>
      <c r="B132" s="36">
        <v>91</v>
      </c>
      <c r="C132" s="29" t="s">
        <v>1248</v>
      </c>
      <c r="D132" s="29" t="str">
        <f>$D$100</f>
        <v>INCLUIDO</v>
      </c>
      <c r="E132" s="27" t="s">
        <v>1186</v>
      </c>
      <c r="F132" s="43">
        <v>0</v>
      </c>
      <c r="G132" s="42">
        <v>0</v>
      </c>
      <c r="H132" s="9">
        <f t="shared" ref="H132:H136" si="209">(IF(I132="$ Prima",G132,G132*F132/R132))*$U$9</f>
        <v>0</v>
      </c>
      <c r="I132" s="9" t="s">
        <v>1235</v>
      </c>
      <c r="J132" s="9">
        <f t="shared" si="201"/>
        <v>0</v>
      </c>
      <c r="K132" s="9">
        <f t="shared" si="202"/>
        <v>0</v>
      </c>
      <c r="L132" s="9">
        <f t="shared" si="203"/>
        <v>0</v>
      </c>
      <c r="M132" s="11">
        <f t="shared" ref="M132:M136" si="210">$M$130</f>
        <v>0.1</v>
      </c>
      <c r="N132" s="9">
        <f t="shared" si="204"/>
        <v>0</v>
      </c>
      <c r="O132" s="12">
        <f t="shared" si="205"/>
        <v>0</v>
      </c>
      <c r="P132" s="13" t="str">
        <f t="shared" si="122"/>
        <v>NO</v>
      </c>
      <c r="Q132" s="48">
        <f t="shared" si="206"/>
        <v>0</v>
      </c>
      <c r="R132">
        <f t="shared" si="207"/>
        <v>100</v>
      </c>
      <c r="S132">
        <f t="shared" si="208"/>
        <v>0</v>
      </c>
      <c r="W132"/>
    </row>
    <row r="133" spans="1:23" ht="15" hidden="1" customHeight="1" x14ac:dyDescent="0.3">
      <c r="A133" s="34" t="s">
        <v>1233</v>
      </c>
      <c r="B133" s="36">
        <v>96</v>
      </c>
      <c r="C133" s="29" t="s">
        <v>1249</v>
      </c>
      <c r="D133" s="29" t="str">
        <f t="shared" ref="D133:D136" si="211">$D$100</f>
        <v>INCLUIDO</v>
      </c>
      <c r="E133" s="27" t="s">
        <v>1186</v>
      </c>
      <c r="F133" s="43">
        <v>0</v>
      </c>
      <c r="G133" s="42">
        <v>0</v>
      </c>
      <c r="H133" s="9">
        <f t="shared" si="209"/>
        <v>0</v>
      </c>
      <c r="I133" s="9" t="s">
        <v>1235</v>
      </c>
      <c r="J133" s="9">
        <f t="shared" si="201"/>
        <v>0</v>
      </c>
      <c r="K133" s="9">
        <f t="shared" si="202"/>
        <v>0</v>
      </c>
      <c r="L133" s="9">
        <f t="shared" si="203"/>
        <v>0</v>
      </c>
      <c r="M133" s="11">
        <f t="shared" si="210"/>
        <v>0.1</v>
      </c>
      <c r="N133" s="9">
        <f t="shared" si="204"/>
        <v>0</v>
      </c>
      <c r="O133" s="12">
        <f t="shared" si="205"/>
        <v>0</v>
      </c>
      <c r="P133" s="13" t="str">
        <f t="shared" si="122"/>
        <v>NO</v>
      </c>
      <c r="Q133" s="48">
        <f t="shared" si="206"/>
        <v>0</v>
      </c>
      <c r="R133">
        <f t="shared" si="207"/>
        <v>100</v>
      </c>
      <c r="S133">
        <f t="shared" si="208"/>
        <v>0</v>
      </c>
      <c r="W133"/>
    </row>
    <row r="134" spans="1:23" ht="22.5" hidden="1" customHeight="1" x14ac:dyDescent="0.3">
      <c r="A134" s="34" t="s">
        <v>1233</v>
      </c>
      <c r="B134" s="36">
        <v>94</v>
      </c>
      <c r="C134" s="29" t="s">
        <v>1250</v>
      </c>
      <c r="D134" s="29" t="str">
        <f t="shared" si="211"/>
        <v>INCLUIDO</v>
      </c>
      <c r="E134" s="27" t="s">
        <v>1186</v>
      </c>
      <c r="F134" s="43">
        <v>0</v>
      </c>
      <c r="G134" s="42">
        <v>0</v>
      </c>
      <c r="H134" s="9">
        <f t="shared" si="209"/>
        <v>0</v>
      </c>
      <c r="I134" s="9" t="s">
        <v>1235</v>
      </c>
      <c r="J134" s="9">
        <f t="shared" si="201"/>
        <v>0</v>
      </c>
      <c r="K134" s="9">
        <f t="shared" si="202"/>
        <v>0</v>
      </c>
      <c r="L134" s="9">
        <f t="shared" si="203"/>
        <v>0</v>
      </c>
      <c r="M134" s="11">
        <f t="shared" si="210"/>
        <v>0.1</v>
      </c>
      <c r="N134" s="9">
        <f t="shared" si="204"/>
        <v>0</v>
      </c>
      <c r="O134" s="12">
        <f t="shared" si="205"/>
        <v>0</v>
      </c>
      <c r="P134" s="13" t="str">
        <f t="shared" si="122"/>
        <v>NO</v>
      </c>
      <c r="Q134" s="48">
        <f t="shared" si="206"/>
        <v>0</v>
      </c>
      <c r="R134">
        <f t="shared" si="207"/>
        <v>100</v>
      </c>
      <c r="S134">
        <f t="shared" si="208"/>
        <v>0</v>
      </c>
      <c r="W134"/>
    </row>
    <row r="135" spans="1:23" ht="15" hidden="1" customHeight="1" x14ac:dyDescent="0.3">
      <c r="A135" s="34" t="s">
        <v>1233</v>
      </c>
      <c r="B135" s="36">
        <v>93</v>
      </c>
      <c r="C135" s="29" t="s">
        <v>1251</v>
      </c>
      <c r="D135" s="29" t="str">
        <f t="shared" si="211"/>
        <v>INCLUIDO</v>
      </c>
      <c r="E135" s="27" t="s">
        <v>1186</v>
      </c>
      <c r="F135" s="43">
        <v>0</v>
      </c>
      <c r="G135" s="42">
        <v>0</v>
      </c>
      <c r="H135" s="9">
        <f t="shared" si="209"/>
        <v>0</v>
      </c>
      <c r="I135" s="9" t="s">
        <v>1235</v>
      </c>
      <c r="J135" s="9">
        <f t="shared" si="201"/>
        <v>0</v>
      </c>
      <c r="K135" s="9">
        <f t="shared" si="202"/>
        <v>0</v>
      </c>
      <c r="L135" s="9">
        <f t="shared" si="203"/>
        <v>0</v>
      </c>
      <c r="M135" s="11">
        <f t="shared" si="210"/>
        <v>0.1</v>
      </c>
      <c r="N135" s="9">
        <f t="shared" si="204"/>
        <v>0</v>
      </c>
      <c r="O135" s="12">
        <f t="shared" si="205"/>
        <v>0</v>
      </c>
      <c r="P135" s="13" t="str">
        <f t="shared" si="122"/>
        <v>NO</v>
      </c>
      <c r="Q135" s="48">
        <f t="shared" si="206"/>
        <v>0</v>
      </c>
      <c r="R135">
        <f t="shared" si="207"/>
        <v>100</v>
      </c>
      <c r="S135">
        <f t="shared" si="208"/>
        <v>0</v>
      </c>
      <c r="W135"/>
    </row>
    <row r="136" spans="1:23" ht="15" hidden="1" customHeight="1" x14ac:dyDescent="0.3">
      <c r="A136" s="34" t="s">
        <v>1233</v>
      </c>
      <c r="B136" s="36">
        <v>95</v>
      </c>
      <c r="C136" s="29" t="s">
        <v>1252</v>
      </c>
      <c r="D136" s="29" t="str">
        <f t="shared" si="211"/>
        <v>INCLUIDO</v>
      </c>
      <c r="E136" s="27" t="s">
        <v>1186</v>
      </c>
      <c r="F136" s="43">
        <v>0</v>
      </c>
      <c r="G136" s="42">
        <v>0</v>
      </c>
      <c r="H136" s="9">
        <f t="shared" si="209"/>
        <v>0</v>
      </c>
      <c r="I136" s="9" t="s">
        <v>1235</v>
      </c>
      <c r="J136" s="9">
        <f t="shared" si="201"/>
        <v>0</v>
      </c>
      <c r="K136" s="9">
        <f t="shared" si="202"/>
        <v>0</v>
      </c>
      <c r="L136" s="9">
        <f t="shared" si="203"/>
        <v>0</v>
      </c>
      <c r="M136" s="11">
        <f t="shared" si="210"/>
        <v>0.1</v>
      </c>
      <c r="N136" s="9">
        <f t="shared" si="204"/>
        <v>0</v>
      </c>
      <c r="O136" s="12">
        <f t="shared" si="205"/>
        <v>0</v>
      </c>
      <c r="P136" s="13" t="str">
        <f t="shared" si="122"/>
        <v>NO</v>
      </c>
      <c r="Q136" s="48">
        <f t="shared" si="206"/>
        <v>0</v>
      </c>
      <c r="R136">
        <f t="shared" si="207"/>
        <v>100</v>
      </c>
      <c r="S136">
        <f t="shared" si="208"/>
        <v>0</v>
      </c>
      <c r="W136"/>
    </row>
    <row r="137" spans="1:23" s="18" customFormat="1" ht="15" thickBot="1" x14ac:dyDescent="0.35">
      <c r="A137" s="24"/>
      <c r="B137" s="26"/>
      <c r="C137" s="15" t="s">
        <v>1177</v>
      </c>
      <c r="D137" s="38" t="str">
        <f>D136</f>
        <v>INCLUIDO</v>
      </c>
      <c r="E137" s="38"/>
      <c r="F137" s="16">
        <f>SUMIF(E131:E136,"Adicional",F131:F136)</f>
        <v>54000</v>
      </c>
      <c r="G137" s="17"/>
      <c r="H137" s="16">
        <f>SUM(H131:H136)</f>
        <v>6497.7534246575342</v>
      </c>
      <c r="I137" s="16"/>
      <c r="J137" s="16">
        <f t="shared" ref="J137:L137" si="212">SUM(J131:J136)</f>
        <v>137.10259726027397</v>
      </c>
      <c r="K137" s="16">
        <f t="shared" si="212"/>
        <v>1061.5769635068493</v>
      </c>
      <c r="L137" s="16">
        <f t="shared" si="212"/>
        <v>7696.43</v>
      </c>
      <c r="M137" s="16" t="s">
        <v>1178</v>
      </c>
      <c r="N137" s="16">
        <f t="shared" ref="N137:O137" si="213">SUM(N131:N136)</f>
        <v>649.77534246575351</v>
      </c>
      <c r="O137" s="84">
        <f t="shared" si="213"/>
        <v>649.77534246575351</v>
      </c>
      <c r="P137" s="13" t="str">
        <f t="shared" si="122"/>
        <v>SI</v>
      </c>
      <c r="Q137">
        <f>IF(D137="INCLUIDO",IF(H137&lt;&gt;0,1,0),0)</f>
        <v>1</v>
      </c>
      <c r="W137" s="111" t="e">
        <f>'UB (1)'!H137+'UB (2)'!H137+'UB (3)'!H137+#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38" spans="1:23" ht="15" hidden="1" customHeight="1" x14ac:dyDescent="0.3">
      <c r="A138" s="82">
        <v>905</v>
      </c>
      <c r="B138" s="33">
        <v>8</v>
      </c>
      <c r="C138" s="19" t="s">
        <v>1253</v>
      </c>
      <c r="D138" s="23" t="str">
        <f>$D$100</f>
        <v>INCLUIDO</v>
      </c>
      <c r="E138" s="91"/>
      <c r="F138" s="28"/>
      <c r="G138" s="28"/>
      <c r="H138" s="28"/>
      <c r="I138" s="28"/>
      <c r="J138" s="28"/>
      <c r="K138" s="28"/>
      <c r="L138" s="28"/>
      <c r="M138" s="68">
        <v>0</v>
      </c>
      <c r="N138" s="28"/>
      <c r="O138" s="83"/>
      <c r="P138" s="13" t="str">
        <f t="shared" si="122"/>
        <v>NO</v>
      </c>
      <c r="Q138" s="47">
        <f>IF(D138="INCLUIDO",IF(F139&lt;&gt;0,1,0),0)</f>
        <v>0</v>
      </c>
      <c r="W138"/>
    </row>
    <row r="139" spans="1:23" ht="15" hidden="1" customHeight="1" x14ac:dyDescent="0.3">
      <c r="A139" s="34" t="s">
        <v>1233</v>
      </c>
      <c r="B139" s="36">
        <v>99</v>
      </c>
      <c r="C139" s="29" t="s">
        <v>1247</v>
      </c>
      <c r="D139" s="29" t="str">
        <f>$D$100</f>
        <v>INCLUIDO</v>
      </c>
      <c r="E139" s="27" t="s">
        <v>1186</v>
      </c>
      <c r="F139" s="43">
        <v>0</v>
      </c>
      <c r="G139" s="43">
        <v>0</v>
      </c>
      <c r="H139" s="9">
        <f t="shared" ref="H139:H144" si="214">(IF(I139="$ Prima",G139,G139*F139/R139))*$U$9</f>
        <v>0</v>
      </c>
      <c r="I139" s="9" t="s">
        <v>1235</v>
      </c>
      <c r="J139" s="9">
        <f t="shared" ref="J139:J144" si="215">H139*$U$7</f>
        <v>0</v>
      </c>
      <c r="K139" s="9">
        <f t="shared" ref="K139:K144" si="216">(H139+J139)*$K$15</f>
        <v>0</v>
      </c>
      <c r="L139" s="9">
        <f t="shared" ref="L139:L144" si="217">ROUND(H139+J139+K139,2)</f>
        <v>0</v>
      </c>
      <c r="M139" s="11">
        <f>$M$138</f>
        <v>0</v>
      </c>
      <c r="N139" s="9">
        <f t="shared" ref="N139:N144" si="218">H139*M139</f>
        <v>0</v>
      </c>
      <c r="O139" s="12">
        <f t="shared" ref="O139:O144" si="219">N139</f>
        <v>0</v>
      </c>
      <c r="P139" s="13" t="str">
        <f t="shared" si="122"/>
        <v>NO</v>
      </c>
      <c r="Q139" s="48">
        <f t="shared" ref="Q139:Q144" si="220">IF(D139="INCLUIDO",IF(F139&lt;&gt;0,1,0),0)</f>
        <v>0</v>
      </c>
      <c r="R139">
        <f t="shared" ref="R139:R144" si="221">IF(I139="%o Al Millar",1000,IF(I139="% Al Porciento",100,IF(I139="$ Prima",G139)))</f>
        <v>100</v>
      </c>
      <c r="S139">
        <f t="shared" ref="S139:S144" si="222">IF(E139="Excluido",0,IF(D139="NO APLICA",0,1))</f>
        <v>0</v>
      </c>
      <c r="W139"/>
    </row>
    <row r="140" spans="1:23" ht="15" hidden="1" customHeight="1" x14ac:dyDescent="0.3">
      <c r="A140" s="34" t="s">
        <v>1233</v>
      </c>
      <c r="B140" s="36">
        <v>98</v>
      </c>
      <c r="C140" s="29" t="s">
        <v>1248</v>
      </c>
      <c r="D140" s="29" t="str">
        <f>$D$100</f>
        <v>INCLUIDO</v>
      </c>
      <c r="E140" s="27" t="s">
        <v>1186</v>
      </c>
      <c r="F140" s="43">
        <v>0</v>
      </c>
      <c r="G140" s="42">
        <v>0</v>
      </c>
      <c r="H140" s="9">
        <f t="shared" si="214"/>
        <v>0</v>
      </c>
      <c r="I140" s="9" t="s">
        <v>1235</v>
      </c>
      <c r="J140" s="9">
        <f t="shared" si="215"/>
        <v>0</v>
      </c>
      <c r="K140" s="9">
        <f t="shared" si="216"/>
        <v>0</v>
      </c>
      <c r="L140" s="9">
        <f t="shared" si="217"/>
        <v>0</v>
      </c>
      <c r="M140" s="11">
        <f t="shared" ref="M140:M144" si="223">$M$138</f>
        <v>0</v>
      </c>
      <c r="N140" s="9">
        <f t="shared" si="218"/>
        <v>0</v>
      </c>
      <c r="O140" s="12">
        <f t="shared" si="219"/>
        <v>0</v>
      </c>
      <c r="P140" s="13" t="str">
        <f t="shared" si="122"/>
        <v>NO</v>
      </c>
      <c r="Q140" s="48">
        <f t="shared" si="220"/>
        <v>0</v>
      </c>
      <c r="R140">
        <f t="shared" si="221"/>
        <v>100</v>
      </c>
      <c r="S140">
        <f t="shared" si="222"/>
        <v>0</v>
      </c>
      <c r="W140"/>
    </row>
    <row r="141" spans="1:23" ht="15" hidden="1" customHeight="1" x14ac:dyDescent="0.3">
      <c r="A141" s="34" t="s">
        <v>1233</v>
      </c>
      <c r="B141" s="36">
        <v>103</v>
      </c>
      <c r="C141" s="29" t="s">
        <v>1249</v>
      </c>
      <c r="D141" s="29" t="str">
        <f t="shared" ref="D141:D144" si="224">$D$100</f>
        <v>INCLUIDO</v>
      </c>
      <c r="E141" s="27" t="s">
        <v>1186</v>
      </c>
      <c r="F141" s="43">
        <v>0</v>
      </c>
      <c r="G141" s="42">
        <v>0</v>
      </c>
      <c r="H141" s="9">
        <f t="shared" si="214"/>
        <v>0</v>
      </c>
      <c r="I141" s="9" t="s">
        <v>1235</v>
      </c>
      <c r="J141" s="9">
        <f t="shared" si="215"/>
        <v>0</v>
      </c>
      <c r="K141" s="9">
        <f t="shared" si="216"/>
        <v>0</v>
      </c>
      <c r="L141" s="9">
        <f t="shared" si="217"/>
        <v>0</v>
      </c>
      <c r="M141" s="11">
        <f t="shared" si="223"/>
        <v>0</v>
      </c>
      <c r="N141" s="9">
        <f t="shared" si="218"/>
        <v>0</v>
      </c>
      <c r="O141" s="12">
        <f t="shared" si="219"/>
        <v>0</v>
      </c>
      <c r="P141" s="13" t="str">
        <f t="shared" si="122"/>
        <v>NO</v>
      </c>
      <c r="Q141" s="48">
        <f t="shared" si="220"/>
        <v>0</v>
      </c>
      <c r="R141">
        <f t="shared" si="221"/>
        <v>100</v>
      </c>
      <c r="S141">
        <f t="shared" si="222"/>
        <v>0</v>
      </c>
      <c r="W141"/>
    </row>
    <row r="142" spans="1:23" ht="22.5" hidden="1" customHeight="1" x14ac:dyDescent="0.3">
      <c r="A142" s="34" t="s">
        <v>1233</v>
      </c>
      <c r="B142" s="36">
        <v>101</v>
      </c>
      <c r="C142" s="29" t="s">
        <v>1250</v>
      </c>
      <c r="D142" s="29" t="str">
        <f t="shared" si="224"/>
        <v>INCLUIDO</v>
      </c>
      <c r="E142" s="27" t="s">
        <v>1186</v>
      </c>
      <c r="F142" s="43">
        <v>0</v>
      </c>
      <c r="G142" s="42">
        <v>0</v>
      </c>
      <c r="H142" s="9">
        <f t="shared" si="214"/>
        <v>0</v>
      </c>
      <c r="I142" s="9" t="s">
        <v>1235</v>
      </c>
      <c r="J142" s="9">
        <f t="shared" si="215"/>
        <v>0</v>
      </c>
      <c r="K142" s="9">
        <f t="shared" si="216"/>
        <v>0</v>
      </c>
      <c r="L142" s="9">
        <f t="shared" si="217"/>
        <v>0</v>
      </c>
      <c r="M142" s="11">
        <f t="shared" si="223"/>
        <v>0</v>
      </c>
      <c r="N142" s="9">
        <f t="shared" si="218"/>
        <v>0</v>
      </c>
      <c r="O142" s="12">
        <f t="shared" si="219"/>
        <v>0</v>
      </c>
      <c r="P142" s="13" t="str">
        <f t="shared" si="122"/>
        <v>NO</v>
      </c>
      <c r="Q142" s="48">
        <f t="shared" si="220"/>
        <v>0</v>
      </c>
      <c r="R142">
        <f t="shared" si="221"/>
        <v>100</v>
      </c>
      <c r="S142">
        <f t="shared" si="222"/>
        <v>0</v>
      </c>
      <c r="W142"/>
    </row>
    <row r="143" spans="1:23" ht="15" hidden="1" customHeight="1" x14ac:dyDescent="0.3">
      <c r="A143" s="34" t="s">
        <v>1233</v>
      </c>
      <c r="B143" s="36">
        <v>102</v>
      </c>
      <c r="C143" s="29" t="s">
        <v>1252</v>
      </c>
      <c r="D143" s="29" t="str">
        <f t="shared" si="224"/>
        <v>INCLUIDO</v>
      </c>
      <c r="E143" s="27" t="s">
        <v>1186</v>
      </c>
      <c r="F143" s="43">
        <v>0</v>
      </c>
      <c r="G143" s="42">
        <v>0</v>
      </c>
      <c r="H143" s="9">
        <f t="shared" si="214"/>
        <v>0</v>
      </c>
      <c r="I143" s="9" t="s">
        <v>1235</v>
      </c>
      <c r="J143" s="9">
        <f t="shared" si="215"/>
        <v>0</v>
      </c>
      <c r="K143" s="9">
        <f t="shared" si="216"/>
        <v>0</v>
      </c>
      <c r="L143" s="9">
        <f t="shared" si="217"/>
        <v>0</v>
      </c>
      <c r="M143" s="11">
        <f t="shared" si="223"/>
        <v>0</v>
      </c>
      <c r="N143" s="9">
        <f t="shared" si="218"/>
        <v>0</v>
      </c>
      <c r="O143" s="12">
        <f t="shared" si="219"/>
        <v>0</v>
      </c>
      <c r="P143" s="13" t="str">
        <f t="shared" si="122"/>
        <v>NO</v>
      </c>
      <c r="Q143" s="48">
        <f t="shared" si="220"/>
        <v>0</v>
      </c>
      <c r="R143">
        <f t="shared" si="221"/>
        <v>100</v>
      </c>
      <c r="S143">
        <f t="shared" si="222"/>
        <v>0</v>
      </c>
      <c r="W143"/>
    </row>
    <row r="144" spans="1:23" ht="15" hidden="1" customHeight="1" x14ac:dyDescent="0.3">
      <c r="A144" s="34" t="s">
        <v>1233</v>
      </c>
      <c r="B144" s="36">
        <v>100</v>
      </c>
      <c r="C144" s="29" t="s">
        <v>1251</v>
      </c>
      <c r="D144" s="29" t="str">
        <f t="shared" si="224"/>
        <v>INCLUIDO</v>
      </c>
      <c r="E144" s="27" t="s">
        <v>1186</v>
      </c>
      <c r="F144" s="43">
        <v>0</v>
      </c>
      <c r="G144" s="42">
        <v>0</v>
      </c>
      <c r="H144" s="9">
        <f t="shared" si="214"/>
        <v>0</v>
      </c>
      <c r="I144" s="9" t="s">
        <v>1235</v>
      </c>
      <c r="J144" s="9">
        <f t="shared" si="215"/>
        <v>0</v>
      </c>
      <c r="K144" s="9">
        <f t="shared" si="216"/>
        <v>0</v>
      </c>
      <c r="L144" s="9">
        <f t="shared" si="217"/>
        <v>0</v>
      </c>
      <c r="M144" s="11">
        <f t="shared" si="223"/>
        <v>0</v>
      </c>
      <c r="N144" s="9">
        <f t="shared" si="218"/>
        <v>0</v>
      </c>
      <c r="O144" s="12">
        <f t="shared" si="219"/>
        <v>0</v>
      </c>
      <c r="P144" s="13" t="str">
        <f t="shared" si="122"/>
        <v>NO</v>
      </c>
      <c r="Q144" s="48">
        <f t="shared" si="220"/>
        <v>0</v>
      </c>
      <c r="R144">
        <f t="shared" si="221"/>
        <v>100</v>
      </c>
      <c r="S144">
        <f t="shared" si="222"/>
        <v>0</v>
      </c>
      <c r="W144"/>
    </row>
    <row r="145" spans="1:19" s="18" customFormat="1" ht="15" hidden="1" customHeight="1" x14ac:dyDescent="0.3">
      <c r="A145" s="24"/>
      <c r="B145" s="26"/>
      <c r="C145" s="15" t="s">
        <v>1177</v>
      </c>
      <c r="D145" s="38" t="str">
        <f>'Ramo Comercial'!C174</f>
        <v>INCLUIDO</v>
      </c>
      <c r="E145" s="38"/>
      <c r="F145" s="16">
        <f>SUMIF(E139:E144,"Adicional",F139:F144)</f>
        <v>0</v>
      </c>
      <c r="G145" s="17"/>
      <c r="H145" s="16">
        <f>SUM(H139:H144)</f>
        <v>0</v>
      </c>
      <c r="I145" s="16"/>
      <c r="J145" s="16">
        <f t="shared" ref="J145:L145" si="225">SUM(J139:J144)</f>
        <v>0</v>
      </c>
      <c r="K145" s="16">
        <f t="shared" si="225"/>
        <v>0</v>
      </c>
      <c r="L145" s="16">
        <f t="shared" si="225"/>
        <v>0</v>
      </c>
      <c r="M145" s="16" t="s">
        <v>1178</v>
      </c>
      <c r="N145" s="16">
        <f t="shared" ref="N145:O145" si="226">SUM(N139:N144)</f>
        <v>0</v>
      </c>
      <c r="O145" s="84">
        <f t="shared" si="226"/>
        <v>0</v>
      </c>
      <c r="P145" s="13" t="str">
        <f t="shared" si="122"/>
        <v>NO</v>
      </c>
      <c r="Q145">
        <f>IF(D145="INCLUIDO",IF(H145&lt;&gt;0,1,0),0)</f>
        <v>0</v>
      </c>
    </row>
    <row r="146" spans="1:19" customFormat="1" ht="15" hidden="1" customHeight="1" x14ac:dyDescent="0.3">
      <c r="A146" s="82">
        <v>905</v>
      </c>
      <c r="B146" s="33">
        <v>9</v>
      </c>
      <c r="C146" s="19" t="s">
        <v>1254</v>
      </c>
      <c r="D146" s="23" t="str">
        <f>$D$100</f>
        <v>INCLUIDO</v>
      </c>
      <c r="E146" s="91"/>
      <c r="F146" s="42">
        <v>0</v>
      </c>
      <c r="G146" s="28"/>
      <c r="H146" s="28"/>
      <c r="I146" s="28"/>
      <c r="J146" s="28"/>
      <c r="K146" s="28"/>
      <c r="L146" s="28"/>
      <c r="M146" s="68">
        <v>0</v>
      </c>
      <c r="N146" s="28"/>
      <c r="O146" s="83"/>
      <c r="P146" s="13" t="str">
        <f t="shared" si="122"/>
        <v>NO</v>
      </c>
      <c r="Q146" s="48">
        <f>IF(D146="INCLUIDO",IF(F146&lt;&gt;0,1,0),0)</f>
        <v>0</v>
      </c>
    </row>
    <row r="147" spans="1:19" customFormat="1" ht="15" hidden="1" customHeight="1" x14ac:dyDescent="0.3">
      <c r="A147" s="34" t="s">
        <v>1233</v>
      </c>
      <c r="B147" s="36">
        <v>104</v>
      </c>
      <c r="C147" s="29" t="s">
        <v>1255</v>
      </c>
      <c r="D147" s="29" t="str">
        <f>D146</f>
        <v>INCLUIDO</v>
      </c>
      <c r="E147" s="27" t="s">
        <v>1186</v>
      </c>
      <c r="F147" s="20">
        <v>0</v>
      </c>
      <c r="G147" s="21">
        <v>0</v>
      </c>
      <c r="H147" s="9">
        <f>(IF(I147="$ Prima",G147,G147*F147/R147))*$U$9</f>
        <v>0</v>
      </c>
      <c r="I147" s="9" t="s">
        <v>1235</v>
      </c>
      <c r="J147" s="9">
        <f>H147*$U$7</f>
        <v>0</v>
      </c>
      <c r="K147" s="9">
        <f>(H147+J147)*$K$15</f>
        <v>0</v>
      </c>
      <c r="L147" s="9">
        <f>ROUND(H147+J147+K147,2)</f>
        <v>0</v>
      </c>
      <c r="M147" s="11">
        <f>M146</f>
        <v>0</v>
      </c>
      <c r="N147" s="9">
        <f>H147*M147</f>
        <v>0</v>
      </c>
      <c r="O147" s="12">
        <f>N147</f>
        <v>0</v>
      </c>
      <c r="P147" s="13" t="str">
        <f t="shared" si="122"/>
        <v>NO</v>
      </c>
      <c r="Q147">
        <f>IF(D147="INCLUIDO",IF(F147&lt;&gt;0,1,0),0)</f>
        <v>0</v>
      </c>
      <c r="R147">
        <f>IF(I147="%o Al Millar",1000,IF(I147="% Al Porciento",100,IF(I147="$ Prima",G147)))</f>
        <v>100</v>
      </c>
      <c r="S147">
        <f t="shared" ref="S147" si="227">IF(E147="Excluido",0,IF(D147="NO APLICA",0,1))</f>
        <v>0</v>
      </c>
    </row>
    <row r="148" spans="1:19" s="18" customFormat="1" ht="15" hidden="1" customHeight="1" x14ac:dyDescent="0.3">
      <c r="A148" s="24"/>
      <c r="B148" s="26"/>
      <c r="C148" s="15" t="s">
        <v>1177</v>
      </c>
      <c r="D148" s="38" t="str">
        <f>D147</f>
        <v>INCLUIDO</v>
      </c>
      <c r="E148" s="38"/>
      <c r="F148" s="16">
        <f>F147</f>
        <v>0</v>
      </c>
      <c r="G148" s="17"/>
      <c r="H148" s="16">
        <f>SUM(H147)</f>
        <v>0</v>
      </c>
      <c r="I148" s="16"/>
      <c r="J148" s="16">
        <f t="shared" ref="J148:L148" si="228">SUM(J147)</f>
        <v>0</v>
      </c>
      <c r="K148" s="16">
        <f t="shared" si="228"/>
        <v>0</v>
      </c>
      <c r="L148" s="16">
        <f t="shared" si="228"/>
        <v>0</v>
      </c>
      <c r="M148" s="16" t="s">
        <v>1178</v>
      </c>
      <c r="N148" s="16">
        <f t="shared" ref="N148:O148" si="229">SUM(N147)</f>
        <v>0</v>
      </c>
      <c r="O148" s="84">
        <f t="shared" si="229"/>
        <v>0</v>
      </c>
      <c r="P148" s="13" t="str">
        <f t="shared" si="122"/>
        <v>NO</v>
      </c>
      <c r="Q148">
        <f>IF(D148="INCLUIDO",IF(H148&lt;&gt;0,1,0),0)</f>
        <v>0</v>
      </c>
    </row>
    <row r="149" spans="1:19" customFormat="1" ht="22.5" hidden="1" customHeight="1" x14ac:dyDescent="0.3">
      <c r="A149" s="82">
        <v>905</v>
      </c>
      <c r="B149" s="33">
        <v>10</v>
      </c>
      <c r="C149" s="19" t="s">
        <v>1256</v>
      </c>
      <c r="D149" s="23" t="str">
        <f>'Ramo Comercial'!C176</f>
        <v>NO APLICA</v>
      </c>
      <c r="E149" s="91"/>
      <c r="F149" s="28"/>
      <c r="G149" s="28"/>
      <c r="H149" s="28"/>
      <c r="I149" s="28"/>
      <c r="J149" s="28"/>
      <c r="K149" s="28"/>
      <c r="L149" s="28"/>
      <c r="M149" s="68">
        <v>0</v>
      </c>
      <c r="N149" s="28"/>
      <c r="O149" s="83"/>
      <c r="P149" s="13" t="str">
        <f t="shared" si="122"/>
        <v>NO</v>
      </c>
      <c r="Q149" s="47">
        <f>IF(D149="INCLUIDO",IF(F150&lt;&gt;0,1,0),0)</f>
        <v>0</v>
      </c>
    </row>
    <row r="150" spans="1:19" customFormat="1" ht="15" hidden="1" customHeight="1" x14ac:dyDescent="0.3">
      <c r="A150" s="34" t="s">
        <v>1233</v>
      </c>
      <c r="B150" s="36">
        <v>105</v>
      </c>
      <c r="C150" s="29" t="s">
        <v>1256</v>
      </c>
      <c r="D150" s="29" t="str">
        <f>D149</f>
        <v>NO APLICA</v>
      </c>
      <c r="E150" s="27" t="s">
        <v>1152</v>
      </c>
      <c r="F150" s="20">
        <v>0</v>
      </c>
      <c r="G150" s="21">
        <v>0</v>
      </c>
      <c r="H150" s="9">
        <f>(IF(I150="$ Prima",G150,G150*F150/R150))*$U$9</f>
        <v>0</v>
      </c>
      <c r="I150" s="9" t="s">
        <v>1153</v>
      </c>
      <c r="J150" s="9">
        <f>H150*$U$7</f>
        <v>0</v>
      </c>
      <c r="K150" s="9">
        <f>(H150+J150)*$K$15</f>
        <v>0</v>
      </c>
      <c r="L150" s="9">
        <f>ROUND(H150+J150+K150,2)</f>
        <v>0</v>
      </c>
      <c r="M150" s="11">
        <f>M149</f>
        <v>0</v>
      </c>
      <c r="N150" s="9">
        <f>H150*M150</f>
        <v>0</v>
      </c>
      <c r="O150" s="12">
        <f>N150</f>
        <v>0</v>
      </c>
      <c r="P150" s="13" t="str">
        <f t="shared" si="122"/>
        <v>NO</v>
      </c>
      <c r="Q150">
        <f>IF(D150="INCLUIDO",IF(F150&lt;&gt;0,1,0),0)</f>
        <v>0</v>
      </c>
      <c r="R150">
        <f>IF(I150="%o Al Millar",1000,IF(I150="% Al Porciento",100,IF(I150="$ Prima",G150)))</f>
        <v>1000</v>
      </c>
      <c r="S150">
        <f t="shared" ref="S150" si="230">IF(E150="Excluido",0,IF(D150="NO APLICA",0,1))</f>
        <v>0</v>
      </c>
    </row>
    <row r="151" spans="1:19" s="18" customFormat="1" ht="15" hidden="1" customHeight="1" x14ac:dyDescent="0.3">
      <c r="A151" s="24"/>
      <c r="B151" s="26"/>
      <c r="C151" s="15" t="s">
        <v>1177</v>
      </c>
      <c r="D151" s="38" t="str">
        <f>D150</f>
        <v>NO APLICA</v>
      </c>
      <c r="E151" s="38"/>
      <c r="F151" s="16">
        <f>F150</f>
        <v>0</v>
      </c>
      <c r="G151" s="17"/>
      <c r="H151" s="16">
        <f>SUM(H150)</f>
        <v>0</v>
      </c>
      <c r="I151" s="16"/>
      <c r="J151" s="16">
        <f t="shared" ref="J151" si="231">SUM(J150)</f>
        <v>0</v>
      </c>
      <c r="K151" s="16">
        <f t="shared" ref="K151" si="232">SUM(K150)</f>
        <v>0</v>
      </c>
      <c r="L151" s="16">
        <f t="shared" ref="L151" si="233">SUM(L150)</f>
        <v>0</v>
      </c>
      <c r="M151" s="16" t="s">
        <v>1178</v>
      </c>
      <c r="N151" s="16">
        <f t="shared" ref="N151" si="234">SUM(N150)</f>
        <v>0</v>
      </c>
      <c r="O151" s="84">
        <f t="shared" ref="O151" si="235">SUM(O150)</f>
        <v>0</v>
      </c>
      <c r="P151" s="13" t="str">
        <f t="shared" si="122"/>
        <v>NO</v>
      </c>
      <c r="Q151">
        <f>IF(D151="INCLUIDO",IF(H151&lt;&gt;0,1,0),0)</f>
        <v>0</v>
      </c>
    </row>
    <row r="152" spans="1:19" customFormat="1" ht="15" hidden="1" customHeight="1" x14ac:dyDescent="0.3">
      <c r="A152" s="82">
        <v>905</v>
      </c>
      <c r="B152" s="33">
        <v>11</v>
      </c>
      <c r="C152" s="19" t="s">
        <v>1257</v>
      </c>
      <c r="D152" s="23" t="str">
        <f>'Ramo Comercial'!C177</f>
        <v>NO APLICA</v>
      </c>
      <c r="E152" s="91"/>
      <c r="F152" s="42">
        <v>0</v>
      </c>
      <c r="G152" s="28"/>
      <c r="H152" s="28"/>
      <c r="I152" s="28"/>
      <c r="J152" s="28"/>
      <c r="K152" s="28"/>
      <c r="L152" s="28"/>
      <c r="M152" s="68">
        <v>0</v>
      </c>
      <c r="N152" s="28"/>
      <c r="O152" s="83"/>
      <c r="P152" s="13" t="str">
        <f t="shared" si="122"/>
        <v>NO</v>
      </c>
      <c r="Q152" s="48">
        <f>IF(D152="INCLUIDO",IF(F152&lt;&gt;0,1,0),0)</f>
        <v>0</v>
      </c>
    </row>
    <row r="153" spans="1:19" customFormat="1" ht="15" hidden="1" customHeight="1" x14ac:dyDescent="0.3">
      <c r="A153" s="34" t="s">
        <v>1233</v>
      </c>
      <c r="B153" s="36">
        <v>224</v>
      </c>
      <c r="C153" s="29" t="s">
        <v>1257</v>
      </c>
      <c r="D153" s="29" t="str">
        <f>D152</f>
        <v>NO APLICA</v>
      </c>
      <c r="E153" s="27" t="s">
        <v>1152</v>
      </c>
      <c r="F153" s="20">
        <f>F152</f>
        <v>0</v>
      </c>
      <c r="G153" s="21">
        <v>0</v>
      </c>
      <c r="H153" s="9">
        <f>(IF(I153="$ Prima",G153,G153*F153/R153))*$U$9</f>
        <v>0</v>
      </c>
      <c r="I153" s="9" t="s">
        <v>1235</v>
      </c>
      <c r="J153" s="9">
        <f>H153*$U$7</f>
        <v>0</v>
      </c>
      <c r="K153" s="9">
        <f>(H153+J153)*$K$15</f>
        <v>0</v>
      </c>
      <c r="L153" s="9">
        <f>ROUND(H153+J153+K153,2)</f>
        <v>0</v>
      </c>
      <c r="M153" s="11">
        <f>M152</f>
        <v>0</v>
      </c>
      <c r="N153" s="9">
        <f>H153*M153</f>
        <v>0</v>
      </c>
      <c r="O153" s="12">
        <f>N153</f>
        <v>0</v>
      </c>
      <c r="P153" s="13" t="str">
        <f t="shared" si="122"/>
        <v>NO</v>
      </c>
      <c r="Q153">
        <f>IF(D153="INCLUIDO",IF(F153&lt;&gt;0,1,0),0)</f>
        <v>0</v>
      </c>
      <c r="R153">
        <f>IF(I153="%o Al Millar",1000,IF(I153="% Al Porciento",100,IF(I153="$ Prima",G153)))</f>
        <v>100</v>
      </c>
      <c r="S153">
        <f t="shared" ref="S153" si="236">IF(E153="Excluido",0,IF(D153="NO APLICA",0,1))</f>
        <v>0</v>
      </c>
    </row>
    <row r="154" spans="1:19" s="18" customFormat="1" ht="15" hidden="1" customHeight="1" x14ac:dyDescent="0.3">
      <c r="A154" s="24"/>
      <c r="B154" s="26"/>
      <c r="C154" s="15" t="s">
        <v>1177</v>
      </c>
      <c r="D154" s="38" t="str">
        <f>D153</f>
        <v>NO APLICA</v>
      </c>
      <c r="E154" s="38"/>
      <c r="F154" s="16">
        <f>F153</f>
        <v>0</v>
      </c>
      <c r="G154" s="17"/>
      <c r="H154" s="16">
        <f>SUM(H153)</f>
        <v>0</v>
      </c>
      <c r="I154" s="16"/>
      <c r="J154" s="16">
        <f t="shared" ref="J154" si="237">SUM(J153)</f>
        <v>0</v>
      </c>
      <c r="K154" s="16">
        <f t="shared" ref="K154" si="238">SUM(K153)</f>
        <v>0</v>
      </c>
      <c r="L154" s="16">
        <f t="shared" ref="L154" si="239">SUM(L153)</f>
        <v>0</v>
      </c>
      <c r="M154" s="16" t="s">
        <v>1178</v>
      </c>
      <c r="N154" s="16">
        <f t="shared" ref="N154" si="240">SUM(N153)</f>
        <v>0</v>
      </c>
      <c r="O154" s="84">
        <f t="shared" ref="O154" si="241">SUM(O153)</f>
        <v>0</v>
      </c>
      <c r="P154" s="13" t="str">
        <f t="shared" si="122"/>
        <v>NO</v>
      </c>
      <c r="Q154">
        <f>IF(D154="INCLUIDO",IF(H154&lt;&gt;0,1,0),0)</f>
        <v>0</v>
      </c>
    </row>
    <row r="155" spans="1:19" customFormat="1" ht="15" hidden="1" customHeight="1" x14ac:dyDescent="0.3">
      <c r="A155" s="82">
        <v>905</v>
      </c>
      <c r="B155" s="33">
        <v>12</v>
      </c>
      <c r="C155" s="19" t="s">
        <v>1258</v>
      </c>
      <c r="D155" s="23" t="str">
        <f>'Ramo Comercial'!C181</f>
        <v>NO APLICA</v>
      </c>
      <c r="E155" s="91"/>
      <c r="F155" s="97">
        <f>F154</f>
        <v>0</v>
      </c>
      <c r="G155" s="28"/>
      <c r="H155" s="28"/>
      <c r="I155" s="28"/>
      <c r="J155" s="28"/>
      <c r="K155" s="28"/>
      <c r="L155" s="28"/>
      <c r="M155" s="68">
        <v>0</v>
      </c>
      <c r="N155" s="28"/>
      <c r="O155" s="83"/>
      <c r="P155" s="13" t="str">
        <f t="shared" ref="P155:P160" si="242">IF(Q155=1,"SI","NO")</f>
        <v>NO</v>
      </c>
      <c r="Q155" s="47">
        <f>IF(D155="INCLUIDO",IF(F156&lt;&gt;0,1,0),0)</f>
        <v>0</v>
      </c>
    </row>
    <row r="156" spans="1:19" customFormat="1" ht="15" hidden="1" customHeight="1" x14ac:dyDescent="0.3">
      <c r="A156" s="34" t="s">
        <v>1233</v>
      </c>
      <c r="B156" s="36">
        <v>259</v>
      </c>
      <c r="C156" s="29" t="s">
        <v>1258</v>
      </c>
      <c r="D156" s="29" t="str">
        <f>D155</f>
        <v>NO APLICA</v>
      </c>
      <c r="E156" s="27" t="s">
        <v>1152</v>
      </c>
      <c r="F156" s="20">
        <v>0</v>
      </c>
      <c r="G156" s="21">
        <v>0</v>
      </c>
      <c r="H156" s="9">
        <f>(IF(I156="$ Prima",G156,G156*F156/R156))*$U$9</f>
        <v>0</v>
      </c>
      <c r="I156" s="9" t="s">
        <v>1235</v>
      </c>
      <c r="J156" s="9">
        <f>H156*$U$7</f>
        <v>0</v>
      </c>
      <c r="K156" s="9">
        <f>(H156+J156)*$K$15</f>
        <v>0</v>
      </c>
      <c r="L156" s="9">
        <f>ROUND(H156+J156+K156,2)</f>
        <v>0</v>
      </c>
      <c r="M156" s="11">
        <f>M155</f>
        <v>0</v>
      </c>
      <c r="N156" s="9">
        <f>H156*M156</f>
        <v>0</v>
      </c>
      <c r="O156" s="12">
        <f>N156</f>
        <v>0</v>
      </c>
      <c r="P156" s="13" t="str">
        <f t="shared" si="242"/>
        <v>NO</v>
      </c>
      <c r="Q156">
        <f>IF(D156="INCLUIDO",IF(F156&lt;&gt;0,1,0),0)</f>
        <v>0</v>
      </c>
      <c r="R156">
        <f>IF(I156="%o Al Millar",1000,IF(I156="% Al Porciento",100,IF(I156="$ Prima",G156)))</f>
        <v>100</v>
      </c>
      <c r="S156">
        <f t="shared" ref="S156" si="243">IF(E156="Excluido",0,IF(D156="NO APLICA",0,1))</f>
        <v>0</v>
      </c>
    </row>
    <row r="157" spans="1:19" s="18" customFormat="1" ht="15" hidden="1" customHeight="1" x14ac:dyDescent="0.3">
      <c r="A157" s="24"/>
      <c r="B157" s="26"/>
      <c r="C157" s="15" t="s">
        <v>1177</v>
      </c>
      <c r="D157" s="38" t="str">
        <f>D156</f>
        <v>NO APLICA</v>
      </c>
      <c r="E157" s="38"/>
      <c r="F157" s="16">
        <f>F156</f>
        <v>0</v>
      </c>
      <c r="G157" s="17"/>
      <c r="H157" s="16">
        <f>SUM(H156)</f>
        <v>0</v>
      </c>
      <c r="I157" s="16"/>
      <c r="J157" s="16">
        <f t="shared" ref="J157" si="244">SUM(J156)</f>
        <v>0</v>
      </c>
      <c r="K157" s="16">
        <f t="shared" ref="K157" si="245">SUM(K156)</f>
        <v>0</v>
      </c>
      <c r="L157" s="16">
        <f t="shared" ref="L157" si="246">SUM(L156)</f>
        <v>0</v>
      </c>
      <c r="M157" s="16" t="s">
        <v>1178</v>
      </c>
      <c r="N157" s="16">
        <f t="shared" ref="N157" si="247">SUM(N156)</f>
        <v>0</v>
      </c>
      <c r="O157" s="84">
        <f t="shared" ref="O157" si="248">SUM(O156)</f>
        <v>0</v>
      </c>
      <c r="P157" s="13" t="str">
        <f t="shared" si="242"/>
        <v>NO</v>
      </c>
      <c r="Q157">
        <f>IF(D157="INCLUIDO",IF(H157&lt;&gt;0,1,0),0)</f>
        <v>0</v>
      </c>
    </row>
    <row r="158" spans="1:19" customFormat="1" ht="15" hidden="1" customHeight="1" x14ac:dyDescent="0.3">
      <c r="A158" s="82">
        <v>905</v>
      </c>
      <c r="B158" s="33">
        <v>13</v>
      </c>
      <c r="C158" s="19" t="s">
        <v>1259</v>
      </c>
      <c r="D158" s="23" t="str">
        <f>'Ramo Comercial'!C180</f>
        <v>INCLUIDO</v>
      </c>
      <c r="E158" s="91"/>
      <c r="F158" s="42">
        <v>0</v>
      </c>
      <c r="G158" s="28"/>
      <c r="H158" s="28"/>
      <c r="I158" s="28"/>
      <c r="J158" s="28"/>
      <c r="K158" s="28"/>
      <c r="L158" s="28"/>
      <c r="M158" s="68">
        <v>0</v>
      </c>
      <c r="N158" s="28"/>
      <c r="O158" s="83"/>
      <c r="P158" s="13" t="str">
        <f t="shared" si="242"/>
        <v>NO</v>
      </c>
      <c r="Q158" s="48">
        <f>IF(D158="INCLUIDO",IF(F158&lt;&gt;0,1,0),0)</f>
        <v>0</v>
      </c>
    </row>
    <row r="159" spans="1:19" customFormat="1" ht="15" hidden="1" customHeight="1" x14ac:dyDescent="0.3">
      <c r="A159" s="34" t="s">
        <v>1233</v>
      </c>
      <c r="B159" s="36">
        <v>260</v>
      </c>
      <c r="C159" s="29" t="s">
        <v>1259</v>
      </c>
      <c r="D159" s="29" t="str">
        <f>D158</f>
        <v>INCLUIDO</v>
      </c>
      <c r="E159" s="27" t="s">
        <v>1186</v>
      </c>
      <c r="F159" s="20">
        <f>F158</f>
        <v>0</v>
      </c>
      <c r="G159" s="21">
        <v>0</v>
      </c>
      <c r="H159" s="9">
        <f>(IF(I159="$ Prima",G159,G159*F159/R159))*$U$9</f>
        <v>0</v>
      </c>
      <c r="I159" s="9" t="s">
        <v>1235</v>
      </c>
      <c r="J159" s="9">
        <f>H159*$U$7</f>
        <v>0</v>
      </c>
      <c r="K159" s="9">
        <f>(H159+J159)*$K$15</f>
        <v>0</v>
      </c>
      <c r="L159" s="9">
        <f>ROUND(H159+J159+K159,2)</f>
        <v>0</v>
      </c>
      <c r="M159" s="11">
        <f>M158</f>
        <v>0</v>
      </c>
      <c r="N159" s="9">
        <f>H159*M159</f>
        <v>0</v>
      </c>
      <c r="O159" s="12">
        <f>N159</f>
        <v>0</v>
      </c>
      <c r="P159" s="13" t="str">
        <f t="shared" si="242"/>
        <v>NO</v>
      </c>
      <c r="Q159">
        <f>IF(D159="INCLUIDO",IF(F159&lt;&gt;0,1,0),0)</f>
        <v>0</v>
      </c>
      <c r="R159">
        <f>IF(I159="%o Al Millar",1000,IF(I159="% Al Porciento",100,IF(I159="$ Prima",G159)))</f>
        <v>100</v>
      </c>
      <c r="S159">
        <f t="shared" ref="S159" si="249">IF(E159="Excluido",0,IF(D159="NO APLICA",0,1))</f>
        <v>0</v>
      </c>
    </row>
    <row r="160" spans="1:19" s="18" customFormat="1" ht="15" hidden="1" customHeight="1" thickBot="1" x14ac:dyDescent="0.35">
      <c r="A160" s="24"/>
      <c r="B160" s="26"/>
      <c r="C160" s="15" t="s">
        <v>1177</v>
      </c>
      <c r="D160" s="38" t="str">
        <f>D159</f>
        <v>INCLUIDO</v>
      </c>
      <c r="E160" s="38"/>
      <c r="F160" s="16">
        <f>F159</f>
        <v>0</v>
      </c>
      <c r="G160" s="17"/>
      <c r="H160" s="16">
        <f>SUM(H159)</f>
        <v>0</v>
      </c>
      <c r="I160" s="16"/>
      <c r="J160" s="16">
        <f t="shared" ref="J160" si="250">SUM(J159)</f>
        <v>0</v>
      </c>
      <c r="K160" s="16">
        <f t="shared" ref="K160" si="251">SUM(K159)</f>
        <v>0</v>
      </c>
      <c r="L160" s="16">
        <f t="shared" ref="L160" si="252">SUM(L159)</f>
        <v>0</v>
      </c>
      <c r="M160" s="16" t="s">
        <v>1178</v>
      </c>
      <c r="N160" s="16">
        <f t="shared" ref="N160" si="253">SUM(N159)</f>
        <v>0</v>
      </c>
      <c r="O160" s="84">
        <f t="shared" ref="O160" si="254">SUM(O159)</f>
        <v>0</v>
      </c>
      <c r="P160" s="13" t="str">
        <f t="shared" si="242"/>
        <v>NO</v>
      </c>
      <c r="Q160">
        <f>IF(D160="INCLUIDO",IF(H160&lt;&gt;0,1,0),0)</f>
        <v>0</v>
      </c>
    </row>
    <row r="161" spans="1:23" ht="21" hidden="1" customHeight="1" thickBot="1" x14ac:dyDescent="0.35">
      <c r="A161" s="82">
        <v>906</v>
      </c>
      <c r="B161" s="33">
        <v>1</v>
      </c>
      <c r="C161" s="19" t="s">
        <v>1260</v>
      </c>
      <c r="D161" s="23" t="str">
        <f>'Ramo Comercial'!C138</f>
        <v>INCLUIDO</v>
      </c>
      <c r="E161" s="91"/>
      <c r="F161" s="132">
        <f>'COTIZACIÓN M.N.'!D75</f>
        <v>0</v>
      </c>
      <c r="G161" s="132">
        <f>'COTIZACIÓN M.N.'!E75</f>
        <v>1.6</v>
      </c>
      <c r="H161" s="28"/>
      <c r="I161" s="28"/>
      <c r="J161" s="28"/>
      <c r="K161" s="28"/>
      <c r="L161" s="28"/>
      <c r="M161" s="68">
        <v>5.8000000000000003E-2</v>
      </c>
      <c r="N161" s="28"/>
      <c r="O161" s="83"/>
      <c r="P161" s="13" t="str">
        <f t="shared" ref="P161:P231" si="255">IF(Q161=1,"SI","NO")</f>
        <v>NO</v>
      </c>
      <c r="Q161" s="48">
        <f>IF(D161="INCLUIDO",IF(F161&lt;&gt;0,1,0),0)</f>
        <v>0</v>
      </c>
      <c r="T161" s="155">
        <f>G161</f>
        <v>1.6</v>
      </c>
      <c r="W161"/>
    </row>
    <row r="162" spans="1:23" ht="15" hidden="1" customHeight="1" x14ac:dyDescent="0.3">
      <c r="A162" s="34" t="s">
        <v>1261</v>
      </c>
      <c r="B162" s="36">
        <v>107</v>
      </c>
      <c r="C162" s="29" t="s">
        <v>1151</v>
      </c>
      <c r="D162" s="29" t="str">
        <f>D161</f>
        <v>INCLUIDO</v>
      </c>
      <c r="E162" s="27" t="s">
        <v>1152</v>
      </c>
      <c r="F162" s="20">
        <f>$F$161*S162</f>
        <v>0</v>
      </c>
      <c r="G162" s="21">
        <f>V162</f>
        <v>1.1200000000000001</v>
      </c>
      <c r="H162" s="9">
        <f t="shared" ref="H162:H165" si="256">(IF(I162="$ Prima",G162,G162*F162/R162))*$U$9</f>
        <v>0</v>
      </c>
      <c r="I162" s="9" t="s">
        <v>1153</v>
      </c>
      <c r="J162" s="9">
        <f t="shared" ref="J162:J165" si="257">H162*$U$7</f>
        <v>0</v>
      </c>
      <c r="K162" s="9">
        <f t="shared" ref="K162:K165" si="258">(H162+J162)*$K$15</f>
        <v>0</v>
      </c>
      <c r="L162" s="9">
        <f t="shared" ref="L162:L165" si="259">ROUND(H162+J162+K162,2)</f>
        <v>0</v>
      </c>
      <c r="M162" s="11">
        <f>$M$161</f>
        <v>5.8000000000000003E-2</v>
      </c>
      <c r="N162" s="9">
        <f t="shared" ref="N162:N165" si="260">H162*M162</f>
        <v>0</v>
      </c>
      <c r="O162" s="12">
        <f t="shared" ref="O162:O165" si="261">N162</f>
        <v>0</v>
      </c>
      <c r="P162" s="13" t="str">
        <f t="shared" si="255"/>
        <v>NO</v>
      </c>
      <c r="Q162">
        <f>IF(D162="INCLUIDO",IF(F162&lt;&gt;0,1,0),0)</f>
        <v>0</v>
      </c>
      <c r="R162">
        <f>IF(I162="%o Al Millar",1000,IF(I162="% Al Porciento",100,IF(I162="$ Prima",G162)))</f>
        <v>1000</v>
      </c>
      <c r="S162">
        <f t="shared" ref="S162:S165" si="262">IF(E162="Excluido",0,IF(D162="NO APLICA",0,1))</f>
        <v>1</v>
      </c>
      <c r="T162" s="156">
        <v>0.7</v>
      </c>
      <c r="U162" s="157">
        <f>IF(E162="Excluido",0,T161*T162)</f>
        <v>1.1199999999999999</v>
      </c>
      <c r="V162" s="158">
        <f>IF(D161="NO APLICA",0,(U166-U164)+(T161-U166))</f>
        <v>1.1200000000000001</v>
      </c>
      <c r="W162"/>
    </row>
    <row r="163" spans="1:23" ht="15" hidden="1" customHeight="1" x14ac:dyDescent="0.3">
      <c r="A163" s="34" t="s">
        <v>1261</v>
      </c>
      <c r="B163" s="36"/>
      <c r="C163" s="81">
        <f>$O$12</f>
        <v>0</v>
      </c>
      <c r="D163" s="29" t="str">
        <f t="shared" ref="D163:D175" si="263">$D$161</f>
        <v>INCLUIDO</v>
      </c>
      <c r="E163" s="27" t="s">
        <v>1186</v>
      </c>
      <c r="F163" s="9">
        <f>(F162*$O$12)*S163</f>
        <v>0</v>
      </c>
      <c r="G163" s="10">
        <f>G162*0.35</f>
        <v>0.39200000000000002</v>
      </c>
      <c r="H163" s="9">
        <f t="shared" ref="H163" si="264">(IF(I163="$ Prima",G163,G163*F163/R163))*$U$9</f>
        <v>0</v>
      </c>
      <c r="I163" s="9" t="s">
        <v>1153</v>
      </c>
      <c r="J163" s="9">
        <f t="shared" ref="J163" si="265">H163*$U$7</f>
        <v>0</v>
      </c>
      <c r="K163" s="9">
        <f t="shared" ref="K163" si="266">(H163+J163)*$K$15</f>
        <v>0</v>
      </c>
      <c r="L163" s="9">
        <f t="shared" ref="L163" si="267">ROUND(H163+J163+K163,2)</f>
        <v>0</v>
      </c>
      <c r="M163" s="11">
        <f t="shared" ref="M163:M165" si="268">$M$161</f>
        <v>5.8000000000000003E-2</v>
      </c>
      <c r="N163" s="9">
        <f t="shared" ref="N163" si="269">H163*M163</f>
        <v>0</v>
      </c>
      <c r="O163" s="12">
        <f t="shared" ref="O163" si="270">N163</f>
        <v>0</v>
      </c>
      <c r="P163" s="13" t="str">
        <f t="shared" ref="P163" si="271">IF(Q163=1,"SI","NO")</f>
        <v>NO</v>
      </c>
      <c r="Q163">
        <f>IF(D163="INCLUIDO",IF(F163&lt;&gt;0,1,0),0)</f>
        <v>0</v>
      </c>
      <c r="R163">
        <f>IF(I163="%o Al Millar",1000,IF(I163="% Al Porciento",100,IF(I163="$ Prima",G163)))</f>
        <v>1000</v>
      </c>
      <c r="S163">
        <f t="shared" si="262"/>
        <v>0</v>
      </c>
      <c r="T163" s="152"/>
      <c r="U163" s="159"/>
      <c r="V163" s="160"/>
      <c r="W163"/>
    </row>
    <row r="164" spans="1:23" ht="15" hidden="1" customHeight="1" x14ac:dyDescent="0.3">
      <c r="A164" s="34" t="s">
        <v>1261</v>
      </c>
      <c r="B164" s="36">
        <v>106</v>
      </c>
      <c r="C164" s="29" t="s">
        <v>1262</v>
      </c>
      <c r="D164" s="29" t="str">
        <f t="shared" si="263"/>
        <v>INCLUIDO</v>
      </c>
      <c r="E164" s="27" t="s">
        <v>1137</v>
      </c>
      <c r="F164" s="20">
        <f>$F$161*S164</f>
        <v>0</v>
      </c>
      <c r="G164" s="21">
        <f>V164</f>
        <v>0</v>
      </c>
      <c r="H164" s="9">
        <f t="shared" si="256"/>
        <v>0</v>
      </c>
      <c r="I164" s="9" t="s">
        <v>1153</v>
      </c>
      <c r="J164" s="9">
        <f t="shared" si="257"/>
        <v>0</v>
      </c>
      <c r="K164" s="9">
        <f t="shared" si="258"/>
        <v>0</v>
      </c>
      <c r="L164" s="9">
        <f t="shared" si="259"/>
        <v>0</v>
      </c>
      <c r="M164" s="11">
        <f t="shared" si="268"/>
        <v>5.8000000000000003E-2</v>
      </c>
      <c r="N164" s="9">
        <f t="shared" si="260"/>
        <v>0</v>
      </c>
      <c r="O164" s="12">
        <f t="shared" si="261"/>
        <v>0</v>
      </c>
      <c r="P164" s="13" t="str">
        <f t="shared" si="255"/>
        <v>NO</v>
      </c>
      <c r="Q164">
        <f>IF(D164="INCLUIDO",IF(F164&lt;&gt;0,1,0),0)</f>
        <v>0</v>
      </c>
      <c r="R164">
        <f>IF(I164="%o Al Millar",1000,IF(I164="% Al Porciento",100,IF(I164="$ Prima",G164)))</f>
        <v>1000</v>
      </c>
      <c r="S164">
        <f t="shared" si="262"/>
        <v>1</v>
      </c>
      <c r="T164" s="152">
        <v>0.3</v>
      </c>
      <c r="U164" s="159">
        <f>IF(E164="Excluido",0,$T$161*T164)</f>
        <v>0.48</v>
      </c>
      <c r="V164" s="160">
        <f>IF($F164=0,0,U164)</f>
        <v>0</v>
      </c>
      <c r="W164"/>
    </row>
    <row r="165" spans="1:23" ht="15" hidden="1" customHeight="1" thickBot="1" x14ac:dyDescent="0.35">
      <c r="A165" s="34" t="s">
        <v>1261</v>
      </c>
      <c r="B165" s="36"/>
      <c r="C165" s="81">
        <f>$O$12</f>
        <v>0</v>
      </c>
      <c r="D165" s="29" t="str">
        <f t="shared" si="263"/>
        <v>INCLUIDO</v>
      </c>
      <c r="E165" s="27" t="s">
        <v>1186</v>
      </c>
      <c r="F165" s="9">
        <f>(F164*$O$12)*S165</f>
        <v>0</v>
      </c>
      <c r="G165" s="10">
        <f>G164*0.35</f>
        <v>0</v>
      </c>
      <c r="H165" s="9">
        <f t="shared" si="256"/>
        <v>0</v>
      </c>
      <c r="I165" s="9" t="s">
        <v>1153</v>
      </c>
      <c r="J165" s="9">
        <f t="shared" si="257"/>
        <v>0</v>
      </c>
      <c r="K165" s="9">
        <f t="shared" si="258"/>
        <v>0</v>
      </c>
      <c r="L165" s="9">
        <f t="shared" si="259"/>
        <v>0</v>
      </c>
      <c r="M165" s="11">
        <f t="shared" si="268"/>
        <v>5.8000000000000003E-2</v>
      </c>
      <c r="N165" s="9">
        <f t="shared" si="260"/>
        <v>0</v>
      </c>
      <c r="O165" s="12">
        <f t="shared" si="261"/>
        <v>0</v>
      </c>
      <c r="P165" s="13" t="str">
        <f t="shared" si="255"/>
        <v>NO</v>
      </c>
      <c r="Q165">
        <f>IF(D165="INCLUIDO",IF(F165&lt;&gt;0,1,0),0)</f>
        <v>0</v>
      </c>
      <c r="R165">
        <f>IF(I165="%o Al Millar",1000,IF(I165="% Al Porciento",100,IF(I165="$ Prima",G165)))</f>
        <v>1000</v>
      </c>
      <c r="S165">
        <f t="shared" si="262"/>
        <v>0</v>
      </c>
      <c r="T165" s="154"/>
      <c r="V165" s="153"/>
      <c r="W165"/>
    </row>
    <row r="166" spans="1:23" s="18" customFormat="1" ht="15" hidden="1" customHeight="1" thickBot="1" x14ac:dyDescent="0.35">
      <c r="A166" s="24"/>
      <c r="B166" s="26"/>
      <c r="C166" s="15" t="s">
        <v>1177</v>
      </c>
      <c r="D166" s="38" t="str">
        <f>D165</f>
        <v>INCLUIDO</v>
      </c>
      <c r="E166" s="38"/>
      <c r="F166" s="16">
        <f>SUMIF(E162:E165,"Adicional",F162:F165)</f>
        <v>0</v>
      </c>
      <c r="G166" s="17"/>
      <c r="H166" s="16">
        <f>SUM(H162:H165)</f>
        <v>0</v>
      </c>
      <c r="I166" s="16"/>
      <c r="J166" s="16">
        <f t="shared" ref="J166:L166" si="272">SUM(J162:J165)</f>
        <v>0</v>
      </c>
      <c r="K166" s="16">
        <f t="shared" si="272"/>
        <v>0</v>
      </c>
      <c r="L166" s="16">
        <f t="shared" si="272"/>
        <v>0</v>
      </c>
      <c r="M166" s="16" t="s">
        <v>1178</v>
      </c>
      <c r="N166" s="16">
        <f t="shared" ref="N166:O166" si="273">SUM(N162:N165)</f>
        <v>0</v>
      </c>
      <c r="O166" s="84">
        <f t="shared" si="273"/>
        <v>0</v>
      </c>
      <c r="P166" s="13" t="str">
        <f t="shared" si="255"/>
        <v>NO</v>
      </c>
      <c r="Q166">
        <f>IF(D166="INCLUIDO",IF(H166&lt;&gt;0,1,0),0)</f>
        <v>0</v>
      </c>
      <c r="T166" s="161">
        <f>SUM(T162:T165)</f>
        <v>1</v>
      </c>
      <c r="U166" s="162">
        <f>SUM(U162:U164)</f>
        <v>1.5999999999999999</v>
      </c>
      <c r="V166" s="163">
        <f>SUM(V162:V164)</f>
        <v>1.1200000000000001</v>
      </c>
    </row>
    <row r="167" spans="1:23" ht="15" thickBot="1" x14ac:dyDescent="0.35">
      <c r="A167" s="82">
        <v>906</v>
      </c>
      <c r="B167" s="33">
        <v>2</v>
      </c>
      <c r="C167" s="19" t="s">
        <v>1263</v>
      </c>
      <c r="D167" s="23" t="str">
        <f>'Ramo Comercial'!C139</f>
        <v>INCLUIDO</v>
      </c>
      <c r="E167" s="91"/>
      <c r="F167" s="132">
        <f>'COTIZACIÓN M.N.'!D73</f>
        <v>250000</v>
      </c>
      <c r="G167" s="132">
        <f>'COTIZACIÓN M.N.'!E73</f>
        <v>5</v>
      </c>
      <c r="H167" s="28"/>
      <c r="I167" s="28"/>
      <c r="J167" s="28"/>
      <c r="K167" s="28"/>
      <c r="L167" s="28"/>
      <c r="M167" s="68">
        <v>0.1</v>
      </c>
      <c r="N167" s="28"/>
      <c r="O167" s="83"/>
      <c r="P167" s="13" t="str">
        <f t="shared" si="255"/>
        <v>SI</v>
      </c>
      <c r="Q167" s="48">
        <f>IF(D167="INCLUIDO",IF(F167&lt;&gt;0,1,0),0)</f>
        <v>1</v>
      </c>
      <c r="T167" s="142">
        <f>G167</f>
        <v>5</v>
      </c>
      <c r="U167" s="150"/>
      <c r="V167" s="151"/>
      <c r="W167" s="111" t="e">
        <f>'UB (1)'!H167+'UB (2)'!H167+'UB (3)'!H167+#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68" spans="1:23" x14ac:dyDescent="0.3">
      <c r="A168" s="34" t="s">
        <v>1261</v>
      </c>
      <c r="B168" s="36">
        <v>110</v>
      </c>
      <c r="C168" s="29" t="s">
        <v>1151</v>
      </c>
      <c r="D168" s="29" t="str">
        <f>D167</f>
        <v>INCLUIDO</v>
      </c>
      <c r="E168" s="27" t="s">
        <v>1152</v>
      </c>
      <c r="F168" s="20">
        <f>$F$167*S168</f>
        <v>250000</v>
      </c>
      <c r="G168" s="21">
        <f>V168</f>
        <v>3.5</v>
      </c>
      <c r="H168" s="9">
        <f t="shared" ref="H168:H171" si="274">(IF(I168="$ Prima",G168,G168*F168/R168))*$U$9</f>
        <v>875</v>
      </c>
      <c r="I168" s="9" t="s">
        <v>1153</v>
      </c>
      <c r="J168" s="9">
        <f t="shared" ref="J168:J171" si="275">H168*$U$7</f>
        <v>18.462500000000002</v>
      </c>
      <c r="K168" s="9">
        <f t="shared" ref="K168:K171" si="276">(H168+J168)*$K$15</f>
        <v>142.95400000000001</v>
      </c>
      <c r="L168" s="9">
        <f t="shared" ref="L168:L171" si="277">ROUND(H168+J168+K168,2)</f>
        <v>1036.42</v>
      </c>
      <c r="M168" s="11">
        <f>$M$167</f>
        <v>0.1</v>
      </c>
      <c r="N168" s="9">
        <f t="shared" ref="N168:N171" si="278">H168*M168</f>
        <v>87.5</v>
      </c>
      <c r="O168" s="12">
        <f t="shared" ref="O168:O171" si="279">N168</f>
        <v>87.5</v>
      </c>
      <c r="P168" s="13" t="str">
        <f t="shared" si="255"/>
        <v>SI</v>
      </c>
      <c r="Q168">
        <f>IF(D168="INCLUIDO",IF(F168&lt;&gt;0,1,0),0)</f>
        <v>1</v>
      </c>
      <c r="R168">
        <f>IF(I168="%o Al Millar",1000,IF(I168="% Al Porciento",100,IF(I168="$ Prima",G168)))</f>
        <v>1000</v>
      </c>
      <c r="S168">
        <f t="shared" ref="S168:S171" si="280">IF(E168="Excluido",0,IF(D168="NO APLICA",0,1))</f>
        <v>1</v>
      </c>
      <c r="T168" s="152">
        <v>0.7</v>
      </c>
      <c r="U168" s="159">
        <f>IF(E168="Excluido",0,T167*T168)</f>
        <v>3.5</v>
      </c>
      <c r="V168" s="160">
        <f>IF(D167="NO APLICA",0,(U172-U170)+(T167-U172))</f>
        <v>3.5</v>
      </c>
      <c r="W168" s="111" t="e">
        <f>'UB (1)'!H168+'UB (2)'!H168+'UB (3)'!H168+#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69" spans="1:23" hidden="1" x14ac:dyDescent="0.3">
      <c r="A169" s="34" t="s">
        <v>1261</v>
      </c>
      <c r="B169" s="36"/>
      <c r="C169" s="81">
        <f>$O$12</f>
        <v>0</v>
      </c>
      <c r="D169" s="29" t="str">
        <f t="shared" si="263"/>
        <v>INCLUIDO</v>
      </c>
      <c r="E169" s="27" t="s">
        <v>1186</v>
      </c>
      <c r="F169" s="9">
        <f>(F168*$O$12)*S169</f>
        <v>0</v>
      </c>
      <c r="G169" s="10">
        <f>G168*0.35</f>
        <v>1.2249999999999999</v>
      </c>
      <c r="H169" s="9">
        <f t="shared" si="274"/>
        <v>0</v>
      </c>
      <c r="I169" s="9" t="s">
        <v>1153</v>
      </c>
      <c r="J169" s="9">
        <f t="shared" si="275"/>
        <v>0</v>
      </c>
      <c r="K169" s="9">
        <f t="shared" si="276"/>
        <v>0</v>
      </c>
      <c r="L169" s="9">
        <f t="shared" si="277"/>
        <v>0</v>
      </c>
      <c r="M169" s="11">
        <f>M168</f>
        <v>0.1</v>
      </c>
      <c r="N169" s="9">
        <f t="shared" si="278"/>
        <v>0</v>
      </c>
      <c r="O169" s="12">
        <f t="shared" si="279"/>
        <v>0</v>
      </c>
      <c r="P169" s="13" t="str">
        <f t="shared" ref="P169" si="281">IF(Q169=1,"SI","NO")</f>
        <v>NO</v>
      </c>
      <c r="Q169">
        <f>IF(D169="INCLUIDO",IF(F169&lt;&gt;0,1,0),0)</f>
        <v>0</v>
      </c>
      <c r="R169">
        <f>IF(I169="%o Al Millar",1000,IF(I169="% Al Porciento",100,IF(I169="$ Prima",G169)))</f>
        <v>1000</v>
      </c>
      <c r="S169">
        <f t="shared" si="280"/>
        <v>0</v>
      </c>
      <c r="T169" s="152"/>
      <c r="U169" s="159"/>
      <c r="V169" s="160"/>
      <c r="W169"/>
    </row>
    <row r="170" spans="1:23" ht="15" customHeight="1" thickBot="1" x14ac:dyDescent="0.35">
      <c r="A170" s="34" t="s">
        <v>1261</v>
      </c>
      <c r="B170" s="36">
        <v>109</v>
      </c>
      <c r="C170" s="29" t="s">
        <v>1262</v>
      </c>
      <c r="D170" s="29" t="str">
        <f>D167</f>
        <v>INCLUIDO</v>
      </c>
      <c r="E170" s="27" t="s">
        <v>1137</v>
      </c>
      <c r="F170" s="20">
        <f>$F$167*S170</f>
        <v>250000</v>
      </c>
      <c r="G170" s="21">
        <f>V170</f>
        <v>1.5</v>
      </c>
      <c r="H170" s="9">
        <f t="shared" si="274"/>
        <v>375</v>
      </c>
      <c r="I170" s="9" t="s">
        <v>1153</v>
      </c>
      <c r="J170" s="9">
        <f t="shared" si="275"/>
        <v>7.9125000000000005</v>
      </c>
      <c r="K170" s="9">
        <f t="shared" si="276"/>
        <v>61.266000000000005</v>
      </c>
      <c r="L170" s="9">
        <f t="shared" si="277"/>
        <v>444.18</v>
      </c>
      <c r="M170" s="11">
        <f t="shared" ref="M170:M171" si="282">$M$167</f>
        <v>0.1</v>
      </c>
      <c r="N170" s="9">
        <f t="shared" si="278"/>
        <v>37.5</v>
      </c>
      <c r="O170" s="12">
        <f t="shared" si="279"/>
        <v>37.5</v>
      </c>
      <c r="P170" s="13" t="str">
        <f t="shared" si="255"/>
        <v>SI</v>
      </c>
      <c r="Q170">
        <f>IF(D170="INCLUIDO",IF(F170&lt;&gt;0,1,0),0)</f>
        <v>1</v>
      </c>
      <c r="R170">
        <f>IF(I170="%o Al Millar",1000,IF(I170="% Al Porciento",100,IF(I170="$ Prima",G170)))</f>
        <v>1000</v>
      </c>
      <c r="S170">
        <f t="shared" si="280"/>
        <v>1</v>
      </c>
      <c r="T170" s="152">
        <v>0.3</v>
      </c>
      <c r="U170" s="159">
        <f>IF(E170="Excluido",0,$T$167*T170)</f>
        <v>1.5</v>
      </c>
      <c r="V170" s="160">
        <f>IF($F170=0,0,U170)</f>
        <v>1.5</v>
      </c>
      <c r="W170" s="111" t="e">
        <f>'UB (1)'!H170+'UB (2)'!H170+'UB (3)'!H170+#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71" spans="1:23" ht="15" hidden="1" customHeight="1" thickBot="1" x14ac:dyDescent="0.35">
      <c r="A171" s="34" t="s">
        <v>1261</v>
      </c>
      <c r="B171" s="36"/>
      <c r="C171" s="81">
        <f>$O$12</f>
        <v>0</v>
      </c>
      <c r="D171" s="29" t="str">
        <f>D167</f>
        <v>INCLUIDO</v>
      </c>
      <c r="E171" s="27" t="s">
        <v>1186</v>
      </c>
      <c r="F171" s="9">
        <f>(F170*$O$12)*S171</f>
        <v>0</v>
      </c>
      <c r="G171" s="10">
        <f>G170*0.35</f>
        <v>0.52499999999999991</v>
      </c>
      <c r="H171" s="9">
        <f t="shared" si="274"/>
        <v>0</v>
      </c>
      <c r="I171" s="9" t="s">
        <v>1153</v>
      </c>
      <c r="J171" s="9">
        <f t="shared" si="275"/>
        <v>0</v>
      </c>
      <c r="K171" s="9">
        <f t="shared" si="276"/>
        <v>0</v>
      </c>
      <c r="L171" s="9">
        <f t="shared" si="277"/>
        <v>0</v>
      </c>
      <c r="M171" s="11">
        <f t="shared" si="282"/>
        <v>0.1</v>
      </c>
      <c r="N171" s="9">
        <f t="shared" si="278"/>
        <v>0</v>
      </c>
      <c r="O171" s="12">
        <f t="shared" si="279"/>
        <v>0</v>
      </c>
      <c r="P171" s="13" t="str">
        <f t="shared" si="255"/>
        <v>NO</v>
      </c>
      <c r="Q171">
        <f>IF(D171="INCLUIDO",IF(F171&lt;&gt;0,1,0),0)</f>
        <v>0</v>
      </c>
      <c r="R171">
        <f>IF(I171="%o Al Millar",1000,IF(I171="% Al Porciento",100,IF(I171="$ Prima",G171)))</f>
        <v>1000</v>
      </c>
      <c r="S171">
        <f t="shared" si="280"/>
        <v>0</v>
      </c>
      <c r="T171" s="164"/>
      <c r="U171" s="165"/>
      <c r="V171" s="166"/>
      <c r="W171"/>
    </row>
    <row r="172" spans="1:23" s="18" customFormat="1" ht="15" thickBot="1" x14ac:dyDescent="0.35">
      <c r="A172" s="24"/>
      <c r="B172" s="26"/>
      <c r="C172" s="15" t="s">
        <v>1177</v>
      </c>
      <c r="D172" s="38" t="str">
        <f>D171</f>
        <v>INCLUIDO</v>
      </c>
      <c r="E172" s="38"/>
      <c r="F172" s="16">
        <f>SUMIF(E168:E171,"Adicional",F168:F171)</f>
        <v>250000</v>
      </c>
      <c r="G172" s="17"/>
      <c r="H172" s="16">
        <f>SUM(H168:H171)</f>
        <v>1250</v>
      </c>
      <c r="I172" s="16"/>
      <c r="J172" s="16">
        <f t="shared" ref="J172:L172" si="283">SUM(J168:J171)</f>
        <v>26.375000000000004</v>
      </c>
      <c r="K172" s="16">
        <f t="shared" si="283"/>
        <v>204.22000000000003</v>
      </c>
      <c r="L172" s="16">
        <f t="shared" si="283"/>
        <v>1480.6000000000001</v>
      </c>
      <c r="M172" s="16" t="s">
        <v>1178</v>
      </c>
      <c r="N172" s="16">
        <f t="shared" ref="N172:O172" si="284">SUM(N168:N171)</f>
        <v>125</v>
      </c>
      <c r="O172" s="84">
        <f t="shared" si="284"/>
        <v>125</v>
      </c>
      <c r="P172" s="13" t="str">
        <f t="shared" si="255"/>
        <v>SI</v>
      </c>
      <c r="Q172">
        <f>IF(D172="INCLUIDO",IF(H172&lt;&gt;0,1,0),0)</f>
        <v>1</v>
      </c>
      <c r="T172" s="143">
        <f>SUM(T168:T171)</f>
        <v>1</v>
      </c>
      <c r="U172" s="144">
        <f>SUM(U168:U170)</f>
        <v>5</v>
      </c>
      <c r="V172" s="145">
        <f>SUM(V168:V170)</f>
        <v>5</v>
      </c>
      <c r="W172" s="111" t="e">
        <f>'UB (1)'!H172+'UB (2)'!H172+'UB (3)'!H172+#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73" spans="1:23" ht="15" hidden="1" customHeight="1" thickBot="1" x14ac:dyDescent="0.35">
      <c r="A173" s="82">
        <v>906</v>
      </c>
      <c r="B173" s="33">
        <v>3</v>
      </c>
      <c r="C173" s="19" t="s">
        <v>1264</v>
      </c>
      <c r="D173" s="23" t="str">
        <f>'Ramo Comercial'!C140</f>
        <v>INCLUIDO</v>
      </c>
      <c r="E173" s="91"/>
      <c r="F173" s="132">
        <v>0</v>
      </c>
      <c r="G173" s="132">
        <v>1</v>
      </c>
      <c r="H173" s="28"/>
      <c r="I173" s="28"/>
      <c r="J173" s="28"/>
      <c r="K173" s="28"/>
      <c r="L173" s="28"/>
      <c r="M173" s="68">
        <v>0</v>
      </c>
      <c r="N173" s="28"/>
      <c r="O173" s="83"/>
      <c r="P173" s="13" t="str">
        <f t="shared" si="255"/>
        <v>NO</v>
      </c>
      <c r="Q173" s="48">
        <f>IF(D173="INCLUIDO",IF(F173&lt;&gt;0,1,0),0)</f>
        <v>0</v>
      </c>
      <c r="T173" s="142">
        <f>G173</f>
        <v>1</v>
      </c>
      <c r="V173" s="153"/>
      <c r="W173"/>
    </row>
    <row r="174" spans="1:23" ht="15" hidden="1" customHeight="1" x14ac:dyDescent="0.3">
      <c r="A174" s="34" t="s">
        <v>1261</v>
      </c>
      <c r="B174" s="36">
        <v>114</v>
      </c>
      <c r="C174" s="29" t="s">
        <v>1151</v>
      </c>
      <c r="D174" s="29" t="str">
        <f>D173</f>
        <v>INCLUIDO</v>
      </c>
      <c r="E174" s="27" t="s">
        <v>1186</v>
      </c>
      <c r="F174" s="20">
        <f>$F$173*S174</f>
        <v>0</v>
      </c>
      <c r="G174" s="21">
        <f>V174</f>
        <v>1</v>
      </c>
      <c r="H174" s="9">
        <f t="shared" ref="H174:H177" si="285">(IF(I174="$ Prima",G174,G174*F174/R174))*$U$9</f>
        <v>0</v>
      </c>
      <c r="I174" s="9" t="s">
        <v>1235</v>
      </c>
      <c r="J174" s="9">
        <f t="shared" ref="J174:J177" si="286">H174*$U$7</f>
        <v>0</v>
      </c>
      <c r="K174" s="9">
        <f t="shared" ref="K174:K177" si="287">(H174+J174)*$K$15</f>
        <v>0</v>
      </c>
      <c r="L174" s="9">
        <f t="shared" ref="L174:L177" si="288">ROUND(H174+J174+K174,2)</f>
        <v>0</v>
      </c>
      <c r="M174" s="11">
        <f>$M$173</f>
        <v>0</v>
      </c>
      <c r="N174" s="9">
        <f t="shared" ref="N174:N177" si="289">H174*M174</f>
        <v>0</v>
      </c>
      <c r="O174" s="12">
        <f t="shared" ref="O174:O177" si="290">N174</f>
        <v>0</v>
      </c>
      <c r="P174" s="13" t="str">
        <f t="shared" si="255"/>
        <v>NO</v>
      </c>
      <c r="Q174">
        <f>IF(D174="INCLUIDO",IF(F174&lt;&gt;0,1,0),0)</f>
        <v>0</v>
      </c>
      <c r="R174">
        <f>IF(I174="%o Al Millar",1000,IF(I174="% Al Porciento",100,IF(I174="$ Prima",G174)))</f>
        <v>100</v>
      </c>
      <c r="S174">
        <f t="shared" ref="S174:S177" si="291">IF(E174="Excluido",0,IF(D174="NO APLICA",0,1))</f>
        <v>0</v>
      </c>
      <c r="T174" s="152">
        <v>0.4</v>
      </c>
      <c r="U174" s="159">
        <f>IF(E174="Excluido",0,T173*T174)</f>
        <v>0</v>
      </c>
      <c r="V174" s="160">
        <f>IF(D173="NO APLICA",0,(U186-U176-U180-U184)+(T173-U186))</f>
        <v>1</v>
      </c>
      <c r="W174"/>
    </row>
    <row r="175" spans="1:23" ht="15" hidden="1" customHeight="1" x14ac:dyDescent="0.3">
      <c r="A175" s="34" t="s">
        <v>1261</v>
      </c>
      <c r="B175" s="36"/>
      <c r="C175" s="81">
        <f>$O$12</f>
        <v>0</v>
      </c>
      <c r="D175" s="29" t="str">
        <f t="shared" si="263"/>
        <v>INCLUIDO</v>
      </c>
      <c r="E175" s="27" t="str">
        <f>E174</f>
        <v>Excluido</v>
      </c>
      <c r="F175" s="9">
        <f>(F174*$O$12)*S175</f>
        <v>0</v>
      </c>
      <c r="G175" s="10">
        <f>G174*0.35</f>
        <v>0.35</v>
      </c>
      <c r="H175" s="9">
        <f t="shared" si="285"/>
        <v>0</v>
      </c>
      <c r="I175" s="9" t="s">
        <v>1235</v>
      </c>
      <c r="J175" s="9">
        <f t="shared" si="286"/>
        <v>0</v>
      </c>
      <c r="K175" s="9">
        <f t="shared" si="287"/>
        <v>0</v>
      </c>
      <c r="L175" s="9">
        <f t="shared" si="288"/>
        <v>0</v>
      </c>
      <c r="M175" s="11">
        <f t="shared" ref="M175" si="292">$M$161</f>
        <v>5.8000000000000003E-2</v>
      </c>
      <c r="N175" s="9">
        <f t="shared" si="289"/>
        <v>0</v>
      </c>
      <c r="O175" s="12">
        <f t="shared" si="290"/>
        <v>0</v>
      </c>
      <c r="P175" s="13" t="str">
        <f t="shared" si="255"/>
        <v>NO</v>
      </c>
      <c r="Q175">
        <f>IF(D175="INCLUIDO",IF(F175&lt;&gt;0,1,0),0)</f>
        <v>0</v>
      </c>
      <c r="R175">
        <f>IF(I175="%o Al Millar",1000,IF(I175="% Al Porciento",100,IF(I175="$ Prima",G175)))</f>
        <v>100</v>
      </c>
      <c r="S175">
        <f t="shared" si="291"/>
        <v>0</v>
      </c>
      <c r="T175" s="152"/>
      <c r="U175" s="159"/>
      <c r="V175" s="160"/>
      <c r="W175"/>
    </row>
    <row r="176" spans="1:23" ht="15" hidden="1" customHeight="1" x14ac:dyDescent="0.3">
      <c r="A176" s="34" t="s">
        <v>1261</v>
      </c>
      <c r="B176" s="36">
        <v>113</v>
      </c>
      <c r="C176" s="29" t="s">
        <v>1262</v>
      </c>
      <c r="D176" s="29" t="str">
        <f>D173</f>
        <v>INCLUIDO</v>
      </c>
      <c r="E176" s="27" t="s">
        <v>1186</v>
      </c>
      <c r="F176" s="20">
        <f>$F$173*S176</f>
        <v>0</v>
      </c>
      <c r="G176" s="21">
        <f>V176</f>
        <v>0</v>
      </c>
      <c r="H176" s="9">
        <f t="shared" si="285"/>
        <v>0</v>
      </c>
      <c r="I176" s="9" t="s">
        <v>1235</v>
      </c>
      <c r="J176" s="9">
        <f t="shared" si="286"/>
        <v>0</v>
      </c>
      <c r="K176" s="9">
        <f t="shared" si="287"/>
        <v>0</v>
      </c>
      <c r="L176" s="9">
        <f t="shared" si="288"/>
        <v>0</v>
      </c>
      <c r="M176" s="11">
        <f t="shared" ref="M176:M177" si="293">$M$173</f>
        <v>0</v>
      </c>
      <c r="N176" s="9">
        <f t="shared" si="289"/>
        <v>0</v>
      </c>
      <c r="O176" s="12">
        <f t="shared" si="290"/>
        <v>0</v>
      </c>
      <c r="P176" s="13" t="str">
        <f t="shared" si="255"/>
        <v>NO</v>
      </c>
      <c r="Q176">
        <f>IF(D176="INCLUIDO",IF(F176&lt;&gt;0,1,0),0)</f>
        <v>0</v>
      </c>
      <c r="R176">
        <f>IF(I176="%o Al Millar",1000,IF(I176="% Al Porciento",100,IF(I176="$ Prima",G176)))</f>
        <v>100</v>
      </c>
      <c r="S176">
        <f t="shared" si="291"/>
        <v>0</v>
      </c>
      <c r="T176" s="152">
        <v>0.1</v>
      </c>
      <c r="U176" s="159">
        <f>IF(E176="Excluido",0,$T$173*T176)</f>
        <v>0</v>
      </c>
      <c r="V176" s="160">
        <f>IF($F176=0,0,U176)</f>
        <v>0</v>
      </c>
      <c r="W176"/>
    </row>
    <row r="177" spans="1:23" ht="15" hidden="1" customHeight="1" x14ac:dyDescent="0.3">
      <c r="A177" s="34" t="s">
        <v>1261</v>
      </c>
      <c r="B177" s="36"/>
      <c r="C177" s="81">
        <f>$O$12</f>
        <v>0</v>
      </c>
      <c r="D177" s="29" t="str">
        <f>D173</f>
        <v>INCLUIDO</v>
      </c>
      <c r="E177" s="27" t="str">
        <f>E176</f>
        <v>Excluido</v>
      </c>
      <c r="F177" s="9">
        <f>(F176*$O$12)*S177</f>
        <v>0</v>
      </c>
      <c r="G177" s="21">
        <v>0</v>
      </c>
      <c r="H177" s="9">
        <f t="shared" si="285"/>
        <v>0</v>
      </c>
      <c r="I177" s="9" t="s">
        <v>1235</v>
      </c>
      <c r="J177" s="9">
        <f t="shared" si="286"/>
        <v>0</v>
      </c>
      <c r="K177" s="9">
        <f t="shared" si="287"/>
        <v>0</v>
      </c>
      <c r="L177" s="9">
        <f t="shared" si="288"/>
        <v>0</v>
      </c>
      <c r="M177" s="11">
        <f t="shared" si="293"/>
        <v>0</v>
      </c>
      <c r="N177" s="9">
        <f t="shared" si="289"/>
        <v>0</v>
      </c>
      <c r="O177" s="12">
        <f t="shared" si="290"/>
        <v>0</v>
      </c>
      <c r="P177" s="13" t="str">
        <f t="shared" si="255"/>
        <v>NO</v>
      </c>
      <c r="Q177">
        <f>IF(D177="INCLUIDO",IF(F177&lt;&gt;0,1,0),0)</f>
        <v>0</v>
      </c>
      <c r="R177">
        <f>IF(I177="%o Al Millar",1000,IF(I177="% Al Porciento",100,IF(I177="$ Prima",G177)))</f>
        <v>100</v>
      </c>
      <c r="S177">
        <f t="shared" si="291"/>
        <v>0</v>
      </c>
      <c r="T177" s="154"/>
      <c r="V177" s="153"/>
      <c r="W177"/>
    </row>
    <row r="178" spans="1:23" s="18" customFormat="1" ht="15" hidden="1" customHeight="1" x14ac:dyDescent="0.3">
      <c r="A178" s="24"/>
      <c r="B178" s="26"/>
      <c r="C178" s="15" t="s">
        <v>1177</v>
      </c>
      <c r="D178" s="38" t="str">
        <f>D177</f>
        <v>INCLUIDO</v>
      </c>
      <c r="E178" s="38"/>
      <c r="F178" s="16"/>
      <c r="G178" s="17"/>
      <c r="H178" s="16">
        <f>SUM(H174:H177)</f>
        <v>0</v>
      </c>
      <c r="I178" s="16"/>
      <c r="J178" s="16">
        <f t="shared" ref="J178:L178" si="294">SUM(J174:J177)</f>
        <v>0</v>
      </c>
      <c r="K178" s="16">
        <f t="shared" si="294"/>
        <v>0</v>
      </c>
      <c r="L178" s="16">
        <f t="shared" si="294"/>
        <v>0</v>
      </c>
      <c r="M178" s="16" t="s">
        <v>1178</v>
      </c>
      <c r="N178" s="16">
        <f t="shared" ref="N178:O178" si="295">SUM(N174:N177)</f>
        <v>0</v>
      </c>
      <c r="O178" s="84">
        <f t="shared" si="295"/>
        <v>0</v>
      </c>
      <c r="P178" s="13" t="str">
        <f t="shared" si="255"/>
        <v>NO</v>
      </c>
      <c r="Q178">
        <f>IF(D178="INCLUIDO",IF(H178&lt;&gt;0,1,0),0)</f>
        <v>0</v>
      </c>
      <c r="T178" s="167"/>
      <c r="V178" s="168"/>
    </row>
    <row r="179" spans="1:23" ht="15" hidden="1" customHeight="1" x14ac:dyDescent="0.3">
      <c r="A179" s="82">
        <v>906</v>
      </c>
      <c r="B179" s="33">
        <v>4</v>
      </c>
      <c r="C179" s="19" t="s">
        <v>1265</v>
      </c>
      <c r="D179" s="23" t="str">
        <f>D173</f>
        <v>INCLUIDO</v>
      </c>
      <c r="E179" s="91"/>
      <c r="F179" s="113">
        <v>0</v>
      </c>
      <c r="G179" s="132"/>
      <c r="H179" s="28"/>
      <c r="I179" s="28"/>
      <c r="J179" s="28"/>
      <c r="K179" s="28"/>
      <c r="L179" s="28"/>
      <c r="M179" s="68">
        <v>0</v>
      </c>
      <c r="N179" s="28"/>
      <c r="O179" s="83"/>
      <c r="P179" s="13" t="str">
        <f t="shared" si="255"/>
        <v>NO</v>
      </c>
      <c r="Q179" s="48">
        <f>IF(D179="INCLUIDO",IF(F179&lt;&gt;0,1,0),0)</f>
        <v>0</v>
      </c>
      <c r="T179" s="154"/>
      <c r="V179" s="153"/>
      <c r="W179"/>
    </row>
    <row r="180" spans="1:23" ht="15" hidden="1" customHeight="1" x14ac:dyDescent="0.3">
      <c r="A180" s="34" t="s">
        <v>1261</v>
      </c>
      <c r="B180" s="36">
        <v>115</v>
      </c>
      <c r="C180" s="29" t="s">
        <v>1170</v>
      </c>
      <c r="D180" s="29" t="str">
        <f>D173</f>
        <v>INCLUIDO</v>
      </c>
      <c r="E180" s="27" t="s">
        <v>1186</v>
      </c>
      <c r="F180" s="20">
        <f>F179*S180</f>
        <v>0</v>
      </c>
      <c r="G180" s="21">
        <f>V180</f>
        <v>0</v>
      </c>
      <c r="H180" s="9">
        <f t="shared" ref="H180:H181" si="296">(IF(I180="$ Prima",G180,G180*F180/R180))*$U$9</f>
        <v>0</v>
      </c>
      <c r="I180" s="9" t="s">
        <v>1235</v>
      </c>
      <c r="J180" s="9">
        <f t="shared" ref="J180:J181" si="297">H180*$U$7</f>
        <v>0</v>
      </c>
      <c r="K180" s="9">
        <f t="shared" ref="K180:K181" si="298">(H180+J180)*$K$15</f>
        <v>0</v>
      </c>
      <c r="L180" s="9">
        <f t="shared" ref="L180:L181" si="299">ROUND(H180+J180+K180,2)</f>
        <v>0</v>
      </c>
      <c r="M180" s="11">
        <f>$M$179</f>
        <v>0</v>
      </c>
      <c r="N180" s="9">
        <f t="shared" ref="N180:N181" si="300">H180*M180</f>
        <v>0</v>
      </c>
      <c r="O180" s="12">
        <f t="shared" ref="O180:O181" si="301">N180</f>
        <v>0</v>
      </c>
      <c r="P180" s="13" t="str">
        <f t="shared" si="255"/>
        <v>NO</v>
      </c>
      <c r="Q180">
        <f>IF(D180="INCLUIDO",IF(F180&lt;&gt;0,1,0),0)</f>
        <v>0</v>
      </c>
      <c r="R180">
        <f>IF(I180="%o Al Millar",1000,IF(I180="% Al Porciento",100,IF(I180="$ Prima",G180)))</f>
        <v>100</v>
      </c>
      <c r="S180">
        <f t="shared" ref="S180:S181" si="302">IF(E180="Excluido",0,IF(D180="NO APLICA",0,1))</f>
        <v>0</v>
      </c>
      <c r="T180" s="152">
        <v>0.25</v>
      </c>
      <c r="U180" s="159">
        <f>IF(E180="Excluido",0,$T$173*T180)</f>
        <v>0</v>
      </c>
      <c r="V180" s="160">
        <f>IF($F180=0,0,U180)</f>
        <v>0</v>
      </c>
      <c r="W180"/>
    </row>
    <row r="181" spans="1:23" ht="15" hidden="1" customHeight="1" x14ac:dyDescent="0.3">
      <c r="A181" s="34" t="s">
        <v>1261</v>
      </c>
      <c r="B181" s="36"/>
      <c r="C181" s="81">
        <f>$O$12</f>
        <v>0</v>
      </c>
      <c r="D181" s="29" t="str">
        <f>D173</f>
        <v>INCLUIDO</v>
      </c>
      <c r="E181" s="27" t="str">
        <f>E180</f>
        <v>Excluido</v>
      </c>
      <c r="F181" s="9">
        <f>(F180*$O$12)*S181</f>
        <v>0</v>
      </c>
      <c r="G181" s="21">
        <v>0</v>
      </c>
      <c r="H181" s="9">
        <f t="shared" si="296"/>
        <v>0</v>
      </c>
      <c r="I181" s="9" t="s">
        <v>1235</v>
      </c>
      <c r="J181" s="9">
        <f t="shared" si="297"/>
        <v>0</v>
      </c>
      <c r="K181" s="9">
        <f t="shared" si="298"/>
        <v>0</v>
      </c>
      <c r="L181" s="9">
        <f t="shared" si="299"/>
        <v>0</v>
      </c>
      <c r="M181" s="11">
        <f>$M$179</f>
        <v>0</v>
      </c>
      <c r="N181" s="9">
        <f t="shared" si="300"/>
        <v>0</v>
      </c>
      <c r="O181" s="12">
        <f t="shared" si="301"/>
        <v>0</v>
      </c>
      <c r="P181" s="13" t="str">
        <f t="shared" si="255"/>
        <v>NO</v>
      </c>
      <c r="Q181">
        <f>IF(D181="INCLUIDO",IF(F181&lt;&gt;0,1,0),0)</f>
        <v>0</v>
      </c>
      <c r="R181">
        <f>IF(I181="%o Al Millar",1000,IF(I181="% Al Porciento",100,IF(I181="$ Prima",G181)))</f>
        <v>100</v>
      </c>
      <c r="S181">
        <f t="shared" si="302"/>
        <v>0</v>
      </c>
      <c r="T181" s="154"/>
      <c r="V181" s="153"/>
      <c r="W181"/>
    </row>
    <row r="182" spans="1:23" s="18" customFormat="1" ht="15" hidden="1" customHeight="1" x14ac:dyDescent="0.3">
      <c r="A182" s="24"/>
      <c r="B182" s="26"/>
      <c r="C182" s="15" t="s">
        <v>1177</v>
      </c>
      <c r="D182" s="38" t="str">
        <f>D181</f>
        <v>INCLUIDO</v>
      </c>
      <c r="E182" s="38"/>
      <c r="F182" s="16"/>
      <c r="G182" s="17"/>
      <c r="H182" s="16">
        <f>SUM(H180:H181)</f>
        <v>0</v>
      </c>
      <c r="I182" s="16"/>
      <c r="J182" s="16">
        <f t="shared" ref="J182:L182" si="303">SUM(J180:J181)</f>
        <v>0</v>
      </c>
      <c r="K182" s="16">
        <f t="shared" si="303"/>
        <v>0</v>
      </c>
      <c r="L182" s="16">
        <f t="shared" si="303"/>
        <v>0</v>
      </c>
      <c r="M182" s="16" t="s">
        <v>1178</v>
      </c>
      <c r="N182" s="16">
        <f t="shared" ref="N182:O182" si="304">SUM(N180:N181)</f>
        <v>0</v>
      </c>
      <c r="O182" s="84">
        <f t="shared" si="304"/>
        <v>0</v>
      </c>
      <c r="P182" s="13" t="str">
        <f t="shared" si="255"/>
        <v>NO</v>
      </c>
      <c r="Q182">
        <f>IF(D182="INCLUIDO",IF(H182&lt;&gt;0,1,0),0)</f>
        <v>0</v>
      </c>
      <c r="T182" s="167"/>
      <c r="V182" s="168"/>
    </row>
    <row r="183" spans="1:23" ht="15" hidden="1" customHeight="1" x14ac:dyDescent="0.3">
      <c r="A183" s="82">
        <v>906</v>
      </c>
      <c r="B183" s="33">
        <v>5</v>
      </c>
      <c r="C183" s="19" t="s">
        <v>1266</v>
      </c>
      <c r="D183" s="23" t="str">
        <f>D173</f>
        <v>INCLUIDO</v>
      </c>
      <c r="E183" s="91"/>
      <c r="F183" s="42">
        <v>0</v>
      </c>
      <c r="G183" s="43"/>
      <c r="H183" s="28"/>
      <c r="I183" s="28"/>
      <c r="J183" s="28"/>
      <c r="K183" s="28"/>
      <c r="L183" s="28"/>
      <c r="M183" s="68">
        <v>0</v>
      </c>
      <c r="N183" s="28"/>
      <c r="O183" s="83"/>
      <c r="P183" s="13" t="str">
        <f t="shared" si="255"/>
        <v>NO</v>
      </c>
      <c r="Q183" s="48">
        <f>IF(D183="INCLUIDO",IF(F183&lt;&gt;0,1,0),0)</f>
        <v>0</v>
      </c>
      <c r="T183" s="154"/>
      <c r="V183" s="153"/>
      <c r="W183"/>
    </row>
    <row r="184" spans="1:23" ht="15" hidden="1" customHeight="1" x14ac:dyDescent="0.3">
      <c r="A184" s="34" t="s">
        <v>1261</v>
      </c>
      <c r="B184" s="36">
        <v>116</v>
      </c>
      <c r="C184" s="29" t="s">
        <v>1267</v>
      </c>
      <c r="D184" s="29" t="str">
        <f>D173</f>
        <v>INCLUIDO</v>
      </c>
      <c r="E184" s="27" t="s">
        <v>1186</v>
      </c>
      <c r="F184" s="20">
        <f>F183*S184</f>
        <v>0</v>
      </c>
      <c r="G184" s="21">
        <f>V184</f>
        <v>0</v>
      </c>
      <c r="H184" s="9">
        <f t="shared" ref="H184:H185" si="305">(IF(I184="$ Prima",G184,G184*F184/R184))*$U$9</f>
        <v>0</v>
      </c>
      <c r="I184" s="9" t="s">
        <v>1235</v>
      </c>
      <c r="J184" s="9">
        <f t="shared" ref="J184:J185" si="306">H184*$U$7</f>
        <v>0</v>
      </c>
      <c r="K184" s="9">
        <f t="shared" ref="K184:K185" si="307">(H184+J184)*$K$15</f>
        <v>0</v>
      </c>
      <c r="L184" s="9">
        <f t="shared" ref="L184:L185" si="308">ROUND(H184+J184+K184,2)</f>
        <v>0</v>
      </c>
      <c r="M184" s="11">
        <f>$M$183</f>
        <v>0</v>
      </c>
      <c r="N184" s="9">
        <f t="shared" ref="N184:N185" si="309">H184*M184</f>
        <v>0</v>
      </c>
      <c r="O184" s="12">
        <f t="shared" ref="O184:O185" si="310">N184</f>
        <v>0</v>
      </c>
      <c r="P184" s="13" t="str">
        <f t="shared" si="255"/>
        <v>NO</v>
      </c>
      <c r="Q184">
        <f>IF(D184="INCLUIDO",IF(F184&lt;&gt;0,1,0),0)</f>
        <v>0</v>
      </c>
      <c r="R184">
        <f>IF(I184="%o Al Millar",1000,IF(I184="% Al Porciento",100,IF(I184="$ Prima",G184)))</f>
        <v>100</v>
      </c>
      <c r="S184">
        <f t="shared" ref="S184:S185" si="311">IF(E184="Excluido",0,IF(D184="NO APLICA",0,1))</f>
        <v>0</v>
      </c>
      <c r="T184" s="152">
        <v>0.25</v>
      </c>
      <c r="U184" s="159">
        <f>IF(E184="Excluido",0,$T$173*T184)</f>
        <v>0</v>
      </c>
      <c r="V184" s="160">
        <f>IF($F184=0,0,U184)</f>
        <v>0</v>
      </c>
      <c r="W184"/>
    </row>
    <row r="185" spans="1:23" ht="15" hidden="1" customHeight="1" thickBot="1" x14ac:dyDescent="0.35">
      <c r="A185" s="34" t="s">
        <v>1261</v>
      </c>
      <c r="B185" s="36"/>
      <c r="C185" s="81">
        <f>$O$12</f>
        <v>0</v>
      </c>
      <c r="D185" s="29" t="str">
        <f>D173</f>
        <v>INCLUIDO</v>
      </c>
      <c r="E185" s="27" t="str">
        <f>E184</f>
        <v>Excluido</v>
      </c>
      <c r="F185" s="9">
        <f>(F184*$O$12)*S185</f>
        <v>0</v>
      </c>
      <c r="G185" s="21">
        <v>0</v>
      </c>
      <c r="H185" s="9">
        <f t="shared" si="305"/>
        <v>0</v>
      </c>
      <c r="I185" s="9" t="s">
        <v>1235</v>
      </c>
      <c r="J185" s="9">
        <f t="shared" si="306"/>
        <v>0</v>
      </c>
      <c r="K185" s="9">
        <f t="shared" si="307"/>
        <v>0</v>
      </c>
      <c r="L185" s="9">
        <f t="shared" si="308"/>
        <v>0</v>
      </c>
      <c r="M185" s="11">
        <f>$M$183</f>
        <v>0</v>
      </c>
      <c r="N185" s="9">
        <f t="shared" si="309"/>
        <v>0</v>
      </c>
      <c r="O185" s="12">
        <f t="shared" si="310"/>
        <v>0</v>
      </c>
      <c r="P185" s="13" t="str">
        <f t="shared" si="255"/>
        <v>NO</v>
      </c>
      <c r="Q185">
        <f>IF(D185="INCLUIDO",IF(F185&lt;&gt;0,1,0),0)</f>
        <v>0</v>
      </c>
      <c r="R185">
        <f>IF(I185="%o Al Millar",1000,IF(I185="% Al Porciento",100,IF(I185="$ Prima",G185)))</f>
        <v>100</v>
      </c>
      <c r="S185">
        <f t="shared" si="311"/>
        <v>0</v>
      </c>
      <c r="T185" s="154"/>
      <c r="V185" s="153"/>
      <c r="W185"/>
    </row>
    <row r="186" spans="1:23" s="18" customFormat="1" ht="15" hidden="1" customHeight="1" thickBot="1" x14ac:dyDescent="0.35">
      <c r="A186" s="24"/>
      <c r="B186" s="26"/>
      <c r="C186" s="15" t="s">
        <v>1177</v>
      </c>
      <c r="D186" s="38" t="str">
        <f>D185</f>
        <v>INCLUIDO</v>
      </c>
      <c r="E186" s="38"/>
      <c r="F186" s="16">
        <f>SUMIF(E174:E185,"Adicional",F174:F185)</f>
        <v>0</v>
      </c>
      <c r="G186" s="17"/>
      <c r="H186" s="16">
        <f>SUM(H184:H185)</f>
        <v>0</v>
      </c>
      <c r="I186" s="16"/>
      <c r="J186" s="16">
        <f t="shared" ref="J186:L186" si="312">SUM(J184:J185)</f>
        <v>0</v>
      </c>
      <c r="K186" s="16">
        <f t="shared" si="312"/>
        <v>0</v>
      </c>
      <c r="L186" s="16">
        <f t="shared" si="312"/>
        <v>0</v>
      </c>
      <c r="M186" s="16" t="s">
        <v>1178</v>
      </c>
      <c r="N186" s="16">
        <f t="shared" ref="N186:O186" si="313">SUM(N184:N185)</f>
        <v>0</v>
      </c>
      <c r="O186" s="84">
        <f t="shared" si="313"/>
        <v>0</v>
      </c>
      <c r="P186" s="13" t="str">
        <f t="shared" si="255"/>
        <v>NO</v>
      </c>
      <c r="Q186">
        <f>IF(D186="INCLUIDO",IF(H186&lt;&gt;0,1,0),0)</f>
        <v>0</v>
      </c>
      <c r="T186" s="143">
        <f>SUM(T174:T185)</f>
        <v>1</v>
      </c>
      <c r="U186" s="144">
        <f t="shared" ref="U186:V186" si="314">SUM(U174:U185)</f>
        <v>0</v>
      </c>
      <c r="V186" s="145">
        <f t="shared" si="314"/>
        <v>1</v>
      </c>
    </row>
    <row r="187" spans="1:23" ht="15" thickBot="1" x14ac:dyDescent="0.35">
      <c r="A187" s="82">
        <v>906</v>
      </c>
      <c r="B187" s="33">
        <v>6</v>
      </c>
      <c r="C187" s="19" t="s">
        <v>1268</v>
      </c>
      <c r="D187" s="23" t="str">
        <f>'Ramo Comercial'!C145</f>
        <v>INCLUIDO</v>
      </c>
      <c r="E187" s="91"/>
      <c r="F187" s="43">
        <f>'COTIZACIÓN M.N.'!D80</f>
        <v>6500000</v>
      </c>
      <c r="G187" s="211">
        <f>'COTIZACIÓN M.N.'!E80</f>
        <v>18</v>
      </c>
      <c r="H187" s="28"/>
      <c r="I187" s="28"/>
      <c r="J187" s="28"/>
      <c r="K187" s="28"/>
      <c r="L187" s="28"/>
      <c r="M187" s="68">
        <f>M167</f>
        <v>0.1</v>
      </c>
      <c r="N187" s="28"/>
      <c r="O187" s="83"/>
      <c r="P187" s="13" t="str">
        <f t="shared" si="255"/>
        <v>SI</v>
      </c>
      <c r="Q187" s="47">
        <f>IF(D187="INCLUIDO",IF(F188&lt;&gt;0,1,0),0)</f>
        <v>1</v>
      </c>
      <c r="T187" s="142">
        <f>G187</f>
        <v>18</v>
      </c>
      <c r="U187" s="150"/>
      <c r="V187" s="151"/>
      <c r="W187" s="111" t="e">
        <f>'UB (1)'!H187+'UB (2)'!H187+'UB (3)'!H187+#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88" spans="1:23" x14ac:dyDescent="0.3">
      <c r="A188" s="34" t="s">
        <v>1261</v>
      </c>
      <c r="B188" s="36">
        <v>256</v>
      </c>
      <c r="C188" s="29" t="s">
        <v>1269</v>
      </c>
      <c r="D188" s="29" t="str">
        <f>$D$187</f>
        <v>INCLUIDO</v>
      </c>
      <c r="E188" s="27" t="s">
        <v>1152</v>
      </c>
      <c r="F188" s="9">
        <f>F187*S188</f>
        <v>6500000</v>
      </c>
      <c r="G188" s="21">
        <f>V188</f>
        <v>13.139999999999999</v>
      </c>
      <c r="H188" s="472">
        <f>(((IF(I188="$ Prima",G188,G188*F188/R188))*$U$9)/365)*$J$15+80.55</f>
        <v>85724.549999999988</v>
      </c>
      <c r="I188" s="9" t="s">
        <v>1153</v>
      </c>
      <c r="J188" s="9">
        <f t="shared" ref="J188:J201" si="315">H188*$U$7</f>
        <v>1808.7880049999999</v>
      </c>
      <c r="K188" s="9">
        <f t="shared" ref="K188:K201" si="316">(H188+J188)*$K$15</f>
        <v>14005.334080799998</v>
      </c>
      <c r="L188" s="9">
        <f t="shared" ref="L188:L201" si="317">ROUND(H188+J188+K188,2)</f>
        <v>101538.67</v>
      </c>
      <c r="M188" s="11">
        <f>$M$187</f>
        <v>0.1</v>
      </c>
      <c r="N188" s="9">
        <f t="shared" ref="N188:N201" si="318">H188*M188</f>
        <v>8572.4549999999999</v>
      </c>
      <c r="O188" s="12">
        <f t="shared" ref="O188:O201" si="319">N188</f>
        <v>8572.4549999999999</v>
      </c>
      <c r="P188" s="13" t="str">
        <f t="shared" si="255"/>
        <v>SI</v>
      </c>
      <c r="Q188">
        <f t="shared" ref="Q188:Q201" si="320">IF(D188="INCLUIDO",IF(F188&lt;&gt;0,1,0),0)</f>
        <v>1</v>
      </c>
      <c r="R188">
        <f t="shared" ref="R188:R201" si="321">IF(I188="%o Al Millar",1000,IF(I188="% Al Porciento",100,IF(I188="$ Prima",G188)))</f>
        <v>1000</v>
      </c>
      <c r="S188">
        <f t="shared" ref="S188:S201" si="322">IF(E188="Excluido",0,IF(D188="NO APLICA",0,1))</f>
        <v>1</v>
      </c>
      <c r="T188" s="152">
        <v>0.73</v>
      </c>
      <c r="U188" s="159">
        <f>IF(E188="Excluido",0,$T$187*T188)</f>
        <v>13.14</v>
      </c>
      <c r="V188" s="160">
        <f>IF(D187="NO APLICA",0,(U210-U192-U194-U196-U198-U204-U208)+(T187-U210))</f>
        <v>13.139999999999999</v>
      </c>
      <c r="W188" s="111" t="e">
        <f>'UB (1)'!H188+'UB (2)'!H188+'UB (3)'!H188+#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89" spans="1:23" hidden="1" x14ac:dyDescent="0.3">
      <c r="A189" s="34" t="s">
        <v>1261</v>
      </c>
      <c r="B189" s="36"/>
      <c r="C189" s="81">
        <f>$O$12</f>
        <v>0</v>
      </c>
      <c r="D189" s="29" t="str">
        <f t="shared" ref="D189:D201" si="323">$D$187</f>
        <v>INCLUIDO</v>
      </c>
      <c r="E189" s="27" t="s">
        <v>1186</v>
      </c>
      <c r="F189" s="9">
        <f>(F188*$O$12)*S189</f>
        <v>0</v>
      </c>
      <c r="G189" s="21">
        <f>(G188*0.35)*S189</f>
        <v>0</v>
      </c>
      <c r="H189" s="9">
        <f t="shared" ref="H189:H201" si="324">(IF(I189="$ Prima",G189,G189*F189/R189))*$U$9</f>
        <v>0</v>
      </c>
      <c r="I189" s="9" t="s">
        <v>1153</v>
      </c>
      <c r="J189" s="9">
        <f t="shared" si="315"/>
        <v>0</v>
      </c>
      <c r="K189" s="9">
        <f t="shared" si="316"/>
        <v>0</v>
      </c>
      <c r="L189" s="9">
        <f t="shared" si="317"/>
        <v>0</v>
      </c>
      <c r="M189" s="11">
        <f>M188</f>
        <v>0.1</v>
      </c>
      <c r="N189" s="9">
        <f t="shared" si="318"/>
        <v>0</v>
      </c>
      <c r="O189" s="12">
        <f t="shared" si="319"/>
        <v>0</v>
      </c>
      <c r="P189" s="13" t="str">
        <f t="shared" ref="P189" si="325">IF(Q189=1,"SI","NO")</f>
        <v>NO</v>
      </c>
      <c r="Q189">
        <f>IF(D189="INCLUIDO",IF(F189&lt;&gt;0,1,0),0)</f>
        <v>0</v>
      </c>
      <c r="R189">
        <f>IF(I189="%o Al Millar",1000,IF(I189="% Al Porciento",100,IF(I189="$ Prima",G189)))</f>
        <v>1000</v>
      </c>
      <c r="S189">
        <f t="shared" si="322"/>
        <v>0</v>
      </c>
      <c r="T189" s="152"/>
      <c r="U189" s="159"/>
      <c r="V189" s="160"/>
      <c r="W189"/>
    </row>
    <row r="190" spans="1:23" ht="15" customHeight="1" x14ac:dyDescent="0.3">
      <c r="A190" s="34" t="s">
        <v>1261</v>
      </c>
      <c r="B190" s="36">
        <v>257</v>
      </c>
      <c r="C190" s="29" t="s">
        <v>1270</v>
      </c>
      <c r="D190" s="29" t="str">
        <f t="shared" si="323"/>
        <v>INCLUIDO</v>
      </c>
      <c r="E190" s="27" t="s">
        <v>1137</v>
      </c>
      <c r="F190" s="43">
        <f>'COTIZACIÓN M.N.'!D81</f>
        <v>785000</v>
      </c>
      <c r="G190" s="132">
        <f>'COTIZACIÓN M.N.'!E81</f>
        <v>10</v>
      </c>
      <c r="H190" s="472">
        <f>(IF(I190="$ Prima",G190,G190*F190/R190))*$U$9+26</f>
        <v>7876</v>
      </c>
      <c r="I190" s="9" t="s">
        <v>1153</v>
      </c>
      <c r="J190" s="9">
        <f t="shared" si="315"/>
        <v>166.18360000000001</v>
      </c>
      <c r="K190" s="9">
        <f t="shared" si="316"/>
        <v>1286.749376</v>
      </c>
      <c r="L190" s="9">
        <f t="shared" si="317"/>
        <v>9328.93</v>
      </c>
      <c r="M190" s="11">
        <f>$M$187</f>
        <v>0.1</v>
      </c>
      <c r="N190" s="9">
        <f t="shared" si="318"/>
        <v>787.6</v>
      </c>
      <c r="O190" s="12">
        <f t="shared" si="319"/>
        <v>787.6</v>
      </c>
      <c r="P190" s="13" t="str">
        <f t="shared" si="255"/>
        <v>SI</v>
      </c>
      <c r="Q190">
        <f t="shared" si="320"/>
        <v>1</v>
      </c>
      <c r="R190">
        <f t="shared" si="321"/>
        <v>1000</v>
      </c>
      <c r="S190">
        <f t="shared" si="322"/>
        <v>1</v>
      </c>
      <c r="T190" s="152"/>
      <c r="U190" s="159"/>
      <c r="V190" s="160"/>
      <c r="W190" s="111" t="e">
        <f>'UB (1)'!H190+'UB (2)'!H190+'UB (3)'!H190+#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91" spans="1:23" ht="15" hidden="1" customHeight="1" x14ac:dyDescent="0.3">
      <c r="A191" s="34" t="s">
        <v>1261</v>
      </c>
      <c r="B191" s="36"/>
      <c r="C191" s="81">
        <f>$O$12</f>
        <v>0</v>
      </c>
      <c r="D191" s="29" t="str">
        <f t="shared" si="323"/>
        <v>INCLUIDO</v>
      </c>
      <c r="E191" s="27" t="s">
        <v>1186</v>
      </c>
      <c r="F191" s="9">
        <f>(F190*$O$12)*S191</f>
        <v>0</v>
      </c>
      <c r="G191" s="21">
        <f>G190*0.35</f>
        <v>3.5</v>
      </c>
      <c r="H191" s="9">
        <f t="shared" ref="H191" si="326">(IF(I191="$ Prima",G191,G191*F191/R191))*$U$9</f>
        <v>0</v>
      </c>
      <c r="I191" s="9" t="s">
        <v>1153</v>
      </c>
      <c r="J191" s="9">
        <f t="shared" ref="J191" si="327">H191*$U$7</f>
        <v>0</v>
      </c>
      <c r="K191" s="9">
        <f t="shared" ref="K191" si="328">(H191+J191)*$K$15</f>
        <v>0</v>
      </c>
      <c r="L191" s="9">
        <f t="shared" ref="L191" si="329">ROUND(H191+J191+K191,2)</f>
        <v>0</v>
      </c>
      <c r="M191" s="11">
        <f>$M$179</f>
        <v>0</v>
      </c>
      <c r="N191" s="9">
        <f t="shared" ref="N191" si="330">H191*M191</f>
        <v>0</v>
      </c>
      <c r="O191" s="12">
        <f t="shared" ref="O191" si="331">N191</f>
        <v>0</v>
      </c>
      <c r="P191" s="13" t="str">
        <f t="shared" si="255"/>
        <v>NO</v>
      </c>
      <c r="Q191">
        <f>IF(D191="INCLUIDO",IF(F191&lt;&gt;0,1,0),0)</f>
        <v>0</v>
      </c>
      <c r="R191">
        <f>IF(I191="%o Al Millar",1000,IF(I191="% Al Porciento",100,IF(I191="$ Prima",G191)))</f>
        <v>1000</v>
      </c>
      <c r="S191">
        <f t="shared" si="322"/>
        <v>0</v>
      </c>
      <c r="T191" s="154"/>
      <c r="V191" s="153"/>
      <c r="W191"/>
    </row>
    <row r="192" spans="1:23" x14ac:dyDescent="0.3">
      <c r="A192" s="34" t="s">
        <v>1261</v>
      </c>
      <c r="B192" s="36">
        <v>120</v>
      </c>
      <c r="C192" s="29" t="s">
        <v>1271</v>
      </c>
      <c r="D192" s="29" t="str">
        <f t="shared" si="323"/>
        <v>INCLUIDO</v>
      </c>
      <c r="E192" s="27" t="s">
        <v>1137</v>
      </c>
      <c r="F192" s="20">
        <f>(IF($E$190="Sublimite",$F$188,$F$188+$F$190))*S192</f>
        <v>6500000</v>
      </c>
      <c r="G192" s="21">
        <f>V192</f>
        <v>1.8</v>
      </c>
      <c r="H192" s="9">
        <f t="shared" si="324"/>
        <v>11700</v>
      </c>
      <c r="I192" s="9" t="s">
        <v>1153</v>
      </c>
      <c r="J192" s="9">
        <f t="shared" si="315"/>
        <v>246.87</v>
      </c>
      <c r="K192" s="9">
        <f t="shared" si="316"/>
        <v>1911.4992000000002</v>
      </c>
      <c r="L192" s="9">
        <f t="shared" si="317"/>
        <v>13858.37</v>
      </c>
      <c r="M192" s="11">
        <f>$M$187</f>
        <v>0.1</v>
      </c>
      <c r="N192" s="9">
        <f t="shared" si="318"/>
        <v>1170</v>
      </c>
      <c r="O192" s="12">
        <f t="shared" si="319"/>
        <v>1170</v>
      </c>
      <c r="P192" s="13" t="str">
        <f t="shared" si="255"/>
        <v>SI</v>
      </c>
      <c r="Q192">
        <f t="shared" si="320"/>
        <v>1</v>
      </c>
      <c r="R192">
        <f t="shared" si="321"/>
        <v>1000</v>
      </c>
      <c r="S192">
        <f t="shared" si="322"/>
        <v>1</v>
      </c>
      <c r="T192" s="152">
        <v>0.1</v>
      </c>
      <c r="U192" s="159">
        <f>IF(E192="Excluido",0,$T$187*T192)</f>
        <v>1.8</v>
      </c>
      <c r="V192" s="160">
        <f>IF($F$187=0,0,U192)</f>
        <v>1.8</v>
      </c>
      <c r="W192" s="111" t="e">
        <f>'UB (1)'!H192+'UB (2)'!H192+'UB (3)'!H192+#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93" spans="1:23" hidden="1" x14ac:dyDescent="0.3">
      <c r="A193" s="34" t="s">
        <v>1261</v>
      </c>
      <c r="B193" s="36"/>
      <c r="C193" s="81">
        <f>$O$12</f>
        <v>0</v>
      </c>
      <c r="D193" s="29" t="str">
        <f t="shared" si="323"/>
        <v>INCLUIDO</v>
      </c>
      <c r="E193" s="27" t="s">
        <v>1186</v>
      </c>
      <c r="F193" s="9">
        <f>(F192*$O$12)*S193</f>
        <v>0</v>
      </c>
      <c r="G193" s="21">
        <f>G192*0.35</f>
        <v>0.63</v>
      </c>
      <c r="H193" s="9">
        <f t="shared" si="324"/>
        <v>0</v>
      </c>
      <c r="I193" s="9" t="s">
        <v>1153</v>
      </c>
      <c r="J193" s="9">
        <f t="shared" si="315"/>
        <v>0</v>
      </c>
      <c r="K193" s="9">
        <f t="shared" si="316"/>
        <v>0</v>
      </c>
      <c r="L193" s="9">
        <f t="shared" si="317"/>
        <v>0</v>
      </c>
      <c r="M193" s="11">
        <f>M192</f>
        <v>0.1</v>
      </c>
      <c r="N193" s="9">
        <f t="shared" si="318"/>
        <v>0</v>
      </c>
      <c r="O193" s="12">
        <f t="shared" si="319"/>
        <v>0</v>
      </c>
      <c r="P193" s="13" t="str">
        <f>IF(Q193=1,"SI","NO")</f>
        <v>NO</v>
      </c>
      <c r="Q193">
        <f>IF(D193="INCLUIDO",IF(F193&lt;&gt;0,1,0),0)</f>
        <v>0</v>
      </c>
      <c r="R193">
        <f>IF(I193="%o Al Millar",1000,IF(I193="% Al Porciento",100,IF(I193="$ Prima",G193)))</f>
        <v>1000</v>
      </c>
      <c r="S193">
        <f t="shared" si="322"/>
        <v>0</v>
      </c>
      <c r="T193" s="154"/>
      <c r="V193" s="153"/>
      <c r="W193"/>
    </row>
    <row r="194" spans="1:23" x14ac:dyDescent="0.3">
      <c r="A194" s="34" t="s">
        <v>1261</v>
      </c>
      <c r="B194" s="36">
        <v>121</v>
      </c>
      <c r="C194" s="29" t="s">
        <v>1272</v>
      </c>
      <c r="D194" s="29" t="str">
        <f t="shared" si="323"/>
        <v>INCLUIDO</v>
      </c>
      <c r="E194" s="27" t="s">
        <v>1137</v>
      </c>
      <c r="F194" s="20">
        <f>(IF($E$190="Sublimite",$F$188,$F$188+$F$190))*S194</f>
        <v>6500000</v>
      </c>
      <c r="G194" s="21">
        <f>V194</f>
        <v>0.9</v>
      </c>
      <c r="H194" s="9">
        <f t="shared" si="324"/>
        <v>5850</v>
      </c>
      <c r="I194" s="9" t="s">
        <v>1153</v>
      </c>
      <c r="J194" s="9">
        <f t="shared" si="315"/>
        <v>123.435</v>
      </c>
      <c r="K194" s="9">
        <f t="shared" si="316"/>
        <v>955.7496000000001</v>
      </c>
      <c r="L194" s="9">
        <f t="shared" si="317"/>
        <v>6929.18</v>
      </c>
      <c r="M194" s="11">
        <f>$M$187</f>
        <v>0.1</v>
      </c>
      <c r="N194" s="9">
        <f t="shared" si="318"/>
        <v>585</v>
      </c>
      <c r="O194" s="12">
        <f t="shared" si="319"/>
        <v>585</v>
      </c>
      <c r="P194" s="13" t="str">
        <f t="shared" si="255"/>
        <v>SI</v>
      </c>
      <c r="Q194">
        <f t="shared" si="320"/>
        <v>1</v>
      </c>
      <c r="R194">
        <f t="shared" si="321"/>
        <v>1000</v>
      </c>
      <c r="S194">
        <f t="shared" si="322"/>
        <v>1</v>
      </c>
      <c r="T194" s="152">
        <v>0.05</v>
      </c>
      <c r="U194" s="159">
        <f>IF(E194="Excluido",0,$T$187*T194)</f>
        <v>0.9</v>
      </c>
      <c r="V194" s="160">
        <f>IF($F$187=0,0,U194)</f>
        <v>0.9</v>
      </c>
      <c r="W194" s="111" t="e">
        <f>'UB (1)'!H194+'UB (2)'!H194+'UB (3)'!H194+#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95" spans="1:23" hidden="1" x14ac:dyDescent="0.3">
      <c r="A195" s="34" t="s">
        <v>1261</v>
      </c>
      <c r="B195" s="36"/>
      <c r="C195" s="81">
        <f>$O$12</f>
        <v>0</v>
      </c>
      <c r="D195" s="29" t="str">
        <f t="shared" si="323"/>
        <v>INCLUIDO</v>
      </c>
      <c r="E195" s="27" t="s">
        <v>1186</v>
      </c>
      <c r="F195" s="9">
        <f>(F194*$O$12)*S195</f>
        <v>0</v>
      </c>
      <c r="G195" s="21">
        <f>G194*0.35</f>
        <v>0.315</v>
      </c>
      <c r="H195" s="9">
        <f t="shared" si="324"/>
        <v>0</v>
      </c>
      <c r="I195" s="9" t="s">
        <v>1153</v>
      </c>
      <c r="J195" s="9">
        <f t="shared" si="315"/>
        <v>0</v>
      </c>
      <c r="K195" s="9">
        <f t="shared" si="316"/>
        <v>0</v>
      </c>
      <c r="L195" s="9">
        <f t="shared" si="317"/>
        <v>0</v>
      </c>
      <c r="M195" s="11">
        <f>M194</f>
        <v>0.1</v>
      </c>
      <c r="N195" s="9">
        <f t="shared" si="318"/>
        <v>0</v>
      </c>
      <c r="O195" s="12">
        <f t="shared" si="319"/>
        <v>0</v>
      </c>
      <c r="P195" s="13" t="str">
        <f>IF(Q195=1,"SI","NO")</f>
        <v>NO</v>
      </c>
      <c r="Q195">
        <f>IF(D195="INCLUIDO",IF(F195&lt;&gt;0,1,0),0)</f>
        <v>0</v>
      </c>
      <c r="R195">
        <f>IF(I195="%o Al Millar",1000,IF(I195="% Al Porciento",100,IF(I195="$ Prima",G195)))</f>
        <v>1000</v>
      </c>
      <c r="S195">
        <f t="shared" si="322"/>
        <v>0</v>
      </c>
      <c r="T195" s="154"/>
      <c r="V195" s="153"/>
      <c r="W195"/>
    </row>
    <row r="196" spans="1:23" x14ac:dyDescent="0.3">
      <c r="A196" s="34" t="s">
        <v>1261</v>
      </c>
      <c r="B196" s="36">
        <v>122</v>
      </c>
      <c r="C196" s="29" t="s">
        <v>1273</v>
      </c>
      <c r="D196" s="29" t="str">
        <f t="shared" si="323"/>
        <v>INCLUIDO</v>
      </c>
      <c r="E196" s="27" t="s">
        <v>1137</v>
      </c>
      <c r="F196" s="20">
        <f>(IF($E$190="Sublimite",$F$188,$F$188+$F$190))*S196</f>
        <v>6500000</v>
      </c>
      <c r="G196" s="21">
        <f>V196</f>
        <v>0.9</v>
      </c>
      <c r="H196" s="9">
        <f t="shared" si="324"/>
        <v>5850</v>
      </c>
      <c r="I196" s="9" t="s">
        <v>1153</v>
      </c>
      <c r="J196" s="9">
        <f t="shared" si="315"/>
        <v>123.435</v>
      </c>
      <c r="K196" s="9">
        <f t="shared" si="316"/>
        <v>955.7496000000001</v>
      </c>
      <c r="L196" s="9">
        <f t="shared" si="317"/>
        <v>6929.18</v>
      </c>
      <c r="M196" s="11">
        <f>$M$187</f>
        <v>0.1</v>
      </c>
      <c r="N196" s="9">
        <f t="shared" si="318"/>
        <v>585</v>
      </c>
      <c r="O196" s="12">
        <f t="shared" si="319"/>
        <v>585</v>
      </c>
      <c r="P196" s="13" t="str">
        <f t="shared" si="255"/>
        <v>SI</v>
      </c>
      <c r="Q196">
        <f t="shared" si="320"/>
        <v>1</v>
      </c>
      <c r="R196">
        <f t="shared" si="321"/>
        <v>1000</v>
      </c>
      <c r="S196">
        <f t="shared" si="322"/>
        <v>1</v>
      </c>
      <c r="T196" s="152">
        <v>0.05</v>
      </c>
      <c r="U196" s="159">
        <f>IF(E196="Excluido",0,$T$187*T196)</f>
        <v>0.9</v>
      </c>
      <c r="V196" s="160">
        <f>IF($F$187=0,0,U196)</f>
        <v>0.9</v>
      </c>
      <c r="W196" s="111" t="e">
        <f>'UB (1)'!H196+'UB (2)'!H196+'UB (3)'!H196+#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97" spans="1:23" hidden="1" x14ac:dyDescent="0.3">
      <c r="A197" s="34" t="s">
        <v>1261</v>
      </c>
      <c r="B197" s="36"/>
      <c r="C197" s="81">
        <f>$O$12</f>
        <v>0</v>
      </c>
      <c r="D197" s="29" t="str">
        <f t="shared" si="323"/>
        <v>INCLUIDO</v>
      </c>
      <c r="E197" s="27" t="s">
        <v>1186</v>
      </c>
      <c r="F197" s="9">
        <f>(F196*$O$12)*S197</f>
        <v>0</v>
      </c>
      <c r="G197" s="21">
        <f>G196*0.35</f>
        <v>0.315</v>
      </c>
      <c r="H197" s="9">
        <f t="shared" si="324"/>
        <v>0</v>
      </c>
      <c r="I197" s="9" t="s">
        <v>1153</v>
      </c>
      <c r="J197" s="9">
        <f t="shared" ref="J197" si="332">H197*$U$7</f>
        <v>0</v>
      </c>
      <c r="K197" s="9">
        <f t="shared" ref="K197" si="333">(H197+J197)*$K$15</f>
        <v>0</v>
      </c>
      <c r="L197" s="9">
        <f t="shared" ref="L197" si="334">ROUND(H197+J197+K197,2)</f>
        <v>0</v>
      </c>
      <c r="M197" s="11">
        <f>M196</f>
        <v>0.1</v>
      </c>
      <c r="N197" s="9">
        <f t="shared" ref="N197" si="335">H197*M197</f>
        <v>0</v>
      </c>
      <c r="O197" s="12">
        <f t="shared" ref="O197" si="336">N197</f>
        <v>0</v>
      </c>
      <c r="P197" s="13" t="str">
        <f>IF(Q197=1,"SI","NO")</f>
        <v>NO</v>
      </c>
      <c r="Q197">
        <f>IF(D197="INCLUIDO",IF(F197&lt;&gt;0,1,0),0)</f>
        <v>0</v>
      </c>
      <c r="R197">
        <f>IF(I197="%o Al Millar",1000,IF(I197="% Al Porciento",100,IF(I197="$ Prima",G197)))</f>
        <v>1000</v>
      </c>
      <c r="S197">
        <f t="shared" si="322"/>
        <v>0</v>
      </c>
      <c r="T197" s="154"/>
      <c r="V197" s="153"/>
      <c r="W197"/>
    </row>
    <row r="198" spans="1:23" ht="20.399999999999999" x14ac:dyDescent="0.3">
      <c r="A198" s="34" t="s">
        <v>1261</v>
      </c>
      <c r="B198" s="36">
        <v>119</v>
      </c>
      <c r="C198" s="29" t="s">
        <v>1274</v>
      </c>
      <c r="D198" s="29" t="str">
        <f t="shared" si="323"/>
        <v>INCLUIDO</v>
      </c>
      <c r="E198" s="27" t="s">
        <v>1137</v>
      </c>
      <c r="F198" s="20">
        <f>(IF($E$190="Sublimite",$F$188,$F$188+$F$190))*S198</f>
        <v>6500000</v>
      </c>
      <c r="G198" s="21">
        <f>V198</f>
        <v>0.9</v>
      </c>
      <c r="H198" s="9">
        <f t="shared" si="324"/>
        <v>5850</v>
      </c>
      <c r="I198" s="9" t="s">
        <v>1153</v>
      </c>
      <c r="J198" s="9">
        <f t="shared" si="315"/>
        <v>123.435</v>
      </c>
      <c r="K198" s="9">
        <f t="shared" si="316"/>
        <v>955.7496000000001</v>
      </c>
      <c r="L198" s="9">
        <f t="shared" si="317"/>
        <v>6929.18</v>
      </c>
      <c r="M198" s="11">
        <f>$M$187</f>
        <v>0.1</v>
      </c>
      <c r="N198" s="9">
        <f t="shared" si="318"/>
        <v>585</v>
      </c>
      <c r="O198" s="12">
        <f t="shared" si="319"/>
        <v>585</v>
      </c>
      <c r="P198" s="13" t="str">
        <f t="shared" si="255"/>
        <v>SI</v>
      </c>
      <c r="Q198">
        <f t="shared" si="320"/>
        <v>1</v>
      </c>
      <c r="R198">
        <f t="shared" si="321"/>
        <v>1000</v>
      </c>
      <c r="S198">
        <f t="shared" si="322"/>
        <v>1</v>
      </c>
      <c r="T198" s="152">
        <v>0.05</v>
      </c>
      <c r="U198" s="159">
        <f>IF(E198="Excluido",0,$T$187*T198)</f>
        <v>0.9</v>
      </c>
      <c r="V198" s="160">
        <f>IF($F$187=0,0,U198)</f>
        <v>0.9</v>
      </c>
      <c r="W198" s="111" t="e">
        <f>'UB (1)'!H198+'UB (2)'!H198+'UB (3)'!H198+#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199" spans="1:23" hidden="1" x14ac:dyDescent="0.3">
      <c r="A199" s="34" t="s">
        <v>1261</v>
      </c>
      <c r="B199" s="36"/>
      <c r="C199" s="81">
        <f>$O$12</f>
        <v>0</v>
      </c>
      <c r="D199" s="29" t="str">
        <f t="shared" si="323"/>
        <v>INCLUIDO</v>
      </c>
      <c r="E199" s="27" t="s">
        <v>1186</v>
      </c>
      <c r="F199" s="9">
        <f>(F198*$O$12)*S199</f>
        <v>0</v>
      </c>
      <c r="G199" s="21">
        <f>G198*0.35</f>
        <v>0.315</v>
      </c>
      <c r="H199" s="9">
        <f t="shared" si="324"/>
        <v>0</v>
      </c>
      <c r="I199" s="9" t="s">
        <v>1153</v>
      </c>
      <c r="J199" s="9">
        <f t="shared" si="315"/>
        <v>0</v>
      </c>
      <c r="K199" s="9">
        <f t="shared" si="316"/>
        <v>0</v>
      </c>
      <c r="L199" s="9">
        <f t="shared" si="317"/>
        <v>0</v>
      </c>
      <c r="M199" s="11">
        <f>M198</f>
        <v>0.1</v>
      </c>
      <c r="N199" s="9">
        <f t="shared" si="318"/>
        <v>0</v>
      </c>
      <c r="O199" s="12">
        <f t="shared" si="319"/>
        <v>0</v>
      </c>
      <c r="P199" s="13" t="str">
        <f>IF(Q199=1,"SI","NO")</f>
        <v>NO</v>
      </c>
      <c r="Q199">
        <f>IF(D199="INCLUIDO",IF(F199&lt;&gt;0,1,0),0)</f>
        <v>0</v>
      </c>
      <c r="R199">
        <f>IF(I199="%o Al Millar",1000,IF(I199="% Al Porciento",100,IF(I199="$ Prima",G199)))</f>
        <v>1000</v>
      </c>
      <c r="S199">
        <f t="shared" si="322"/>
        <v>0</v>
      </c>
      <c r="T199" s="154"/>
      <c r="V199" s="153"/>
      <c r="W199"/>
    </row>
    <row r="200" spans="1:23" ht="15" hidden="1" customHeight="1" x14ac:dyDescent="0.3">
      <c r="A200" s="34" t="s">
        <v>1261</v>
      </c>
      <c r="B200" s="36">
        <v>258</v>
      </c>
      <c r="C200" s="29" t="s">
        <v>1275</v>
      </c>
      <c r="D200" s="29" t="str">
        <f t="shared" si="323"/>
        <v>INCLUIDO</v>
      </c>
      <c r="E200" s="27" t="s">
        <v>1186</v>
      </c>
      <c r="F200" s="20">
        <v>0</v>
      </c>
      <c r="G200" s="43">
        <v>0</v>
      </c>
      <c r="H200" s="9">
        <f t="shared" si="324"/>
        <v>0</v>
      </c>
      <c r="I200" s="9" t="s">
        <v>1153</v>
      </c>
      <c r="J200" s="9">
        <f t="shared" si="315"/>
        <v>0</v>
      </c>
      <c r="K200" s="9">
        <f t="shared" si="316"/>
        <v>0</v>
      </c>
      <c r="L200" s="9">
        <f t="shared" si="317"/>
        <v>0</v>
      </c>
      <c r="M200" s="11">
        <f>$M$187</f>
        <v>0.1</v>
      </c>
      <c r="N200" s="9">
        <f t="shared" si="318"/>
        <v>0</v>
      </c>
      <c r="O200" s="12">
        <f t="shared" si="319"/>
        <v>0</v>
      </c>
      <c r="P200" s="13" t="str">
        <f t="shared" si="255"/>
        <v>NO</v>
      </c>
      <c r="Q200">
        <f t="shared" si="320"/>
        <v>0</v>
      </c>
      <c r="R200">
        <f t="shared" si="321"/>
        <v>1000</v>
      </c>
      <c r="S200">
        <f t="shared" si="322"/>
        <v>0</v>
      </c>
      <c r="T200" s="152"/>
      <c r="U200" s="159"/>
      <c r="V200" s="160"/>
      <c r="W200"/>
    </row>
    <row r="201" spans="1:23" ht="15" hidden="1" customHeight="1" x14ac:dyDescent="0.3">
      <c r="A201" s="34" t="s">
        <v>1261</v>
      </c>
      <c r="B201" s="36"/>
      <c r="C201" s="81">
        <f>$O$12</f>
        <v>0</v>
      </c>
      <c r="D201" s="29" t="str">
        <f t="shared" si="323"/>
        <v>INCLUIDO</v>
      </c>
      <c r="E201" s="27" t="s">
        <v>1186</v>
      </c>
      <c r="F201" s="9">
        <f>(F200*$O$12)*S201</f>
        <v>0</v>
      </c>
      <c r="G201" s="21">
        <f>G200*0.35</f>
        <v>0</v>
      </c>
      <c r="H201" s="9">
        <f t="shared" si="324"/>
        <v>0</v>
      </c>
      <c r="I201" s="9" t="s">
        <v>1153</v>
      </c>
      <c r="J201" s="9">
        <f t="shared" si="315"/>
        <v>0</v>
      </c>
      <c r="K201" s="9">
        <f t="shared" si="316"/>
        <v>0</v>
      </c>
      <c r="L201" s="9">
        <f t="shared" si="317"/>
        <v>0</v>
      </c>
      <c r="M201" s="11">
        <f>$M$187</f>
        <v>0.1</v>
      </c>
      <c r="N201" s="9">
        <f t="shared" si="318"/>
        <v>0</v>
      </c>
      <c r="O201" s="12">
        <f t="shared" si="319"/>
        <v>0</v>
      </c>
      <c r="P201" s="13" t="str">
        <f t="shared" si="255"/>
        <v>NO</v>
      </c>
      <c r="Q201">
        <f t="shared" si="320"/>
        <v>0</v>
      </c>
      <c r="R201">
        <f t="shared" si="321"/>
        <v>1000</v>
      </c>
      <c r="S201">
        <f t="shared" si="322"/>
        <v>0</v>
      </c>
      <c r="T201" s="154"/>
      <c r="V201" s="153"/>
      <c r="W201"/>
    </row>
    <row r="202" spans="1:23" s="18" customFormat="1" x14ac:dyDescent="0.3">
      <c r="A202" s="24"/>
      <c r="B202" s="26"/>
      <c r="C202" s="15" t="s">
        <v>1177</v>
      </c>
      <c r="D202" s="38" t="str">
        <f>D201</f>
        <v>INCLUIDO</v>
      </c>
      <c r="E202" s="38"/>
      <c r="F202" s="16">
        <v>0</v>
      </c>
      <c r="G202" s="17"/>
      <c r="H202" s="16">
        <f>SUM(H188:H201)</f>
        <v>122850.54999999999</v>
      </c>
      <c r="I202" s="16"/>
      <c r="J202" s="16">
        <f>SUM(J188:J201)</f>
        <v>2592.1466049999999</v>
      </c>
      <c r="K202" s="16">
        <f>SUM(K188:K201)</f>
        <v>20070.831456799995</v>
      </c>
      <c r="L202" s="16">
        <f>SUM(L188:L201)</f>
        <v>145513.50999999998</v>
      </c>
      <c r="M202" s="16" t="s">
        <v>1178</v>
      </c>
      <c r="N202" s="16">
        <f>SUM(N188:N201)</f>
        <v>12285.055</v>
      </c>
      <c r="O202" s="84">
        <f>SUM(O188:O201)</f>
        <v>12285.055</v>
      </c>
      <c r="P202" s="13" t="str">
        <f t="shared" si="255"/>
        <v>SI</v>
      </c>
      <c r="Q202">
        <f>IF(D202="INCLUIDO",IF(H202&lt;&gt;0,1,0),0)</f>
        <v>1</v>
      </c>
      <c r="T202" s="167"/>
      <c r="V202" s="168"/>
      <c r="W202" s="111" t="e">
        <f>'UB (1)'!H202+'UB (2)'!H202+'UB (3)'!H202+#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203" spans="1:23" x14ac:dyDescent="0.3">
      <c r="A203" s="82">
        <v>906</v>
      </c>
      <c r="B203" s="33">
        <v>7</v>
      </c>
      <c r="C203" s="19" t="s">
        <v>1276</v>
      </c>
      <c r="D203" s="23" t="str">
        <f>D187</f>
        <v>INCLUIDO</v>
      </c>
      <c r="E203" s="91"/>
      <c r="F203" s="28"/>
      <c r="G203" s="28"/>
      <c r="H203" s="28"/>
      <c r="I203" s="28"/>
      <c r="J203" s="28"/>
      <c r="K203" s="28"/>
      <c r="L203" s="28"/>
      <c r="M203" s="68">
        <v>0.1</v>
      </c>
      <c r="N203" s="28"/>
      <c r="O203" s="83"/>
      <c r="P203" s="13" t="str">
        <f t="shared" si="255"/>
        <v>SI</v>
      </c>
      <c r="Q203" s="47">
        <f>IF(D203="INCLUIDO",IF(F204&lt;&gt;0,1,0),0)</f>
        <v>1</v>
      </c>
      <c r="T203" s="154"/>
      <c r="V203" s="153"/>
      <c r="W203" s="111" t="e">
        <f>'UB (1)'!H203+'UB (2)'!H203+'UB (3)'!H203+#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204" spans="1:23" x14ac:dyDescent="0.3">
      <c r="A204" s="34" t="s">
        <v>1261</v>
      </c>
      <c r="B204" s="36">
        <v>126</v>
      </c>
      <c r="C204" s="29" t="s">
        <v>1170</v>
      </c>
      <c r="D204" s="29" t="str">
        <f t="shared" ref="D204:D205" si="337">$D$187</f>
        <v>INCLUIDO</v>
      </c>
      <c r="E204" s="27" t="s">
        <v>1137</v>
      </c>
      <c r="F204" s="20">
        <f>(IF($E$190="Sublimite",$F$188,$F$188+$F$190))*S204</f>
        <v>6500000</v>
      </c>
      <c r="G204" s="49">
        <f>G187*T204</f>
        <v>0.18</v>
      </c>
      <c r="H204" s="9">
        <f>(((IF(I204="$ Prima",G204,G204*F204/R204))*$U$9)/365)*$J$15</f>
        <v>1173.2054794520548</v>
      </c>
      <c r="I204" s="9" t="s">
        <v>1153</v>
      </c>
      <c r="J204" s="9">
        <f t="shared" ref="J204:J205" si="338">H204*$U$7</f>
        <v>24.754635616438357</v>
      </c>
      <c r="K204" s="9">
        <f t="shared" ref="K204:K205" si="339">(H204+J204)*$K$15</f>
        <v>191.67361841095891</v>
      </c>
      <c r="L204" s="9">
        <f t="shared" ref="L204:L205" si="340">ROUND(H204+J204+K204,2)</f>
        <v>1389.63</v>
      </c>
      <c r="M204" s="11">
        <f>$M$203</f>
        <v>0.1</v>
      </c>
      <c r="N204" s="9">
        <f t="shared" ref="N204:N205" si="341">H204*M204</f>
        <v>117.32054794520548</v>
      </c>
      <c r="O204" s="12">
        <f t="shared" ref="O204:O205" si="342">N204</f>
        <v>117.32054794520548</v>
      </c>
      <c r="P204" s="13" t="str">
        <f t="shared" si="255"/>
        <v>SI</v>
      </c>
      <c r="Q204">
        <f>IF(D204="INCLUIDO",IF(F204&lt;&gt;0,1,0),0)</f>
        <v>1</v>
      </c>
      <c r="R204">
        <f>IF(I204="%o Al Millar",1000,IF(I204="% Al Porciento",100,IF(I204="$ Prima",G204)))</f>
        <v>1000</v>
      </c>
      <c r="S204">
        <f t="shared" ref="S204:S205" si="343">IF(E204="Excluido",0,IF(D204="NO APLICA",0,1))</f>
        <v>1</v>
      </c>
      <c r="T204" s="152">
        <v>0.01</v>
      </c>
      <c r="U204" s="159">
        <f>IF(E204="Excluido",0,$T$187*T204)</f>
        <v>0.18</v>
      </c>
      <c r="V204" s="160">
        <f>IF($F$187=0,0,U204)</f>
        <v>0.18</v>
      </c>
      <c r="W204" s="111" t="e">
        <f>'UB (1)'!H204+'UB (2)'!H204+'UB (3)'!H204+#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205" spans="1:23" hidden="1" x14ac:dyDescent="0.3">
      <c r="A205" s="34" t="s">
        <v>1261</v>
      </c>
      <c r="B205" s="36"/>
      <c r="C205" s="81">
        <f>$O$12</f>
        <v>0</v>
      </c>
      <c r="D205" s="29" t="str">
        <f t="shared" si="337"/>
        <v>INCLUIDO</v>
      </c>
      <c r="E205" s="27" t="s">
        <v>1186</v>
      </c>
      <c r="F205" s="9">
        <f>(F204*$O$12)*S205</f>
        <v>0</v>
      </c>
      <c r="G205" s="21">
        <f>G204*0.35</f>
        <v>6.3E-2</v>
      </c>
      <c r="H205" s="9">
        <f t="shared" ref="H205" si="344">(IF(I205="$ Prima",G205,G205*F205/R205))*$U$9</f>
        <v>0</v>
      </c>
      <c r="I205" s="9" t="s">
        <v>1153</v>
      </c>
      <c r="J205" s="9">
        <f t="shared" si="338"/>
        <v>0</v>
      </c>
      <c r="K205" s="9">
        <f t="shared" si="339"/>
        <v>0</v>
      </c>
      <c r="L205" s="9">
        <f t="shared" si="340"/>
        <v>0</v>
      </c>
      <c r="M205" s="11">
        <f>$M$203</f>
        <v>0.1</v>
      </c>
      <c r="N205" s="9">
        <f t="shared" si="341"/>
        <v>0</v>
      </c>
      <c r="O205" s="12">
        <f t="shared" si="342"/>
        <v>0</v>
      </c>
      <c r="P205" s="13" t="str">
        <f t="shared" si="255"/>
        <v>NO</v>
      </c>
      <c r="Q205">
        <f>IF(D205="INCLUIDO",IF(F205&lt;&gt;0,1,0),0)</f>
        <v>0</v>
      </c>
      <c r="R205">
        <f>IF(I205="%o Al Millar",1000,IF(I205="% Al Porciento",100,IF(I205="$ Prima",G205)))</f>
        <v>1000</v>
      </c>
      <c r="S205">
        <f t="shared" si="343"/>
        <v>0</v>
      </c>
      <c r="T205" s="154"/>
      <c r="V205" s="153"/>
      <c r="W205"/>
    </row>
    <row r="206" spans="1:23" s="18" customFormat="1" x14ac:dyDescent="0.3">
      <c r="A206" s="24"/>
      <c r="B206" s="26"/>
      <c r="C206" s="15" t="s">
        <v>1177</v>
      </c>
      <c r="D206" s="38" t="str">
        <f>D187</f>
        <v>INCLUIDO</v>
      </c>
      <c r="E206" s="38"/>
      <c r="F206" s="16">
        <f>SUMIF(E204:E205,"Adicional",F204:F205)</f>
        <v>0</v>
      </c>
      <c r="G206" s="17"/>
      <c r="H206" s="16">
        <f>SUM(H204:H205)</f>
        <v>1173.2054794520548</v>
      </c>
      <c r="I206" s="16"/>
      <c r="J206" s="16">
        <f t="shared" ref="J206:L206" si="345">SUM(J204:J205)</f>
        <v>24.754635616438357</v>
      </c>
      <c r="K206" s="16">
        <f t="shared" si="345"/>
        <v>191.67361841095891</v>
      </c>
      <c r="L206" s="16">
        <f t="shared" si="345"/>
        <v>1389.63</v>
      </c>
      <c r="M206" s="16" t="s">
        <v>1178</v>
      </c>
      <c r="N206" s="16">
        <f t="shared" ref="N206:O206" si="346">SUM(N204:N205)</f>
        <v>117.32054794520548</v>
      </c>
      <c r="O206" s="84">
        <f t="shared" si="346"/>
        <v>117.32054794520548</v>
      </c>
      <c r="P206" s="13" t="str">
        <f t="shared" si="255"/>
        <v>SI</v>
      </c>
      <c r="Q206">
        <f>IF(D206="INCLUIDO",IF(H206&lt;&gt;0,1,0),0)</f>
        <v>1</v>
      </c>
      <c r="T206" s="167"/>
      <c r="V206" s="168"/>
      <c r="W206" s="111" t="e">
        <f>'UB (1)'!H206+'UB (2)'!H206+'UB (3)'!H206+#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207" spans="1:23" x14ac:dyDescent="0.3">
      <c r="A207" s="82">
        <v>906</v>
      </c>
      <c r="B207" s="33">
        <v>8</v>
      </c>
      <c r="C207" s="19" t="s">
        <v>1277</v>
      </c>
      <c r="D207" s="23" t="str">
        <f>$D$187</f>
        <v>INCLUIDO</v>
      </c>
      <c r="E207" s="91"/>
      <c r="F207" s="28"/>
      <c r="G207" s="28"/>
      <c r="H207" s="28"/>
      <c r="I207" s="28"/>
      <c r="J207" s="28"/>
      <c r="K207" s="28"/>
      <c r="L207" s="28"/>
      <c r="M207" s="68">
        <v>0.1</v>
      </c>
      <c r="N207" s="28"/>
      <c r="O207" s="83"/>
      <c r="P207" s="13" t="str">
        <f t="shared" si="255"/>
        <v>SI</v>
      </c>
      <c r="Q207" s="47">
        <f>IF(D207="INCLUIDO",IF(F208&lt;&gt;0,1,0),0)</f>
        <v>1</v>
      </c>
      <c r="T207" s="154"/>
      <c r="V207" s="153"/>
      <c r="W207" s="111" t="e">
        <f>'UB (1)'!H207+'UB (2)'!H207+'UB (3)'!H207+#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208" spans="1:23" ht="15" thickBot="1" x14ac:dyDescent="0.35">
      <c r="A208" s="34" t="s">
        <v>1261</v>
      </c>
      <c r="B208" s="36">
        <v>127</v>
      </c>
      <c r="C208" s="29" t="s">
        <v>1267</v>
      </c>
      <c r="D208" s="29" t="str">
        <f t="shared" ref="D208:D209" si="347">$D$187</f>
        <v>INCLUIDO</v>
      </c>
      <c r="E208" s="27" t="s">
        <v>1137</v>
      </c>
      <c r="F208" s="20">
        <f>(IF($E$190="Sublimite",$F$188,$F$188+$F$190))*S208</f>
        <v>6500000</v>
      </c>
      <c r="G208" s="49">
        <f>G187*T208</f>
        <v>0.18</v>
      </c>
      <c r="H208" s="9">
        <f>(((IF(I208="$ Prima",G208,G208*F208/R208))*$U$9)/365)*$J$15</f>
        <v>1173.2054794520548</v>
      </c>
      <c r="I208" s="9" t="s">
        <v>1153</v>
      </c>
      <c r="J208" s="9">
        <f t="shared" ref="J208:J209" si="348">H208*$U$7</f>
        <v>24.754635616438357</v>
      </c>
      <c r="K208" s="9">
        <f t="shared" ref="K208:K209" si="349">(H208+J208)*$K$15</f>
        <v>191.67361841095891</v>
      </c>
      <c r="L208" s="9">
        <f t="shared" ref="L208:L209" si="350">ROUND(H208+J208+K208,2)</f>
        <v>1389.63</v>
      </c>
      <c r="M208" s="11">
        <f>$M$207</f>
        <v>0.1</v>
      </c>
      <c r="N208" s="9">
        <f t="shared" ref="N208:N209" si="351">H208*M208</f>
        <v>117.32054794520548</v>
      </c>
      <c r="O208" s="12">
        <f t="shared" ref="O208:O209" si="352">N208</f>
        <v>117.32054794520548</v>
      </c>
      <c r="P208" s="13" t="str">
        <f t="shared" si="255"/>
        <v>SI</v>
      </c>
      <c r="Q208">
        <f>IF(D208="INCLUIDO",IF(F208&lt;&gt;0,1,0),0)</f>
        <v>1</v>
      </c>
      <c r="R208">
        <f>IF(I208="%o Al Millar",1000,IF(I208="% Al Porciento",100,IF(I208="$ Prima",G208)))</f>
        <v>1000</v>
      </c>
      <c r="S208">
        <f t="shared" ref="S208:S209" si="353">IF(E208="Excluido",0,IF(D208="NO APLICA",0,1))</f>
        <v>1</v>
      </c>
      <c r="T208" s="152">
        <v>0.01</v>
      </c>
      <c r="U208" s="159">
        <f>IF(E208="Excluido",0,$T$187*T208)</f>
        <v>0.18</v>
      </c>
      <c r="V208" s="160">
        <f>IF($F$187=0,0,U208)</f>
        <v>0.18</v>
      </c>
      <c r="W208" s="111" t="e">
        <f>'UB (1)'!H208+'UB (2)'!H208+'UB (3)'!H208+#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209" spans="1:23" ht="15" hidden="1" thickBot="1" x14ac:dyDescent="0.35">
      <c r="A209" s="34" t="s">
        <v>1261</v>
      </c>
      <c r="B209" s="36"/>
      <c r="C209" s="81">
        <f>$O$12</f>
        <v>0</v>
      </c>
      <c r="D209" s="29" t="str">
        <f t="shared" si="347"/>
        <v>INCLUIDO</v>
      </c>
      <c r="E209" s="27" t="s">
        <v>1186</v>
      </c>
      <c r="F209" s="9">
        <f>(F208*$O$12)*S209</f>
        <v>0</v>
      </c>
      <c r="G209" s="21">
        <f>G208*0.35</f>
        <v>6.3E-2</v>
      </c>
      <c r="H209" s="9">
        <f t="shared" ref="H209" si="354">(IF(I209="$ Prima",G209,G209*F209/R209))*$U$9</f>
        <v>0</v>
      </c>
      <c r="I209" s="9" t="s">
        <v>1153</v>
      </c>
      <c r="J209" s="9">
        <f t="shared" si="348"/>
        <v>0</v>
      </c>
      <c r="K209" s="9">
        <f t="shared" si="349"/>
        <v>0</v>
      </c>
      <c r="L209" s="9">
        <f t="shared" si="350"/>
        <v>0</v>
      </c>
      <c r="M209" s="11">
        <f>$M$207</f>
        <v>0.1</v>
      </c>
      <c r="N209" s="9">
        <f t="shared" si="351"/>
        <v>0</v>
      </c>
      <c r="O209" s="12">
        <f t="shared" si="352"/>
        <v>0</v>
      </c>
      <c r="P209" s="13" t="str">
        <f t="shared" si="255"/>
        <v>NO</v>
      </c>
      <c r="Q209">
        <f>IF(D209="INCLUIDO",IF(F209&lt;&gt;0,1,0),0)</f>
        <v>0</v>
      </c>
      <c r="R209">
        <f>IF(I209="%o Al Millar",1000,IF(I209="% Al Porciento",100,IF(I209="$ Prima",G209)))</f>
        <v>1000</v>
      </c>
      <c r="S209">
        <f t="shared" si="353"/>
        <v>0</v>
      </c>
      <c r="T209" s="164"/>
      <c r="U209" s="165"/>
      <c r="V209" s="166"/>
      <c r="W209"/>
    </row>
    <row r="210" spans="1:23" s="18" customFormat="1" ht="15" thickBot="1" x14ac:dyDescent="0.35">
      <c r="A210" s="24"/>
      <c r="B210" s="26"/>
      <c r="C210" s="15" t="s">
        <v>1177</v>
      </c>
      <c r="D210" s="38" t="str">
        <f>D209</f>
        <v>INCLUIDO</v>
      </c>
      <c r="E210" s="38"/>
      <c r="F210" s="16">
        <f>SUMIF(E208:E209,"Adicional",F208:F209)</f>
        <v>0</v>
      </c>
      <c r="G210" s="17"/>
      <c r="H210" s="16">
        <f>SUM(H208:H209)</f>
        <v>1173.2054794520548</v>
      </c>
      <c r="I210" s="16"/>
      <c r="J210" s="16">
        <f t="shared" ref="J210:L210" si="355">SUM(J208:J209)</f>
        <v>24.754635616438357</v>
      </c>
      <c r="K210" s="16">
        <f t="shared" si="355"/>
        <v>191.67361841095891</v>
      </c>
      <c r="L210" s="16">
        <f t="shared" si="355"/>
        <v>1389.63</v>
      </c>
      <c r="M210" s="16" t="s">
        <v>1178</v>
      </c>
      <c r="N210" s="16">
        <f t="shared" ref="N210:O210" si="356">SUM(N208:N209)</f>
        <v>117.32054794520548</v>
      </c>
      <c r="O210" s="84">
        <f t="shared" si="356"/>
        <v>117.32054794520548</v>
      </c>
      <c r="P210" s="13" t="str">
        <f t="shared" si="255"/>
        <v>SI</v>
      </c>
      <c r="Q210">
        <f>IF(D210="INCLUIDO",IF(H210&lt;&gt;0,1,0),0)</f>
        <v>1</v>
      </c>
      <c r="T210" s="143">
        <f>SUM(T188:T209)</f>
        <v>1</v>
      </c>
      <c r="U210" s="144">
        <f>SUM(U188:U209)</f>
        <v>18</v>
      </c>
      <c r="V210" s="145">
        <f>SUM(V188:V209)</f>
        <v>17.999999999999996</v>
      </c>
      <c r="W210" s="111" t="e">
        <f>'UB (1)'!H210+'UB (2)'!H210+'UB (3)'!H210+#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211" spans="1:23" ht="15" hidden="1" customHeight="1" x14ac:dyDescent="0.3">
      <c r="A211" s="82">
        <v>906</v>
      </c>
      <c r="B211" s="33">
        <v>9</v>
      </c>
      <c r="C211" s="19" t="s">
        <v>1278</v>
      </c>
      <c r="D211" s="23" t="str">
        <f>$D$187</f>
        <v>INCLUIDO</v>
      </c>
      <c r="E211" s="91"/>
      <c r="F211" s="43">
        <v>0</v>
      </c>
      <c r="G211" s="43">
        <v>0</v>
      </c>
      <c r="H211" s="28"/>
      <c r="I211" s="28"/>
      <c r="J211" s="28"/>
      <c r="K211" s="28"/>
      <c r="L211" s="28"/>
      <c r="M211" s="68">
        <v>0</v>
      </c>
      <c r="N211" s="28"/>
      <c r="O211" s="83"/>
      <c r="P211" s="13" t="str">
        <f t="shared" si="255"/>
        <v>NO</v>
      </c>
      <c r="Q211" s="48">
        <f>IF(D211="INCLUIDO",IF(F211&lt;&gt;0,1,0),0)</f>
        <v>0</v>
      </c>
      <c r="W211"/>
    </row>
    <row r="212" spans="1:23" ht="15" hidden="1" customHeight="1" x14ac:dyDescent="0.3">
      <c r="A212" s="34" t="s">
        <v>1261</v>
      </c>
      <c r="B212" s="36">
        <v>128</v>
      </c>
      <c r="C212" s="29" t="s">
        <v>1279</v>
      </c>
      <c r="D212" s="29" t="str">
        <f>$D$187</f>
        <v>INCLUIDO</v>
      </c>
      <c r="E212" s="27" t="s">
        <v>1186</v>
      </c>
      <c r="F212" s="20">
        <f>F211*S212</f>
        <v>0</v>
      </c>
      <c r="G212" s="21">
        <v>0</v>
      </c>
      <c r="H212" s="9">
        <f>(IF(I212="$ Prima",G212,G212*F212/R212))*$U$9</f>
        <v>0</v>
      </c>
      <c r="I212" s="9" t="s">
        <v>1153</v>
      </c>
      <c r="J212" s="9">
        <f>H212*$U$7</f>
        <v>0</v>
      </c>
      <c r="K212" s="9">
        <f>(H212+J212)*$K$15</f>
        <v>0</v>
      </c>
      <c r="L212" s="9">
        <f>ROUND(H212+J212+K212,2)</f>
        <v>0</v>
      </c>
      <c r="M212" s="11">
        <f>M211</f>
        <v>0</v>
      </c>
      <c r="N212" s="9">
        <f>H212*M212</f>
        <v>0</v>
      </c>
      <c r="O212" s="12">
        <f>N212</f>
        <v>0</v>
      </c>
      <c r="P212" s="13" t="str">
        <f t="shared" si="255"/>
        <v>NO</v>
      </c>
      <c r="Q212">
        <f>IF(D212="INCLUIDO",IF(F212&lt;&gt;0,1,0),0)</f>
        <v>0</v>
      </c>
      <c r="R212">
        <f>IF(I212="%o Al Millar",1000,IF(I212="% Al Porciento",100,IF(I212="$ Prima",G212)))</f>
        <v>1000</v>
      </c>
      <c r="S212">
        <f t="shared" ref="S212" si="357">IF(E212="Excluido",0,IF(D212="NO APLICA",0,1))</f>
        <v>0</v>
      </c>
      <c r="W212"/>
    </row>
    <row r="213" spans="1:23" s="18" customFormat="1" ht="15" hidden="1" customHeight="1" x14ac:dyDescent="0.3">
      <c r="A213" s="24"/>
      <c r="B213" s="26"/>
      <c r="C213" s="15" t="s">
        <v>1177</v>
      </c>
      <c r="D213" s="38" t="str">
        <f>D212</f>
        <v>INCLUIDO</v>
      </c>
      <c r="E213" s="38"/>
      <c r="F213" s="16">
        <f>SUMIF(E212,"Adicional",F212)</f>
        <v>0</v>
      </c>
      <c r="G213" s="17"/>
      <c r="H213" s="16">
        <f>SUM(H212)</f>
        <v>0</v>
      </c>
      <c r="I213" s="16"/>
      <c r="J213" s="16">
        <f t="shared" ref="J213:L213" si="358">SUM(J212)</f>
        <v>0</v>
      </c>
      <c r="K213" s="16">
        <f t="shared" si="358"/>
        <v>0</v>
      </c>
      <c r="L213" s="16">
        <f t="shared" si="358"/>
        <v>0</v>
      </c>
      <c r="M213" s="16" t="s">
        <v>1178</v>
      </c>
      <c r="N213" s="16">
        <f t="shared" ref="N213:O213" si="359">SUM(N212)</f>
        <v>0</v>
      </c>
      <c r="O213" s="84">
        <f t="shared" si="359"/>
        <v>0</v>
      </c>
      <c r="P213" s="13" t="str">
        <f t="shared" si="255"/>
        <v>NO</v>
      </c>
      <c r="Q213">
        <f>IF(D213="INCLUIDO",IF(H213&lt;&gt;0,1,0),0)</f>
        <v>0</v>
      </c>
    </row>
    <row r="214" spans="1:23" ht="15" hidden="1" customHeight="1" x14ac:dyDescent="0.3">
      <c r="A214" s="82">
        <v>906</v>
      </c>
      <c r="B214" s="33">
        <v>10</v>
      </c>
      <c r="C214" s="19" t="s">
        <v>1280</v>
      </c>
      <c r="D214" s="23" t="str">
        <f>$D$187</f>
        <v>INCLUIDO</v>
      </c>
      <c r="E214" s="91"/>
      <c r="F214" s="43">
        <v>0</v>
      </c>
      <c r="G214" s="43">
        <v>0</v>
      </c>
      <c r="H214" s="28"/>
      <c r="I214" s="28"/>
      <c r="J214" s="28"/>
      <c r="K214" s="28"/>
      <c r="L214" s="28"/>
      <c r="M214" s="68">
        <v>0</v>
      </c>
      <c r="N214" s="28"/>
      <c r="O214" s="83"/>
      <c r="P214" s="13" t="str">
        <f t="shared" si="255"/>
        <v>NO</v>
      </c>
      <c r="Q214" s="48">
        <f>IF(D214="INCLUIDO",IF(F214&lt;&gt;0,1,0),0)</f>
        <v>0</v>
      </c>
      <c r="W214"/>
    </row>
    <row r="215" spans="1:23" ht="15" hidden="1" customHeight="1" x14ac:dyDescent="0.3">
      <c r="A215" s="34" t="s">
        <v>1281</v>
      </c>
      <c r="B215" s="36">
        <v>129</v>
      </c>
      <c r="C215" s="29" t="s">
        <v>1282</v>
      </c>
      <c r="D215" s="29" t="str">
        <f t="shared" ref="D215" si="360">$D$187</f>
        <v>INCLUIDO</v>
      </c>
      <c r="E215" s="27" t="s">
        <v>1186</v>
      </c>
      <c r="F215" s="20">
        <f>F214*S215</f>
        <v>0</v>
      </c>
      <c r="G215" s="21">
        <v>0</v>
      </c>
      <c r="H215" s="9">
        <f>(IF(I215="$ Prima",G215,G215*F215/R215))*$U$9</f>
        <v>0</v>
      </c>
      <c r="I215" s="9" t="s">
        <v>1153</v>
      </c>
      <c r="J215" s="9">
        <f>H215*$U$7</f>
        <v>0</v>
      </c>
      <c r="K215" s="9">
        <f>(H215+J215)*$K$15</f>
        <v>0</v>
      </c>
      <c r="L215" s="9">
        <f>ROUND(H215+J215+K215,2)</f>
        <v>0</v>
      </c>
      <c r="M215" s="11">
        <f>M214</f>
        <v>0</v>
      </c>
      <c r="N215" s="9">
        <f>H215*M215</f>
        <v>0</v>
      </c>
      <c r="O215" s="12">
        <f>N215</f>
        <v>0</v>
      </c>
      <c r="P215" s="13" t="str">
        <f t="shared" si="255"/>
        <v>NO</v>
      </c>
      <c r="Q215">
        <f>IF(D215="INCLUIDO",IF(F215&lt;&gt;0,1,0),0)</f>
        <v>0</v>
      </c>
      <c r="R215">
        <f>IF(I215="%o Al Millar",1000,IF(I215="% Al Porciento",100,IF(I215="$ Prima",G215)))</f>
        <v>1000</v>
      </c>
      <c r="S215">
        <f t="shared" ref="S215" si="361">IF(E215="Excluido",0,IF(D215="NO APLICA",0,1))</f>
        <v>0</v>
      </c>
      <c r="W215"/>
    </row>
    <row r="216" spans="1:23" s="18" customFormat="1" ht="15" hidden="1" customHeight="1" x14ac:dyDescent="0.3">
      <c r="A216" s="24"/>
      <c r="B216" s="26"/>
      <c r="C216" s="15" t="s">
        <v>1177</v>
      </c>
      <c r="D216" s="38" t="str">
        <f>D215</f>
        <v>INCLUIDO</v>
      </c>
      <c r="E216" s="38"/>
      <c r="F216" s="16">
        <f>SUMIF(E188:E215,"Adicional",F188:F215)</f>
        <v>6500000</v>
      </c>
      <c r="G216" s="17"/>
      <c r="H216" s="16">
        <f>SUM(H215)</f>
        <v>0</v>
      </c>
      <c r="I216" s="16"/>
      <c r="J216" s="16">
        <f t="shared" ref="J216:L216" si="362">SUM(J215)</f>
        <v>0</v>
      </c>
      <c r="K216" s="16">
        <f t="shared" si="362"/>
        <v>0</v>
      </c>
      <c r="L216" s="16">
        <f t="shared" si="362"/>
        <v>0</v>
      </c>
      <c r="M216" s="16" t="s">
        <v>1178</v>
      </c>
      <c r="N216" s="16">
        <f t="shared" ref="N216:O216" si="363">SUM(N215)</f>
        <v>0</v>
      </c>
      <c r="O216" s="84">
        <f t="shared" si="363"/>
        <v>0</v>
      </c>
      <c r="P216" s="13" t="str">
        <f t="shared" si="255"/>
        <v>NO</v>
      </c>
      <c r="Q216">
        <f>IF(D216="INCLUIDO",IF(H216&lt;&gt;0,1,0),0)</f>
        <v>0</v>
      </c>
    </row>
    <row r="217" spans="1:23" ht="15" hidden="1" customHeight="1" thickBot="1" x14ac:dyDescent="0.35">
      <c r="A217" s="82">
        <v>906</v>
      </c>
      <c r="B217" s="33">
        <v>11</v>
      </c>
      <c r="C217" s="19" t="s">
        <v>1283</v>
      </c>
      <c r="D217" s="23" t="str">
        <f>'Ramo Comercial'!C152</f>
        <v>NO APLICA</v>
      </c>
      <c r="E217" s="91"/>
      <c r="F217" s="113">
        <v>0</v>
      </c>
      <c r="G217" s="113">
        <v>1.2</v>
      </c>
      <c r="H217" s="28"/>
      <c r="I217" s="28"/>
      <c r="J217" s="28"/>
      <c r="K217" s="28"/>
      <c r="L217" s="28"/>
      <c r="M217" s="68">
        <v>0</v>
      </c>
      <c r="N217" s="28"/>
      <c r="O217" s="83"/>
      <c r="P217" s="13" t="str">
        <f t="shared" si="255"/>
        <v>NO</v>
      </c>
      <c r="Q217">
        <f>IF(D217="INCLUIDO",IF(F217&lt;&gt;0,1,0),0)</f>
        <v>0</v>
      </c>
      <c r="T217" s="142">
        <f>G217</f>
        <v>1.2</v>
      </c>
      <c r="U217" s="150"/>
      <c r="V217" s="151"/>
      <c r="W217"/>
    </row>
    <row r="218" spans="1:23" ht="15" hidden="1" customHeight="1" x14ac:dyDescent="0.3">
      <c r="A218" s="34" t="s">
        <v>1261</v>
      </c>
      <c r="B218" s="36">
        <v>131</v>
      </c>
      <c r="C218" s="29" t="s">
        <v>1151</v>
      </c>
      <c r="D218" s="29" t="str">
        <f>$D$217</f>
        <v>NO APLICA</v>
      </c>
      <c r="E218" s="27" t="s">
        <v>1152</v>
      </c>
      <c r="F218" s="20">
        <f>F217*S218</f>
        <v>0</v>
      </c>
      <c r="G218" s="21">
        <f>V218</f>
        <v>0</v>
      </c>
      <c r="H218" s="9">
        <f t="shared" ref="H218:H219" si="364">(IF(I218="$ Prima",G218,G218*F218/R218))*$U$9</f>
        <v>0</v>
      </c>
      <c r="I218" s="9" t="s">
        <v>1153</v>
      </c>
      <c r="J218" s="9">
        <f t="shared" ref="J218:J219" si="365">H218*$U$7</f>
        <v>0</v>
      </c>
      <c r="K218" s="9">
        <f t="shared" ref="K218:K219" si="366">(H218+J218)*$K$15</f>
        <v>0</v>
      </c>
      <c r="L218" s="9">
        <f t="shared" ref="L218:L219" si="367">ROUND(H218+J218+K218,2)</f>
        <v>0</v>
      </c>
      <c r="M218" s="11">
        <f>$M$217</f>
        <v>0</v>
      </c>
      <c r="N218" s="9">
        <f t="shared" ref="N218:N219" si="368">H218*M218</f>
        <v>0</v>
      </c>
      <c r="O218" s="12">
        <f t="shared" ref="O218:O219" si="369">N218</f>
        <v>0</v>
      </c>
      <c r="P218" s="13" t="str">
        <f t="shared" si="255"/>
        <v>NO</v>
      </c>
      <c r="Q218" s="48">
        <f>IF(D218="INCLUIDO",IF(F218&lt;&gt;0,1,0),0)</f>
        <v>0</v>
      </c>
      <c r="R218">
        <f>IF(I218="%o Al Millar",1000,IF(I218="% Al Porciento",100,IF(I218="$ Prima",G218)))</f>
        <v>1000</v>
      </c>
      <c r="S218">
        <f t="shared" ref="S218:S219" si="370">IF(E218="Excluido",0,IF(D218="NO APLICA",0,1))</f>
        <v>0</v>
      </c>
      <c r="T218" s="152">
        <v>0.7</v>
      </c>
      <c r="U218" s="159">
        <f>IF(E218="Excluido",0,T217*T218)</f>
        <v>0.84</v>
      </c>
      <c r="V218" s="160">
        <f>IF(D217="NO APLICA",0,(U220-U219)+(T217-U220))</f>
        <v>0</v>
      </c>
      <c r="W218"/>
    </row>
    <row r="219" spans="1:23" ht="15" hidden="1" customHeight="1" thickBot="1" x14ac:dyDescent="0.35">
      <c r="A219" s="34" t="s">
        <v>1261</v>
      </c>
      <c r="B219" s="36">
        <v>130</v>
      </c>
      <c r="C219" s="29" t="s">
        <v>1262</v>
      </c>
      <c r="D219" s="29" t="str">
        <f>$D$217</f>
        <v>NO APLICA</v>
      </c>
      <c r="E219" s="27" t="s">
        <v>1137</v>
      </c>
      <c r="F219" s="20">
        <f>F218*S219</f>
        <v>0</v>
      </c>
      <c r="G219" s="21">
        <f>V219</f>
        <v>0</v>
      </c>
      <c r="H219" s="9">
        <f t="shared" si="364"/>
        <v>0</v>
      </c>
      <c r="I219" s="9" t="s">
        <v>1153</v>
      </c>
      <c r="J219" s="9">
        <f t="shared" si="365"/>
        <v>0</v>
      </c>
      <c r="K219" s="9">
        <f t="shared" si="366"/>
        <v>0</v>
      </c>
      <c r="L219" s="9">
        <f t="shared" si="367"/>
        <v>0</v>
      </c>
      <c r="M219" s="11">
        <f>$M$217</f>
        <v>0</v>
      </c>
      <c r="N219" s="9">
        <f t="shared" si="368"/>
        <v>0</v>
      </c>
      <c r="O219" s="12">
        <f t="shared" si="369"/>
        <v>0</v>
      </c>
      <c r="P219" s="13" t="str">
        <f t="shared" si="255"/>
        <v>NO</v>
      </c>
      <c r="Q219">
        <f>IF(D219="INCLUIDO",IF(F219&lt;&gt;0,1,0),0)</f>
        <v>0</v>
      </c>
      <c r="R219">
        <f>IF(I219="%o Al Millar",1000,IF(I219="% Al Porciento",100,IF(I219="$ Prima",G219)))</f>
        <v>1000</v>
      </c>
      <c r="S219">
        <f t="shared" si="370"/>
        <v>0</v>
      </c>
      <c r="T219" s="152">
        <v>0.3</v>
      </c>
      <c r="U219" s="159">
        <f>IF(E219="Excluido",0,T217*T219)</f>
        <v>0.36</v>
      </c>
      <c r="V219" s="160">
        <f>IF($F219=0,0,U219)</f>
        <v>0</v>
      </c>
      <c r="W219"/>
    </row>
    <row r="220" spans="1:23" s="18" customFormat="1" ht="15" hidden="1" customHeight="1" thickBot="1" x14ac:dyDescent="0.35">
      <c r="A220" s="24"/>
      <c r="B220" s="26"/>
      <c r="C220" s="15" t="s">
        <v>1177</v>
      </c>
      <c r="D220" s="38" t="str">
        <f>D219</f>
        <v>NO APLICA</v>
      </c>
      <c r="E220" s="38"/>
      <c r="F220" s="16">
        <v>0</v>
      </c>
      <c r="G220" s="17"/>
      <c r="H220" s="16">
        <f>SUM(H218:H219)</f>
        <v>0</v>
      </c>
      <c r="I220" s="16"/>
      <c r="J220" s="16">
        <f t="shared" ref="J220:L220" si="371">SUM(J218:J219)</f>
        <v>0</v>
      </c>
      <c r="K220" s="16">
        <f t="shared" si="371"/>
        <v>0</v>
      </c>
      <c r="L220" s="16">
        <f t="shared" si="371"/>
        <v>0</v>
      </c>
      <c r="M220" s="16" t="s">
        <v>1178</v>
      </c>
      <c r="N220" s="16">
        <f t="shared" ref="N220:O220" si="372">SUM(N218:N219)</f>
        <v>0</v>
      </c>
      <c r="O220" s="84">
        <f t="shared" si="372"/>
        <v>0</v>
      </c>
      <c r="P220" s="13" t="str">
        <f t="shared" si="255"/>
        <v>NO</v>
      </c>
      <c r="Q220">
        <f>IF(D220="INCLUIDO",IF(H220&lt;&gt;0,1,0),0)</f>
        <v>0</v>
      </c>
      <c r="T220" s="143">
        <f>SUM(T218:T219)</f>
        <v>1</v>
      </c>
      <c r="U220" s="144">
        <f>SUM(U218:U219)</f>
        <v>1.2</v>
      </c>
      <c r="V220" s="145">
        <f>SUM(V218:V219)</f>
        <v>0</v>
      </c>
    </row>
    <row r="221" spans="1:23" ht="15" hidden="1" customHeight="1" x14ac:dyDescent="0.3">
      <c r="A221" s="82">
        <v>906</v>
      </c>
      <c r="B221" s="33">
        <v>12</v>
      </c>
      <c r="C221" s="19" t="s">
        <v>1284</v>
      </c>
      <c r="D221" s="23" t="str">
        <f>D217</f>
        <v>NO APLICA</v>
      </c>
      <c r="E221" s="91"/>
      <c r="F221" s="28"/>
      <c r="G221" s="28"/>
      <c r="H221" s="28"/>
      <c r="I221" s="28"/>
      <c r="J221" s="28"/>
      <c r="K221" s="28"/>
      <c r="L221" s="28"/>
      <c r="M221" s="68">
        <v>0</v>
      </c>
      <c r="N221" s="28"/>
      <c r="O221" s="83"/>
      <c r="P221" s="13" t="str">
        <f t="shared" si="255"/>
        <v>NO</v>
      </c>
      <c r="Q221" s="47">
        <f>IF(D221="INCLUIDO",IF(F222&lt;&gt;0,1,0),0)</f>
        <v>0</v>
      </c>
      <c r="W221"/>
    </row>
    <row r="222" spans="1:23" ht="15" hidden="1" customHeight="1" x14ac:dyDescent="0.3">
      <c r="A222" s="34" t="s">
        <v>1261</v>
      </c>
      <c r="B222" s="36">
        <v>132</v>
      </c>
      <c r="C222" s="29" t="s">
        <v>1170</v>
      </c>
      <c r="D222" s="29" t="str">
        <f>$D$217</f>
        <v>NO APLICA</v>
      </c>
      <c r="E222" s="27" t="s">
        <v>1186</v>
      </c>
      <c r="F222" s="20">
        <f>F218*S222</f>
        <v>0</v>
      </c>
      <c r="G222" s="21">
        <v>0</v>
      </c>
      <c r="H222" s="9">
        <f>(IF(I222="$ Prima",G222,G222*F222/R222))*$U$9</f>
        <v>0</v>
      </c>
      <c r="I222" s="9" t="s">
        <v>1153</v>
      </c>
      <c r="J222" s="9">
        <f>H222*$U$7</f>
        <v>0</v>
      </c>
      <c r="K222" s="9">
        <f>(H222+J222)*$K$15</f>
        <v>0</v>
      </c>
      <c r="L222" s="9">
        <f>ROUND(H222+J222+K222,2)</f>
        <v>0</v>
      </c>
      <c r="M222" s="11">
        <f>M221</f>
        <v>0</v>
      </c>
      <c r="N222" s="9">
        <f>H222*M222</f>
        <v>0</v>
      </c>
      <c r="O222" s="12">
        <f>N222</f>
        <v>0</v>
      </c>
      <c r="P222" s="13" t="str">
        <f t="shared" si="255"/>
        <v>NO</v>
      </c>
      <c r="Q222">
        <f>IF(D222="INCLUIDO",IF(F222&lt;&gt;0,1,0),0)</f>
        <v>0</v>
      </c>
      <c r="R222">
        <f>IF(I222="%o Al Millar",1000,IF(I222="% Al Porciento",100,IF(I222="$ Prima",G222)))</f>
        <v>1000</v>
      </c>
      <c r="S222">
        <f t="shared" ref="S222" si="373">IF(E222="Excluido",0,IF(D222="NO APLICA",0,1))</f>
        <v>0</v>
      </c>
      <c r="W222"/>
    </row>
    <row r="223" spans="1:23" s="18" customFormat="1" ht="15" hidden="1" customHeight="1" x14ac:dyDescent="0.3">
      <c r="A223" s="24"/>
      <c r="B223" s="26"/>
      <c r="C223" s="15" t="s">
        <v>1177</v>
      </c>
      <c r="D223" s="38" t="str">
        <f>D222</f>
        <v>NO APLICA</v>
      </c>
      <c r="E223" s="38"/>
      <c r="F223" s="16">
        <f>SUMIF(E222,"Adicional",F222)</f>
        <v>0</v>
      </c>
      <c r="G223" s="17"/>
      <c r="H223" s="16">
        <f>SUM(H222)</f>
        <v>0</v>
      </c>
      <c r="I223" s="16"/>
      <c r="J223" s="16">
        <f t="shared" ref="J223:L223" si="374">SUM(J222)</f>
        <v>0</v>
      </c>
      <c r="K223" s="16">
        <f t="shared" si="374"/>
        <v>0</v>
      </c>
      <c r="L223" s="16">
        <f t="shared" si="374"/>
        <v>0</v>
      </c>
      <c r="M223" s="16" t="s">
        <v>1178</v>
      </c>
      <c r="N223" s="16">
        <f t="shared" ref="N223:O223" si="375">SUM(N222)</f>
        <v>0</v>
      </c>
      <c r="O223" s="84">
        <f t="shared" si="375"/>
        <v>0</v>
      </c>
      <c r="P223" s="13" t="str">
        <f t="shared" si="255"/>
        <v>NO</v>
      </c>
      <c r="Q223">
        <f>IF(D223="INCLUIDO",IF(H223&lt;&gt;0,1,0),0)</f>
        <v>0</v>
      </c>
    </row>
    <row r="224" spans="1:23" ht="15" hidden="1" customHeight="1" x14ac:dyDescent="0.3">
      <c r="A224" s="82">
        <v>906</v>
      </c>
      <c r="B224" s="33">
        <v>13</v>
      </c>
      <c r="C224" s="19" t="s">
        <v>1285</v>
      </c>
      <c r="D224" s="23" t="str">
        <f>D217</f>
        <v>NO APLICA</v>
      </c>
      <c r="E224" s="91"/>
      <c r="F224" s="28"/>
      <c r="G224" s="28"/>
      <c r="H224" s="28"/>
      <c r="I224" s="28"/>
      <c r="J224" s="28"/>
      <c r="K224" s="28"/>
      <c r="L224" s="28"/>
      <c r="M224" s="68">
        <v>0</v>
      </c>
      <c r="N224" s="28"/>
      <c r="O224" s="83"/>
      <c r="P224" s="13" t="str">
        <f t="shared" si="255"/>
        <v>NO</v>
      </c>
      <c r="Q224" s="47">
        <f>IF(D224="INCLUIDO",IF(F225&lt;&gt;0,1,0),0)</f>
        <v>0</v>
      </c>
      <c r="W224"/>
    </row>
    <row r="225" spans="1:22" customFormat="1" ht="15" hidden="1" customHeight="1" x14ac:dyDescent="0.3">
      <c r="A225" s="34" t="s">
        <v>1261</v>
      </c>
      <c r="B225" s="36">
        <v>133</v>
      </c>
      <c r="C225" s="29" t="s">
        <v>1267</v>
      </c>
      <c r="D225" s="29" t="str">
        <f>$D$217</f>
        <v>NO APLICA</v>
      </c>
      <c r="E225" s="27" t="s">
        <v>1186</v>
      </c>
      <c r="F225" s="20">
        <f>F218*S225</f>
        <v>0</v>
      </c>
      <c r="G225" s="21">
        <v>0</v>
      </c>
      <c r="H225" s="9">
        <f>(IF(I225="$ Prima",G225,G225*F225/R225))*$U$9</f>
        <v>0</v>
      </c>
      <c r="I225" s="9" t="s">
        <v>1153</v>
      </c>
      <c r="J225" s="9">
        <f>H225*$U$7</f>
        <v>0</v>
      </c>
      <c r="K225" s="9">
        <f>(H225+J225)*$K$15</f>
        <v>0</v>
      </c>
      <c r="L225" s="9">
        <f>ROUND(H225+J225+K225,2)</f>
        <v>0</v>
      </c>
      <c r="M225" s="11">
        <f>M224</f>
        <v>0</v>
      </c>
      <c r="N225" s="9">
        <f>H225*M225</f>
        <v>0</v>
      </c>
      <c r="O225" s="12">
        <f>N225</f>
        <v>0</v>
      </c>
      <c r="P225" s="13" t="str">
        <f t="shared" si="255"/>
        <v>NO</v>
      </c>
      <c r="Q225">
        <f>IF(D225="INCLUIDO",IF(F225&lt;&gt;0,1,0),0)</f>
        <v>0</v>
      </c>
      <c r="R225">
        <f>IF(I225="%o Al Millar",1000,IF(I225="% Al Porciento",100,IF(I225="$ Prima",G225)))</f>
        <v>1000</v>
      </c>
      <c r="S225">
        <f t="shared" ref="S225" si="376">IF(E225="Excluido",0,IF(D225="NO APLICA",0,1))</f>
        <v>0</v>
      </c>
    </row>
    <row r="226" spans="1:22" s="18" customFormat="1" ht="15" hidden="1" customHeight="1" thickBot="1" x14ac:dyDescent="0.35">
      <c r="A226" s="24"/>
      <c r="B226" s="26"/>
      <c r="C226" s="15" t="s">
        <v>1177</v>
      </c>
      <c r="D226" s="38" t="str">
        <f>D225</f>
        <v>NO APLICA</v>
      </c>
      <c r="E226" s="38"/>
      <c r="F226" s="16">
        <f>SUMIF(E218:E225,"Adicional",F218:F225)</f>
        <v>0</v>
      </c>
      <c r="G226" s="17"/>
      <c r="H226" s="16">
        <f>SUM(H225)</f>
        <v>0</v>
      </c>
      <c r="I226" s="16"/>
      <c r="J226" s="16">
        <f t="shared" ref="J226" si="377">SUM(J225)</f>
        <v>0</v>
      </c>
      <c r="K226" s="16">
        <f t="shared" ref="K226" si="378">SUM(K225)</f>
        <v>0</v>
      </c>
      <c r="L226" s="16">
        <f t="shared" ref="L226" si="379">SUM(L225)</f>
        <v>0</v>
      </c>
      <c r="M226" s="16" t="s">
        <v>1178</v>
      </c>
      <c r="N226" s="16">
        <f t="shared" ref="N226" si="380">SUM(N225)</f>
        <v>0</v>
      </c>
      <c r="O226" s="84">
        <f t="shared" ref="O226" si="381">SUM(O225)</f>
        <v>0</v>
      </c>
      <c r="P226" s="13" t="str">
        <f t="shared" si="255"/>
        <v>NO</v>
      </c>
      <c r="Q226">
        <f>IF(D226="INCLUIDO",IF(H226&lt;&gt;0,1,0),0)</f>
        <v>0</v>
      </c>
    </row>
    <row r="227" spans="1:22" customFormat="1" ht="15" hidden="1" customHeight="1" thickBot="1" x14ac:dyDescent="0.35">
      <c r="A227" s="82">
        <v>906</v>
      </c>
      <c r="B227" s="33">
        <v>14</v>
      </c>
      <c r="C227" s="19" t="s">
        <v>1286</v>
      </c>
      <c r="D227" s="23" t="str">
        <f>'Ramo Comercial'!C157</f>
        <v>NO APLICA</v>
      </c>
      <c r="E227" s="91"/>
      <c r="F227" s="113">
        <v>0</v>
      </c>
      <c r="G227" s="113">
        <v>1.2</v>
      </c>
      <c r="H227" s="28"/>
      <c r="I227" s="28"/>
      <c r="J227" s="28"/>
      <c r="K227" s="28"/>
      <c r="L227" s="28"/>
      <c r="M227" s="68">
        <v>0.15</v>
      </c>
      <c r="N227" s="28"/>
      <c r="O227" s="83"/>
      <c r="P227" s="13" t="str">
        <f t="shared" si="255"/>
        <v>NO</v>
      </c>
      <c r="Q227" s="48">
        <f>IF(D227="INCLUIDO",IF(F227&lt;&gt;0,1,0),0)</f>
        <v>0</v>
      </c>
      <c r="T227" s="142">
        <f>G227</f>
        <v>1.2</v>
      </c>
      <c r="U227" s="150"/>
      <c r="V227" s="151"/>
    </row>
    <row r="228" spans="1:22" customFormat="1" ht="15" hidden="1" customHeight="1" x14ac:dyDescent="0.3">
      <c r="A228" s="34" t="s">
        <v>1261</v>
      </c>
      <c r="B228" s="36">
        <v>134</v>
      </c>
      <c r="C228" s="29" t="s">
        <v>1151</v>
      </c>
      <c r="D228" s="29" t="str">
        <f>$D$227</f>
        <v>NO APLICA</v>
      </c>
      <c r="E228" s="27" t="s">
        <v>1152</v>
      </c>
      <c r="F228" s="20">
        <f>F227*S228</f>
        <v>0</v>
      </c>
      <c r="G228" s="21">
        <f>V228</f>
        <v>0</v>
      </c>
      <c r="H228" s="9">
        <f>(IF(I228="$ Prima",G228,G228*F228/R228))*$U$9</f>
        <v>0</v>
      </c>
      <c r="I228" s="9" t="s">
        <v>1287</v>
      </c>
      <c r="J228" s="9">
        <f t="shared" ref="J228:J229" si="382">H228*$U$7</f>
        <v>0</v>
      </c>
      <c r="K228" s="9">
        <f t="shared" ref="K228:K229" si="383">(H228+J228)*$K$15</f>
        <v>0</v>
      </c>
      <c r="L228" s="9">
        <f t="shared" ref="L228:L229" si="384">ROUND(H228+J228+K228,2)</f>
        <v>0</v>
      </c>
      <c r="M228" s="11">
        <f>$M$227</f>
        <v>0.15</v>
      </c>
      <c r="N228" s="9">
        <f t="shared" ref="N228:N229" si="385">H228*M228</f>
        <v>0</v>
      </c>
      <c r="O228" s="12">
        <f t="shared" ref="O228:O229" si="386">N228</f>
        <v>0</v>
      </c>
      <c r="P228" s="13" t="str">
        <f t="shared" si="255"/>
        <v>NO</v>
      </c>
      <c r="Q228">
        <f>IF(D228="INCLUIDO",IF(F228&lt;&gt;0,1,0),0)</f>
        <v>0</v>
      </c>
      <c r="R228">
        <f>IF(I228="%o Al Millar",1000,IF(I228="% Al Porciento",100,IF(I228="$ Prima",G228)))</f>
        <v>0</v>
      </c>
      <c r="S228">
        <f t="shared" ref="S228:S229" si="387">IF(E228="Excluido",0,IF(D228="NO APLICA",0,1))</f>
        <v>0</v>
      </c>
      <c r="T228" s="152">
        <v>0.7</v>
      </c>
      <c r="U228" s="159">
        <f>IF(E228="Excluido",0,T227*T228)</f>
        <v>0.84</v>
      </c>
      <c r="V228" s="160">
        <f>IF(D227="NO APLICA",0,(U230-U229)+(T227-U230))</f>
        <v>0</v>
      </c>
    </row>
    <row r="229" spans="1:22" customFormat="1" ht="15" hidden="1" customHeight="1" thickBot="1" x14ac:dyDescent="0.35">
      <c r="A229" s="34" t="s">
        <v>1261</v>
      </c>
      <c r="B229" s="36">
        <v>135</v>
      </c>
      <c r="C229" s="29" t="s">
        <v>1262</v>
      </c>
      <c r="D229" s="29" t="str">
        <f>$D$227</f>
        <v>NO APLICA</v>
      </c>
      <c r="E229" s="27" t="s">
        <v>1137</v>
      </c>
      <c r="F229" s="20">
        <f>F228*S229</f>
        <v>0</v>
      </c>
      <c r="G229" s="21">
        <f>V229</f>
        <v>0</v>
      </c>
      <c r="H229" s="9">
        <f>(IF(I229="$ Prima",G229,G229*F229/R229))*$U$9</f>
        <v>0</v>
      </c>
      <c r="I229" s="9" t="s">
        <v>1153</v>
      </c>
      <c r="J229" s="9">
        <f t="shared" si="382"/>
        <v>0</v>
      </c>
      <c r="K229" s="9">
        <f t="shared" si="383"/>
        <v>0</v>
      </c>
      <c r="L229" s="9">
        <f t="shared" si="384"/>
        <v>0</v>
      </c>
      <c r="M229" s="11">
        <f>$M$227</f>
        <v>0.15</v>
      </c>
      <c r="N229" s="9">
        <f t="shared" si="385"/>
        <v>0</v>
      </c>
      <c r="O229" s="12">
        <f t="shared" si="386"/>
        <v>0</v>
      </c>
      <c r="P229" s="13" t="str">
        <f t="shared" si="255"/>
        <v>NO</v>
      </c>
      <c r="Q229">
        <f>IF(D229="INCLUIDO",IF(F229&lt;&gt;0,1,0),0)</f>
        <v>0</v>
      </c>
      <c r="R229">
        <f>IF(I229="%o Al Millar",1000,IF(I229="% Al Porciento",100,IF(I229="$ Prima",G229)))</f>
        <v>1000</v>
      </c>
      <c r="S229">
        <f t="shared" si="387"/>
        <v>0</v>
      </c>
      <c r="T229" s="152">
        <v>0.3</v>
      </c>
      <c r="U229" s="159">
        <f>IF(E229="Excluido",0,T227*T229)</f>
        <v>0.36</v>
      </c>
      <c r="V229" s="160">
        <f>IF($F229=0,0,U229)</f>
        <v>0</v>
      </c>
    </row>
    <row r="230" spans="1:22" s="18" customFormat="1" ht="15" hidden="1" customHeight="1" thickBot="1" x14ac:dyDescent="0.35">
      <c r="A230" s="24"/>
      <c r="B230" s="26"/>
      <c r="C230" s="15" t="s">
        <v>1177</v>
      </c>
      <c r="D230" s="38" t="str">
        <f>D229</f>
        <v>NO APLICA</v>
      </c>
      <c r="E230" s="38"/>
      <c r="F230" s="16">
        <v>0</v>
      </c>
      <c r="G230" s="17"/>
      <c r="H230" s="16">
        <f>SUM(H228:H229)</f>
        <v>0</v>
      </c>
      <c r="I230" s="16"/>
      <c r="J230" s="16">
        <f t="shared" ref="J230:L230" si="388">SUM(J228:J229)</f>
        <v>0</v>
      </c>
      <c r="K230" s="16">
        <f t="shared" si="388"/>
        <v>0</v>
      </c>
      <c r="L230" s="16">
        <f t="shared" si="388"/>
        <v>0</v>
      </c>
      <c r="M230" s="16" t="s">
        <v>1178</v>
      </c>
      <c r="N230" s="16">
        <f t="shared" ref="N230:O230" si="389">SUM(N228:N229)</f>
        <v>0</v>
      </c>
      <c r="O230" s="84">
        <f t="shared" si="389"/>
        <v>0</v>
      </c>
      <c r="P230" s="13" t="str">
        <f t="shared" si="255"/>
        <v>NO</v>
      </c>
      <c r="Q230">
        <f>IF(D230="INCLUIDO",IF(H230&lt;&gt;0,1,0),0)</f>
        <v>0</v>
      </c>
      <c r="T230" s="143">
        <f>SUM(T228:T229)</f>
        <v>1</v>
      </c>
      <c r="U230" s="144">
        <f>SUM(U228:U229)</f>
        <v>1.2</v>
      </c>
      <c r="V230" s="145">
        <f>SUM(V228:V229)</f>
        <v>0</v>
      </c>
    </row>
    <row r="231" spans="1:22" customFormat="1" ht="15" hidden="1" customHeight="1" x14ac:dyDescent="0.3">
      <c r="A231" s="82">
        <v>906</v>
      </c>
      <c r="B231" s="33">
        <v>15</v>
      </c>
      <c r="C231" s="19" t="s">
        <v>1288</v>
      </c>
      <c r="D231" s="23" t="str">
        <f>D227</f>
        <v>NO APLICA</v>
      </c>
      <c r="E231" s="91"/>
      <c r="F231" s="28"/>
      <c r="G231" s="28"/>
      <c r="H231" s="28"/>
      <c r="I231" s="28"/>
      <c r="J231" s="28"/>
      <c r="K231" s="28"/>
      <c r="L231" s="28"/>
      <c r="M231" s="68">
        <v>0.05</v>
      </c>
      <c r="N231" s="28"/>
      <c r="O231" s="83"/>
      <c r="P231" s="13" t="str">
        <f t="shared" si="255"/>
        <v>NO</v>
      </c>
      <c r="Q231" s="47">
        <f>IF(D231="INCLUIDO",IF(F232&lt;&gt;0,1,0),0)</f>
        <v>0</v>
      </c>
    </row>
    <row r="232" spans="1:22" customFormat="1" ht="15" hidden="1" customHeight="1" x14ac:dyDescent="0.3">
      <c r="A232" s="34" t="s">
        <v>1261</v>
      </c>
      <c r="B232" s="36">
        <v>136</v>
      </c>
      <c r="C232" s="29" t="s">
        <v>1170</v>
      </c>
      <c r="D232" s="29" t="str">
        <f>$D$227</f>
        <v>NO APLICA</v>
      </c>
      <c r="E232" s="27" t="s">
        <v>1137</v>
      </c>
      <c r="F232" s="20">
        <f>F228*S232</f>
        <v>0</v>
      </c>
      <c r="G232" s="21">
        <v>0</v>
      </c>
      <c r="H232" s="9">
        <f>(IF(I232="$ Prima",G232,G232*F232/R232))*$U$9</f>
        <v>0</v>
      </c>
      <c r="I232" s="9" t="s">
        <v>1287</v>
      </c>
      <c r="J232" s="9">
        <f>H232*$U$7</f>
        <v>0</v>
      </c>
      <c r="K232" s="9">
        <f>(H232+J232)*$K$15</f>
        <v>0</v>
      </c>
      <c r="L232" s="9">
        <f>ROUND(H232+J232+K232,2)</f>
        <v>0</v>
      </c>
      <c r="M232" s="11">
        <f>M231</f>
        <v>0.05</v>
      </c>
      <c r="N232" s="9">
        <f>H232*M232</f>
        <v>0</v>
      </c>
      <c r="O232" s="12">
        <f>N232</f>
        <v>0</v>
      </c>
      <c r="P232" s="13" t="str">
        <f t="shared" ref="P232:P295" si="390">IF(Q232=1,"SI","NO")</f>
        <v>NO</v>
      </c>
      <c r="Q232">
        <f>IF(D232="INCLUIDO",IF(F232&lt;&gt;0,1,0),0)</f>
        <v>0</v>
      </c>
      <c r="R232">
        <f>IF(I232="%o Al Millar",1000,IF(I232="% Al Porciento",100,IF(I232="$ Prima",G232)))</f>
        <v>0</v>
      </c>
      <c r="S232">
        <f t="shared" ref="S232" si="391">IF(E232="Excluido",0,IF(D232="NO APLICA",0,1))</f>
        <v>0</v>
      </c>
    </row>
    <row r="233" spans="1:22" s="18" customFormat="1" ht="15" hidden="1" customHeight="1" x14ac:dyDescent="0.3">
      <c r="A233" s="24"/>
      <c r="B233" s="26"/>
      <c r="C233" s="15" t="s">
        <v>1177</v>
      </c>
      <c r="D233" s="38" t="str">
        <f>D232</f>
        <v>NO APLICA</v>
      </c>
      <c r="E233" s="38"/>
      <c r="F233" s="16">
        <f>SUMIF(E232,"Adicional",F232)</f>
        <v>0</v>
      </c>
      <c r="G233" s="17"/>
      <c r="H233" s="16">
        <f>SUM(H232)</f>
        <v>0</v>
      </c>
      <c r="I233" s="16"/>
      <c r="J233" s="16">
        <f t="shared" ref="J233:L233" si="392">SUM(J232)</f>
        <v>0</v>
      </c>
      <c r="K233" s="16">
        <f t="shared" si="392"/>
        <v>0</v>
      </c>
      <c r="L233" s="16">
        <f t="shared" si="392"/>
        <v>0</v>
      </c>
      <c r="M233" s="16" t="s">
        <v>1178</v>
      </c>
      <c r="N233" s="16">
        <f t="shared" ref="N233:O233" si="393">SUM(N232)</f>
        <v>0</v>
      </c>
      <c r="O233" s="84">
        <f t="shared" si="393"/>
        <v>0</v>
      </c>
      <c r="P233" s="13" t="str">
        <f t="shared" si="390"/>
        <v>NO</v>
      </c>
      <c r="Q233">
        <f>IF(D233="INCLUIDO",IF(H233&lt;&gt;0,1,0),0)</f>
        <v>0</v>
      </c>
    </row>
    <row r="234" spans="1:22" customFormat="1" ht="15" hidden="1" customHeight="1" x14ac:dyDescent="0.3">
      <c r="A234" s="82">
        <v>906</v>
      </c>
      <c r="B234" s="33">
        <v>16</v>
      </c>
      <c r="C234" s="19" t="s">
        <v>1289</v>
      </c>
      <c r="D234" s="23" t="str">
        <f>D227</f>
        <v>NO APLICA</v>
      </c>
      <c r="E234" s="91"/>
      <c r="F234" s="28"/>
      <c r="G234" s="28"/>
      <c r="H234" s="28"/>
      <c r="I234" s="28"/>
      <c r="J234" s="28"/>
      <c r="K234" s="28"/>
      <c r="L234" s="28"/>
      <c r="M234" s="68">
        <v>0.05</v>
      </c>
      <c r="N234" s="28"/>
      <c r="O234" s="83"/>
      <c r="P234" s="13" t="str">
        <f t="shared" si="390"/>
        <v>NO</v>
      </c>
      <c r="Q234" s="47" t="b">
        <f>IF(D234="INCLUIDO",IF(F235&lt;&gt;0,1,0))</f>
        <v>0</v>
      </c>
    </row>
    <row r="235" spans="1:22" customFormat="1" ht="15" hidden="1" customHeight="1" x14ac:dyDescent="0.3">
      <c r="A235" s="34" t="s">
        <v>1261</v>
      </c>
      <c r="B235" s="36">
        <v>137</v>
      </c>
      <c r="C235" s="29" t="s">
        <v>1267</v>
      </c>
      <c r="D235" s="29" t="str">
        <f>$D$227</f>
        <v>NO APLICA</v>
      </c>
      <c r="E235" s="27" t="s">
        <v>1137</v>
      </c>
      <c r="F235" s="20">
        <f>F228*S235</f>
        <v>0</v>
      </c>
      <c r="G235" s="21">
        <v>0</v>
      </c>
      <c r="H235" s="9">
        <f>(IF(I235="$ Prima",G235,G235*F235/R235))*$U$9</f>
        <v>0</v>
      </c>
      <c r="I235" s="9" t="s">
        <v>1287</v>
      </c>
      <c r="J235" s="9">
        <f>H235*$U$7</f>
        <v>0</v>
      </c>
      <c r="K235" s="9">
        <f>(H235+J235)*$K$15</f>
        <v>0</v>
      </c>
      <c r="L235" s="9">
        <f>ROUND(H235+J235+K235,2)</f>
        <v>0</v>
      </c>
      <c r="M235" s="11">
        <f>M234</f>
        <v>0.05</v>
      </c>
      <c r="N235" s="9">
        <f>H235*M235</f>
        <v>0</v>
      </c>
      <c r="O235" s="12">
        <f>N235</f>
        <v>0</v>
      </c>
      <c r="P235" s="13" t="str">
        <f t="shared" si="390"/>
        <v>NO</v>
      </c>
      <c r="Q235">
        <f>IF(D235="INCLUIDO",IF(F235&lt;&gt;0,1,0),0)</f>
        <v>0</v>
      </c>
      <c r="R235">
        <f>IF(I235="%o Al Millar",1000,IF(I235="% Al Porciento",100,IF(I235="$ Prima",G235)))</f>
        <v>0</v>
      </c>
      <c r="S235">
        <f t="shared" ref="S235" si="394">IF(E235="Excluido",0,IF(D235="NO APLICA",0,1))</f>
        <v>0</v>
      </c>
    </row>
    <row r="236" spans="1:22" s="18" customFormat="1" ht="15" hidden="1" customHeight="1" thickBot="1" x14ac:dyDescent="0.35">
      <c r="A236" s="24"/>
      <c r="B236" s="26"/>
      <c r="C236" s="15" t="s">
        <v>1177</v>
      </c>
      <c r="D236" s="38" t="str">
        <f>D235</f>
        <v>NO APLICA</v>
      </c>
      <c r="E236" s="38"/>
      <c r="F236" s="16">
        <f>SUMIF(E228:E235,"Adicional",F228:F235)</f>
        <v>0</v>
      </c>
      <c r="G236" s="17"/>
      <c r="H236" s="16">
        <f>SUM(H235)</f>
        <v>0</v>
      </c>
      <c r="I236" s="16"/>
      <c r="J236" s="16">
        <f t="shared" ref="J236" si="395">SUM(J235)</f>
        <v>0</v>
      </c>
      <c r="K236" s="16">
        <f t="shared" ref="K236" si="396">SUM(K235)</f>
        <v>0</v>
      </c>
      <c r="L236" s="16">
        <f t="shared" ref="L236" si="397">SUM(L235)</f>
        <v>0</v>
      </c>
      <c r="M236" s="16" t="s">
        <v>1178</v>
      </c>
      <c r="N236" s="16">
        <f t="shared" ref="N236" si="398">SUM(N235)</f>
        <v>0</v>
      </c>
      <c r="O236" s="84">
        <f t="shared" ref="O236" si="399">SUM(O235)</f>
        <v>0</v>
      </c>
      <c r="P236" s="13" t="str">
        <f t="shared" si="390"/>
        <v>NO</v>
      </c>
      <c r="Q236">
        <f>IF(D236="INCLUIDO",IF(H236&lt;&gt;0,1,0),0)</f>
        <v>0</v>
      </c>
    </row>
    <row r="237" spans="1:22" customFormat="1" ht="15" hidden="1" customHeight="1" thickBot="1" x14ac:dyDescent="0.35">
      <c r="A237" s="82">
        <v>908</v>
      </c>
      <c r="B237" s="33">
        <v>1</v>
      </c>
      <c r="C237" s="19" t="s">
        <v>1290</v>
      </c>
      <c r="D237" s="23" t="str">
        <f>'Ramo Comercial'!C168</f>
        <v>NO APLICA</v>
      </c>
      <c r="E237" s="91"/>
      <c r="F237" s="113">
        <v>0</v>
      </c>
      <c r="G237" s="113">
        <v>1.2</v>
      </c>
      <c r="H237" s="28"/>
      <c r="I237" s="28"/>
      <c r="J237" s="28"/>
      <c r="K237" s="28"/>
      <c r="L237" s="28"/>
      <c r="M237" s="68">
        <v>0</v>
      </c>
      <c r="N237" s="28"/>
      <c r="O237" s="83"/>
      <c r="P237" s="13" t="str">
        <f t="shared" si="390"/>
        <v>NO</v>
      </c>
      <c r="Q237" s="48">
        <f>IF(D237="INCLUIDO",IF(F237&lt;&gt;0,1,0),0)</f>
        <v>0</v>
      </c>
      <c r="T237" s="142">
        <f>G237</f>
        <v>1.2</v>
      </c>
      <c r="U237" s="150"/>
      <c r="V237" s="151"/>
    </row>
    <row r="238" spans="1:22" customFormat="1" ht="15" hidden="1" customHeight="1" x14ac:dyDescent="0.3">
      <c r="A238" s="34" t="s">
        <v>1291</v>
      </c>
      <c r="B238" s="36">
        <v>138</v>
      </c>
      <c r="C238" s="29" t="s">
        <v>1292</v>
      </c>
      <c r="D238" s="29" t="str">
        <f>D237</f>
        <v>NO APLICA</v>
      </c>
      <c r="E238" s="27" t="s">
        <v>1152</v>
      </c>
      <c r="F238" s="20">
        <f>F237*S238</f>
        <v>0</v>
      </c>
      <c r="G238" s="21">
        <f>V238</f>
        <v>0</v>
      </c>
      <c r="H238" s="9">
        <f t="shared" ref="H238:H239" si="400">(IF(I238="$ Prima",G238,G238*F238/R238))*$U$9</f>
        <v>0</v>
      </c>
      <c r="I238" s="9" t="s">
        <v>1287</v>
      </c>
      <c r="J238" s="9">
        <f t="shared" ref="J238:J239" si="401">H238*$U$7</f>
        <v>0</v>
      </c>
      <c r="K238" s="9">
        <f t="shared" ref="K238:K239" si="402">(H238+J238)*$K$15</f>
        <v>0</v>
      </c>
      <c r="L238" s="9">
        <f t="shared" ref="L238:L239" si="403">ROUND(H238+J238+K238,2)</f>
        <v>0</v>
      </c>
      <c r="M238" s="11">
        <f>$M$237</f>
        <v>0</v>
      </c>
      <c r="N238" s="9">
        <f t="shared" ref="N238:N239" si="404">H238*M238</f>
        <v>0</v>
      </c>
      <c r="O238" s="12">
        <f t="shared" ref="O238:O239" si="405">N238</f>
        <v>0</v>
      </c>
      <c r="P238" s="13" t="str">
        <f t="shared" si="390"/>
        <v>NO</v>
      </c>
      <c r="Q238">
        <f>IF(D238="INCLUIDO",IF(F238&lt;&gt;0,1,0),0)</f>
        <v>0</v>
      </c>
      <c r="R238">
        <f>IF(I238="%o Al Millar",1000,IF(I238="% Al Porciento",100,IF(I238="$ Prima",G238)))</f>
        <v>0</v>
      </c>
      <c r="S238">
        <f t="shared" ref="S238:S239" si="406">IF(E238="Excluido",0,IF(D238="NO APLICA",0,1))</f>
        <v>0</v>
      </c>
      <c r="T238" s="152">
        <v>0.7</v>
      </c>
      <c r="U238" s="159">
        <f>IF(E238="Excluido",0,T237*T238)</f>
        <v>0.84</v>
      </c>
      <c r="V238" s="160">
        <f>IF(D237="NO APLICA",0,(U240-U239)+(T237-U240))</f>
        <v>0</v>
      </c>
    </row>
    <row r="239" spans="1:22" customFormat="1" ht="15" hidden="1" customHeight="1" thickBot="1" x14ac:dyDescent="0.35">
      <c r="A239" s="34" t="s">
        <v>1291</v>
      </c>
      <c r="B239" s="36">
        <v>254</v>
      </c>
      <c r="C239" s="29" t="s">
        <v>1293</v>
      </c>
      <c r="D239" s="29" t="str">
        <f>D237</f>
        <v>NO APLICA</v>
      </c>
      <c r="E239" s="27" t="s">
        <v>1152</v>
      </c>
      <c r="F239" s="20">
        <f>F238*S239</f>
        <v>0</v>
      </c>
      <c r="G239" s="21">
        <f>V239</f>
        <v>0</v>
      </c>
      <c r="H239" s="9">
        <f t="shared" si="400"/>
        <v>0</v>
      </c>
      <c r="I239" s="9" t="s">
        <v>1287</v>
      </c>
      <c r="J239" s="9">
        <f t="shared" si="401"/>
        <v>0</v>
      </c>
      <c r="K239" s="9">
        <f t="shared" si="402"/>
        <v>0</v>
      </c>
      <c r="L239" s="9">
        <f t="shared" si="403"/>
        <v>0</v>
      </c>
      <c r="M239" s="11">
        <f>$M$237</f>
        <v>0</v>
      </c>
      <c r="N239" s="9">
        <f t="shared" si="404"/>
        <v>0</v>
      </c>
      <c r="O239" s="12">
        <f t="shared" si="405"/>
        <v>0</v>
      </c>
      <c r="P239" s="13" t="str">
        <f t="shared" si="390"/>
        <v>NO</v>
      </c>
      <c r="Q239">
        <f>IF(D239="INCLUIDO",IF(F239&lt;&gt;0,1,0),0)</f>
        <v>0</v>
      </c>
      <c r="R239">
        <f>IF(I239="%o Al Millar",1000,IF(I239="% Al Porciento",100,IF(I239="$ Prima",G239)))</f>
        <v>0</v>
      </c>
      <c r="S239">
        <f t="shared" si="406"/>
        <v>0</v>
      </c>
      <c r="T239" s="152">
        <v>0.3</v>
      </c>
      <c r="U239" s="159">
        <f>IF(E239="Excluido",0,T237*T239)</f>
        <v>0.36</v>
      </c>
      <c r="V239" s="160">
        <f>IF($F239=0,0,U239)</f>
        <v>0</v>
      </c>
    </row>
    <row r="240" spans="1:22" s="18" customFormat="1" ht="15" hidden="1" customHeight="1" thickBot="1" x14ac:dyDescent="0.35">
      <c r="A240" s="24"/>
      <c r="B240" s="26"/>
      <c r="C240" s="15" t="s">
        <v>1177</v>
      </c>
      <c r="D240" s="38" t="str">
        <f>D239</f>
        <v>NO APLICA</v>
      </c>
      <c r="E240" s="38"/>
      <c r="F240" s="16">
        <f>SUMIF(E238:E239,"Adicional",F238:F239)</f>
        <v>0</v>
      </c>
      <c r="G240" s="17"/>
      <c r="H240" s="16">
        <f>SUM(H238:H239)</f>
        <v>0</v>
      </c>
      <c r="I240" s="16"/>
      <c r="J240" s="16">
        <f t="shared" ref="J240:L240" si="407">SUM(J238:J239)</f>
        <v>0</v>
      </c>
      <c r="K240" s="16">
        <f t="shared" si="407"/>
        <v>0</v>
      </c>
      <c r="L240" s="16">
        <f t="shared" si="407"/>
        <v>0</v>
      </c>
      <c r="M240" s="16" t="s">
        <v>1178</v>
      </c>
      <c r="N240" s="16">
        <f t="shared" ref="N240:O240" si="408">SUM(N238:N239)</f>
        <v>0</v>
      </c>
      <c r="O240" s="84">
        <f t="shared" si="408"/>
        <v>0</v>
      </c>
      <c r="P240" s="13" t="str">
        <f t="shared" si="390"/>
        <v>NO</v>
      </c>
      <c r="Q240">
        <f>IF(D240="INCLUIDO",IF(H240&lt;&gt;0,1,0),0)</f>
        <v>0</v>
      </c>
      <c r="T240" s="143">
        <f>SUM(T238:T239)</f>
        <v>1</v>
      </c>
      <c r="U240" s="144">
        <f>SUM(U238:U239)</f>
        <v>1.2</v>
      </c>
      <c r="V240" s="145">
        <f>SUM(V238:V239)</f>
        <v>0</v>
      </c>
    </row>
    <row r="241" spans="1:29" hidden="1" x14ac:dyDescent="0.3">
      <c r="A241" s="82">
        <v>909</v>
      </c>
      <c r="B241" s="33">
        <v>1</v>
      </c>
      <c r="C241" s="19" t="s">
        <v>1294</v>
      </c>
      <c r="D241" s="23" t="str">
        <f>'Ramo Comercial'!E162</f>
        <v>INCLUIDO</v>
      </c>
      <c r="E241" s="91"/>
      <c r="F241" s="132">
        <f>'COTIZACIÓN M.N.'!D91</f>
        <v>0</v>
      </c>
      <c r="G241" s="132">
        <f>'COTIZACIÓN M.N.'!F91</f>
        <v>0</v>
      </c>
      <c r="H241" s="28"/>
      <c r="I241" s="28"/>
      <c r="J241" s="28"/>
      <c r="K241" s="28"/>
      <c r="L241" s="28"/>
      <c r="M241" s="68">
        <f>'COTIZACIÓN M.N.'!G91</f>
        <v>0.1</v>
      </c>
      <c r="N241" s="28"/>
      <c r="O241" s="83"/>
      <c r="P241" s="13" t="str">
        <f t="shared" si="390"/>
        <v>NO</v>
      </c>
      <c r="Q241" s="47">
        <f>IF(D241="INCLUIDO",IF(F242&lt;&gt;0,1,0),0)</f>
        <v>0</v>
      </c>
      <c r="T241" s="112">
        <f>G241*T272</f>
        <v>0</v>
      </c>
      <c r="W241"/>
    </row>
    <row r="242" spans="1:29" hidden="1" x14ac:dyDescent="0.3">
      <c r="A242" s="34" t="s">
        <v>1295</v>
      </c>
      <c r="B242" s="36">
        <v>139</v>
      </c>
      <c r="C242" s="29" t="s">
        <v>1296</v>
      </c>
      <c r="D242" s="29" t="str">
        <f>'Ramo Comercial'!C162</f>
        <v>INCLUIDO</v>
      </c>
      <c r="E242" s="27" t="s">
        <v>1137</v>
      </c>
      <c r="F242" s="43">
        <f>F$241*S242</f>
        <v>0</v>
      </c>
      <c r="G242" s="114">
        <f>V242</f>
        <v>0</v>
      </c>
      <c r="H242" s="9">
        <f t="shared" ref="H242:H271" si="409">(IF(I242="$ Prima",G242,G242*F242/R242))*$U$9</f>
        <v>0</v>
      </c>
      <c r="I242" s="9" t="s">
        <v>1287</v>
      </c>
      <c r="J242" s="9">
        <f t="shared" ref="J242:J271" si="410">H242*$U$7</f>
        <v>0</v>
      </c>
      <c r="K242" s="9">
        <f t="shared" ref="K242:K271" si="411">(H242+J242)*$K$15</f>
        <v>0</v>
      </c>
      <c r="L242" s="9">
        <f t="shared" ref="L242:L271" si="412">ROUND(H242+J242+K242,2)</f>
        <v>0</v>
      </c>
      <c r="M242" s="11">
        <f>$M$241</f>
        <v>0.1</v>
      </c>
      <c r="N242" s="9">
        <f t="shared" ref="N242:N271" si="413">H242*M242</f>
        <v>0</v>
      </c>
      <c r="O242" s="12">
        <f t="shared" ref="O242:O271" si="414">N242</f>
        <v>0</v>
      </c>
      <c r="P242" s="13" t="str">
        <f t="shared" si="390"/>
        <v>NO</v>
      </c>
      <c r="Q242">
        <f t="shared" ref="Q242:Q271" si="415">IF(D242="INCLUIDO",IF(F242&lt;&gt;0,1,0),0)</f>
        <v>0</v>
      </c>
      <c r="R242">
        <f t="shared" ref="R242:R271" si="416">IF(I242="%o Al Millar",1000,IF(I242="% Al Porciento",100,IF(I242="$ Prima",G242)))</f>
        <v>0</v>
      </c>
      <c r="S242">
        <f t="shared" ref="S242:S271" si="417">IF(E242="Excluido",0,IF(D242="NO APLICA",0,1))</f>
        <v>1</v>
      </c>
      <c r="T242" s="110">
        <f>VLOOKUP(B242,DesgloseRC!$E$48:$F$88,2,FALSE)</f>
        <v>0.25</v>
      </c>
      <c r="U242" s="111">
        <f>IF(E242="Excluido",0,T241*T242)</f>
        <v>0</v>
      </c>
      <c r="V242" s="160">
        <f>IF(D241="NO APLICA",0,(U272-(SUM(U243:U271))+(T241-U272)))</f>
        <v>0</v>
      </c>
      <c r="W242" s="110"/>
      <c r="X242" s="110"/>
      <c r="Y242" s="110"/>
      <c r="Z242" s="110"/>
      <c r="AA242" s="110"/>
      <c r="AB242" s="110"/>
      <c r="AC242" s="110"/>
    </row>
    <row r="243" spans="1:29" ht="15" hidden="1" customHeight="1" x14ac:dyDescent="0.3">
      <c r="A243" s="34" t="s">
        <v>1295</v>
      </c>
      <c r="B243" s="36">
        <v>140</v>
      </c>
      <c r="C243" s="29" t="s">
        <v>1297</v>
      </c>
      <c r="D243" s="29" t="str">
        <f>$D$242</f>
        <v>INCLUIDO</v>
      </c>
      <c r="E243" s="27" t="s">
        <v>1186</v>
      </c>
      <c r="F243" s="43">
        <f t="shared" ref="F243:F271" si="418">F$241*S243</f>
        <v>0</v>
      </c>
      <c r="G243" s="114">
        <f t="shared" ref="G243:G271" si="419">V243</f>
        <v>0</v>
      </c>
      <c r="H243" s="9">
        <f t="shared" si="409"/>
        <v>0</v>
      </c>
      <c r="I243" s="9" t="s">
        <v>1287</v>
      </c>
      <c r="J243" s="9">
        <f t="shared" si="410"/>
        <v>0</v>
      </c>
      <c r="K243" s="9">
        <f t="shared" si="411"/>
        <v>0</v>
      </c>
      <c r="L243" s="9">
        <f t="shared" si="412"/>
        <v>0</v>
      </c>
      <c r="M243" s="11">
        <f t="shared" ref="M243:M271" si="420">$M$241</f>
        <v>0.1</v>
      </c>
      <c r="N243" s="9">
        <f t="shared" si="413"/>
        <v>0</v>
      </c>
      <c r="O243" s="12">
        <f t="shared" si="414"/>
        <v>0</v>
      </c>
      <c r="P243" s="13" t="str">
        <f t="shared" si="390"/>
        <v>NO</v>
      </c>
      <c r="Q243">
        <f t="shared" si="415"/>
        <v>0</v>
      </c>
      <c r="R243">
        <f t="shared" si="416"/>
        <v>0</v>
      </c>
      <c r="S243">
        <f t="shared" si="417"/>
        <v>0</v>
      </c>
      <c r="T243" s="110">
        <f>VLOOKUP(B243,DesgloseRC!$E$48:$F$88,2,FALSE)</f>
        <v>0.05</v>
      </c>
      <c r="U243" s="111">
        <f>IF(E243="Excluido",0,$T$241*T243)</f>
        <v>0</v>
      </c>
      <c r="V243" s="111">
        <f>IF(F243=0,0,U243)</f>
        <v>0</v>
      </c>
      <c r="W243" s="110"/>
      <c r="X243" s="110"/>
      <c r="Y243" s="110"/>
      <c r="Z243" s="110"/>
      <c r="AA243" s="110"/>
      <c r="AB243" s="110"/>
      <c r="AC243" s="110"/>
    </row>
    <row r="244" spans="1:29" ht="15" hidden="1" customHeight="1" x14ac:dyDescent="0.3">
      <c r="A244" s="34" t="s">
        <v>1295</v>
      </c>
      <c r="B244" s="36">
        <v>153</v>
      </c>
      <c r="C244" s="29" t="s">
        <v>1298</v>
      </c>
      <c r="D244" s="29" t="str">
        <f t="shared" ref="D244:D269" si="421">$D$242</f>
        <v>INCLUIDO</v>
      </c>
      <c r="E244" s="27" t="s">
        <v>1186</v>
      </c>
      <c r="F244" s="43">
        <f t="shared" si="418"/>
        <v>0</v>
      </c>
      <c r="G244" s="114">
        <f t="shared" si="419"/>
        <v>0</v>
      </c>
      <c r="H244" s="9">
        <f t="shared" si="409"/>
        <v>0</v>
      </c>
      <c r="I244" s="9" t="s">
        <v>1287</v>
      </c>
      <c r="J244" s="9">
        <f t="shared" si="410"/>
        <v>0</v>
      </c>
      <c r="K244" s="9">
        <f t="shared" si="411"/>
        <v>0</v>
      </c>
      <c r="L244" s="9">
        <f t="shared" si="412"/>
        <v>0</v>
      </c>
      <c r="M244" s="11">
        <f t="shared" si="420"/>
        <v>0.1</v>
      </c>
      <c r="N244" s="9">
        <f t="shared" si="413"/>
        <v>0</v>
      </c>
      <c r="O244" s="12">
        <f t="shared" si="414"/>
        <v>0</v>
      </c>
      <c r="P244" s="13" t="str">
        <f t="shared" si="390"/>
        <v>NO</v>
      </c>
      <c r="Q244">
        <f t="shared" si="415"/>
        <v>0</v>
      </c>
      <c r="R244">
        <f t="shared" si="416"/>
        <v>0</v>
      </c>
      <c r="S244">
        <f t="shared" si="417"/>
        <v>0</v>
      </c>
      <c r="T244" s="110">
        <f>VLOOKUP(B244,DesgloseRC!$E$48:$F$88,2,FALSE)</f>
        <v>0</v>
      </c>
      <c r="U244" s="111">
        <f t="shared" ref="U244:U271" si="422">IF(E244="Excluido",0,$T$241*T244)</f>
        <v>0</v>
      </c>
      <c r="V244" s="111">
        <f t="shared" ref="V244:V271" si="423">IF(F244=0,0,U244)</f>
        <v>0</v>
      </c>
      <c r="W244"/>
      <c r="AA244" s="110"/>
      <c r="AC244" s="110"/>
    </row>
    <row r="245" spans="1:29" ht="15" hidden="1" customHeight="1" x14ac:dyDescent="0.3">
      <c r="A245" s="34" t="s">
        <v>1295</v>
      </c>
      <c r="B245" s="36">
        <v>154</v>
      </c>
      <c r="C245" s="29" t="s">
        <v>1299</v>
      </c>
      <c r="D245" s="29" t="str">
        <f t="shared" si="421"/>
        <v>INCLUIDO</v>
      </c>
      <c r="E245" s="27" t="s">
        <v>1186</v>
      </c>
      <c r="F245" s="43">
        <f t="shared" si="418"/>
        <v>0</v>
      </c>
      <c r="G245" s="114">
        <f t="shared" si="419"/>
        <v>0</v>
      </c>
      <c r="H245" s="9">
        <f t="shared" si="409"/>
        <v>0</v>
      </c>
      <c r="I245" s="9" t="s">
        <v>1287</v>
      </c>
      <c r="J245" s="9">
        <f t="shared" si="410"/>
        <v>0</v>
      </c>
      <c r="K245" s="9">
        <f t="shared" si="411"/>
        <v>0</v>
      </c>
      <c r="L245" s="9">
        <f t="shared" si="412"/>
        <v>0</v>
      </c>
      <c r="M245" s="11">
        <f t="shared" si="420"/>
        <v>0.1</v>
      </c>
      <c r="N245" s="9">
        <f t="shared" si="413"/>
        <v>0</v>
      </c>
      <c r="O245" s="12">
        <f t="shared" si="414"/>
        <v>0</v>
      </c>
      <c r="P245" s="13" t="str">
        <f t="shared" si="390"/>
        <v>NO</v>
      </c>
      <c r="Q245">
        <f t="shared" si="415"/>
        <v>0</v>
      </c>
      <c r="R245">
        <f t="shared" si="416"/>
        <v>0</v>
      </c>
      <c r="S245">
        <f t="shared" si="417"/>
        <v>0</v>
      </c>
      <c r="T245" s="110">
        <f>VLOOKUP(B245,DesgloseRC!$E$48:$F$88,2,FALSE)</f>
        <v>0</v>
      </c>
      <c r="U245" s="111">
        <f t="shared" si="422"/>
        <v>0</v>
      </c>
      <c r="V245" s="111">
        <f t="shared" si="423"/>
        <v>0</v>
      </c>
      <c r="W245"/>
      <c r="AA245" s="110"/>
      <c r="AC245" s="110"/>
    </row>
    <row r="246" spans="1:29" ht="22.5" hidden="1" customHeight="1" x14ac:dyDescent="0.3">
      <c r="A246" s="34" t="s">
        <v>1295</v>
      </c>
      <c r="B246" s="36">
        <v>152</v>
      </c>
      <c r="C246" s="29" t="s">
        <v>1300</v>
      </c>
      <c r="D246" s="29" t="str">
        <f t="shared" si="421"/>
        <v>INCLUIDO</v>
      </c>
      <c r="E246" s="27" t="s">
        <v>1186</v>
      </c>
      <c r="F246" s="43">
        <f t="shared" si="418"/>
        <v>0</v>
      </c>
      <c r="G246" s="114">
        <f t="shared" si="419"/>
        <v>0</v>
      </c>
      <c r="H246" s="9">
        <f t="shared" si="409"/>
        <v>0</v>
      </c>
      <c r="I246" s="9" t="s">
        <v>1287</v>
      </c>
      <c r="J246" s="9">
        <f t="shared" si="410"/>
        <v>0</v>
      </c>
      <c r="K246" s="9">
        <f t="shared" si="411"/>
        <v>0</v>
      </c>
      <c r="L246" s="9">
        <f t="shared" si="412"/>
        <v>0</v>
      </c>
      <c r="M246" s="11">
        <f t="shared" si="420"/>
        <v>0.1</v>
      </c>
      <c r="N246" s="9">
        <f t="shared" si="413"/>
        <v>0</v>
      </c>
      <c r="O246" s="12">
        <f t="shared" si="414"/>
        <v>0</v>
      </c>
      <c r="P246" s="13" t="str">
        <f t="shared" si="390"/>
        <v>NO</v>
      </c>
      <c r="Q246">
        <f t="shared" si="415"/>
        <v>0</v>
      </c>
      <c r="R246">
        <f t="shared" si="416"/>
        <v>0</v>
      </c>
      <c r="S246">
        <f t="shared" si="417"/>
        <v>0</v>
      </c>
      <c r="T246" s="110">
        <f>VLOOKUP(B246,DesgloseRC!$E$48:$F$88,2,FALSE)</f>
        <v>0</v>
      </c>
      <c r="U246" s="111">
        <f t="shared" si="422"/>
        <v>0</v>
      </c>
      <c r="V246" s="111">
        <f t="shared" si="423"/>
        <v>0</v>
      </c>
      <c r="W246"/>
      <c r="AA246" s="110"/>
      <c r="AC246" s="110"/>
    </row>
    <row r="247" spans="1:29" ht="15" hidden="1" customHeight="1" x14ac:dyDescent="0.3">
      <c r="A247" s="34" t="s">
        <v>1295</v>
      </c>
      <c r="B247" s="36">
        <v>151</v>
      </c>
      <c r="C247" s="29" t="s">
        <v>1301</v>
      </c>
      <c r="D247" s="29" t="str">
        <f t="shared" si="421"/>
        <v>INCLUIDO</v>
      </c>
      <c r="E247" s="27" t="s">
        <v>1186</v>
      </c>
      <c r="F247" s="43">
        <f t="shared" si="418"/>
        <v>0</v>
      </c>
      <c r="G247" s="114">
        <f t="shared" si="419"/>
        <v>0</v>
      </c>
      <c r="H247" s="9">
        <f t="shared" si="409"/>
        <v>0</v>
      </c>
      <c r="I247" s="9" t="s">
        <v>1287</v>
      </c>
      <c r="J247" s="9">
        <f t="shared" si="410"/>
        <v>0</v>
      </c>
      <c r="K247" s="9">
        <f t="shared" si="411"/>
        <v>0</v>
      </c>
      <c r="L247" s="9">
        <f t="shared" si="412"/>
        <v>0</v>
      </c>
      <c r="M247" s="11">
        <f t="shared" si="420"/>
        <v>0.1</v>
      </c>
      <c r="N247" s="9">
        <f t="shared" si="413"/>
        <v>0</v>
      </c>
      <c r="O247" s="12">
        <f t="shared" si="414"/>
        <v>0</v>
      </c>
      <c r="P247" s="13" t="str">
        <f t="shared" si="390"/>
        <v>NO</v>
      </c>
      <c r="Q247">
        <f t="shared" si="415"/>
        <v>0</v>
      </c>
      <c r="R247">
        <f t="shared" si="416"/>
        <v>0</v>
      </c>
      <c r="S247">
        <f t="shared" si="417"/>
        <v>0</v>
      </c>
      <c r="T247" s="110">
        <f>VLOOKUP(B247,DesgloseRC!$E$48:$F$88,2,FALSE)</f>
        <v>0.1</v>
      </c>
      <c r="U247" s="111">
        <f t="shared" si="422"/>
        <v>0</v>
      </c>
      <c r="V247" s="111">
        <f t="shared" si="423"/>
        <v>0</v>
      </c>
      <c r="W247"/>
      <c r="AC247" s="110"/>
    </row>
    <row r="248" spans="1:29" ht="15" hidden="1" customHeight="1" x14ac:dyDescent="0.3">
      <c r="A248" s="34" t="s">
        <v>1295</v>
      </c>
      <c r="B248" s="36">
        <v>141</v>
      </c>
      <c r="C248" s="29" t="s">
        <v>1302</v>
      </c>
      <c r="D248" s="29" t="str">
        <f t="shared" si="421"/>
        <v>INCLUIDO</v>
      </c>
      <c r="E248" s="27" t="s">
        <v>1186</v>
      </c>
      <c r="F248" s="43">
        <f t="shared" si="418"/>
        <v>0</v>
      </c>
      <c r="G248" s="114">
        <f t="shared" si="419"/>
        <v>0</v>
      </c>
      <c r="H248" s="9">
        <f t="shared" si="409"/>
        <v>0</v>
      </c>
      <c r="I248" s="9" t="s">
        <v>1287</v>
      </c>
      <c r="J248" s="9">
        <f t="shared" si="410"/>
        <v>0</v>
      </c>
      <c r="K248" s="9">
        <f t="shared" si="411"/>
        <v>0</v>
      </c>
      <c r="L248" s="9">
        <f t="shared" si="412"/>
        <v>0</v>
      </c>
      <c r="M248" s="11">
        <f t="shared" si="420"/>
        <v>0.1</v>
      </c>
      <c r="N248" s="9">
        <f t="shared" si="413"/>
        <v>0</v>
      </c>
      <c r="O248" s="12">
        <f t="shared" si="414"/>
        <v>0</v>
      </c>
      <c r="P248" s="13" t="str">
        <f t="shared" si="390"/>
        <v>NO</v>
      </c>
      <c r="Q248">
        <f t="shared" si="415"/>
        <v>0</v>
      </c>
      <c r="R248">
        <f t="shared" si="416"/>
        <v>0</v>
      </c>
      <c r="S248">
        <f t="shared" si="417"/>
        <v>0</v>
      </c>
      <c r="T248" s="110">
        <f>VLOOKUP(B248,DesgloseRC!$E$48:$F$88,2,FALSE)</f>
        <v>0.03</v>
      </c>
      <c r="U248" s="111">
        <f t="shared" si="422"/>
        <v>0</v>
      </c>
      <c r="V248" s="111">
        <f t="shared" si="423"/>
        <v>0</v>
      </c>
      <c r="W248"/>
      <c r="Z248" s="110"/>
      <c r="AC248" s="110"/>
    </row>
    <row r="249" spans="1:29" ht="22.5" hidden="1" customHeight="1" x14ac:dyDescent="0.3">
      <c r="A249" s="34" t="s">
        <v>1295</v>
      </c>
      <c r="B249" s="36">
        <v>142</v>
      </c>
      <c r="C249" s="29" t="s">
        <v>1303</v>
      </c>
      <c r="D249" s="29" t="str">
        <f t="shared" si="421"/>
        <v>INCLUIDO</v>
      </c>
      <c r="E249" s="27" t="s">
        <v>1186</v>
      </c>
      <c r="F249" s="43">
        <f t="shared" si="418"/>
        <v>0</v>
      </c>
      <c r="G249" s="114">
        <f t="shared" si="419"/>
        <v>0</v>
      </c>
      <c r="H249" s="9">
        <f t="shared" si="409"/>
        <v>0</v>
      </c>
      <c r="I249" s="9" t="s">
        <v>1287</v>
      </c>
      <c r="J249" s="9">
        <f t="shared" si="410"/>
        <v>0</v>
      </c>
      <c r="K249" s="9">
        <f t="shared" si="411"/>
        <v>0</v>
      </c>
      <c r="L249" s="9">
        <f t="shared" si="412"/>
        <v>0</v>
      </c>
      <c r="M249" s="11">
        <f t="shared" si="420"/>
        <v>0.1</v>
      </c>
      <c r="N249" s="9">
        <f t="shared" si="413"/>
        <v>0</v>
      </c>
      <c r="O249" s="12">
        <f t="shared" si="414"/>
        <v>0</v>
      </c>
      <c r="P249" s="13" t="str">
        <f t="shared" si="390"/>
        <v>NO</v>
      </c>
      <c r="Q249">
        <f t="shared" si="415"/>
        <v>0</v>
      </c>
      <c r="R249">
        <f t="shared" si="416"/>
        <v>0</v>
      </c>
      <c r="S249">
        <f t="shared" si="417"/>
        <v>0</v>
      </c>
      <c r="T249" s="110">
        <f>VLOOKUP(B249,DesgloseRC!$E$48:$F$88,2,FALSE)</f>
        <v>0.03</v>
      </c>
      <c r="U249" s="111">
        <f t="shared" si="422"/>
        <v>0</v>
      </c>
      <c r="V249" s="111">
        <f t="shared" si="423"/>
        <v>0</v>
      </c>
      <c r="W249"/>
      <c r="AC249" s="110"/>
    </row>
    <row r="250" spans="1:29" ht="15" hidden="1" customHeight="1" x14ac:dyDescent="0.3">
      <c r="A250" s="34" t="s">
        <v>1295</v>
      </c>
      <c r="B250" s="36">
        <v>143</v>
      </c>
      <c r="C250" s="29" t="s">
        <v>1304</v>
      </c>
      <c r="D250" s="29" t="str">
        <f t="shared" si="421"/>
        <v>INCLUIDO</v>
      </c>
      <c r="E250" s="27" t="s">
        <v>1186</v>
      </c>
      <c r="F250" s="43">
        <v>0</v>
      </c>
      <c r="G250" s="114">
        <f t="shared" si="419"/>
        <v>0</v>
      </c>
      <c r="H250" s="9">
        <f t="shared" si="409"/>
        <v>0</v>
      </c>
      <c r="I250" s="9" t="s">
        <v>1287</v>
      </c>
      <c r="J250" s="9">
        <f t="shared" si="410"/>
        <v>0</v>
      </c>
      <c r="K250" s="9">
        <f t="shared" si="411"/>
        <v>0</v>
      </c>
      <c r="L250" s="9">
        <f t="shared" si="412"/>
        <v>0</v>
      </c>
      <c r="M250" s="11">
        <f t="shared" si="420"/>
        <v>0.1</v>
      </c>
      <c r="N250" s="9">
        <f t="shared" si="413"/>
        <v>0</v>
      </c>
      <c r="O250" s="12">
        <f t="shared" si="414"/>
        <v>0</v>
      </c>
      <c r="P250" s="13" t="str">
        <f t="shared" si="390"/>
        <v>NO</v>
      </c>
      <c r="Q250">
        <f t="shared" si="415"/>
        <v>0</v>
      </c>
      <c r="R250">
        <f t="shared" si="416"/>
        <v>0</v>
      </c>
      <c r="S250">
        <f t="shared" si="417"/>
        <v>0</v>
      </c>
      <c r="T250" s="110">
        <f>VLOOKUP(B250,DesgloseRC!$E$48:$F$88,2,FALSE)</f>
        <v>0.03</v>
      </c>
      <c r="U250" s="111">
        <f t="shared" si="422"/>
        <v>0</v>
      </c>
      <c r="V250" s="111">
        <f t="shared" si="423"/>
        <v>0</v>
      </c>
      <c r="W250"/>
      <c r="Z250" s="110"/>
      <c r="AB250" s="110"/>
      <c r="AC250" s="110"/>
    </row>
    <row r="251" spans="1:29" ht="22.5" hidden="1" customHeight="1" x14ac:dyDescent="0.3">
      <c r="A251" s="34" t="s">
        <v>1295</v>
      </c>
      <c r="B251" s="36">
        <v>144</v>
      </c>
      <c r="C251" s="29" t="s">
        <v>1305</v>
      </c>
      <c r="D251" s="29" t="str">
        <f t="shared" si="421"/>
        <v>INCLUIDO</v>
      </c>
      <c r="E251" s="27" t="s">
        <v>1186</v>
      </c>
      <c r="F251" s="43">
        <f t="shared" si="418"/>
        <v>0</v>
      </c>
      <c r="G251" s="114">
        <f t="shared" si="419"/>
        <v>0</v>
      </c>
      <c r="H251" s="9">
        <f t="shared" si="409"/>
        <v>0</v>
      </c>
      <c r="I251" s="9" t="s">
        <v>1287</v>
      </c>
      <c r="J251" s="9">
        <f t="shared" si="410"/>
        <v>0</v>
      </c>
      <c r="K251" s="9">
        <f t="shared" si="411"/>
        <v>0</v>
      </c>
      <c r="L251" s="9">
        <f t="shared" si="412"/>
        <v>0</v>
      </c>
      <c r="M251" s="11">
        <f t="shared" si="420"/>
        <v>0.1</v>
      </c>
      <c r="N251" s="9">
        <f t="shared" si="413"/>
        <v>0</v>
      </c>
      <c r="O251" s="12">
        <f t="shared" si="414"/>
        <v>0</v>
      </c>
      <c r="P251" s="13" t="str">
        <f t="shared" si="390"/>
        <v>NO</v>
      </c>
      <c r="Q251">
        <f t="shared" si="415"/>
        <v>0</v>
      </c>
      <c r="R251">
        <f t="shared" si="416"/>
        <v>0</v>
      </c>
      <c r="S251">
        <f t="shared" si="417"/>
        <v>0</v>
      </c>
      <c r="T251" s="110">
        <f>VLOOKUP(B251,DesgloseRC!$E$48:$F$88,2,FALSE)</f>
        <v>0.03</v>
      </c>
      <c r="U251" s="111">
        <f t="shared" si="422"/>
        <v>0</v>
      </c>
      <c r="V251" s="111">
        <f t="shared" si="423"/>
        <v>0</v>
      </c>
      <c r="W251"/>
      <c r="Z251" s="110"/>
      <c r="AC251" s="110"/>
    </row>
    <row r="252" spans="1:29" ht="15" hidden="1" customHeight="1" x14ac:dyDescent="0.3">
      <c r="A252" s="34" t="s">
        <v>1295</v>
      </c>
      <c r="B252" s="36">
        <v>145</v>
      </c>
      <c r="C252" s="29" t="s">
        <v>1306</v>
      </c>
      <c r="D252" s="29" t="str">
        <f t="shared" si="421"/>
        <v>INCLUIDO</v>
      </c>
      <c r="E252" s="27" t="s">
        <v>1186</v>
      </c>
      <c r="F252" s="43">
        <f t="shared" si="418"/>
        <v>0</v>
      </c>
      <c r="G252" s="114">
        <f t="shared" si="419"/>
        <v>0</v>
      </c>
      <c r="H252" s="9">
        <f t="shared" si="409"/>
        <v>0</v>
      </c>
      <c r="I252" s="9" t="s">
        <v>1287</v>
      </c>
      <c r="J252" s="9">
        <f t="shared" si="410"/>
        <v>0</v>
      </c>
      <c r="K252" s="9">
        <f t="shared" si="411"/>
        <v>0</v>
      </c>
      <c r="L252" s="9">
        <f t="shared" si="412"/>
        <v>0</v>
      </c>
      <c r="M252" s="11">
        <f t="shared" si="420"/>
        <v>0.1</v>
      </c>
      <c r="N252" s="9">
        <f t="shared" si="413"/>
        <v>0</v>
      </c>
      <c r="O252" s="12">
        <f t="shared" si="414"/>
        <v>0</v>
      </c>
      <c r="P252" s="13" t="str">
        <f t="shared" si="390"/>
        <v>NO</v>
      </c>
      <c r="Q252">
        <f t="shared" si="415"/>
        <v>0</v>
      </c>
      <c r="R252">
        <f t="shared" si="416"/>
        <v>0</v>
      </c>
      <c r="S252">
        <f t="shared" si="417"/>
        <v>0</v>
      </c>
      <c r="T252" s="110">
        <f>VLOOKUP(B252,DesgloseRC!$E$48:$F$88,2,FALSE)</f>
        <v>0.03</v>
      </c>
      <c r="U252" s="111">
        <f t="shared" si="422"/>
        <v>0</v>
      </c>
      <c r="V252" s="111">
        <f t="shared" si="423"/>
        <v>0</v>
      </c>
      <c r="W252"/>
      <c r="Z252" s="110"/>
      <c r="AC252" s="110"/>
    </row>
    <row r="253" spans="1:29" ht="15" hidden="1" customHeight="1" x14ac:dyDescent="0.3">
      <c r="A253" s="34" t="s">
        <v>1295</v>
      </c>
      <c r="B253" s="36">
        <v>146</v>
      </c>
      <c r="C253" s="29" t="s">
        <v>1307</v>
      </c>
      <c r="D253" s="29" t="str">
        <f t="shared" si="421"/>
        <v>INCLUIDO</v>
      </c>
      <c r="E253" s="27" t="s">
        <v>1186</v>
      </c>
      <c r="F253" s="43">
        <f t="shared" si="418"/>
        <v>0</v>
      </c>
      <c r="G253" s="114">
        <f t="shared" si="419"/>
        <v>0</v>
      </c>
      <c r="H253" s="9">
        <f t="shared" si="409"/>
        <v>0</v>
      </c>
      <c r="I253" s="9" t="s">
        <v>1287</v>
      </c>
      <c r="J253" s="9">
        <f t="shared" si="410"/>
        <v>0</v>
      </c>
      <c r="K253" s="9">
        <f t="shared" si="411"/>
        <v>0</v>
      </c>
      <c r="L253" s="9">
        <f t="shared" si="412"/>
        <v>0</v>
      </c>
      <c r="M253" s="11">
        <f t="shared" si="420"/>
        <v>0.1</v>
      </c>
      <c r="N253" s="9">
        <f t="shared" si="413"/>
        <v>0</v>
      </c>
      <c r="O253" s="12">
        <f t="shared" si="414"/>
        <v>0</v>
      </c>
      <c r="P253" s="13" t="str">
        <f t="shared" si="390"/>
        <v>NO</v>
      </c>
      <c r="Q253">
        <f t="shared" si="415"/>
        <v>0</v>
      </c>
      <c r="R253">
        <f t="shared" si="416"/>
        <v>0</v>
      </c>
      <c r="S253">
        <f t="shared" si="417"/>
        <v>0</v>
      </c>
      <c r="T253" s="110">
        <f>VLOOKUP(B253,DesgloseRC!$E$48:$F$88,2,FALSE)</f>
        <v>0</v>
      </c>
      <c r="U253" s="111">
        <f t="shared" si="422"/>
        <v>0</v>
      </c>
      <c r="V253" s="111">
        <f t="shared" si="423"/>
        <v>0</v>
      </c>
      <c r="W253"/>
    </row>
    <row r="254" spans="1:29" ht="15" hidden="1" customHeight="1" x14ac:dyDescent="0.3">
      <c r="A254" s="34" t="s">
        <v>1295</v>
      </c>
      <c r="B254" s="36">
        <v>147</v>
      </c>
      <c r="C254" s="29" t="s">
        <v>1308</v>
      </c>
      <c r="D254" s="29" t="str">
        <f t="shared" si="421"/>
        <v>INCLUIDO</v>
      </c>
      <c r="E254" s="27" t="s">
        <v>1186</v>
      </c>
      <c r="F254" s="43">
        <f t="shared" si="418"/>
        <v>0</v>
      </c>
      <c r="G254" s="114">
        <f t="shared" si="419"/>
        <v>0</v>
      </c>
      <c r="H254" s="9">
        <f t="shared" si="409"/>
        <v>0</v>
      </c>
      <c r="I254" s="9" t="s">
        <v>1287</v>
      </c>
      <c r="J254" s="9">
        <f t="shared" si="410"/>
        <v>0</v>
      </c>
      <c r="K254" s="9">
        <f t="shared" si="411"/>
        <v>0</v>
      </c>
      <c r="L254" s="9">
        <f t="shared" si="412"/>
        <v>0</v>
      </c>
      <c r="M254" s="11">
        <f t="shared" si="420"/>
        <v>0.1</v>
      </c>
      <c r="N254" s="9">
        <f t="shared" si="413"/>
        <v>0</v>
      </c>
      <c r="O254" s="12">
        <f t="shared" si="414"/>
        <v>0</v>
      </c>
      <c r="P254" s="13" t="str">
        <f t="shared" si="390"/>
        <v>NO</v>
      </c>
      <c r="Q254">
        <f t="shared" si="415"/>
        <v>0</v>
      </c>
      <c r="R254">
        <f t="shared" si="416"/>
        <v>0</v>
      </c>
      <c r="S254">
        <f t="shared" si="417"/>
        <v>0</v>
      </c>
      <c r="T254" s="110">
        <f>VLOOKUP(B254,DesgloseRC!$E$48:$F$88,2,FALSE)</f>
        <v>0</v>
      </c>
      <c r="U254" s="111">
        <f t="shared" si="422"/>
        <v>0</v>
      </c>
      <c r="V254" s="111">
        <f t="shared" si="423"/>
        <v>0</v>
      </c>
      <c r="W254"/>
    </row>
    <row r="255" spans="1:29" ht="15" hidden="1" customHeight="1" x14ac:dyDescent="0.3">
      <c r="A255" s="34" t="s">
        <v>1295</v>
      </c>
      <c r="B255" s="36">
        <v>148</v>
      </c>
      <c r="C255" s="29" t="s">
        <v>1309</v>
      </c>
      <c r="D255" s="29" t="str">
        <f t="shared" si="421"/>
        <v>INCLUIDO</v>
      </c>
      <c r="E255" s="27" t="s">
        <v>1186</v>
      </c>
      <c r="F255" s="43">
        <f t="shared" si="418"/>
        <v>0</v>
      </c>
      <c r="G255" s="114">
        <f t="shared" si="419"/>
        <v>0</v>
      </c>
      <c r="H255" s="9">
        <f t="shared" si="409"/>
        <v>0</v>
      </c>
      <c r="I255" s="9" t="s">
        <v>1287</v>
      </c>
      <c r="J255" s="9">
        <f t="shared" si="410"/>
        <v>0</v>
      </c>
      <c r="K255" s="9">
        <f t="shared" si="411"/>
        <v>0</v>
      </c>
      <c r="L255" s="9">
        <f t="shared" si="412"/>
        <v>0</v>
      </c>
      <c r="M255" s="11">
        <f t="shared" si="420"/>
        <v>0.1</v>
      </c>
      <c r="N255" s="9">
        <f t="shared" si="413"/>
        <v>0</v>
      </c>
      <c r="O255" s="12">
        <f t="shared" si="414"/>
        <v>0</v>
      </c>
      <c r="P255" s="13" t="str">
        <f t="shared" si="390"/>
        <v>NO</v>
      </c>
      <c r="Q255">
        <f t="shared" si="415"/>
        <v>0</v>
      </c>
      <c r="R255">
        <f t="shared" si="416"/>
        <v>0</v>
      </c>
      <c r="S255">
        <f t="shared" si="417"/>
        <v>0</v>
      </c>
      <c r="T255" s="110">
        <f>VLOOKUP(B255,DesgloseRC!$E$48:$F$88,2,FALSE)</f>
        <v>0.1</v>
      </c>
      <c r="U255" s="111">
        <f t="shared" si="422"/>
        <v>0</v>
      </c>
      <c r="V255" s="111">
        <f t="shared" si="423"/>
        <v>0</v>
      </c>
      <c r="W255"/>
      <c r="AC255" s="110"/>
    </row>
    <row r="256" spans="1:29" ht="15" hidden="1" customHeight="1" x14ac:dyDescent="0.3">
      <c r="A256" s="34" t="s">
        <v>1295</v>
      </c>
      <c r="B256" s="36">
        <v>156</v>
      </c>
      <c r="C256" s="29" t="s">
        <v>1310</v>
      </c>
      <c r="D256" s="29" t="str">
        <f t="shared" si="421"/>
        <v>INCLUIDO</v>
      </c>
      <c r="E256" s="27" t="s">
        <v>1186</v>
      </c>
      <c r="F256" s="43">
        <v>0</v>
      </c>
      <c r="G256" s="114">
        <f t="shared" si="419"/>
        <v>0</v>
      </c>
      <c r="H256" s="9">
        <f t="shared" si="409"/>
        <v>0</v>
      </c>
      <c r="I256" s="9" t="s">
        <v>1287</v>
      </c>
      <c r="J256" s="9">
        <f t="shared" si="410"/>
        <v>0</v>
      </c>
      <c r="K256" s="9">
        <f t="shared" si="411"/>
        <v>0</v>
      </c>
      <c r="L256" s="9">
        <f t="shared" si="412"/>
        <v>0</v>
      </c>
      <c r="M256" s="11">
        <f t="shared" si="420"/>
        <v>0.1</v>
      </c>
      <c r="N256" s="9">
        <f t="shared" si="413"/>
        <v>0</v>
      </c>
      <c r="O256" s="12">
        <f t="shared" si="414"/>
        <v>0</v>
      </c>
      <c r="P256" s="13" t="str">
        <f t="shared" si="390"/>
        <v>NO</v>
      </c>
      <c r="Q256">
        <f t="shared" si="415"/>
        <v>0</v>
      </c>
      <c r="R256">
        <f t="shared" si="416"/>
        <v>0</v>
      </c>
      <c r="S256">
        <f t="shared" si="417"/>
        <v>0</v>
      </c>
      <c r="T256" s="110">
        <f>VLOOKUP(B256,DesgloseRC!$E$48:$F$88,2,FALSE)</f>
        <v>0.05</v>
      </c>
      <c r="U256" s="111">
        <f t="shared" si="422"/>
        <v>0</v>
      </c>
      <c r="V256" s="111">
        <f t="shared" si="423"/>
        <v>0</v>
      </c>
      <c r="W256"/>
    </row>
    <row r="257" spans="1:29" ht="22.5" hidden="1" customHeight="1" x14ac:dyDescent="0.3">
      <c r="A257" s="34" t="s">
        <v>1295</v>
      </c>
      <c r="B257" s="36">
        <v>225</v>
      </c>
      <c r="C257" s="29" t="s">
        <v>1311</v>
      </c>
      <c r="D257" s="29" t="str">
        <f t="shared" si="421"/>
        <v>INCLUIDO</v>
      </c>
      <c r="E257" s="27" t="s">
        <v>1186</v>
      </c>
      <c r="F257" s="43">
        <f t="shared" si="418"/>
        <v>0</v>
      </c>
      <c r="G257" s="114">
        <f t="shared" si="419"/>
        <v>0</v>
      </c>
      <c r="H257" s="9">
        <f t="shared" si="409"/>
        <v>0</v>
      </c>
      <c r="I257" s="9" t="s">
        <v>1287</v>
      </c>
      <c r="J257" s="9">
        <f t="shared" si="410"/>
        <v>0</v>
      </c>
      <c r="K257" s="9">
        <f t="shared" si="411"/>
        <v>0</v>
      </c>
      <c r="L257" s="9">
        <f t="shared" si="412"/>
        <v>0</v>
      </c>
      <c r="M257" s="11">
        <f t="shared" si="420"/>
        <v>0.1</v>
      </c>
      <c r="N257" s="9">
        <f t="shared" si="413"/>
        <v>0</v>
      </c>
      <c r="O257" s="12">
        <f t="shared" si="414"/>
        <v>0</v>
      </c>
      <c r="P257" s="13" t="str">
        <f t="shared" si="390"/>
        <v>NO</v>
      </c>
      <c r="Q257">
        <f t="shared" si="415"/>
        <v>0</v>
      </c>
      <c r="R257">
        <f t="shared" si="416"/>
        <v>0</v>
      </c>
      <c r="S257">
        <f t="shared" si="417"/>
        <v>0</v>
      </c>
      <c r="T257" s="110">
        <f>VLOOKUP(B257,DesgloseRC!$E$48:$F$88,2,FALSE)</f>
        <v>7.0000000000000007E-2</v>
      </c>
      <c r="U257" s="111">
        <f t="shared" si="422"/>
        <v>0</v>
      </c>
      <c r="V257" s="111">
        <f t="shared" si="423"/>
        <v>0</v>
      </c>
      <c r="W257"/>
      <c r="AA257" s="110"/>
    </row>
    <row r="258" spans="1:29" ht="15" hidden="1" customHeight="1" x14ac:dyDescent="0.3">
      <c r="A258" s="34" t="s">
        <v>1295</v>
      </c>
      <c r="B258" s="36">
        <v>226</v>
      </c>
      <c r="C258" s="29" t="s">
        <v>1312</v>
      </c>
      <c r="D258" s="29" t="str">
        <f t="shared" si="421"/>
        <v>INCLUIDO</v>
      </c>
      <c r="E258" s="27" t="s">
        <v>1186</v>
      </c>
      <c r="F258" s="43">
        <f t="shared" si="418"/>
        <v>0</v>
      </c>
      <c r="G258" s="114">
        <f t="shared" si="419"/>
        <v>0</v>
      </c>
      <c r="H258" s="9">
        <f t="shared" si="409"/>
        <v>0</v>
      </c>
      <c r="I258" s="9" t="s">
        <v>1287</v>
      </c>
      <c r="J258" s="9">
        <f t="shared" si="410"/>
        <v>0</v>
      </c>
      <c r="K258" s="9">
        <f t="shared" si="411"/>
        <v>0</v>
      </c>
      <c r="L258" s="9">
        <f t="shared" si="412"/>
        <v>0</v>
      </c>
      <c r="M258" s="11">
        <f t="shared" si="420"/>
        <v>0.1</v>
      </c>
      <c r="N258" s="9">
        <f t="shared" si="413"/>
        <v>0</v>
      </c>
      <c r="O258" s="12">
        <f t="shared" si="414"/>
        <v>0</v>
      </c>
      <c r="P258" s="13" t="str">
        <f t="shared" si="390"/>
        <v>NO</v>
      </c>
      <c r="Q258">
        <f t="shared" si="415"/>
        <v>0</v>
      </c>
      <c r="R258">
        <f t="shared" si="416"/>
        <v>0</v>
      </c>
      <c r="S258">
        <f t="shared" si="417"/>
        <v>0</v>
      </c>
      <c r="T258" s="110">
        <f>VLOOKUP(B258,DesgloseRC!$E$48:$F$88,2,FALSE)</f>
        <v>0.1</v>
      </c>
      <c r="U258" s="111">
        <f t="shared" si="422"/>
        <v>0</v>
      </c>
      <c r="V258" s="111">
        <f t="shared" si="423"/>
        <v>0</v>
      </c>
      <c r="W258"/>
      <c r="AA258" s="110"/>
    </row>
    <row r="259" spans="1:29" ht="15" hidden="1" customHeight="1" x14ac:dyDescent="0.3">
      <c r="A259" s="34" t="s">
        <v>1295</v>
      </c>
      <c r="B259" s="36">
        <v>228</v>
      </c>
      <c r="C259" s="29" t="s">
        <v>1313</v>
      </c>
      <c r="D259" s="29" t="str">
        <f t="shared" si="421"/>
        <v>INCLUIDO</v>
      </c>
      <c r="E259" s="27" t="s">
        <v>1186</v>
      </c>
      <c r="F259" s="43">
        <f t="shared" si="418"/>
        <v>0</v>
      </c>
      <c r="G259" s="114">
        <f t="shared" si="419"/>
        <v>0</v>
      </c>
      <c r="H259" s="9">
        <f t="shared" si="409"/>
        <v>0</v>
      </c>
      <c r="I259" s="9" t="s">
        <v>1287</v>
      </c>
      <c r="J259" s="9">
        <f t="shared" si="410"/>
        <v>0</v>
      </c>
      <c r="K259" s="9">
        <f t="shared" si="411"/>
        <v>0</v>
      </c>
      <c r="L259" s="9">
        <f t="shared" si="412"/>
        <v>0</v>
      </c>
      <c r="M259" s="11">
        <f t="shared" si="420"/>
        <v>0.1</v>
      </c>
      <c r="N259" s="9">
        <f t="shared" si="413"/>
        <v>0</v>
      </c>
      <c r="O259" s="12">
        <f t="shared" si="414"/>
        <v>0</v>
      </c>
      <c r="P259" s="13" t="str">
        <f t="shared" si="390"/>
        <v>NO</v>
      </c>
      <c r="Q259">
        <f t="shared" si="415"/>
        <v>0</v>
      </c>
      <c r="R259">
        <f t="shared" si="416"/>
        <v>0</v>
      </c>
      <c r="S259">
        <f t="shared" si="417"/>
        <v>0</v>
      </c>
      <c r="T259" s="110">
        <f>VLOOKUP(B259,DesgloseRC!$E$48:$F$88,2,FALSE)</f>
        <v>0.04</v>
      </c>
      <c r="U259" s="111">
        <f t="shared" si="422"/>
        <v>0</v>
      </c>
      <c r="V259" s="111">
        <f t="shared" si="423"/>
        <v>0</v>
      </c>
      <c r="W259"/>
    </row>
    <row r="260" spans="1:29" ht="33.75" hidden="1" customHeight="1" x14ac:dyDescent="0.3">
      <c r="A260" s="34" t="s">
        <v>1295</v>
      </c>
      <c r="B260" s="36">
        <v>281</v>
      </c>
      <c r="C260" s="29" t="s">
        <v>1314</v>
      </c>
      <c r="D260" s="29" t="str">
        <f t="shared" si="421"/>
        <v>INCLUIDO</v>
      </c>
      <c r="E260" s="27" t="s">
        <v>1186</v>
      </c>
      <c r="F260" s="43">
        <f t="shared" si="418"/>
        <v>0</v>
      </c>
      <c r="G260" s="114">
        <f t="shared" si="419"/>
        <v>0</v>
      </c>
      <c r="H260" s="9">
        <f t="shared" si="409"/>
        <v>0</v>
      </c>
      <c r="I260" s="9" t="s">
        <v>1287</v>
      </c>
      <c r="J260" s="9">
        <f t="shared" si="410"/>
        <v>0</v>
      </c>
      <c r="K260" s="9">
        <f t="shared" si="411"/>
        <v>0</v>
      </c>
      <c r="L260" s="9">
        <f t="shared" si="412"/>
        <v>0</v>
      </c>
      <c r="M260" s="11">
        <f t="shared" si="420"/>
        <v>0.1</v>
      </c>
      <c r="N260" s="9">
        <f t="shared" si="413"/>
        <v>0</v>
      </c>
      <c r="O260" s="12">
        <f t="shared" si="414"/>
        <v>0</v>
      </c>
      <c r="P260" s="13" t="str">
        <f t="shared" si="390"/>
        <v>NO</v>
      </c>
      <c r="Q260">
        <f t="shared" si="415"/>
        <v>0</v>
      </c>
      <c r="R260">
        <f t="shared" si="416"/>
        <v>0</v>
      </c>
      <c r="S260">
        <f t="shared" si="417"/>
        <v>0</v>
      </c>
      <c r="T260" s="110">
        <f>VLOOKUP(B260,DesgloseRC!$E$48:$F$88,2,FALSE)</f>
        <v>0.04</v>
      </c>
      <c r="U260" s="111">
        <f t="shared" si="422"/>
        <v>0</v>
      </c>
      <c r="V260" s="111">
        <f t="shared" si="423"/>
        <v>0</v>
      </c>
      <c r="W260"/>
      <c r="Z260" s="110"/>
      <c r="AC260" s="110"/>
    </row>
    <row r="261" spans="1:29" ht="33.75" hidden="1" customHeight="1" x14ac:dyDescent="0.3">
      <c r="A261" s="34" t="s">
        <v>1295</v>
      </c>
      <c r="B261" s="36">
        <v>282</v>
      </c>
      <c r="C261" s="29" t="s">
        <v>1315</v>
      </c>
      <c r="D261" s="29" t="str">
        <f t="shared" si="421"/>
        <v>INCLUIDO</v>
      </c>
      <c r="E261" s="27" t="s">
        <v>1186</v>
      </c>
      <c r="F261" s="43">
        <f t="shared" si="418"/>
        <v>0</v>
      </c>
      <c r="G261" s="114">
        <f t="shared" si="419"/>
        <v>0</v>
      </c>
      <c r="H261" s="9">
        <f t="shared" si="409"/>
        <v>0</v>
      </c>
      <c r="I261" s="9" t="s">
        <v>1287</v>
      </c>
      <c r="J261" s="9">
        <f t="shared" si="410"/>
        <v>0</v>
      </c>
      <c r="K261" s="9">
        <f t="shared" si="411"/>
        <v>0</v>
      </c>
      <c r="L261" s="9">
        <f t="shared" si="412"/>
        <v>0</v>
      </c>
      <c r="M261" s="11">
        <f t="shared" si="420"/>
        <v>0.1</v>
      </c>
      <c r="N261" s="9">
        <f t="shared" si="413"/>
        <v>0</v>
      </c>
      <c r="O261" s="12">
        <f t="shared" si="414"/>
        <v>0</v>
      </c>
      <c r="P261" s="13" t="str">
        <f t="shared" si="390"/>
        <v>NO</v>
      </c>
      <c r="Q261">
        <f t="shared" si="415"/>
        <v>0</v>
      </c>
      <c r="R261">
        <f t="shared" si="416"/>
        <v>0</v>
      </c>
      <c r="S261">
        <f t="shared" si="417"/>
        <v>0</v>
      </c>
      <c r="T261" s="110">
        <f>VLOOKUP(B261,DesgloseRC!$E$48:$F$88,2,FALSE)</f>
        <v>0</v>
      </c>
      <c r="U261" s="111">
        <f t="shared" si="422"/>
        <v>0</v>
      </c>
      <c r="V261" s="111">
        <f t="shared" si="423"/>
        <v>0</v>
      </c>
      <c r="W261"/>
      <c r="AA261" s="110"/>
      <c r="AB261" s="110"/>
      <c r="AC261" s="110"/>
    </row>
    <row r="262" spans="1:29" ht="33.75" hidden="1" customHeight="1" x14ac:dyDescent="0.3">
      <c r="A262" s="34" t="s">
        <v>1295</v>
      </c>
      <c r="B262" s="36">
        <v>283</v>
      </c>
      <c r="C262" s="29" t="s">
        <v>1316</v>
      </c>
      <c r="D262" s="29" t="str">
        <f t="shared" si="421"/>
        <v>INCLUIDO</v>
      </c>
      <c r="E262" s="27" t="s">
        <v>1186</v>
      </c>
      <c r="F262" s="43">
        <f t="shared" si="418"/>
        <v>0</v>
      </c>
      <c r="G262" s="114">
        <f t="shared" si="419"/>
        <v>0</v>
      </c>
      <c r="H262" s="9">
        <f t="shared" si="409"/>
        <v>0</v>
      </c>
      <c r="I262" s="9" t="s">
        <v>1287</v>
      </c>
      <c r="J262" s="9">
        <f t="shared" si="410"/>
        <v>0</v>
      </c>
      <c r="K262" s="9">
        <f t="shared" si="411"/>
        <v>0</v>
      </c>
      <c r="L262" s="9">
        <f t="shared" si="412"/>
        <v>0</v>
      </c>
      <c r="M262" s="11">
        <f t="shared" si="420"/>
        <v>0.1</v>
      </c>
      <c r="N262" s="9">
        <f t="shared" si="413"/>
        <v>0</v>
      </c>
      <c r="O262" s="12">
        <f t="shared" si="414"/>
        <v>0</v>
      </c>
      <c r="P262" s="13" t="str">
        <f t="shared" si="390"/>
        <v>NO</v>
      </c>
      <c r="Q262">
        <f t="shared" si="415"/>
        <v>0</v>
      </c>
      <c r="R262">
        <f t="shared" si="416"/>
        <v>0</v>
      </c>
      <c r="S262">
        <f t="shared" si="417"/>
        <v>0</v>
      </c>
      <c r="T262" s="110">
        <f>VLOOKUP(B262,DesgloseRC!$E$48:$F$88,2,FALSE)</f>
        <v>0</v>
      </c>
      <c r="U262" s="111">
        <f t="shared" si="422"/>
        <v>0</v>
      </c>
      <c r="V262" s="111">
        <f t="shared" si="423"/>
        <v>0</v>
      </c>
      <c r="W262"/>
    </row>
    <row r="263" spans="1:29" ht="15" hidden="1" customHeight="1" x14ac:dyDescent="0.3">
      <c r="A263" s="34" t="s">
        <v>1295</v>
      </c>
      <c r="B263" s="36">
        <v>284</v>
      </c>
      <c r="C263" s="29" t="s">
        <v>1317</v>
      </c>
      <c r="D263" s="29" t="str">
        <f t="shared" si="421"/>
        <v>INCLUIDO</v>
      </c>
      <c r="E263" s="27" t="s">
        <v>1186</v>
      </c>
      <c r="F263" s="43">
        <f t="shared" si="418"/>
        <v>0</v>
      </c>
      <c r="G263" s="114">
        <f t="shared" si="419"/>
        <v>0</v>
      </c>
      <c r="H263" s="9">
        <f t="shared" si="409"/>
        <v>0</v>
      </c>
      <c r="I263" s="9" t="s">
        <v>1287</v>
      </c>
      <c r="J263" s="9">
        <f t="shared" si="410"/>
        <v>0</v>
      </c>
      <c r="K263" s="9">
        <f t="shared" si="411"/>
        <v>0</v>
      </c>
      <c r="L263" s="9">
        <f t="shared" si="412"/>
        <v>0</v>
      </c>
      <c r="M263" s="11">
        <f t="shared" si="420"/>
        <v>0.1</v>
      </c>
      <c r="N263" s="9">
        <f t="shared" si="413"/>
        <v>0</v>
      </c>
      <c r="O263" s="12">
        <f t="shared" si="414"/>
        <v>0</v>
      </c>
      <c r="P263" s="13" t="str">
        <f t="shared" si="390"/>
        <v>NO</v>
      </c>
      <c r="Q263">
        <f t="shared" si="415"/>
        <v>0</v>
      </c>
      <c r="R263">
        <f t="shared" si="416"/>
        <v>0</v>
      </c>
      <c r="S263">
        <f t="shared" si="417"/>
        <v>0</v>
      </c>
      <c r="T263" s="110">
        <f>VLOOKUP(B263,DesgloseRC!$E$48:$F$88,2,FALSE)</f>
        <v>0</v>
      </c>
      <c r="U263" s="111">
        <f t="shared" si="422"/>
        <v>0</v>
      </c>
      <c r="V263" s="111">
        <f t="shared" si="423"/>
        <v>0</v>
      </c>
      <c r="W263"/>
    </row>
    <row r="264" spans="1:29" ht="36.75" hidden="1" customHeight="1" x14ac:dyDescent="0.3">
      <c r="A264" s="34" t="s">
        <v>1295</v>
      </c>
      <c r="B264" s="36">
        <v>285</v>
      </c>
      <c r="C264" s="29" t="s">
        <v>1318</v>
      </c>
      <c r="D264" s="29" t="str">
        <f t="shared" si="421"/>
        <v>INCLUIDO</v>
      </c>
      <c r="E264" s="27" t="s">
        <v>1186</v>
      </c>
      <c r="F264" s="43">
        <f t="shared" si="418"/>
        <v>0</v>
      </c>
      <c r="G264" s="114">
        <f t="shared" si="419"/>
        <v>0</v>
      </c>
      <c r="H264" s="9">
        <f t="shared" si="409"/>
        <v>0</v>
      </c>
      <c r="I264" s="9" t="s">
        <v>1287</v>
      </c>
      <c r="J264" s="9">
        <f t="shared" si="410"/>
        <v>0</v>
      </c>
      <c r="K264" s="9">
        <f t="shared" si="411"/>
        <v>0</v>
      </c>
      <c r="L264" s="9">
        <f t="shared" si="412"/>
        <v>0</v>
      </c>
      <c r="M264" s="11">
        <f t="shared" si="420"/>
        <v>0.1</v>
      </c>
      <c r="N264" s="9">
        <f t="shared" si="413"/>
        <v>0</v>
      </c>
      <c r="O264" s="12">
        <f t="shared" si="414"/>
        <v>0</v>
      </c>
      <c r="P264" s="13" t="str">
        <f t="shared" si="390"/>
        <v>NO</v>
      </c>
      <c r="Q264">
        <f t="shared" si="415"/>
        <v>0</v>
      </c>
      <c r="R264">
        <f t="shared" si="416"/>
        <v>0</v>
      </c>
      <c r="S264">
        <f t="shared" si="417"/>
        <v>0</v>
      </c>
      <c r="T264" s="110">
        <f>VLOOKUP(B264,DesgloseRC!$E$48:$F$88,2,FALSE)</f>
        <v>0</v>
      </c>
      <c r="U264" s="111">
        <f t="shared" si="422"/>
        <v>0</v>
      </c>
      <c r="V264" s="111">
        <f t="shared" si="423"/>
        <v>0</v>
      </c>
      <c r="W264"/>
      <c r="AB264" s="110"/>
      <c r="AC264" s="110"/>
    </row>
    <row r="265" spans="1:29" ht="33.75" hidden="1" customHeight="1" x14ac:dyDescent="0.3">
      <c r="A265" s="34" t="s">
        <v>1295</v>
      </c>
      <c r="B265" s="36">
        <v>286</v>
      </c>
      <c r="C265" s="29" t="s">
        <v>1319</v>
      </c>
      <c r="D265" s="29" t="str">
        <f t="shared" si="421"/>
        <v>INCLUIDO</v>
      </c>
      <c r="E265" s="27" t="s">
        <v>1186</v>
      </c>
      <c r="F265" s="43">
        <f t="shared" si="418"/>
        <v>0</v>
      </c>
      <c r="G265" s="114">
        <f t="shared" si="419"/>
        <v>0</v>
      </c>
      <c r="H265" s="9">
        <f t="shared" si="409"/>
        <v>0</v>
      </c>
      <c r="I265" s="9" t="s">
        <v>1287</v>
      </c>
      <c r="J265" s="9">
        <f t="shared" si="410"/>
        <v>0</v>
      </c>
      <c r="K265" s="9">
        <f t="shared" si="411"/>
        <v>0</v>
      </c>
      <c r="L265" s="9">
        <f t="shared" si="412"/>
        <v>0</v>
      </c>
      <c r="M265" s="11">
        <f t="shared" si="420"/>
        <v>0.1</v>
      </c>
      <c r="N265" s="9">
        <f t="shared" si="413"/>
        <v>0</v>
      </c>
      <c r="O265" s="12">
        <f t="shared" si="414"/>
        <v>0</v>
      </c>
      <c r="P265" s="13" t="str">
        <f t="shared" si="390"/>
        <v>NO</v>
      </c>
      <c r="Q265">
        <f t="shared" si="415"/>
        <v>0</v>
      </c>
      <c r="R265">
        <f t="shared" si="416"/>
        <v>0</v>
      </c>
      <c r="S265">
        <f t="shared" si="417"/>
        <v>0</v>
      </c>
      <c r="T265" s="110">
        <f>VLOOKUP(B265,DesgloseRC!$E$48:$F$88,2,FALSE)</f>
        <v>0</v>
      </c>
      <c r="U265" s="111">
        <f t="shared" si="422"/>
        <v>0</v>
      </c>
      <c r="V265" s="111">
        <f t="shared" si="423"/>
        <v>0</v>
      </c>
      <c r="W265"/>
    </row>
    <row r="266" spans="1:29" ht="15" hidden="1" customHeight="1" x14ac:dyDescent="0.3">
      <c r="A266" s="34" t="s">
        <v>1295</v>
      </c>
      <c r="B266" s="36">
        <v>227</v>
      </c>
      <c r="C266" s="29" t="s">
        <v>1293</v>
      </c>
      <c r="D266" s="29" t="str">
        <f t="shared" si="421"/>
        <v>INCLUIDO</v>
      </c>
      <c r="E266" s="27" t="s">
        <v>1186</v>
      </c>
      <c r="F266" s="43">
        <f t="shared" si="418"/>
        <v>0</v>
      </c>
      <c r="G266" s="114">
        <f t="shared" si="419"/>
        <v>0</v>
      </c>
      <c r="H266" s="9">
        <f t="shared" si="409"/>
        <v>0</v>
      </c>
      <c r="I266" s="9" t="s">
        <v>1287</v>
      </c>
      <c r="J266" s="9">
        <f t="shared" si="410"/>
        <v>0</v>
      </c>
      <c r="K266" s="9">
        <f t="shared" si="411"/>
        <v>0</v>
      </c>
      <c r="L266" s="9">
        <f t="shared" si="412"/>
        <v>0</v>
      </c>
      <c r="M266" s="11">
        <f t="shared" si="420"/>
        <v>0.1</v>
      </c>
      <c r="N266" s="9">
        <f t="shared" si="413"/>
        <v>0</v>
      </c>
      <c r="O266" s="12">
        <f t="shared" si="414"/>
        <v>0</v>
      </c>
      <c r="P266" s="13" t="str">
        <f t="shared" si="390"/>
        <v>NO</v>
      </c>
      <c r="Q266">
        <f t="shared" si="415"/>
        <v>0</v>
      </c>
      <c r="R266">
        <f t="shared" si="416"/>
        <v>0</v>
      </c>
      <c r="S266">
        <f t="shared" si="417"/>
        <v>0</v>
      </c>
      <c r="T266" s="110">
        <f>VLOOKUP(B266,DesgloseRC!$E$48:$F$88,2,FALSE)</f>
        <v>0.05</v>
      </c>
      <c r="U266" s="111">
        <f t="shared" si="422"/>
        <v>0</v>
      </c>
      <c r="V266" s="111">
        <f t="shared" si="423"/>
        <v>0</v>
      </c>
      <c r="W266" s="110"/>
      <c r="X266" s="110"/>
      <c r="Y266" s="110"/>
      <c r="Z266" s="110"/>
      <c r="AA266" s="110"/>
      <c r="AB266" s="110"/>
    </row>
    <row r="267" spans="1:29" ht="21.75" hidden="1" customHeight="1" x14ac:dyDescent="0.3">
      <c r="A267" s="34" t="s">
        <v>1295</v>
      </c>
      <c r="B267" s="36">
        <v>303</v>
      </c>
      <c r="C267" s="29" t="s">
        <v>1320</v>
      </c>
      <c r="D267" s="29" t="str">
        <f t="shared" si="421"/>
        <v>INCLUIDO</v>
      </c>
      <c r="E267" s="27" t="s">
        <v>1186</v>
      </c>
      <c r="F267" s="43">
        <f t="shared" si="418"/>
        <v>0</v>
      </c>
      <c r="G267" s="21">
        <f t="shared" si="419"/>
        <v>0</v>
      </c>
      <c r="H267" s="9">
        <f t="shared" si="409"/>
        <v>0</v>
      </c>
      <c r="I267" s="9" t="s">
        <v>1287</v>
      </c>
      <c r="J267" s="9">
        <f t="shared" si="410"/>
        <v>0</v>
      </c>
      <c r="K267" s="9">
        <f t="shared" si="411"/>
        <v>0</v>
      </c>
      <c r="L267" s="9">
        <f t="shared" si="412"/>
        <v>0</v>
      </c>
      <c r="M267" s="11">
        <f t="shared" si="420"/>
        <v>0.1</v>
      </c>
      <c r="N267" s="9">
        <f t="shared" si="413"/>
        <v>0</v>
      </c>
      <c r="O267" s="12">
        <f t="shared" si="414"/>
        <v>0</v>
      </c>
      <c r="P267" s="13" t="str">
        <f t="shared" si="390"/>
        <v>NO</v>
      </c>
      <c r="Q267">
        <f t="shared" si="415"/>
        <v>0</v>
      </c>
      <c r="R267">
        <f t="shared" si="416"/>
        <v>0</v>
      </c>
      <c r="S267">
        <f t="shared" si="417"/>
        <v>0</v>
      </c>
      <c r="T267" s="110">
        <f>VLOOKUP(B267,DesgloseRC!$E$48:$F$88,2,FALSE)</f>
        <v>0</v>
      </c>
      <c r="U267" s="111">
        <f t="shared" si="422"/>
        <v>0</v>
      </c>
      <c r="V267" s="111">
        <f t="shared" si="423"/>
        <v>0</v>
      </c>
      <c r="W267" s="110"/>
      <c r="X267" s="110"/>
      <c r="Y267" s="110"/>
      <c r="Z267" s="110"/>
      <c r="AA267" s="110"/>
      <c r="AB267" s="110"/>
    </row>
    <row r="268" spans="1:29" ht="15" hidden="1" customHeight="1" x14ac:dyDescent="0.3">
      <c r="A268" s="34" t="s">
        <v>1295</v>
      </c>
      <c r="B268" s="36">
        <v>155</v>
      </c>
      <c r="C268" s="29" t="s">
        <v>1321</v>
      </c>
      <c r="D268" s="29" t="str">
        <f t="shared" si="421"/>
        <v>INCLUIDO</v>
      </c>
      <c r="E268" s="27" t="s">
        <v>1186</v>
      </c>
      <c r="F268" s="43">
        <f t="shared" si="418"/>
        <v>0</v>
      </c>
      <c r="G268" s="21">
        <f t="shared" si="419"/>
        <v>0</v>
      </c>
      <c r="H268" s="9">
        <f t="shared" si="409"/>
        <v>0</v>
      </c>
      <c r="I268" s="9" t="s">
        <v>1287</v>
      </c>
      <c r="J268" s="9">
        <f t="shared" si="410"/>
        <v>0</v>
      </c>
      <c r="K268" s="9">
        <f t="shared" si="411"/>
        <v>0</v>
      </c>
      <c r="L268" s="9">
        <f t="shared" si="412"/>
        <v>0</v>
      </c>
      <c r="M268" s="11">
        <f t="shared" si="420"/>
        <v>0.1</v>
      </c>
      <c r="N268" s="9">
        <f t="shared" si="413"/>
        <v>0</v>
      </c>
      <c r="O268" s="12">
        <f t="shared" si="414"/>
        <v>0</v>
      </c>
      <c r="P268" s="13" t="str">
        <f t="shared" si="390"/>
        <v>NO</v>
      </c>
      <c r="Q268">
        <f t="shared" si="415"/>
        <v>0</v>
      </c>
      <c r="R268">
        <f t="shared" si="416"/>
        <v>0</v>
      </c>
      <c r="S268">
        <f t="shared" si="417"/>
        <v>0</v>
      </c>
      <c r="T268" s="110">
        <f>VLOOKUP(B268,DesgloseRC!$E$48:$F$88,2,FALSE)</f>
        <v>0</v>
      </c>
      <c r="U268" s="111">
        <f t="shared" si="422"/>
        <v>0</v>
      </c>
      <c r="V268" s="111">
        <f t="shared" si="423"/>
        <v>0</v>
      </c>
      <c r="W268"/>
    </row>
    <row r="269" spans="1:29" ht="15" hidden="1" customHeight="1" x14ac:dyDescent="0.3">
      <c r="A269" s="34" t="s">
        <v>1295</v>
      </c>
      <c r="B269" s="36">
        <v>149</v>
      </c>
      <c r="C269" s="29" t="s">
        <v>1322</v>
      </c>
      <c r="D269" s="29" t="str">
        <f t="shared" si="421"/>
        <v>INCLUIDO</v>
      </c>
      <c r="E269" s="27" t="s">
        <v>1186</v>
      </c>
      <c r="F269" s="43">
        <f t="shared" si="418"/>
        <v>0</v>
      </c>
      <c r="G269" s="21">
        <f t="shared" si="419"/>
        <v>0</v>
      </c>
      <c r="H269" s="9">
        <f t="shared" si="409"/>
        <v>0</v>
      </c>
      <c r="I269" s="9" t="s">
        <v>1287</v>
      </c>
      <c r="J269" s="9">
        <f t="shared" si="410"/>
        <v>0</v>
      </c>
      <c r="K269" s="9">
        <f t="shared" si="411"/>
        <v>0</v>
      </c>
      <c r="L269" s="9">
        <f t="shared" si="412"/>
        <v>0</v>
      </c>
      <c r="M269" s="11">
        <f t="shared" si="420"/>
        <v>0.1</v>
      </c>
      <c r="N269" s="9">
        <f t="shared" si="413"/>
        <v>0</v>
      </c>
      <c r="O269" s="12">
        <f t="shared" si="414"/>
        <v>0</v>
      </c>
      <c r="P269" s="13" t="str">
        <f t="shared" si="390"/>
        <v>NO</v>
      </c>
      <c r="Q269">
        <f t="shared" si="415"/>
        <v>0</v>
      </c>
      <c r="R269">
        <f t="shared" si="416"/>
        <v>0</v>
      </c>
      <c r="S269">
        <f t="shared" si="417"/>
        <v>0</v>
      </c>
      <c r="T269" s="110">
        <f>VLOOKUP(B269,DesgloseRC!$E$48:$F$88,2,FALSE)</f>
        <v>0</v>
      </c>
      <c r="U269" s="111">
        <f t="shared" si="422"/>
        <v>0</v>
      </c>
      <c r="V269" s="111">
        <f t="shared" si="423"/>
        <v>0</v>
      </c>
      <c r="W269"/>
    </row>
    <row r="270" spans="1:29" ht="15" hidden="1" customHeight="1" x14ac:dyDescent="0.3">
      <c r="A270" s="34" t="s">
        <v>1295</v>
      </c>
      <c r="B270" s="36">
        <v>150</v>
      </c>
      <c r="C270" s="29" t="s">
        <v>1323</v>
      </c>
      <c r="D270" s="29" t="str">
        <f>D269</f>
        <v>INCLUIDO</v>
      </c>
      <c r="E270" s="27" t="str">
        <f>E269</f>
        <v>Excluido</v>
      </c>
      <c r="F270" s="43">
        <f t="shared" si="418"/>
        <v>0</v>
      </c>
      <c r="G270" s="21">
        <f t="shared" si="419"/>
        <v>0</v>
      </c>
      <c r="H270" s="9">
        <f t="shared" si="409"/>
        <v>0</v>
      </c>
      <c r="I270" s="9" t="s">
        <v>1287</v>
      </c>
      <c r="J270" s="9">
        <f t="shared" si="410"/>
        <v>0</v>
      </c>
      <c r="K270" s="9">
        <f t="shared" si="411"/>
        <v>0</v>
      </c>
      <c r="L270" s="9">
        <f t="shared" si="412"/>
        <v>0</v>
      </c>
      <c r="M270" s="11">
        <f t="shared" si="420"/>
        <v>0.1</v>
      </c>
      <c r="N270" s="9">
        <f t="shared" si="413"/>
        <v>0</v>
      </c>
      <c r="O270" s="12">
        <f t="shared" si="414"/>
        <v>0</v>
      </c>
      <c r="P270" s="13" t="str">
        <f t="shared" si="390"/>
        <v>NO</v>
      </c>
      <c r="Q270">
        <f t="shared" si="415"/>
        <v>0</v>
      </c>
      <c r="R270">
        <f t="shared" si="416"/>
        <v>0</v>
      </c>
      <c r="S270">
        <f t="shared" si="417"/>
        <v>0</v>
      </c>
      <c r="T270" s="110">
        <f>VLOOKUP(B270,DesgloseRC!$E$48:$F$88,2,FALSE)</f>
        <v>0</v>
      </c>
      <c r="U270" s="111">
        <f t="shared" si="422"/>
        <v>0</v>
      </c>
      <c r="V270" s="111">
        <f t="shared" si="423"/>
        <v>0</v>
      </c>
      <c r="W270"/>
    </row>
    <row r="271" spans="1:29" ht="15" hidden="1" customHeight="1" x14ac:dyDescent="0.3">
      <c r="A271" s="34" t="s">
        <v>1295</v>
      </c>
      <c r="B271" s="36">
        <v>157</v>
      </c>
      <c r="C271" s="29" t="s">
        <v>1324</v>
      </c>
      <c r="D271" s="29" t="str">
        <f>D269</f>
        <v>INCLUIDO</v>
      </c>
      <c r="E271" s="27" t="str">
        <f>E269</f>
        <v>Excluido</v>
      </c>
      <c r="F271" s="43">
        <f t="shared" si="418"/>
        <v>0</v>
      </c>
      <c r="G271" s="21">
        <f t="shared" si="419"/>
        <v>0</v>
      </c>
      <c r="H271" s="9">
        <f t="shared" si="409"/>
        <v>0</v>
      </c>
      <c r="I271" s="9" t="s">
        <v>1287</v>
      </c>
      <c r="J271" s="9">
        <f t="shared" si="410"/>
        <v>0</v>
      </c>
      <c r="K271" s="9">
        <f t="shared" si="411"/>
        <v>0</v>
      </c>
      <c r="L271" s="9">
        <f t="shared" si="412"/>
        <v>0</v>
      </c>
      <c r="M271" s="11">
        <f t="shared" si="420"/>
        <v>0.1</v>
      </c>
      <c r="N271" s="9">
        <f t="shared" si="413"/>
        <v>0</v>
      </c>
      <c r="O271" s="12">
        <f t="shared" si="414"/>
        <v>0</v>
      </c>
      <c r="P271" s="13" t="str">
        <f t="shared" si="390"/>
        <v>NO</v>
      </c>
      <c r="Q271">
        <f t="shared" si="415"/>
        <v>0</v>
      </c>
      <c r="R271">
        <f t="shared" si="416"/>
        <v>0</v>
      </c>
      <c r="S271">
        <f t="shared" si="417"/>
        <v>0</v>
      </c>
      <c r="T271" s="110">
        <f>VLOOKUP(B271,DesgloseRC!$E$48:$F$88,2,FALSE)</f>
        <v>0</v>
      </c>
      <c r="U271" s="111">
        <f t="shared" si="422"/>
        <v>0</v>
      </c>
      <c r="V271" s="111">
        <f t="shared" si="423"/>
        <v>0</v>
      </c>
      <c r="W271"/>
    </row>
    <row r="272" spans="1:29" s="18" customFormat="1" ht="15" hidden="1" customHeight="1" x14ac:dyDescent="0.3">
      <c r="A272" s="24"/>
      <c r="B272" s="26"/>
      <c r="C272" s="15" t="s">
        <v>1177</v>
      </c>
      <c r="D272" s="38" t="str">
        <f>D241</f>
        <v>INCLUIDO</v>
      </c>
      <c r="E272" s="38"/>
      <c r="F272" s="16">
        <f>SUMIF(E242:E271,"Adicional",F242:F271)</f>
        <v>0</v>
      </c>
      <c r="G272" s="17"/>
      <c r="H272" s="16">
        <f>SUM(H242:H271)</f>
        <v>0</v>
      </c>
      <c r="I272" s="16"/>
      <c r="J272" s="16">
        <f t="shared" ref="J272:L272" si="424">SUM(J242:J271)</f>
        <v>0</v>
      </c>
      <c r="K272" s="16">
        <f t="shared" si="424"/>
        <v>0</v>
      </c>
      <c r="L272" s="16">
        <f t="shared" si="424"/>
        <v>0</v>
      </c>
      <c r="M272" s="16" t="s">
        <v>1178</v>
      </c>
      <c r="N272" s="16">
        <f t="shared" ref="N272:O272" si="425">SUM(N242:N271)</f>
        <v>0</v>
      </c>
      <c r="O272" s="84">
        <f t="shared" si="425"/>
        <v>0</v>
      </c>
      <c r="P272" s="13" t="str">
        <f t="shared" si="390"/>
        <v>NO</v>
      </c>
      <c r="Q272">
        <f>IF(D272="INCLUIDO",IF(H272&lt;&gt;0,1,0),0)</f>
        <v>0</v>
      </c>
      <c r="T272" s="141">
        <f>SUM(T242:T271)</f>
        <v>1.0000000000000002</v>
      </c>
      <c r="U272" s="200">
        <f>SUM(U242:U271)</f>
        <v>0</v>
      </c>
      <c r="V272" s="112">
        <f>SUM(V242:V271)</f>
        <v>0</v>
      </c>
    </row>
    <row r="273" spans="1:23" ht="15" hidden="1" customHeight="1" thickBot="1" x14ac:dyDescent="0.35">
      <c r="A273" s="82">
        <v>911</v>
      </c>
      <c r="B273" s="33">
        <v>1</v>
      </c>
      <c r="C273" s="19" t="s">
        <v>1325</v>
      </c>
      <c r="D273" s="23" t="str">
        <f>'Ramo Comercial'!C163</f>
        <v>NO APLICA</v>
      </c>
      <c r="E273" s="91"/>
      <c r="F273" s="113">
        <f>F241</f>
        <v>0</v>
      </c>
      <c r="G273" s="28"/>
      <c r="H273" s="28"/>
      <c r="I273" s="28"/>
      <c r="J273" s="28"/>
      <c r="K273" s="28"/>
      <c r="L273" s="28"/>
      <c r="M273" s="68">
        <v>0</v>
      </c>
      <c r="N273" s="28"/>
      <c r="O273" s="83"/>
      <c r="P273" s="13" t="str">
        <f t="shared" si="390"/>
        <v>NO</v>
      </c>
      <c r="Q273" s="48">
        <f>IF(D273="INCLUIDO",IF(F273&lt;&gt;0,1,0),0)</f>
        <v>0</v>
      </c>
      <c r="T273" s="142">
        <f>G241*T276</f>
        <v>0</v>
      </c>
      <c r="W273"/>
    </row>
    <row r="274" spans="1:23" ht="15" hidden="1" customHeight="1" x14ac:dyDescent="0.3">
      <c r="A274" s="34" t="s">
        <v>1326</v>
      </c>
      <c r="B274" s="36">
        <v>159</v>
      </c>
      <c r="C274" s="29" t="s">
        <v>1327</v>
      </c>
      <c r="D274" s="29" t="str">
        <f>$D$273</f>
        <v>NO APLICA</v>
      </c>
      <c r="E274" s="27" t="s">
        <v>1152</v>
      </c>
      <c r="F274" s="20">
        <f>F273*S274</f>
        <v>0</v>
      </c>
      <c r="G274" s="21">
        <f>V274</f>
        <v>0</v>
      </c>
      <c r="H274" s="9">
        <f t="shared" ref="H274:H275" si="426">(IF(I274="$ Prima",G274,G274*F274/R274))*$U$9</f>
        <v>0</v>
      </c>
      <c r="I274" s="9" t="s">
        <v>1287</v>
      </c>
      <c r="J274" s="9">
        <f t="shared" ref="J274:J275" si="427">H274*$U$7</f>
        <v>0</v>
      </c>
      <c r="K274" s="9">
        <f t="shared" ref="K274:K275" si="428">(H274+J274)*$K$15</f>
        <v>0</v>
      </c>
      <c r="L274" s="9">
        <f t="shared" ref="L274:L275" si="429">ROUND(H274+J274+K274,2)</f>
        <v>0</v>
      </c>
      <c r="M274" s="11">
        <f>$M$273</f>
        <v>0</v>
      </c>
      <c r="N274" s="9">
        <f t="shared" ref="N274:N275" si="430">H274*M274</f>
        <v>0</v>
      </c>
      <c r="O274" s="12">
        <f t="shared" ref="O274:O275" si="431">N274</f>
        <v>0</v>
      </c>
      <c r="P274" s="13" t="str">
        <f t="shared" si="390"/>
        <v>NO</v>
      </c>
      <c r="Q274">
        <f>IF(D274="INCLUIDO",IF(F274&lt;&gt;0,1,0),0)</f>
        <v>0</v>
      </c>
      <c r="R274">
        <f>IF(I274="%o Al Millar",1000,IF(I274="% Al Porciento",100,IF(I274="$ Prima",G274)))</f>
        <v>0</v>
      </c>
      <c r="S274">
        <f t="shared" ref="S274:S275" si="432">IF(E274="Excluido",0,IF(D274="NO APLICA",0,1))</f>
        <v>0</v>
      </c>
      <c r="T274" s="110">
        <f>VLOOKUP(B274,DesgloseRC!$E$48:$F$88,2,FALSE)</f>
        <v>0</v>
      </c>
      <c r="U274" s="159">
        <f t="shared" ref="U274:U275" si="433">IF(E274="Excluido",0,$T$241*T274)</f>
        <v>0</v>
      </c>
      <c r="V274" s="111">
        <f>IF(F274=0,0,(U276-U275)+T273-U276)</f>
        <v>0</v>
      </c>
      <c r="W274">
        <f>IF(T274=0%,0,1)</f>
        <v>0</v>
      </c>
    </row>
    <row r="275" spans="1:23" ht="22.5" hidden="1" customHeight="1" x14ac:dyDescent="0.3">
      <c r="A275" s="34" t="s">
        <v>1326</v>
      </c>
      <c r="B275" s="36">
        <v>158</v>
      </c>
      <c r="C275" s="29" t="s">
        <v>1328</v>
      </c>
      <c r="D275" s="29" t="str">
        <f>$D$273</f>
        <v>NO APLICA</v>
      </c>
      <c r="E275" s="27" t="s">
        <v>1137</v>
      </c>
      <c r="F275" s="20">
        <f>F274*S275</f>
        <v>0</v>
      </c>
      <c r="G275" s="21">
        <f>V275</f>
        <v>0</v>
      </c>
      <c r="H275" s="9">
        <f t="shared" si="426"/>
        <v>0</v>
      </c>
      <c r="I275" s="9" t="s">
        <v>1287</v>
      </c>
      <c r="J275" s="9">
        <f t="shared" si="427"/>
        <v>0</v>
      </c>
      <c r="K275" s="9">
        <f t="shared" si="428"/>
        <v>0</v>
      </c>
      <c r="L275" s="9">
        <f t="shared" si="429"/>
        <v>0</v>
      </c>
      <c r="M275" s="11">
        <f>$M$273</f>
        <v>0</v>
      </c>
      <c r="N275" s="9">
        <f t="shared" si="430"/>
        <v>0</v>
      </c>
      <c r="O275" s="12">
        <f t="shared" si="431"/>
        <v>0</v>
      </c>
      <c r="P275" s="13" t="str">
        <f t="shared" si="390"/>
        <v>NO</v>
      </c>
      <c r="Q275">
        <f>IF(D275="INCLUIDO",IF(F275&lt;&gt;0,1,0),0)</f>
        <v>0</v>
      </c>
      <c r="R275">
        <f>IF(I275="%o Al Millar",1000,IF(I275="% Al Porciento",100,IF(I275="$ Prima",G275)))</f>
        <v>0</v>
      </c>
      <c r="S275">
        <f t="shared" si="432"/>
        <v>0</v>
      </c>
      <c r="T275" s="110">
        <f>VLOOKUP(B275,DesgloseRC!$E$48:$F$88,2,FALSE)</f>
        <v>0</v>
      </c>
      <c r="U275" s="159">
        <f t="shared" si="433"/>
        <v>0</v>
      </c>
      <c r="V275" s="111">
        <f t="shared" ref="V275" si="434">IF(F275=0,0,U275)</f>
        <v>0</v>
      </c>
      <c r="W275"/>
    </row>
    <row r="276" spans="1:23" s="18" customFormat="1" ht="15" hidden="1" customHeight="1" thickBot="1" x14ac:dyDescent="0.35">
      <c r="A276" s="24"/>
      <c r="B276" s="26"/>
      <c r="C276" s="15" t="s">
        <v>1177</v>
      </c>
      <c r="D276" s="38" t="str">
        <f>D275</f>
        <v>NO APLICA</v>
      </c>
      <c r="E276" s="38"/>
      <c r="F276" s="16">
        <f>SUMIF(E274:E275,"Adicional",F274:F275)</f>
        <v>0</v>
      </c>
      <c r="G276" s="17"/>
      <c r="H276" s="16">
        <f>SUM(H274:H275)</f>
        <v>0</v>
      </c>
      <c r="I276" s="16"/>
      <c r="J276" s="16">
        <f t="shared" ref="J276:L276" si="435">SUM(J274:J275)</f>
        <v>0</v>
      </c>
      <c r="K276" s="16">
        <f t="shared" si="435"/>
        <v>0</v>
      </c>
      <c r="L276" s="16">
        <f t="shared" si="435"/>
        <v>0</v>
      </c>
      <c r="M276" s="16" t="s">
        <v>1178</v>
      </c>
      <c r="N276" s="16">
        <f t="shared" ref="N276:O276" si="436">SUM(N274:N275)</f>
        <v>0</v>
      </c>
      <c r="O276" s="84">
        <f t="shared" si="436"/>
        <v>0</v>
      </c>
      <c r="P276" s="13" t="str">
        <f t="shared" si="390"/>
        <v>NO</v>
      </c>
      <c r="Q276">
        <f>IF(D276="INCLUIDO",IF(H276&lt;&gt;0,1,0),0)</f>
        <v>0</v>
      </c>
      <c r="T276" s="141">
        <f>SUM(T274:T275)</f>
        <v>0</v>
      </c>
      <c r="U276" s="200">
        <f>SUM(U274:U275)</f>
        <v>0</v>
      </c>
      <c r="V276" s="112">
        <f>SUM(V274:V275)</f>
        <v>0</v>
      </c>
    </row>
    <row r="277" spans="1:23" ht="22.5" hidden="1" customHeight="1" thickBot="1" x14ac:dyDescent="0.35">
      <c r="A277" s="82">
        <v>911</v>
      </c>
      <c r="B277" s="33">
        <v>2</v>
      </c>
      <c r="C277" s="19" t="s">
        <v>1329</v>
      </c>
      <c r="D277" s="23" t="str">
        <f>'Ramo Comercial'!C164</f>
        <v>NO APLICA</v>
      </c>
      <c r="E277" s="91"/>
      <c r="F277" s="113">
        <f>F241</f>
        <v>0</v>
      </c>
      <c r="G277" s="113">
        <v>1000</v>
      </c>
      <c r="H277" s="28"/>
      <c r="I277" s="28"/>
      <c r="J277" s="28"/>
      <c r="K277" s="28"/>
      <c r="L277" s="28"/>
      <c r="M277" s="68">
        <v>0</v>
      </c>
      <c r="N277" s="28"/>
      <c r="O277" s="83"/>
      <c r="P277" s="13" t="str">
        <f t="shared" si="390"/>
        <v>NO</v>
      </c>
      <c r="Q277" s="48">
        <f>IF(D277="INCLUIDO",IF(F277&lt;&gt;0,1,0),0)</f>
        <v>0</v>
      </c>
      <c r="T277" s="142">
        <f>G241*T282</f>
        <v>0</v>
      </c>
      <c r="V277" s="201"/>
      <c r="W277"/>
    </row>
    <row r="278" spans="1:23" ht="15" hidden="1" customHeight="1" x14ac:dyDescent="0.3">
      <c r="A278" s="34" t="s">
        <v>1326</v>
      </c>
      <c r="B278" s="36">
        <v>162</v>
      </c>
      <c r="C278" s="29" t="s">
        <v>1330</v>
      </c>
      <c r="D278" s="29" t="str">
        <f>$D$277</f>
        <v>NO APLICA</v>
      </c>
      <c r="E278" s="27" t="s">
        <v>1152</v>
      </c>
      <c r="F278" s="20">
        <f>$F$277*S278</f>
        <v>0</v>
      </c>
      <c r="G278" s="114">
        <f>V278</f>
        <v>0</v>
      </c>
      <c r="H278" s="9">
        <f t="shared" ref="H278:H281" si="437">(IF(I278="$ Prima",G278,G278*F278/R278))*$U$9</f>
        <v>0</v>
      </c>
      <c r="I278" s="9" t="s">
        <v>1287</v>
      </c>
      <c r="J278" s="9">
        <f t="shared" ref="J278:J281" si="438">H278*$U$7</f>
        <v>0</v>
      </c>
      <c r="K278" s="9">
        <f t="shared" ref="K278:K281" si="439">(H278+J278)*$K$15</f>
        <v>0</v>
      </c>
      <c r="L278" s="9">
        <f t="shared" ref="L278:L281" si="440">ROUND(H278+J278+K278,2)</f>
        <v>0</v>
      </c>
      <c r="M278" s="11">
        <f>$M$277</f>
        <v>0</v>
      </c>
      <c r="N278" s="9">
        <f t="shared" ref="N278:N281" si="441">H278*M278</f>
        <v>0</v>
      </c>
      <c r="O278" s="12">
        <f t="shared" ref="O278:O281" si="442">N278</f>
        <v>0</v>
      </c>
      <c r="P278" s="13" t="str">
        <f t="shared" si="390"/>
        <v>NO</v>
      </c>
      <c r="Q278">
        <f>IF(D278="INCLUIDO",IF(F278&lt;&gt;0,1,0),0)</f>
        <v>0</v>
      </c>
      <c r="R278">
        <f>IF(I278="%o Al Millar",1000,IF(I278="% Al Porciento",100,IF(I278="$ Prima",G278)))</f>
        <v>0</v>
      </c>
      <c r="S278">
        <f t="shared" ref="S278:S281" si="443">IF(E278="Excluido",0,IF(D278="NO APLICA",0,1))</f>
        <v>0</v>
      </c>
      <c r="T278" s="110">
        <f>VLOOKUP(B278,DesgloseRC!$E$48:$F$85,2,FALSE)</f>
        <v>0</v>
      </c>
      <c r="U278" s="159">
        <f>IF(E278="Excluido",0,$T$241*T278)</f>
        <v>0</v>
      </c>
      <c r="V278" s="159">
        <f>IF(F278=0,0,(U282-U279-U280-U281)+(T277-U282))</f>
        <v>0</v>
      </c>
      <c r="W278">
        <f>IF(T278=0%,0,1)</f>
        <v>0</v>
      </c>
    </row>
    <row r="279" spans="1:23" ht="15" hidden="1" customHeight="1" x14ac:dyDescent="0.3">
      <c r="A279" s="34" t="s">
        <v>1326</v>
      </c>
      <c r="B279" s="36">
        <v>160</v>
      </c>
      <c r="C279" s="29" t="s">
        <v>1331</v>
      </c>
      <c r="D279" s="29" t="str">
        <f t="shared" ref="D279:D281" si="444">$D$277</f>
        <v>NO APLICA</v>
      </c>
      <c r="E279" s="27" t="s">
        <v>1137</v>
      </c>
      <c r="F279" s="20">
        <f>$F$278*S279</f>
        <v>0</v>
      </c>
      <c r="G279" s="114">
        <f t="shared" ref="G279:G281" si="445">V279</f>
        <v>0</v>
      </c>
      <c r="H279" s="9">
        <f t="shared" si="437"/>
        <v>0</v>
      </c>
      <c r="I279" s="9" t="s">
        <v>1287</v>
      </c>
      <c r="J279" s="9">
        <f t="shared" si="438"/>
        <v>0</v>
      </c>
      <c r="K279" s="9">
        <f t="shared" si="439"/>
        <v>0</v>
      </c>
      <c r="L279" s="9">
        <f t="shared" si="440"/>
        <v>0</v>
      </c>
      <c r="M279" s="11">
        <f t="shared" ref="M279:M281" si="446">$M$277</f>
        <v>0</v>
      </c>
      <c r="N279" s="9">
        <f t="shared" si="441"/>
        <v>0</v>
      </c>
      <c r="O279" s="12">
        <f t="shared" si="442"/>
        <v>0</v>
      </c>
      <c r="P279" s="13" t="str">
        <f t="shared" si="390"/>
        <v>NO</v>
      </c>
      <c r="Q279">
        <f>IF(D279="INCLUIDO",IF(F279&lt;&gt;0,1,0),0)</f>
        <v>0</v>
      </c>
      <c r="R279">
        <f>IF(I279="%o Al Millar",1000,IF(I279="% Al Porciento",100,IF(I279="$ Prima",G279)))</f>
        <v>0</v>
      </c>
      <c r="S279">
        <f t="shared" si="443"/>
        <v>0</v>
      </c>
      <c r="T279" s="110">
        <f>VLOOKUP(B279,DesgloseRC!$E$48:$F$85,2,FALSE)</f>
        <v>0</v>
      </c>
      <c r="U279" s="159">
        <f t="shared" ref="U279:U281" si="447">IF(E279="Excluido",0,$T$241*T279)</f>
        <v>0</v>
      </c>
      <c r="V279" s="159">
        <f>IF(F279=0,0,U279)</f>
        <v>0</v>
      </c>
      <c r="W279"/>
    </row>
    <row r="280" spans="1:23" ht="15" hidden="1" customHeight="1" x14ac:dyDescent="0.3">
      <c r="A280" s="34" t="s">
        <v>1326</v>
      </c>
      <c r="B280" s="36">
        <v>161</v>
      </c>
      <c r="C280" s="29" t="s">
        <v>1332</v>
      </c>
      <c r="D280" s="29" t="str">
        <f t="shared" si="444"/>
        <v>NO APLICA</v>
      </c>
      <c r="E280" s="27" t="s">
        <v>1137</v>
      </c>
      <c r="F280" s="20">
        <f t="shared" ref="F280:F281" si="448">$F$278*S280</f>
        <v>0</v>
      </c>
      <c r="G280" s="114">
        <f t="shared" si="445"/>
        <v>0</v>
      </c>
      <c r="H280" s="9">
        <f t="shared" si="437"/>
        <v>0</v>
      </c>
      <c r="I280" s="9" t="s">
        <v>1287</v>
      </c>
      <c r="J280" s="9">
        <f t="shared" si="438"/>
        <v>0</v>
      </c>
      <c r="K280" s="9">
        <f t="shared" si="439"/>
        <v>0</v>
      </c>
      <c r="L280" s="9">
        <f t="shared" si="440"/>
        <v>0</v>
      </c>
      <c r="M280" s="11">
        <f t="shared" si="446"/>
        <v>0</v>
      </c>
      <c r="N280" s="9">
        <f t="shared" si="441"/>
        <v>0</v>
      </c>
      <c r="O280" s="12">
        <f t="shared" si="442"/>
        <v>0</v>
      </c>
      <c r="P280" s="13" t="str">
        <f t="shared" si="390"/>
        <v>NO</v>
      </c>
      <c r="Q280">
        <f>IF(D280="INCLUIDO",IF(F280&lt;&gt;0,1,0),0)</f>
        <v>0</v>
      </c>
      <c r="R280">
        <f>IF(I280="%o Al Millar",1000,IF(I280="% Al Porciento",100,IF(I280="$ Prima",G280)))</f>
        <v>0</v>
      </c>
      <c r="S280">
        <f t="shared" si="443"/>
        <v>0</v>
      </c>
      <c r="T280" s="110">
        <f>VLOOKUP(B280,DesgloseRC!$E$48:$F$85,2,FALSE)</f>
        <v>0</v>
      </c>
      <c r="U280" s="159">
        <f t="shared" si="447"/>
        <v>0</v>
      </c>
      <c r="V280" s="159">
        <f t="shared" ref="V280:V281" si="449">IF(F280=0,0,U280)</f>
        <v>0</v>
      </c>
      <c r="W280"/>
    </row>
    <row r="281" spans="1:23" ht="15" hidden="1" customHeight="1" x14ac:dyDescent="0.3">
      <c r="A281" s="34" t="s">
        <v>1326</v>
      </c>
      <c r="B281" s="36">
        <v>243</v>
      </c>
      <c r="C281" s="29" t="s">
        <v>1293</v>
      </c>
      <c r="D281" s="29" t="str">
        <f t="shared" si="444"/>
        <v>NO APLICA</v>
      </c>
      <c r="E281" s="27" t="s">
        <v>1137</v>
      </c>
      <c r="F281" s="20">
        <f t="shared" si="448"/>
        <v>0</v>
      </c>
      <c r="G281" s="114">
        <f t="shared" si="445"/>
        <v>0</v>
      </c>
      <c r="H281" s="9">
        <f t="shared" si="437"/>
        <v>0</v>
      </c>
      <c r="I281" s="9" t="s">
        <v>1287</v>
      </c>
      <c r="J281" s="9">
        <f t="shared" si="438"/>
        <v>0</v>
      </c>
      <c r="K281" s="9">
        <f t="shared" si="439"/>
        <v>0</v>
      </c>
      <c r="L281" s="9">
        <f t="shared" si="440"/>
        <v>0</v>
      </c>
      <c r="M281" s="11">
        <f t="shared" si="446"/>
        <v>0</v>
      </c>
      <c r="N281" s="9">
        <f t="shared" si="441"/>
        <v>0</v>
      </c>
      <c r="O281" s="12">
        <f t="shared" si="442"/>
        <v>0</v>
      </c>
      <c r="P281" s="13" t="str">
        <f t="shared" si="390"/>
        <v>NO</v>
      </c>
      <c r="Q281">
        <f>IF(D281="INCLUIDO",IF(F281&lt;&gt;0,1,0),0)</f>
        <v>0</v>
      </c>
      <c r="R281">
        <f>IF(I281="%o Al Millar",1000,IF(I281="% Al Porciento",100,IF(I281="$ Prima",G281)))</f>
        <v>0</v>
      </c>
      <c r="S281">
        <f t="shared" si="443"/>
        <v>0</v>
      </c>
      <c r="T281" s="110">
        <f>VLOOKUP(B281,DesgloseRC!$E$48:$F$85,2,FALSE)</f>
        <v>0</v>
      </c>
      <c r="U281" s="159">
        <f t="shared" si="447"/>
        <v>0</v>
      </c>
      <c r="V281" s="159">
        <f t="shared" si="449"/>
        <v>0</v>
      </c>
      <c r="W281"/>
    </row>
    <row r="282" spans="1:23" s="18" customFormat="1" ht="15" hidden="1" customHeight="1" thickBot="1" x14ac:dyDescent="0.35">
      <c r="A282" s="24"/>
      <c r="B282" s="26"/>
      <c r="C282" s="15" t="s">
        <v>1177</v>
      </c>
      <c r="D282" s="38" t="str">
        <f>D281</f>
        <v>NO APLICA</v>
      </c>
      <c r="E282" s="38"/>
      <c r="F282" s="16">
        <f>SUMIF(E278:E281,"Adicional",F278:F281)</f>
        <v>0</v>
      </c>
      <c r="G282" s="17"/>
      <c r="H282" s="16">
        <f>SUM(H278:H281)</f>
        <v>0</v>
      </c>
      <c r="I282" s="16"/>
      <c r="J282" s="16">
        <f t="shared" ref="J282:L282" si="450">SUM(J278:J281)</f>
        <v>0</v>
      </c>
      <c r="K282" s="16">
        <f t="shared" si="450"/>
        <v>0</v>
      </c>
      <c r="L282" s="16">
        <f t="shared" si="450"/>
        <v>0</v>
      </c>
      <c r="M282" s="16" t="s">
        <v>1178</v>
      </c>
      <c r="N282" s="16">
        <f t="shared" ref="N282:O282" si="451">SUM(N278:N281)</f>
        <v>0</v>
      </c>
      <c r="O282" s="84">
        <f t="shared" si="451"/>
        <v>0</v>
      </c>
      <c r="P282" s="13" t="str">
        <f t="shared" si="390"/>
        <v>NO</v>
      </c>
      <c r="Q282">
        <f>IF(D282="INCLUIDO",IF(H282&lt;&gt;0,1,0),0)</f>
        <v>0</v>
      </c>
      <c r="T282" s="141">
        <f>SUM(T278:T281)</f>
        <v>0</v>
      </c>
      <c r="U282" s="202">
        <f>SUM(U278:U281)</f>
        <v>0</v>
      </c>
      <c r="V282" s="112">
        <f>SUM(V278:V281)</f>
        <v>0</v>
      </c>
    </row>
    <row r="283" spans="1:23" ht="15" hidden="1" customHeight="1" thickBot="1" x14ac:dyDescent="0.35">
      <c r="A283" s="82">
        <v>911</v>
      </c>
      <c r="B283" s="33">
        <v>3</v>
      </c>
      <c r="C283" s="19" t="s">
        <v>1330</v>
      </c>
      <c r="D283" s="23" t="str">
        <f>'Ramo Comercial'!C165</f>
        <v>NO APLICA</v>
      </c>
      <c r="E283" s="91"/>
      <c r="F283" s="113">
        <f>F241</f>
        <v>0</v>
      </c>
      <c r="G283" s="113">
        <v>0</v>
      </c>
      <c r="H283" s="28"/>
      <c r="I283" s="28"/>
      <c r="J283" s="28"/>
      <c r="K283" s="28"/>
      <c r="L283" s="28"/>
      <c r="M283" s="68">
        <v>0</v>
      </c>
      <c r="N283" s="28"/>
      <c r="O283" s="83"/>
      <c r="P283" s="13" t="str">
        <f t="shared" si="390"/>
        <v>NO</v>
      </c>
      <c r="Q283" s="47">
        <f>IF(D283="INCLUIDO",IF(F284&lt;&gt;0,1,0),0)</f>
        <v>0</v>
      </c>
      <c r="T283" s="142">
        <f>G241*T328</f>
        <v>0</v>
      </c>
      <c r="U283" s="142">
        <f>G241</f>
        <v>0</v>
      </c>
      <c r="W283"/>
    </row>
    <row r="284" spans="1:23" ht="15" hidden="1" customHeight="1" x14ac:dyDescent="0.3">
      <c r="A284" s="34" t="s">
        <v>1326</v>
      </c>
      <c r="B284" s="36">
        <v>163</v>
      </c>
      <c r="C284" s="29" t="s">
        <v>1333</v>
      </c>
      <c r="D284" s="29" t="str">
        <f>$D$283</f>
        <v>NO APLICA</v>
      </c>
      <c r="E284" s="27" t="s">
        <v>1137</v>
      </c>
      <c r="F284" s="43">
        <f>$F$283*S284</f>
        <v>0</v>
      </c>
      <c r="G284" s="21">
        <v>0</v>
      </c>
      <c r="H284" s="9">
        <f t="shared" ref="H284:H328" si="452">(IF(I284="$ Prima",G284,G284*F284/R284))*$U$9</f>
        <v>0</v>
      </c>
      <c r="I284" s="9" t="s">
        <v>1287</v>
      </c>
      <c r="J284" s="9">
        <f t="shared" ref="J284:J328" si="453">H284*$U$7</f>
        <v>0</v>
      </c>
      <c r="K284" s="9">
        <f t="shared" ref="K284:K328" si="454">(H284+J284)*$K$15</f>
        <v>0</v>
      </c>
      <c r="L284" s="9">
        <f t="shared" ref="L284:L328" si="455">ROUND(H284+J284+K284,2)</f>
        <v>0</v>
      </c>
      <c r="M284" s="11">
        <f>$M$283</f>
        <v>0</v>
      </c>
      <c r="N284" s="9">
        <f t="shared" ref="N284:N328" si="456">H284*M284</f>
        <v>0</v>
      </c>
      <c r="O284" s="12">
        <f t="shared" ref="O284:O328" si="457">N284</f>
        <v>0</v>
      </c>
      <c r="P284" s="13" t="str">
        <f t="shared" si="390"/>
        <v>NO</v>
      </c>
      <c r="Q284">
        <f t="shared" ref="Q284:Q328" si="458">IF(D284="INCLUIDO",IF(F284&lt;&gt;0,1,0),0)</f>
        <v>0</v>
      </c>
      <c r="R284">
        <f t="shared" ref="R284:R328" si="459">IF(I284="%o Al Millar",1000,IF(I284="% Al Porciento",100,IF(I284="$ Prima",G284)))</f>
        <v>0</v>
      </c>
      <c r="S284">
        <f t="shared" ref="S284:S328" si="460">IF(E284="Excluido",0,IF(D284="NO APLICA",0,1))</f>
        <v>0</v>
      </c>
      <c r="W284"/>
    </row>
    <row r="285" spans="1:23" ht="15" hidden="1" customHeight="1" x14ac:dyDescent="0.3">
      <c r="A285" s="34" t="s">
        <v>1326</v>
      </c>
      <c r="B285" s="36">
        <v>164</v>
      </c>
      <c r="C285" s="29" t="s">
        <v>1334</v>
      </c>
      <c r="D285" s="29" t="str">
        <f t="shared" ref="D285:D328" si="461">$D$283</f>
        <v>NO APLICA</v>
      </c>
      <c r="E285" s="27" t="s">
        <v>1137</v>
      </c>
      <c r="F285" s="43">
        <f t="shared" ref="F285:F328" si="462">$F$283*S285</f>
        <v>0</v>
      </c>
      <c r="G285" s="21">
        <v>0</v>
      </c>
      <c r="H285" s="9">
        <f t="shared" si="452"/>
        <v>0</v>
      </c>
      <c r="I285" s="9" t="s">
        <v>1287</v>
      </c>
      <c r="J285" s="9">
        <f t="shared" si="453"/>
        <v>0</v>
      </c>
      <c r="K285" s="9">
        <f t="shared" si="454"/>
        <v>0</v>
      </c>
      <c r="L285" s="9">
        <f t="shared" si="455"/>
        <v>0</v>
      </c>
      <c r="M285" s="11">
        <f t="shared" ref="M285:M328" si="463">$M$283</f>
        <v>0</v>
      </c>
      <c r="N285" s="9">
        <f t="shared" si="456"/>
        <v>0</v>
      </c>
      <c r="O285" s="12">
        <f t="shared" si="457"/>
        <v>0</v>
      </c>
      <c r="P285" s="13" t="str">
        <f t="shared" si="390"/>
        <v>NO</v>
      </c>
      <c r="Q285">
        <f t="shared" si="458"/>
        <v>0</v>
      </c>
      <c r="R285">
        <f t="shared" si="459"/>
        <v>0</v>
      </c>
      <c r="S285">
        <f t="shared" si="460"/>
        <v>0</v>
      </c>
      <c r="W285"/>
    </row>
    <row r="286" spans="1:23" ht="15" hidden="1" customHeight="1" x14ac:dyDescent="0.3">
      <c r="A286" s="34" t="s">
        <v>1326</v>
      </c>
      <c r="B286" s="36">
        <v>165</v>
      </c>
      <c r="C286" s="29" t="s">
        <v>1335</v>
      </c>
      <c r="D286" s="29" t="str">
        <f t="shared" si="461"/>
        <v>NO APLICA</v>
      </c>
      <c r="E286" s="27" t="s">
        <v>1137</v>
      </c>
      <c r="F286" s="43">
        <f t="shared" si="462"/>
        <v>0</v>
      </c>
      <c r="G286" s="21">
        <v>0</v>
      </c>
      <c r="H286" s="9">
        <f t="shared" si="452"/>
        <v>0</v>
      </c>
      <c r="I286" s="9" t="s">
        <v>1287</v>
      </c>
      <c r="J286" s="9">
        <f t="shared" si="453"/>
        <v>0</v>
      </c>
      <c r="K286" s="9">
        <f t="shared" si="454"/>
        <v>0</v>
      </c>
      <c r="L286" s="9">
        <f t="shared" si="455"/>
        <v>0</v>
      </c>
      <c r="M286" s="11">
        <f t="shared" si="463"/>
        <v>0</v>
      </c>
      <c r="N286" s="9">
        <f t="shared" si="456"/>
        <v>0</v>
      </c>
      <c r="O286" s="12">
        <f t="shared" si="457"/>
        <v>0</v>
      </c>
      <c r="P286" s="13" t="str">
        <f t="shared" si="390"/>
        <v>NO</v>
      </c>
      <c r="Q286">
        <f t="shared" si="458"/>
        <v>0</v>
      </c>
      <c r="R286">
        <f t="shared" si="459"/>
        <v>0</v>
      </c>
      <c r="S286">
        <f t="shared" si="460"/>
        <v>0</v>
      </c>
      <c r="W286"/>
    </row>
    <row r="287" spans="1:23" ht="15" hidden="1" customHeight="1" x14ac:dyDescent="0.3">
      <c r="A287" s="34" t="s">
        <v>1326</v>
      </c>
      <c r="B287" s="36">
        <v>166</v>
      </c>
      <c r="C287" s="29" t="s">
        <v>1336</v>
      </c>
      <c r="D287" s="29" t="str">
        <f t="shared" si="461"/>
        <v>NO APLICA</v>
      </c>
      <c r="E287" s="27" t="s">
        <v>1137</v>
      </c>
      <c r="F287" s="43">
        <f t="shared" si="462"/>
        <v>0</v>
      </c>
      <c r="G287" s="21">
        <v>0</v>
      </c>
      <c r="H287" s="9">
        <f t="shared" si="452"/>
        <v>0</v>
      </c>
      <c r="I287" s="9" t="s">
        <v>1287</v>
      </c>
      <c r="J287" s="9">
        <f t="shared" si="453"/>
        <v>0</v>
      </c>
      <c r="K287" s="9">
        <f t="shared" si="454"/>
        <v>0</v>
      </c>
      <c r="L287" s="9">
        <f t="shared" si="455"/>
        <v>0</v>
      </c>
      <c r="M287" s="11">
        <f t="shared" si="463"/>
        <v>0</v>
      </c>
      <c r="N287" s="9">
        <f t="shared" si="456"/>
        <v>0</v>
      </c>
      <c r="O287" s="12">
        <f t="shared" si="457"/>
        <v>0</v>
      </c>
      <c r="P287" s="13" t="str">
        <f t="shared" si="390"/>
        <v>NO</v>
      </c>
      <c r="Q287">
        <f t="shared" si="458"/>
        <v>0</v>
      </c>
      <c r="R287">
        <f t="shared" si="459"/>
        <v>0</v>
      </c>
      <c r="S287">
        <f t="shared" si="460"/>
        <v>0</v>
      </c>
      <c r="W287"/>
    </row>
    <row r="288" spans="1:23" ht="15" hidden="1" customHeight="1" x14ac:dyDescent="0.3">
      <c r="A288" s="34" t="s">
        <v>1326</v>
      </c>
      <c r="B288" s="36">
        <v>167</v>
      </c>
      <c r="C288" s="29" t="s">
        <v>1337</v>
      </c>
      <c r="D288" s="29" t="str">
        <f t="shared" si="461"/>
        <v>NO APLICA</v>
      </c>
      <c r="E288" s="27" t="s">
        <v>1137</v>
      </c>
      <c r="F288" s="43">
        <f t="shared" si="462"/>
        <v>0</v>
      </c>
      <c r="G288" s="21">
        <v>0</v>
      </c>
      <c r="H288" s="9">
        <f t="shared" si="452"/>
        <v>0</v>
      </c>
      <c r="I288" s="9" t="s">
        <v>1287</v>
      </c>
      <c r="J288" s="9">
        <f t="shared" si="453"/>
        <v>0</v>
      </c>
      <c r="K288" s="9">
        <f t="shared" si="454"/>
        <v>0</v>
      </c>
      <c r="L288" s="9">
        <f t="shared" si="455"/>
        <v>0</v>
      </c>
      <c r="M288" s="11">
        <f t="shared" si="463"/>
        <v>0</v>
      </c>
      <c r="N288" s="9">
        <f t="shared" si="456"/>
        <v>0</v>
      </c>
      <c r="O288" s="12">
        <f t="shared" si="457"/>
        <v>0</v>
      </c>
      <c r="P288" s="13" t="str">
        <f t="shared" si="390"/>
        <v>NO</v>
      </c>
      <c r="Q288">
        <f t="shared" si="458"/>
        <v>0</v>
      </c>
      <c r="R288">
        <f t="shared" si="459"/>
        <v>0</v>
      </c>
      <c r="S288">
        <f t="shared" si="460"/>
        <v>0</v>
      </c>
      <c r="W288"/>
    </row>
    <row r="289" spans="1:23" ht="15" hidden="1" customHeight="1" x14ac:dyDescent="0.3">
      <c r="A289" s="34" t="s">
        <v>1326</v>
      </c>
      <c r="B289" s="36">
        <v>168</v>
      </c>
      <c r="C289" s="29" t="s">
        <v>1338</v>
      </c>
      <c r="D289" s="29" t="str">
        <f t="shared" si="461"/>
        <v>NO APLICA</v>
      </c>
      <c r="E289" s="27" t="s">
        <v>1137</v>
      </c>
      <c r="F289" s="43">
        <f t="shared" si="462"/>
        <v>0</v>
      </c>
      <c r="G289" s="21">
        <v>0</v>
      </c>
      <c r="H289" s="9">
        <f t="shared" si="452"/>
        <v>0</v>
      </c>
      <c r="I289" s="9" t="s">
        <v>1287</v>
      </c>
      <c r="J289" s="9">
        <f t="shared" si="453"/>
        <v>0</v>
      </c>
      <c r="K289" s="9">
        <f t="shared" si="454"/>
        <v>0</v>
      </c>
      <c r="L289" s="9">
        <f t="shared" si="455"/>
        <v>0</v>
      </c>
      <c r="M289" s="11">
        <f t="shared" si="463"/>
        <v>0</v>
      </c>
      <c r="N289" s="9">
        <f t="shared" si="456"/>
        <v>0</v>
      </c>
      <c r="O289" s="12">
        <f t="shared" si="457"/>
        <v>0</v>
      </c>
      <c r="P289" s="13" t="str">
        <f t="shared" si="390"/>
        <v>NO</v>
      </c>
      <c r="Q289">
        <f t="shared" si="458"/>
        <v>0</v>
      </c>
      <c r="R289">
        <f t="shared" si="459"/>
        <v>0</v>
      </c>
      <c r="S289">
        <f t="shared" si="460"/>
        <v>0</v>
      </c>
      <c r="W289"/>
    </row>
    <row r="290" spans="1:23" ht="15" hidden="1" customHeight="1" x14ac:dyDescent="0.3">
      <c r="A290" s="34" t="s">
        <v>1326</v>
      </c>
      <c r="B290" s="36">
        <v>169</v>
      </c>
      <c r="C290" s="29" t="s">
        <v>1339</v>
      </c>
      <c r="D290" s="29" t="str">
        <f t="shared" si="461"/>
        <v>NO APLICA</v>
      </c>
      <c r="E290" s="27" t="s">
        <v>1137</v>
      </c>
      <c r="F290" s="43">
        <f t="shared" si="462"/>
        <v>0</v>
      </c>
      <c r="G290" s="21">
        <f>V290</f>
        <v>0</v>
      </c>
      <c r="H290" s="9">
        <f t="shared" si="452"/>
        <v>0</v>
      </c>
      <c r="I290" s="9" t="s">
        <v>1287</v>
      </c>
      <c r="J290" s="9">
        <f t="shared" si="453"/>
        <v>0</v>
      </c>
      <c r="K290" s="9">
        <f t="shared" si="454"/>
        <v>0</v>
      </c>
      <c r="L290" s="9">
        <f t="shared" si="455"/>
        <v>0</v>
      </c>
      <c r="M290" s="11">
        <f t="shared" si="463"/>
        <v>0</v>
      </c>
      <c r="N290" s="9">
        <f t="shared" si="456"/>
        <v>0</v>
      </c>
      <c r="O290" s="12">
        <f t="shared" si="457"/>
        <v>0</v>
      </c>
      <c r="P290" s="13" t="str">
        <f t="shared" si="390"/>
        <v>NO</v>
      </c>
      <c r="Q290">
        <f t="shared" si="458"/>
        <v>0</v>
      </c>
      <c r="R290">
        <f t="shared" si="459"/>
        <v>0</v>
      </c>
      <c r="S290">
        <f t="shared" si="460"/>
        <v>0</v>
      </c>
      <c r="T290" s="110">
        <f>VLOOKUP(B290,DesgloseRC!$E$48:$F$85,2,FALSE)</f>
        <v>0</v>
      </c>
      <c r="U290" s="159">
        <f>IF(E290="Excluido",0,$U$283*T290)</f>
        <v>0</v>
      </c>
      <c r="V290" s="159">
        <f>IF(F290=0,0,U290)</f>
        <v>0</v>
      </c>
      <c r="W290">
        <f>IF(T290=0%,0,1)</f>
        <v>0</v>
      </c>
    </row>
    <row r="291" spans="1:23" ht="15" hidden="1" customHeight="1" x14ac:dyDescent="0.3">
      <c r="A291" s="34" t="s">
        <v>1326</v>
      </c>
      <c r="B291" s="36">
        <v>170</v>
      </c>
      <c r="C291" s="29" t="s">
        <v>1340</v>
      </c>
      <c r="D291" s="29" t="str">
        <f t="shared" si="461"/>
        <v>NO APLICA</v>
      </c>
      <c r="E291" s="27" t="s">
        <v>1137</v>
      </c>
      <c r="F291" s="43">
        <f t="shared" si="462"/>
        <v>0</v>
      </c>
      <c r="G291" s="21">
        <v>0</v>
      </c>
      <c r="H291" s="9">
        <f t="shared" si="452"/>
        <v>0</v>
      </c>
      <c r="I291" s="9" t="s">
        <v>1287</v>
      </c>
      <c r="J291" s="9">
        <f t="shared" si="453"/>
        <v>0</v>
      </c>
      <c r="K291" s="9">
        <f t="shared" si="454"/>
        <v>0</v>
      </c>
      <c r="L291" s="9">
        <f t="shared" si="455"/>
        <v>0</v>
      </c>
      <c r="M291" s="11">
        <f t="shared" si="463"/>
        <v>0</v>
      </c>
      <c r="N291" s="9">
        <f t="shared" si="456"/>
        <v>0</v>
      </c>
      <c r="O291" s="12">
        <f t="shared" si="457"/>
        <v>0</v>
      </c>
      <c r="P291" s="13" t="str">
        <f t="shared" si="390"/>
        <v>NO</v>
      </c>
      <c r="Q291">
        <f t="shared" si="458"/>
        <v>0</v>
      </c>
      <c r="R291">
        <f t="shared" si="459"/>
        <v>0</v>
      </c>
      <c r="S291">
        <f t="shared" si="460"/>
        <v>0</v>
      </c>
      <c r="W291"/>
    </row>
    <row r="292" spans="1:23" ht="15" hidden="1" customHeight="1" x14ac:dyDescent="0.3">
      <c r="A292" s="34" t="s">
        <v>1326</v>
      </c>
      <c r="B292" s="36">
        <v>171</v>
      </c>
      <c r="C292" s="29" t="s">
        <v>1341</v>
      </c>
      <c r="D292" s="29" t="str">
        <f t="shared" si="461"/>
        <v>NO APLICA</v>
      </c>
      <c r="E292" s="27" t="s">
        <v>1137</v>
      </c>
      <c r="F292" s="43">
        <f t="shared" si="462"/>
        <v>0</v>
      </c>
      <c r="G292" s="21">
        <v>0</v>
      </c>
      <c r="H292" s="9">
        <f t="shared" si="452"/>
        <v>0</v>
      </c>
      <c r="I292" s="9" t="s">
        <v>1287</v>
      </c>
      <c r="J292" s="9">
        <f t="shared" si="453"/>
        <v>0</v>
      </c>
      <c r="K292" s="9">
        <f t="shared" si="454"/>
        <v>0</v>
      </c>
      <c r="L292" s="9">
        <f t="shared" si="455"/>
        <v>0</v>
      </c>
      <c r="M292" s="11">
        <f t="shared" si="463"/>
        <v>0</v>
      </c>
      <c r="N292" s="9">
        <f t="shared" si="456"/>
        <v>0</v>
      </c>
      <c r="O292" s="12">
        <f t="shared" si="457"/>
        <v>0</v>
      </c>
      <c r="P292" s="13" t="str">
        <f t="shared" si="390"/>
        <v>NO</v>
      </c>
      <c r="Q292">
        <f t="shared" si="458"/>
        <v>0</v>
      </c>
      <c r="R292">
        <f t="shared" si="459"/>
        <v>0</v>
      </c>
      <c r="S292">
        <f t="shared" si="460"/>
        <v>0</v>
      </c>
      <c r="W292"/>
    </row>
    <row r="293" spans="1:23" ht="15" hidden="1" customHeight="1" x14ac:dyDescent="0.3">
      <c r="A293" s="34" t="s">
        <v>1326</v>
      </c>
      <c r="B293" s="36">
        <v>172</v>
      </c>
      <c r="C293" s="29" t="s">
        <v>1342</v>
      </c>
      <c r="D293" s="29" t="str">
        <f t="shared" si="461"/>
        <v>NO APLICA</v>
      </c>
      <c r="E293" s="27" t="s">
        <v>1137</v>
      </c>
      <c r="F293" s="43">
        <f t="shared" si="462"/>
        <v>0</v>
      </c>
      <c r="G293" s="21">
        <v>0</v>
      </c>
      <c r="H293" s="9">
        <f t="shared" si="452"/>
        <v>0</v>
      </c>
      <c r="I293" s="9" t="s">
        <v>1287</v>
      </c>
      <c r="J293" s="9">
        <f t="shared" si="453"/>
        <v>0</v>
      </c>
      <c r="K293" s="9">
        <f t="shared" si="454"/>
        <v>0</v>
      </c>
      <c r="L293" s="9">
        <f t="shared" si="455"/>
        <v>0</v>
      </c>
      <c r="M293" s="11">
        <f t="shared" si="463"/>
        <v>0</v>
      </c>
      <c r="N293" s="9">
        <f t="shared" si="456"/>
        <v>0</v>
      </c>
      <c r="O293" s="12">
        <f t="shared" si="457"/>
        <v>0</v>
      </c>
      <c r="P293" s="13" t="str">
        <f t="shared" si="390"/>
        <v>NO</v>
      </c>
      <c r="Q293">
        <f t="shared" si="458"/>
        <v>0</v>
      </c>
      <c r="R293">
        <f t="shared" si="459"/>
        <v>0</v>
      </c>
      <c r="S293">
        <f t="shared" si="460"/>
        <v>0</v>
      </c>
      <c r="W293"/>
    </row>
    <row r="294" spans="1:23" ht="15" hidden="1" customHeight="1" x14ac:dyDescent="0.3">
      <c r="A294" s="34" t="s">
        <v>1326</v>
      </c>
      <c r="B294" s="36">
        <v>173</v>
      </c>
      <c r="C294" s="29" t="s">
        <v>1343</v>
      </c>
      <c r="D294" s="29" t="str">
        <f t="shared" si="461"/>
        <v>NO APLICA</v>
      </c>
      <c r="E294" s="27" t="s">
        <v>1137</v>
      </c>
      <c r="F294" s="43">
        <f t="shared" si="462"/>
        <v>0</v>
      </c>
      <c r="G294" s="21">
        <v>0</v>
      </c>
      <c r="H294" s="9">
        <f t="shared" si="452"/>
        <v>0</v>
      </c>
      <c r="I294" s="9" t="s">
        <v>1287</v>
      </c>
      <c r="J294" s="9">
        <f t="shared" si="453"/>
        <v>0</v>
      </c>
      <c r="K294" s="9">
        <f t="shared" si="454"/>
        <v>0</v>
      </c>
      <c r="L294" s="9">
        <f t="shared" si="455"/>
        <v>0</v>
      </c>
      <c r="M294" s="11">
        <f t="shared" si="463"/>
        <v>0</v>
      </c>
      <c r="N294" s="9">
        <f t="shared" si="456"/>
        <v>0</v>
      </c>
      <c r="O294" s="12">
        <f t="shared" si="457"/>
        <v>0</v>
      </c>
      <c r="P294" s="13" t="str">
        <f t="shared" si="390"/>
        <v>NO</v>
      </c>
      <c r="Q294">
        <f t="shared" si="458"/>
        <v>0</v>
      </c>
      <c r="R294">
        <f t="shared" si="459"/>
        <v>0</v>
      </c>
      <c r="S294">
        <f t="shared" si="460"/>
        <v>0</v>
      </c>
      <c r="W294"/>
    </row>
    <row r="295" spans="1:23" ht="15" hidden="1" customHeight="1" x14ac:dyDescent="0.3">
      <c r="A295" s="34" t="s">
        <v>1326</v>
      </c>
      <c r="B295" s="36">
        <v>174</v>
      </c>
      <c r="C295" s="29" t="s">
        <v>1344</v>
      </c>
      <c r="D295" s="29" t="str">
        <f t="shared" si="461"/>
        <v>NO APLICA</v>
      </c>
      <c r="E295" s="27" t="s">
        <v>1137</v>
      </c>
      <c r="F295" s="43">
        <f t="shared" si="462"/>
        <v>0</v>
      </c>
      <c r="G295" s="21">
        <v>0</v>
      </c>
      <c r="H295" s="9">
        <f t="shared" si="452"/>
        <v>0</v>
      </c>
      <c r="I295" s="9" t="s">
        <v>1287</v>
      </c>
      <c r="J295" s="9">
        <f t="shared" si="453"/>
        <v>0</v>
      </c>
      <c r="K295" s="9">
        <f t="shared" si="454"/>
        <v>0</v>
      </c>
      <c r="L295" s="9">
        <f t="shared" si="455"/>
        <v>0</v>
      </c>
      <c r="M295" s="11">
        <f t="shared" si="463"/>
        <v>0</v>
      </c>
      <c r="N295" s="9">
        <f t="shared" si="456"/>
        <v>0</v>
      </c>
      <c r="O295" s="12">
        <f t="shared" si="457"/>
        <v>0</v>
      </c>
      <c r="P295" s="13" t="str">
        <f t="shared" si="390"/>
        <v>NO</v>
      </c>
      <c r="Q295">
        <f t="shared" si="458"/>
        <v>0</v>
      </c>
      <c r="R295">
        <f t="shared" si="459"/>
        <v>0</v>
      </c>
      <c r="S295">
        <f t="shared" si="460"/>
        <v>0</v>
      </c>
      <c r="W295"/>
    </row>
    <row r="296" spans="1:23" ht="15" hidden="1" customHeight="1" x14ac:dyDescent="0.3">
      <c r="A296" s="34" t="s">
        <v>1326</v>
      </c>
      <c r="B296" s="36">
        <v>175</v>
      </c>
      <c r="C296" s="29" t="s">
        <v>1345</v>
      </c>
      <c r="D296" s="29" t="str">
        <f t="shared" si="461"/>
        <v>NO APLICA</v>
      </c>
      <c r="E296" s="27" t="s">
        <v>1137</v>
      </c>
      <c r="F296" s="43">
        <f t="shared" si="462"/>
        <v>0</v>
      </c>
      <c r="G296" s="21">
        <v>0</v>
      </c>
      <c r="H296" s="9">
        <f t="shared" si="452"/>
        <v>0</v>
      </c>
      <c r="I296" s="9" t="s">
        <v>1287</v>
      </c>
      <c r="J296" s="9">
        <f t="shared" si="453"/>
        <v>0</v>
      </c>
      <c r="K296" s="9">
        <f t="shared" si="454"/>
        <v>0</v>
      </c>
      <c r="L296" s="9">
        <f t="shared" si="455"/>
        <v>0</v>
      </c>
      <c r="M296" s="11">
        <f t="shared" si="463"/>
        <v>0</v>
      </c>
      <c r="N296" s="9">
        <f t="shared" si="456"/>
        <v>0</v>
      </c>
      <c r="O296" s="12">
        <f t="shared" si="457"/>
        <v>0</v>
      </c>
      <c r="P296" s="13" t="str">
        <f t="shared" ref="P296:P356" si="464">IF(Q296=1,"SI","NO")</f>
        <v>NO</v>
      </c>
      <c r="Q296">
        <f t="shared" si="458"/>
        <v>0</v>
      </c>
      <c r="R296">
        <f t="shared" si="459"/>
        <v>0</v>
      </c>
      <c r="S296">
        <f t="shared" si="460"/>
        <v>0</v>
      </c>
      <c r="W296"/>
    </row>
    <row r="297" spans="1:23" ht="15" hidden="1" customHeight="1" x14ac:dyDescent="0.3">
      <c r="A297" s="34" t="s">
        <v>1326</v>
      </c>
      <c r="B297" s="36">
        <v>176</v>
      </c>
      <c r="C297" s="29" t="s">
        <v>1346</v>
      </c>
      <c r="D297" s="29" t="str">
        <f t="shared" si="461"/>
        <v>NO APLICA</v>
      </c>
      <c r="E297" s="27" t="s">
        <v>1137</v>
      </c>
      <c r="F297" s="43">
        <f t="shared" si="462"/>
        <v>0</v>
      </c>
      <c r="G297" s="21">
        <v>0</v>
      </c>
      <c r="H297" s="9">
        <f t="shared" si="452"/>
        <v>0</v>
      </c>
      <c r="I297" s="9" t="s">
        <v>1287</v>
      </c>
      <c r="J297" s="9">
        <f t="shared" si="453"/>
        <v>0</v>
      </c>
      <c r="K297" s="9">
        <f t="shared" si="454"/>
        <v>0</v>
      </c>
      <c r="L297" s="9">
        <f t="shared" si="455"/>
        <v>0</v>
      </c>
      <c r="M297" s="11">
        <f t="shared" si="463"/>
        <v>0</v>
      </c>
      <c r="N297" s="9">
        <f t="shared" si="456"/>
        <v>0</v>
      </c>
      <c r="O297" s="12">
        <f t="shared" si="457"/>
        <v>0</v>
      </c>
      <c r="P297" s="13" t="str">
        <f t="shared" si="464"/>
        <v>NO</v>
      </c>
      <c r="Q297">
        <f t="shared" si="458"/>
        <v>0</v>
      </c>
      <c r="R297">
        <f t="shared" si="459"/>
        <v>0</v>
      </c>
      <c r="S297">
        <f t="shared" si="460"/>
        <v>0</v>
      </c>
      <c r="W297"/>
    </row>
    <row r="298" spans="1:23" ht="15" hidden="1" customHeight="1" x14ac:dyDescent="0.3">
      <c r="A298" s="34" t="s">
        <v>1326</v>
      </c>
      <c r="B298" s="36">
        <v>177</v>
      </c>
      <c r="C298" s="29" t="s">
        <v>1347</v>
      </c>
      <c r="D298" s="29" t="str">
        <f t="shared" si="461"/>
        <v>NO APLICA</v>
      </c>
      <c r="E298" s="27" t="s">
        <v>1137</v>
      </c>
      <c r="F298" s="43">
        <f t="shared" si="462"/>
        <v>0</v>
      </c>
      <c r="G298" s="21">
        <f>V298</f>
        <v>0</v>
      </c>
      <c r="H298" s="9">
        <f t="shared" si="452"/>
        <v>0</v>
      </c>
      <c r="I298" s="9" t="s">
        <v>1287</v>
      </c>
      <c r="J298" s="9">
        <f t="shared" si="453"/>
        <v>0</v>
      </c>
      <c r="K298" s="9">
        <f t="shared" si="454"/>
        <v>0</v>
      </c>
      <c r="L298" s="9">
        <f t="shared" si="455"/>
        <v>0</v>
      </c>
      <c r="M298" s="11">
        <f t="shared" si="463"/>
        <v>0</v>
      </c>
      <c r="N298" s="9">
        <f t="shared" si="456"/>
        <v>0</v>
      </c>
      <c r="O298" s="12">
        <f t="shared" si="457"/>
        <v>0</v>
      </c>
      <c r="P298" s="13" t="str">
        <f t="shared" si="464"/>
        <v>NO</v>
      </c>
      <c r="Q298">
        <f t="shared" si="458"/>
        <v>0</v>
      </c>
      <c r="R298">
        <f t="shared" si="459"/>
        <v>0</v>
      </c>
      <c r="S298">
        <f t="shared" si="460"/>
        <v>0</v>
      </c>
      <c r="T298" s="110">
        <f>VLOOKUP(B298,DesgloseRC!$E$48:$F$85,2,FALSE)</f>
        <v>0</v>
      </c>
      <c r="U298" s="159">
        <f>IF(E298="Excluido",0,$U$283*T298)</f>
        <v>0</v>
      </c>
      <c r="V298" s="159">
        <f>IF(F298=0,0,U298)</f>
        <v>0</v>
      </c>
      <c r="W298">
        <f>IF(T298=0%,0,1)</f>
        <v>0</v>
      </c>
    </row>
    <row r="299" spans="1:23" ht="15" hidden="1" customHeight="1" x14ac:dyDescent="0.3">
      <c r="A299" s="34" t="s">
        <v>1326</v>
      </c>
      <c r="B299" s="36">
        <v>178</v>
      </c>
      <c r="C299" s="29" t="s">
        <v>1348</v>
      </c>
      <c r="D299" s="29" t="str">
        <f t="shared" si="461"/>
        <v>NO APLICA</v>
      </c>
      <c r="E299" s="27" t="s">
        <v>1137</v>
      </c>
      <c r="F299" s="43">
        <f t="shared" si="462"/>
        <v>0</v>
      </c>
      <c r="G299" s="21">
        <v>0</v>
      </c>
      <c r="H299" s="9">
        <f t="shared" si="452"/>
        <v>0</v>
      </c>
      <c r="I299" s="9" t="s">
        <v>1287</v>
      </c>
      <c r="J299" s="9">
        <f t="shared" si="453"/>
        <v>0</v>
      </c>
      <c r="K299" s="9">
        <f t="shared" si="454"/>
        <v>0</v>
      </c>
      <c r="L299" s="9">
        <f t="shared" si="455"/>
        <v>0</v>
      </c>
      <c r="M299" s="11">
        <f t="shared" si="463"/>
        <v>0</v>
      </c>
      <c r="N299" s="9">
        <f t="shared" si="456"/>
        <v>0</v>
      </c>
      <c r="O299" s="12">
        <f t="shared" si="457"/>
        <v>0</v>
      </c>
      <c r="P299" s="13" t="str">
        <f t="shared" si="464"/>
        <v>NO</v>
      </c>
      <c r="Q299">
        <f t="shared" si="458"/>
        <v>0</v>
      </c>
      <c r="R299">
        <f t="shared" si="459"/>
        <v>0</v>
      </c>
      <c r="S299">
        <f t="shared" si="460"/>
        <v>0</v>
      </c>
      <c r="W299"/>
    </row>
    <row r="300" spans="1:23" ht="15" hidden="1" customHeight="1" x14ac:dyDescent="0.3">
      <c r="A300" s="34" t="s">
        <v>1326</v>
      </c>
      <c r="B300" s="36">
        <v>179</v>
      </c>
      <c r="C300" s="29" t="s">
        <v>1349</v>
      </c>
      <c r="D300" s="29" t="str">
        <f t="shared" si="461"/>
        <v>NO APLICA</v>
      </c>
      <c r="E300" s="27" t="s">
        <v>1137</v>
      </c>
      <c r="F300" s="43">
        <f t="shared" si="462"/>
        <v>0</v>
      </c>
      <c r="G300" s="21">
        <v>0</v>
      </c>
      <c r="H300" s="9">
        <f t="shared" si="452"/>
        <v>0</v>
      </c>
      <c r="I300" s="9" t="s">
        <v>1287</v>
      </c>
      <c r="J300" s="9">
        <f t="shared" si="453"/>
        <v>0</v>
      </c>
      <c r="K300" s="9">
        <f t="shared" si="454"/>
        <v>0</v>
      </c>
      <c r="L300" s="9">
        <f t="shared" si="455"/>
        <v>0</v>
      </c>
      <c r="M300" s="11">
        <f t="shared" si="463"/>
        <v>0</v>
      </c>
      <c r="N300" s="9">
        <f t="shared" si="456"/>
        <v>0</v>
      </c>
      <c r="O300" s="12">
        <f t="shared" si="457"/>
        <v>0</v>
      </c>
      <c r="P300" s="13" t="str">
        <f t="shared" si="464"/>
        <v>NO</v>
      </c>
      <c r="Q300">
        <f t="shared" si="458"/>
        <v>0</v>
      </c>
      <c r="R300">
        <f t="shared" si="459"/>
        <v>0</v>
      </c>
      <c r="S300">
        <f t="shared" si="460"/>
        <v>0</v>
      </c>
      <c r="W300"/>
    </row>
    <row r="301" spans="1:23" ht="15" hidden="1" customHeight="1" x14ac:dyDescent="0.3">
      <c r="A301" s="34" t="s">
        <v>1326</v>
      </c>
      <c r="B301" s="36">
        <v>180</v>
      </c>
      <c r="C301" s="29" t="s">
        <v>1350</v>
      </c>
      <c r="D301" s="29" t="str">
        <f t="shared" si="461"/>
        <v>NO APLICA</v>
      </c>
      <c r="E301" s="27" t="s">
        <v>1137</v>
      </c>
      <c r="F301" s="43">
        <f t="shared" si="462"/>
        <v>0</v>
      </c>
      <c r="G301" s="21">
        <v>0</v>
      </c>
      <c r="H301" s="9">
        <f t="shared" si="452"/>
        <v>0</v>
      </c>
      <c r="I301" s="9" t="s">
        <v>1287</v>
      </c>
      <c r="J301" s="9">
        <f t="shared" si="453"/>
        <v>0</v>
      </c>
      <c r="K301" s="9">
        <f t="shared" si="454"/>
        <v>0</v>
      </c>
      <c r="L301" s="9">
        <f t="shared" si="455"/>
        <v>0</v>
      </c>
      <c r="M301" s="11">
        <f t="shared" si="463"/>
        <v>0</v>
      </c>
      <c r="N301" s="9">
        <f t="shared" si="456"/>
        <v>0</v>
      </c>
      <c r="O301" s="12">
        <f t="shared" si="457"/>
        <v>0</v>
      </c>
      <c r="P301" s="13" t="str">
        <f t="shared" si="464"/>
        <v>NO</v>
      </c>
      <c r="Q301">
        <f t="shared" si="458"/>
        <v>0</v>
      </c>
      <c r="R301">
        <f t="shared" si="459"/>
        <v>0</v>
      </c>
      <c r="S301">
        <f t="shared" si="460"/>
        <v>0</v>
      </c>
      <c r="W301"/>
    </row>
    <row r="302" spans="1:23" ht="15" hidden="1" customHeight="1" x14ac:dyDescent="0.3">
      <c r="A302" s="34" t="s">
        <v>1326</v>
      </c>
      <c r="B302" s="36">
        <v>181</v>
      </c>
      <c r="C302" s="29" t="s">
        <v>1351</v>
      </c>
      <c r="D302" s="29" t="str">
        <f t="shared" si="461"/>
        <v>NO APLICA</v>
      </c>
      <c r="E302" s="27" t="s">
        <v>1137</v>
      </c>
      <c r="F302" s="43">
        <f t="shared" si="462"/>
        <v>0</v>
      </c>
      <c r="G302" s="21">
        <v>0</v>
      </c>
      <c r="H302" s="9">
        <f t="shared" si="452"/>
        <v>0</v>
      </c>
      <c r="I302" s="9" t="s">
        <v>1287</v>
      </c>
      <c r="J302" s="9">
        <f t="shared" si="453"/>
        <v>0</v>
      </c>
      <c r="K302" s="9">
        <f t="shared" si="454"/>
        <v>0</v>
      </c>
      <c r="L302" s="9">
        <f t="shared" si="455"/>
        <v>0</v>
      </c>
      <c r="M302" s="11">
        <f t="shared" si="463"/>
        <v>0</v>
      </c>
      <c r="N302" s="9">
        <f t="shared" si="456"/>
        <v>0</v>
      </c>
      <c r="O302" s="12">
        <f t="shared" si="457"/>
        <v>0</v>
      </c>
      <c r="P302" s="13" t="str">
        <f t="shared" si="464"/>
        <v>NO</v>
      </c>
      <c r="Q302">
        <f t="shared" si="458"/>
        <v>0</v>
      </c>
      <c r="R302">
        <f t="shared" si="459"/>
        <v>0</v>
      </c>
      <c r="S302">
        <f t="shared" si="460"/>
        <v>0</v>
      </c>
      <c r="W302"/>
    </row>
    <row r="303" spans="1:23" ht="15" hidden="1" customHeight="1" x14ac:dyDescent="0.3">
      <c r="A303" s="34" t="s">
        <v>1326</v>
      </c>
      <c r="B303" s="36">
        <v>182</v>
      </c>
      <c r="C303" s="29" t="s">
        <v>1352</v>
      </c>
      <c r="D303" s="29" t="str">
        <f t="shared" si="461"/>
        <v>NO APLICA</v>
      </c>
      <c r="E303" s="27" t="s">
        <v>1137</v>
      </c>
      <c r="F303" s="43">
        <f t="shared" si="462"/>
        <v>0</v>
      </c>
      <c r="G303" s="21">
        <v>0</v>
      </c>
      <c r="H303" s="9">
        <f t="shared" si="452"/>
        <v>0</v>
      </c>
      <c r="I303" s="9" t="s">
        <v>1287</v>
      </c>
      <c r="J303" s="9">
        <f t="shared" si="453"/>
        <v>0</v>
      </c>
      <c r="K303" s="9">
        <f t="shared" si="454"/>
        <v>0</v>
      </c>
      <c r="L303" s="9">
        <f t="shared" si="455"/>
        <v>0</v>
      </c>
      <c r="M303" s="11">
        <f t="shared" si="463"/>
        <v>0</v>
      </c>
      <c r="N303" s="9">
        <f t="shared" si="456"/>
        <v>0</v>
      </c>
      <c r="O303" s="12">
        <f t="shared" si="457"/>
        <v>0</v>
      </c>
      <c r="P303" s="13" t="str">
        <f t="shared" si="464"/>
        <v>NO</v>
      </c>
      <c r="Q303">
        <f t="shared" si="458"/>
        <v>0</v>
      </c>
      <c r="R303">
        <f t="shared" si="459"/>
        <v>0</v>
      </c>
      <c r="S303">
        <f t="shared" si="460"/>
        <v>0</v>
      </c>
      <c r="W303"/>
    </row>
    <row r="304" spans="1:23" ht="15" hidden="1" customHeight="1" x14ac:dyDescent="0.3">
      <c r="A304" s="34" t="s">
        <v>1326</v>
      </c>
      <c r="B304" s="36">
        <v>183</v>
      </c>
      <c r="C304" s="29" t="s">
        <v>1353</v>
      </c>
      <c r="D304" s="29" t="str">
        <f t="shared" si="461"/>
        <v>NO APLICA</v>
      </c>
      <c r="E304" s="27" t="s">
        <v>1137</v>
      </c>
      <c r="F304" s="43">
        <f t="shared" si="462"/>
        <v>0</v>
      </c>
      <c r="G304" s="21">
        <v>0</v>
      </c>
      <c r="H304" s="9">
        <f t="shared" si="452"/>
        <v>0</v>
      </c>
      <c r="I304" s="9" t="s">
        <v>1287</v>
      </c>
      <c r="J304" s="9">
        <f t="shared" si="453"/>
        <v>0</v>
      </c>
      <c r="K304" s="9">
        <f t="shared" si="454"/>
        <v>0</v>
      </c>
      <c r="L304" s="9">
        <f t="shared" si="455"/>
        <v>0</v>
      </c>
      <c r="M304" s="11">
        <f t="shared" si="463"/>
        <v>0</v>
      </c>
      <c r="N304" s="9">
        <f t="shared" si="456"/>
        <v>0</v>
      </c>
      <c r="O304" s="12">
        <f t="shared" si="457"/>
        <v>0</v>
      </c>
      <c r="P304" s="13" t="str">
        <f t="shared" si="464"/>
        <v>NO</v>
      </c>
      <c r="Q304">
        <f t="shared" si="458"/>
        <v>0</v>
      </c>
      <c r="R304">
        <f t="shared" si="459"/>
        <v>0</v>
      </c>
      <c r="S304">
        <f t="shared" si="460"/>
        <v>0</v>
      </c>
      <c r="W304"/>
    </row>
    <row r="305" spans="1:29" ht="22.5" hidden="1" customHeight="1" x14ac:dyDescent="0.3">
      <c r="A305" s="34" t="s">
        <v>1326</v>
      </c>
      <c r="B305" s="36">
        <v>184</v>
      </c>
      <c r="C305" s="29" t="s">
        <v>1328</v>
      </c>
      <c r="D305" s="29" t="str">
        <f t="shared" si="461"/>
        <v>NO APLICA</v>
      </c>
      <c r="E305" s="27" t="s">
        <v>1137</v>
      </c>
      <c r="F305" s="43">
        <f t="shared" si="462"/>
        <v>0</v>
      </c>
      <c r="G305" s="21">
        <v>0</v>
      </c>
      <c r="H305" s="9">
        <f t="shared" si="452"/>
        <v>0</v>
      </c>
      <c r="I305" s="9" t="s">
        <v>1287</v>
      </c>
      <c r="J305" s="9">
        <f t="shared" si="453"/>
        <v>0</v>
      </c>
      <c r="K305" s="9">
        <f t="shared" si="454"/>
        <v>0</v>
      </c>
      <c r="L305" s="9">
        <f t="shared" si="455"/>
        <v>0</v>
      </c>
      <c r="M305" s="11">
        <f t="shared" si="463"/>
        <v>0</v>
      </c>
      <c r="N305" s="9">
        <f t="shared" si="456"/>
        <v>0</v>
      </c>
      <c r="O305" s="12">
        <f t="shared" si="457"/>
        <v>0</v>
      </c>
      <c r="P305" s="13" t="str">
        <f t="shared" si="464"/>
        <v>NO</v>
      </c>
      <c r="Q305">
        <f t="shared" si="458"/>
        <v>0</v>
      </c>
      <c r="R305">
        <f t="shared" si="459"/>
        <v>0</v>
      </c>
      <c r="S305">
        <f t="shared" si="460"/>
        <v>0</v>
      </c>
      <c r="W305"/>
    </row>
    <row r="306" spans="1:29" ht="15" hidden="1" customHeight="1" x14ac:dyDescent="0.3">
      <c r="A306" s="34" t="s">
        <v>1326</v>
      </c>
      <c r="B306" s="36">
        <v>185</v>
      </c>
      <c r="C306" s="29" t="s">
        <v>1330</v>
      </c>
      <c r="D306" s="29" t="str">
        <f t="shared" si="461"/>
        <v>NO APLICA</v>
      </c>
      <c r="E306" s="27" t="s">
        <v>1152</v>
      </c>
      <c r="F306" s="43">
        <f t="shared" si="462"/>
        <v>0</v>
      </c>
      <c r="G306" s="21">
        <f>V306</f>
        <v>0</v>
      </c>
      <c r="H306" s="9">
        <f t="shared" si="452"/>
        <v>0</v>
      </c>
      <c r="I306" s="9" t="s">
        <v>1287</v>
      </c>
      <c r="J306" s="9">
        <f t="shared" si="453"/>
        <v>0</v>
      </c>
      <c r="K306" s="9">
        <f t="shared" si="454"/>
        <v>0</v>
      </c>
      <c r="L306" s="9">
        <f t="shared" si="455"/>
        <v>0</v>
      </c>
      <c r="M306" s="11">
        <f t="shared" si="463"/>
        <v>0</v>
      </c>
      <c r="N306" s="9">
        <f t="shared" si="456"/>
        <v>0</v>
      </c>
      <c r="O306" s="12">
        <f t="shared" si="457"/>
        <v>0</v>
      </c>
      <c r="P306" s="13" t="str">
        <f t="shared" si="464"/>
        <v>NO</v>
      </c>
      <c r="Q306">
        <f t="shared" si="458"/>
        <v>0</v>
      </c>
      <c r="R306">
        <f t="shared" si="459"/>
        <v>0</v>
      </c>
      <c r="S306">
        <f t="shared" si="460"/>
        <v>0</v>
      </c>
      <c r="T306" s="110">
        <f>VLOOKUP(B306,DesgloseRC!$E$48:$F$85,2,FALSE)</f>
        <v>0</v>
      </c>
      <c r="U306" s="159">
        <f>IF(E306="Excluido",0,$U$283*T306)</f>
        <v>0</v>
      </c>
      <c r="V306" s="159">
        <f>IF(F306=0,0,U306)</f>
        <v>0</v>
      </c>
      <c r="W306">
        <v>0</v>
      </c>
      <c r="X306" s="110"/>
      <c r="Y306" s="110"/>
    </row>
    <row r="307" spans="1:29" ht="15" hidden="1" customHeight="1" x14ac:dyDescent="0.3">
      <c r="A307" s="34" t="s">
        <v>1326</v>
      </c>
      <c r="B307" s="36">
        <v>186</v>
      </c>
      <c r="C307" s="29" t="s">
        <v>1327</v>
      </c>
      <c r="D307" s="29" t="str">
        <f t="shared" si="461"/>
        <v>NO APLICA</v>
      </c>
      <c r="E307" s="27" t="s">
        <v>1137</v>
      </c>
      <c r="F307" s="43">
        <f t="shared" si="462"/>
        <v>0</v>
      </c>
      <c r="G307" s="21">
        <v>0</v>
      </c>
      <c r="H307" s="9">
        <f t="shared" si="452"/>
        <v>0</v>
      </c>
      <c r="I307" s="9" t="s">
        <v>1287</v>
      </c>
      <c r="J307" s="9">
        <f t="shared" si="453"/>
        <v>0</v>
      </c>
      <c r="K307" s="9">
        <f t="shared" si="454"/>
        <v>0</v>
      </c>
      <c r="L307" s="9">
        <f t="shared" si="455"/>
        <v>0</v>
      </c>
      <c r="M307" s="11">
        <f t="shared" si="463"/>
        <v>0</v>
      </c>
      <c r="N307" s="9">
        <f t="shared" si="456"/>
        <v>0</v>
      </c>
      <c r="O307" s="12">
        <f t="shared" si="457"/>
        <v>0</v>
      </c>
      <c r="P307" s="13" t="str">
        <f t="shared" si="464"/>
        <v>NO</v>
      </c>
      <c r="Q307">
        <f t="shared" si="458"/>
        <v>0</v>
      </c>
      <c r="R307">
        <f t="shared" si="459"/>
        <v>0</v>
      </c>
      <c r="S307">
        <f t="shared" si="460"/>
        <v>0</v>
      </c>
      <c r="W307"/>
    </row>
    <row r="308" spans="1:29" ht="22.5" hidden="1" customHeight="1" x14ac:dyDescent="0.3">
      <c r="A308" s="34" t="s">
        <v>1326</v>
      </c>
      <c r="B308" s="36">
        <v>187</v>
      </c>
      <c r="C308" s="29" t="s">
        <v>1354</v>
      </c>
      <c r="D308" s="29" t="str">
        <f t="shared" si="461"/>
        <v>NO APLICA</v>
      </c>
      <c r="E308" s="27" t="s">
        <v>1137</v>
      </c>
      <c r="F308" s="43">
        <f t="shared" si="462"/>
        <v>0</v>
      </c>
      <c r="G308" s="21">
        <f>V308</f>
        <v>0</v>
      </c>
      <c r="H308" s="9">
        <f t="shared" si="452"/>
        <v>0</v>
      </c>
      <c r="I308" s="9" t="s">
        <v>1287</v>
      </c>
      <c r="J308" s="9">
        <f t="shared" si="453"/>
        <v>0</v>
      </c>
      <c r="K308" s="9">
        <f t="shared" si="454"/>
        <v>0</v>
      </c>
      <c r="L308" s="9">
        <f t="shared" si="455"/>
        <v>0</v>
      </c>
      <c r="M308" s="11">
        <f t="shared" si="463"/>
        <v>0</v>
      </c>
      <c r="N308" s="9">
        <f t="shared" si="456"/>
        <v>0</v>
      </c>
      <c r="O308" s="12">
        <f t="shared" si="457"/>
        <v>0</v>
      </c>
      <c r="P308" s="13" t="str">
        <f t="shared" si="464"/>
        <v>NO</v>
      </c>
      <c r="Q308">
        <f t="shared" si="458"/>
        <v>0</v>
      </c>
      <c r="R308">
        <f t="shared" si="459"/>
        <v>0</v>
      </c>
      <c r="S308">
        <f t="shared" si="460"/>
        <v>0</v>
      </c>
      <c r="T308" s="110">
        <f>VLOOKUP(B308,DesgloseRC!$E$48:$F$85,2,FALSE)</f>
        <v>0</v>
      </c>
      <c r="U308" s="159">
        <f>IF(E308="Excluido",0,$U$283*T308)</f>
        <v>0</v>
      </c>
      <c r="V308" s="159">
        <f>IF(F308=0,0,U308)</f>
        <v>0</v>
      </c>
      <c r="W308">
        <f>IF(T308=0%,0,1)</f>
        <v>0</v>
      </c>
    </row>
    <row r="309" spans="1:29" ht="15" hidden="1" customHeight="1" x14ac:dyDescent="0.3">
      <c r="A309" s="34" t="s">
        <v>1326</v>
      </c>
      <c r="B309" s="36">
        <v>188</v>
      </c>
      <c r="C309" s="29" t="s">
        <v>1355</v>
      </c>
      <c r="D309" s="29" t="str">
        <f t="shared" si="461"/>
        <v>NO APLICA</v>
      </c>
      <c r="E309" s="27" t="s">
        <v>1137</v>
      </c>
      <c r="F309" s="43">
        <f t="shared" si="462"/>
        <v>0</v>
      </c>
      <c r="G309" s="21">
        <v>0</v>
      </c>
      <c r="H309" s="9">
        <f t="shared" si="452"/>
        <v>0</v>
      </c>
      <c r="I309" s="9" t="s">
        <v>1287</v>
      </c>
      <c r="J309" s="9">
        <f t="shared" si="453"/>
        <v>0</v>
      </c>
      <c r="K309" s="9">
        <f t="shared" si="454"/>
        <v>0</v>
      </c>
      <c r="L309" s="9">
        <f t="shared" si="455"/>
        <v>0</v>
      </c>
      <c r="M309" s="11">
        <f t="shared" si="463"/>
        <v>0</v>
      </c>
      <c r="N309" s="9">
        <f t="shared" si="456"/>
        <v>0</v>
      </c>
      <c r="O309" s="12">
        <f t="shared" si="457"/>
        <v>0</v>
      </c>
      <c r="P309" s="13" t="str">
        <f t="shared" si="464"/>
        <v>NO</v>
      </c>
      <c r="Q309">
        <f t="shared" si="458"/>
        <v>0</v>
      </c>
      <c r="R309">
        <f t="shared" si="459"/>
        <v>0</v>
      </c>
      <c r="S309">
        <f t="shared" si="460"/>
        <v>0</v>
      </c>
      <c r="W309"/>
      <c r="X309" s="110"/>
      <c r="Y309" s="110"/>
    </row>
    <row r="310" spans="1:29" ht="15" hidden="1" customHeight="1" x14ac:dyDescent="0.3">
      <c r="A310" s="34" t="s">
        <v>1326</v>
      </c>
      <c r="B310" s="36">
        <v>244</v>
      </c>
      <c r="C310" s="29" t="s">
        <v>1293</v>
      </c>
      <c r="D310" s="29" t="str">
        <f t="shared" si="461"/>
        <v>NO APLICA</v>
      </c>
      <c r="E310" s="27" t="s">
        <v>1137</v>
      </c>
      <c r="F310" s="43">
        <f t="shared" si="462"/>
        <v>0</v>
      </c>
      <c r="G310" s="21">
        <f>V310</f>
        <v>0</v>
      </c>
      <c r="H310" s="9">
        <f t="shared" si="452"/>
        <v>0</v>
      </c>
      <c r="I310" s="9" t="s">
        <v>1287</v>
      </c>
      <c r="J310" s="9">
        <f t="shared" si="453"/>
        <v>0</v>
      </c>
      <c r="K310" s="9">
        <f t="shared" si="454"/>
        <v>0</v>
      </c>
      <c r="L310" s="9">
        <f t="shared" si="455"/>
        <v>0</v>
      </c>
      <c r="M310" s="11">
        <f t="shared" si="463"/>
        <v>0</v>
      </c>
      <c r="N310" s="9">
        <f t="shared" si="456"/>
        <v>0</v>
      </c>
      <c r="O310" s="12">
        <f t="shared" si="457"/>
        <v>0</v>
      </c>
      <c r="P310" s="13" t="str">
        <f t="shared" si="464"/>
        <v>NO</v>
      </c>
      <c r="Q310">
        <f t="shared" si="458"/>
        <v>0</v>
      </c>
      <c r="R310">
        <f t="shared" si="459"/>
        <v>0</v>
      </c>
      <c r="S310">
        <f t="shared" si="460"/>
        <v>0</v>
      </c>
      <c r="T310" s="110">
        <f>VLOOKUP(B310,DesgloseRC!$E$48:$F$85,2,FALSE)</f>
        <v>0</v>
      </c>
      <c r="U310" s="159">
        <f>IF(E310="Excluido",0,$U$283*T310)</f>
        <v>0</v>
      </c>
      <c r="V310" s="159">
        <f>IF(F310=0,0,U310)</f>
        <v>0</v>
      </c>
      <c r="W310">
        <v>0</v>
      </c>
      <c r="X310" s="110"/>
      <c r="Y310" s="110"/>
      <c r="Z310" s="110"/>
      <c r="AA310" s="110"/>
      <c r="AB310" s="110"/>
      <c r="AC310" s="110"/>
    </row>
    <row r="311" spans="1:29" ht="22.5" hidden="1" customHeight="1" x14ac:dyDescent="0.3">
      <c r="A311" s="34" t="s">
        <v>1326</v>
      </c>
      <c r="B311" s="36">
        <v>288</v>
      </c>
      <c r="C311" s="29" t="s">
        <v>1356</v>
      </c>
      <c r="D311" s="29" t="str">
        <f t="shared" si="461"/>
        <v>NO APLICA</v>
      </c>
      <c r="E311" s="27" t="s">
        <v>1137</v>
      </c>
      <c r="F311" s="43">
        <f t="shared" si="462"/>
        <v>0</v>
      </c>
      <c r="G311" s="21">
        <v>0</v>
      </c>
      <c r="H311" s="9">
        <f t="shared" si="452"/>
        <v>0</v>
      </c>
      <c r="I311" s="9" t="s">
        <v>1287</v>
      </c>
      <c r="J311" s="9">
        <f t="shared" si="453"/>
        <v>0</v>
      </c>
      <c r="K311" s="9">
        <f t="shared" si="454"/>
        <v>0</v>
      </c>
      <c r="L311" s="9">
        <f t="shared" si="455"/>
        <v>0</v>
      </c>
      <c r="M311" s="11">
        <f t="shared" si="463"/>
        <v>0</v>
      </c>
      <c r="N311" s="9">
        <f t="shared" si="456"/>
        <v>0</v>
      </c>
      <c r="O311" s="12">
        <f t="shared" si="457"/>
        <v>0</v>
      </c>
      <c r="P311" s="13" t="str">
        <f t="shared" si="464"/>
        <v>NO</v>
      </c>
      <c r="Q311">
        <f t="shared" si="458"/>
        <v>0</v>
      </c>
      <c r="R311">
        <f t="shared" si="459"/>
        <v>0</v>
      </c>
      <c r="S311">
        <f t="shared" si="460"/>
        <v>0</v>
      </c>
      <c r="W311"/>
    </row>
    <row r="312" spans="1:29" ht="15" hidden="1" customHeight="1" x14ac:dyDescent="0.3">
      <c r="A312" s="34" t="s">
        <v>1326</v>
      </c>
      <c r="B312" s="36">
        <v>289</v>
      </c>
      <c r="C312" s="29" t="s">
        <v>1357</v>
      </c>
      <c r="D312" s="29" t="str">
        <f t="shared" si="461"/>
        <v>NO APLICA</v>
      </c>
      <c r="E312" s="27" t="s">
        <v>1137</v>
      </c>
      <c r="F312" s="43">
        <f t="shared" si="462"/>
        <v>0</v>
      </c>
      <c r="G312" s="21">
        <v>0</v>
      </c>
      <c r="H312" s="9">
        <f t="shared" si="452"/>
        <v>0</v>
      </c>
      <c r="I312" s="9" t="s">
        <v>1287</v>
      </c>
      <c r="J312" s="9">
        <f t="shared" si="453"/>
        <v>0</v>
      </c>
      <c r="K312" s="9">
        <f t="shared" si="454"/>
        <v>0</v>
      </c>
      <c r="L312" s="9">
        <f t="shared" si="455"/>
        <v>0</v>
      </c>
      <c r="M312" s="11">
        <f t="shared" si="463"/>
        <v>0</v>
      </c>
      <c r="N312" s="9">
        <f t="shared" si="456"/>
        <v>0</v>
      </c>
      <c r="O312" s="12">
        <f t="shared" si="457"/>
        <v>0</v>
      </c>
      <c r="P312" s="13" t="str">
        <f t="shared" si="464"/>
        <v>NO</v>
      </c>
      <c r="Q312">
        <f t="shared" si="458"/>
        <v>0</v>
      </c>
      <c r="R312">
        <f t="shared" si="459"/>
        <v>0</v>
      </c>
      <c r="S312">
        <f t="shared" si="460"/>
        <v>0</v>
      </c>
      <c r="W312"/>
    </row>
    <row r="313" spans="1:29" ht="15" hidden="1" customHeight="1" x14ac:dyDescent="0.3">
      <c r="A313" s="34" t="s">
        <v>1326</v>
      </c>
      <c r="B313" s="36">
        <v>290</v>
      </c>
      <c r="C313" s="29" t="s">
        <v>1358</v>
      </c>
      <c r="D313" s="29" t="str">
        <f t="shared" si="461"/>
        <v>NO APLICA</v>
      </c>
      <c r="E313" s="27" t="s">
        <v>1137</v>
      </c>
      <c r="F313" s="43">
        <f t="shared" si="462"/>
        <v>0</v>
      </c>
      <c r="G313" s="21">
        <v>0</v>
      </c>
      <c r="H313" s="9">
        <f t="shared" si="452"/>
        <v>0</v>
      </c>
      <c r="I313" s="9" t="s">
        <v>1287</v>
      </c>
      <c r="J313" s="9">
        <f t="shared" si="453"/>
        <v>0</v>
      </c>
      <c r="K313" s="9">
        <f t="shared" si="454"/>
        <v>0</v>
      </c>
      <c r="L313" s="9">
        <f t="shared" si="455"/>
        <v>0</v>
      </c>
      <c r="M313" s="11">
        <f t="shared" si="463"/>
        <v>0</v>
      </c>
      <c r="N313" s="9">
        <f t="shared" si="456"/>
        <v>0</v>
      </c>
      <c r="O313" s="12">
        <f t="shared" si="457"/>
        <v>0</v>
      </c>
      <c r="P313" s="13" t="str">
        <f t="shared" si="464"/>
        <v>NO</v>
      </c>
      <c r="Q313">
        <f t="shared" si="458"/>
        <v>0</v>
      </c>
      <c r="R313">
        <f t="shared" si="459"/>
        <v>0</v>
      </c>
      <c r="S313">
        <f t="shared" si="460"/>
        <v>0</v>
      </c>
      <c r="W313"/>
    </row>
    <row r="314" spans="1:29" ht="15" hidden="1" customHeight="1" x14ac:dyDescent="0.3">
      <c r="A314" s="34" t="s">
        <v>1326</v>
      </c>
      <c r="B314" s="36">
        <v>291</v>
      </c>
      <c r="C314" s="29" t="s">
        <v>1359</v>
      </c>
      <c r="D314" s="29" t="str">
        <f t="shared" si="461"/>
        <v>NO APLICA</v>
      </c>
      <c r="E314" s="27" t="s">
        <v>1137</v>
      </c>
      <c r="F314" s="43">
        <f t="shared" si="462"/>
        <v>0</v>
      </c>
      <c r="G314" s="21">
        <v>0</v>
      </c>
      <c r="H314" s="9">
        <f t="shared" si="452"/>
        <v>0</v>
      </c>
      <c r="I314" s="9" t="s">
        <v>1287</v>
      </c>
      <c r="J314" s="9">
        <f t="shared" si="453"/>
        <v>0</v>
      </c>
      <c r="K314" s="9">
        <f t="shared" si="454"/>
        <v>0</v>
      </c>
      <c r="L314" s="9">
        <f t="shared" si="455"/>
        <v>0</v>
      </c>
      <c r="M314" s="11">
        <f t="shared" si="463"/>
        <v>0</v>
      </c>
      <c r="N314" s="9">
        <f t="shared" si="456"/>
        <v>0</v>
      </c>
      <c r="O314" s="12">
        <f t="shared" si="457"/>
        <v>0</v>
      </c>
      <c r="P314" s="13" t="str">
        <f t="shared" si="464"/>
        <v>NO</v>
      </c>
      <c r="Q314">
        <f t="shared" si="458"/>
        <v>0</v>
      </c>
      <c r="R314">
        <f t="shared" si="459"/>
        <v>0</v>
      </c>
      <c r="S314">
        <f t="shared" si="460"/>
        <v>0</v>
      </c>
      <c r="W314"/>
    </row>
    <row r="315" spans="1:29" ht="15" hidden="1" customHeight="1" x14ac:dyDescent="0.3">
      <c r="A315" s="34" t="s">
        <v>1326</v>
      </c>
      <c r="B315" s="36">
        <v>292</v>
      </c>
      <c r="C315" s="29" t="s">
        <v>1360</v>
      </c>
      <c r="D315" s="29" t="str">
        <f t="shared" si="461"/>
        <v>NO APLICA</v>
      </c>
      <c r="E315" s="27" t="s">
        <v>1137</v>
      </c>
      <c r="F315" s="43">
        <f t="shared" si="462"/>
        <v>0</v>
      </c>
      <c r="G315" s="21">
        <v>0</v>
      </c>
      <c r="H315" s="9">
        <f t="shared" si="452"/>
        <v>0</v>
      </c>
      <c r="I315" s="9" t="s">
        <v>1287</v>
      </c>
      <c r="J315" s="9">
        <f t="shared" si="453"/>
        <v>0</v>
      </c>
      <c r="K315" s="9">
        <f t="shared" si="454"/>
        <v>0</v>
      </c>
      <c r="L315" s="9">
        <f t="shared" si="455"/>
        <v>0</v>
      </c>
      <c r="M315" s="11">
        <f t="shared" si="463"/>
        <v>0</v>
      </c>
      <c r="N315" s="9">
        <f t="shared" si="456"/>
        <v>0</v>
      </c>
      <c r="O315" s="12">
        <f t="shared" si="457"/>
        <v>0</v>
      </c>
      <c r="P315" s="13" t="str">
        <f t="shared" si="464"/>
        <v>NO</v>
      </c>
      <c r="Q315">
        <f t="shared" si="458"/>
        <v>0</v>
      </c>
      <c r="R315">
        <f t="shared" si="459"/>
        <v>0</v>
      </c>
      <c r="S315">
        <f t="shared" si="460"/>
        <v>0</v>
      </c>
      <c r="W315"/>
    </row>
    <row r="316" spans="1:29" ht="15" hidden="1" customHeight="1" x14ac:dyDescent="0.3">
      <c r="A316" s="34" t="s">
        <v>1326</v>
      </c>
      <c r="B316" s="36">
        <v>293</v>
      </c>
      <c r="C316" s="29" t="s">
        <v>1361</v>
      </c>
      <c r="D316" s="29" t="str">
        <f t="shared" si="461"/>
        <v>NO APLICA</v>
      </c>
      <c r="E316" s="27" t="s">
        <v>1137</v>
      </c>
      <c r="F316" s="43">
        <f t="shared" si="462"/>
        <v>0</v>
      </c>
      <c r="G316" s="21">
        <v>0</v>
      </c>
      <c r="H316" s="9">
        <f t="shared" si="452"/>
        <v>0</v>
      </c>
      <c r="I316" s="9" t="s">
        <v>1287</v>
      </c>
      <c r="J316" s="9">
        <f t="shared" si="453"/>
        <v>0</v>
      </c>
      <c r="K316" s="9">
        <f t="shared" si="454"/>
        <v>0</v>
      </c>
      <c r="L316" s="9">
        <f t="shared" si="455"/>
        <v>0</v>
      </c>
      <c r="M316" s="11">
        <f t="shared" si="463"/>
        <v>0</v>
      </c>
      <c r="N316" s="9">
        <f t="shared" si="456"/>
        <v>0</v>
      </c>
      <c r="O316" s="12">
        <f t="shared" si="457"/>
        <v>0</v>
      </c>
      <c r="P316" s="13" t="str">
        <f t="shared" si="464"/>
        <v>NO</v>
      </c>
      <c r="Q316">
        <f t="shared" si="458"/>
        <v>0</v>
      </c>
      <c r="R316">
        <f t="shared" si="459"/>
        <v>0</v>
      </c>
      <c r="S316">
        <f t="shared" si="460"/>
        <v>0</v>
      </c>
      <c r="W316"/>
    </row>
    <row r="317" spans="1:29" ht="15" hidden="1" customHeight="1" x14ac:dyDescent="0.3">
      <c r="A317" s="34" t="s">
        <v>1326</v>
      </c>
      <c r="B317" s="36">
        <v>294</v>
      </c>
      <c r="C317" s="29" t="s">
        <v>1362</v>
      </c>
      <c r="D317" s="29" t="str">
        <f t="shared" si="461"/>
        <v>NO APLICA</v>
      </c>
      <c r="E317" s="27" t="s">
        <v>1137</v>
      </c>
      <c r="F317" s="43">
        <f t="shared" si="462"/>
        <v>0</v>
      </c>
      <c r="G317" s="21">
        <v>0</v>
      </c>
      <c r="H317" s="9">
        <f t="shared" si="452"/>
        <v>0</v>
      </c>
      <c r="I317" s="9" t="s">
        <v>1287</v>
      </c>
      <c r="J317" s="9">
        <f t="shared" si="453"/>
        <v>0</v>
      </c>
      <c r="K317" s="9">
        <f t="shared" si="454"/>
        <v>0</v>
      </c>
      <c r="L317" s="9">
        <f t="shared" si="455"/>
        <v>0</v>
      </c>
      <c r="M317" s="11">
        <f t="shared" si="463"/>
        <v>0</v>
      </c>
      <c r="N317" s="9">
        <f t="shared" si="456"/>
        <v>0</v>
      </c>
      <c r="O317" s="12">
        <f t="shared" si="457"/>
        <v>0</v>
      </c>
      <c r="P317" s="13" t="str">
        <f t="shared" si="464"/>
        <v>NO</v>
      </c>
      <c r="Q317">
        <f t="shared" si="458"/>
        <v>0</v>
      </c>
      <c r="R317">
        <f t="shared" si="459"/>
        <v>0</v>
      </c>
      <c r="S317">
        <f t="shared" si="460"/>
        <v>0</v>
      </c>
      <c r="W317"/>
    </row>
    <row r="318" spans="1:29" ht="15" hidden="1" customHeight="1" x14ac:dyDescent="0.3">
      <c r="A318" s="34" t="s">
        <v>1326</v>
      </c>
      <c r="B318" s="36">
        <v>295</v>
      </c>
      <c r="C318" s="29" t="s">
        <v>1363</v>
      </c>
      <c r="D318" s="29" t="str">
        <f t="shared" si="461"/>
        <v>NO APLICA</v>
      </c>
      <c r="E318" s="27" t="s">
        <v>1137</v>
      </c>
      <c r="F318" s="43">
        <f t="shared" si="462"/>
        <v>0</v>
      </c>
      <c r="G318" s="21">
        <v>0</v>
      </c>
      <c r="H318" s="9">
        <f t="shared" si="452"/>
        <v>0</v>
      </c>
      <c r="I318" s="9" t="s">
        <v>1287</v>
      </c>
      <c r="J318" s="9">
        <f t="shared" si="453"/>
        <v>0</v>
      </c>
      <c r="K318" s="9">
        <f t="shared" si="454"/>
        <v>0</v>
      </c>
      <c r="L318" s="9">
        <f t="shared" si="455"/>
        <v>0</v>
      </c>
      <c r="M318" s="11">
        <f t="shared" si="463"/>
        <v>0</v>
      </c>
      <c r="N318" s="9">
        <f t="shared" si="456"/>
        <v>0</v>
      </c>
      <c r="O318" s="12">
        <f t="shared" si="457"/>
        <v>0</v>
      </c>
      <c r="P318" s="13" t="str">
        <f t="shared" si="464"/>
        <v>NO</v>
      </c>
      <c r="Q318">
        <f t="shared" si="458"/>
        <v>0</v>
      </c>
      <c r="R318">
        <f t="shared" si="459"/>
        <v>0</v>
      </c>
      <c r="S318">
        <f t="shared" si="460"/>
        <v>0</v>
      </c>
      <c r="W318"/>
    </row>
    <row r="319" spans="1:29" ht="15" hidden="1" customHeight="1" x14ac:dyDescent="0.3">
      <c r="A319" s="34" t="s">
        <v>1326</v>
      </c>
      <c r="B319" s="36">
        <v>296</v>
      </c>
      <c r="C319" s="29" t="s">
        <v>1364</v>
      </c>
      <c r="D319" s="29" t="str">
        <f t="shared" si="461"/>
        <v>NO APLICA</v>
      </c>
      <c r="E319" s="27" t="s">
        <v>1137</v>
      </c>
      <c r="F319" s="43">
        <f t="shared" si="462"/>
        <v>0</v>
      </c>
      <c r="G319" s="21">
        <v>0</v>
      </c>
      <c r="H319" s="9">
        <f t="shared" si="452"/>
        <v>0</v>
      </c>
      <c r="I319" s="9" t="s">
        <v>1287</v>
      </c>
      <c r="J319" s="9">
        <f t="shared" si="453"/>
        <v>0</v>
      </c>
      <c r="K319" s="9">
        <f t="shared" si="454"/>
        <v>0</v>
      </c>
      <c r="L319" s="9">
        <f t="shared" si="455"/>
        <v>0</v>
      </c>
      <c r="M319" s="11">
        <f t="shared" si="463"/>
        <v>0</v>
      </c>
      <c r="N319" s="9">
        <f t="shared" si="456"/>
        <v>0</v>
      </c>
      <c r="O319" s="12">
        <f t="shared" si="457"/>
        <v>0</v>
      </c>
      <c r="P319" s="13" t="str">
        <f t="shared" si="464"/>
        <v>NO</v>
      </c>
      <c r="Q319">
        <f t="shared" si="458"/>
        <v>0</v>
      </c>
      <c r="R319">
        <f t="shared" si="459"/>
        <v>0</v>
      </c>
      <c r="S319">
        <f t="shared" si="460"/>
        <v>0</v>
      </c>
      <c r="W319"/>
    </row>
    <row r="320" spans="1:29" ht="15" hidden="1" customHeight="1" x14ac:dyDescent="0.3">
      <c r="A320" s="34" t="s">
        <v>1326</v>
      </c>
      <c r="B320" s="36">
        <v>297</v>
      </c>
      <c r="C320" s="29" t="s">
        <v>1365</v>
      </c>
      <c r="D320" s="29" t="str">
        <f t="shared" si="461"/>
        <v>NO APLICA</v>
      </c>
      <c r="E320" s="27" t="s">
        <v>1137</v>
      </c>
      <c r="F320" s="43">
        <f t="shared" si="462"/>
        <v>0</v>
      </c>
      <c r="G320" s="21">
        <v>0</v>
      </c>
      <c r="H320" s="9">
        <f t="shared" si="452"/>
        <v>0</v>
      </c>
      <c r="I320" s="9" t="s">
        <v>1287</v>
      </c>
      <c r="J320" s="9">
        <f t="shared" si="453"/>
        <v>0</v>
      </c>
      <c r="K320" s="9">
        <f t="shared" si="454"/>
        <v>0</v>
      </c>
      <c r="L320" s="9">
        <f t="shared" si="455"/>
        <v>0</v>
      </c>
      <c r="M320" s="11">
        <f t="shared" si="463"/>
        <v>0</v>
      </c>
      <c r="N320" s="9">
        <f t="shared" si="456"/>
        <v>0</v>
      </c>
      <c r="O320" s="12">
        <f t="shared" si="457"/>
        <v>0</v>
      </c>
      <c r="P320" s="13" t="str">
        <f t="shared" si="464"/>
        <v>NO</v>
      </c>
      <c r="Q320">
        <f t="shared" si="458"/>
        <v>0</v>
      </c>
      <c r="R320">
        <f t="shared" si="459"/>
        <v>0</v>
      </c>
      <c r="S320">
        <f t="shared" si="460"/>
        <v>0</v>
      </c>
      <c r="W320"/>
    </row>
    <row r="321" spans="1:22" customFormat="1" ht="15" hidden="1" customHeight="1" x14ac:dyDescent="0.3">
      <c r="A321" s="34" t="s">
        <v>1326</v>
      </c>
      <c r="B321" s="36">
        <v>298</v>
      </c>
      <c r="C321" s="29" t="s">
        <v>1366</v>
      </c>
      <c r="D321" s="29" t="str">
        <f t="shared" si="461"/>
        <v>NO APLICA</v>
      </c>
      <c r="E321" s="27" t="s">
        <v>1137</v>
      </c>
      <c r="F321" s="43">
        <f t="shared" si="462"/>
        <v>0</v>
      </c>
      <c r="G321" s="21">
        <v>0</v>
      </c>
      <c r="H321" s="9">
        <f t="shared" si="452"/>
        <v>0</v>
      </c>
      <c r="I321" s="9" t="s">
        <v>1287</v>
      </c>
      <c r="J321" s="9">
        <f t="shared" si="453"/>
        <v>0</v>
      </c>
      <c r="K321" s="9">
        <f t="shared" si="454"/>
        <v>0</v>
      </c>
      <c r="L321" s="9">
        <f t="shared" si="455"/>
        <v>0</v>
      </c>
      <c r="M321" s="11">
        <f t="shared" si="463"/>
        <v>0</v>
      </c>
      <c r="N321" s="9">
        <f t="shared" si="456"/>
        <v>0</v>
      </c>
      <c r="O321" s="12">
        <f t="shared" si="457"/>
        <v>0</v>
      </c>
      <c r="P321" s="13" t="str">
        <f t="shared" si="464"/>
        <v>NO</v>
      </c>
      <c r="Q321">
        <f t="shared" si="458"/>
        <v>0</v>
      </c>
      <c r="R321">
        <f t="shared" si="459"/>
        <v>0</v>
      </c>
      <c r="S321">
        <f t="shared" si="460"/>
        <v>0</v>
      </c>
    </row>
    <row r="322" spans="1:22" customFormat="1" ht="15" hidden="1" customHeight="1" x14ac:dyDescent="0.3">
      <c r="A322" s="34" t="s">
        <v>1326</v>
      </c>
      <c r="B322" s="36">
        <v>299</v>
      </c>
      <c r="C322" s="29" t="s">
        <v>1367</v>
      </c>
      <c r="D322" s="29" t="str">
        <f t="shared" si="461"/>
        <v>NO APLICA</v>
      </c>
      <c r="E322" s="27" t="s">
        <v>1137</v>
      </c>
      <c r="F322" s="43">
        <f t="shared" si="462"/>
        <v>0</v>
      </c>
      <c r="G322" s="21">
        <v>0</v>
      </c>
      <c r="H322" s="9">
        <f t="shared" si="452"/>
        <v>0</v>
      </c>
      <c r="I322" s="9" t="s">
        <v>1287</v>
      </c>
      <c r="J322" s="9">
        <f t="shared" si="453"/>
        <v>0</v>
      </c>
      <c r="K322" s="9">
        <f t="shared" si="454"/>
        <v>0</v>
      </c>
      <c r="L322" s="9">
        <f t="shared" si="455"/>
        <v>0</v>
      </c>
      <c r="M322" s="11">
        <f t="shared" si="463"/>
        <v>0</v>
      </c>
      <c r="N322" s="9">
        <f t="shared" si="456"/>
        <v>0</v>
      </c>
      <c r="O322" s="12">
        <f t="shared" si="457"/>
        <v>0</v>
      </c>
      <c r="P322" s="13" t="str">
        <f t="shared" si="464"/>
        <v>NO</v>
      </c>
      <c r="Q322">
        <f t="shared" si="458"/>
        <v>0</v>
      </c>
      <c r="R322">
        <f t="shared" si="459"/>
        <v>0</v>
      </c>
      <c r="S322">
        <f t="shared" si="460"/>
        <v>0</v>
      </c>
    </row>
    <row r="323" spans="1:22" customFormat="1" ht="15" hidden="1" customHeight="1" x14ac:dyDescent="0.3">
      <c r="A323" s="34" t="s">
        <v>1326</v>
      </c>
      <c r="B323" s="36">
        <v>300</v>
      </c>
      <c r="C323" s="29" t="s">
        <v>1368</v>
      </c>
      <c r="D323" s="29" t="str">
        <f t="shared" si="461"/>
        <v>NO APLICA</v>
      </c>
      <c r="E323" s="27" t="s">
        <v>1137</v>
      </c>
      <c r="F323" s="43">
        <f t="shared" si="462"/>
        <v>0</v>
      </c>
      <c r="G323" s="21">
        <v>0</v>
      </c>
      <c r="H323" s="9">
        <f t="shared" si="452"/>
        <v>0</v>
      </c>
      <c r="I323" s="9" t="s">
        <v>1287</v>
      </c>
      <c r="J323" s="9">
        <f t="shared" si="453"/>
        <v>0</v>
      </c>
      <c r="K323" s="9">
        <f t="shared" si="454"/>
        <v>0</v>
      </c>
      <c r="L323" s="9">
        <f t="shared" si="455"/>
        <v>0</v>
      </c>
      <c r="M323" s="11">
        <f t="shared" si="463"/>
        <v>0</v>
      </c>
      <c r="N323" s="9">
        <f t="shared" si="456"/>
        <v>0</v>
      </c>
      <c r="O323" s="12">
        <f t="shared" si="457"/>
        <v>0</v>
      </c>
      <c r="P323" s="13" t="str">
        <f t="shared" si="464"/>
        <v>NO</v>
      </c>
      <c r="Q323">
        <f t="shared" si="458"/>
        <v>0</v>
      </c>
      <c r="R323">
        <f t="shared" si="459"/>
        <v>0</v>
      </c>
      <c r="S323">
        <f t="shared" si="460"/>
        <v>0</v>
      </c>
    </row>
    <row r="324" spans="1:22" customFormat="1" ht="15" hidden="1" customHeight="1" x14ac:dyDescent="0.3">
      <c r="A324" s="34" t="s">
        <v>1326</v>
      </c>
      <c r="B324" s="36">
        <v>301</v>
      </c>
      <c r="C324" s="29" t="s">
        <v>1369</v>
      </c>
      <c r="D324" s="29" t="str">
        <f t="shared" si="461"/>
        <v>NO APLICA</v>
      </c>
      <c r="E324" s="27" t="s">
        <v>1137</v>
      </c>
      <c r="F324" s="43">
        <f t="shared" si="462"/>
        <v>0</v>
      </c>
      <c r="G324" s="21">
        <v>0</v>
      </c>
      <c r="H324" s="9">
        <f t="shared" si="452"/>
        <v>0</v>
      </c>
      <c r="I324" s="9" t="s">
        <v>1287</v>
      </c>
      <c r="J324" s="9">
        <f t="shared" si="453"/>
        <v>0</v>
      </c>
      <c r="K324" s="9">
        <f t="shared" si="454"/>
        <v>0</v>
      </c>
      <c r="L324" s="9">
        <f t="shared" si="455"/>
        <v>0</v>
      </c>
      <c r="M324" s="11">
        <f t="shared" si="463"/>
        <v>0</v>
      </c>
      <c r="N324" s="9">
        <f t="shared" si="456"/>
        <v>0</v>
      </c>
      <c r="O324" s="12">
        <f t="shared" si="457"/>
        <v>0</v>
      </c>
      <c r="P324" s="13" t="str">
        <f t="shared" si="464"/>
        <v>NO</v>
      </c>
      <c r="Q324">
        <f t="shared" si="458"/>
        <v>0</v>
      </c>
      <c r="R324">
        <f t="shared" si="459"/>
        <v>0</v>
      </c>
      <c r="S324">
        <f t="shared" si="460"/>
        <v>0</v>
      </c>
    </row>
    <row r="325" spans="1:22" customFormat="1" ht="22.5" hidden="1" customHeight="1" x14ac:dyDescent="0.3">
      <c r="A325" s="34" t="s">
        <v>1326</v>
      </c>
      <c r="B325" s="36">
        <v>302</v>
      </c>
      <c r="C325" s="29" t="s">
        <v>1370</v>
      </c>
      <c r="D325" s="29" t="str">
        <f t="shared" si="461"/>
        <v>NO APLICA</v>
      </c>
      <c r="E325" s="27" t="s">
        <v>1137</v>
      </c>
      <c r="F325" s="43">
        <f t="shared" si="462"/>
        <v>0</v>
      </c>
      <c r="G325" s="21">
        <v>0</v>
      </c>
      <c r="H325" s="9">
        <f t="shared" si="452"/>
        <v>0</v>
      </c>
      <c r="I325" s="9" t="s">
        <v>1287</v>
      </c>
      <c r="J325" s="9">
        <f t="shared" si="453"/>
        <v>0</v>
      </c>
      <c r="K325" s="9">
        <f t="shared" si="454"/>
        <v>0</v>
      </c>
      <c r="L325" s="9">
        <f t="shared" si="455"/>
        <v>0</v>
      </c>
      <c r="M325" s="11">
        <f t="shared" si="463"/>
        <v>0</v>
      </c>
      <c r="N325" s="9">
        <f t="shared" si="456"/>
        <v>0</v>
      </c>
      <c r="O325" s="12">
        <f t="shared" si="457"/>
        <v>0</v>
      </c>
      <c r="P325" s="13" t="str">
        <f t="shared" si="464"/>
        <v>NO</v>
      </c>
      <c r="Q325">
        <f t="shared" si="458"/>
        <v>0</v>
      </c>
      <c r="R325">
        <f t="shared" si="459"/>
        <v>0</v>
      </c>
      <c r="S325">
        <f t="shared" si="460"/>
        <v>0</v>
      </c>
    </row>
    <row r="326" spans="1:22" customFormat="1" ht="15" hidden="1" customHeight="1" x14ac:dyDescent="0.3">
      <c r="A326" s="34" t="s">
        <v>1326</v>
      </c>
      <c r="B326" s="36">
        <v>304</v>
      </c>
      <c r="C326" s="29" t="s">
        <v>1371</v>
      </c>
      <c r="D326" s="29" t="str">
        <f t="shared" si="461"/>
        <v>NO APLICA</v>
      </c>
      <c r="E326" s="27" t="s">
        <v>1137</v>
      </c>
      <c r="F326" s="43">
        <f t="shared" si="462"/>
        <v>0</v>
      </c>
      <c r="G326" s="21">
        <v>0</v>
      </c>
      <c r="H326" s="9">
        <f t="shared" si="452"/>
        <v>0</v>
      </c>
      <c r="I326" s="9" t="s">
        <v>1287</v>
      </c>
      <c r="J326" s="9">
        <f t="shared" si="453"/>
        <v>0</v>
      </c>
      <c r="K326" s="9">
        <f t="shared" si="454"/>
        <v>0</v>
      </c>
      <c r="L326" s="9">
        <f t="shared" si="455"/>
        <v>0</v>
      </c>
      <c r="M326" s="11">
        <f t="shared" si="463"/>
        <v>0</v>
      </c>
      <c r="N326" s="9">
        <f t="shared" si="456"/>
        <v>0</v>
      </c>
      <c r="O326" s="12">
        <f t="shared" si="457"/>
        <v>0</v>
      </c>
      <c r="P326" s="13" t="str">
        <f t="shared" si="464"/>
        <v>NO</v>
      </c>
      <c r="Q326">
        <f t="shared" si="458"/>
        <v>0</v>
      </c>
      <c r="R326">
        <f t="shared" si="459"/>
        <v>0</v>
      </c>
      <c r="S326">
        <f t="shared" si="460"/>
        <v>0</v>
      </c>
    </row>
    <row r="327" spans="1:22" customFormat="1" ht="15" hidden="1" customHeight="1" x14ac:dyDescent="0.3">
      <c r="A327" s="34" t="s">
        <v>1326</v>
      </c>
      <c r="B327" s="36">
        <v>308</v>
      </c>
      <c r="C327" s="29" t="s">
        <v>1372</v>
      </c>
      <c r="D327" s="29" t="str">
        <f t="shared" si="461"/>
        <v>NO APLICA</v>
      </c>
      <c r="E327" s="27" t="s">
        <v>1137</v>
      </c>
      <c r="F327" s="43">
        <f t="shared" si="462"/>
        <v>0</v>
      </c>
      <c r="G327" s="21">
        <v>0</v>
      </c>
      <c r="H327" s="9">
        <f t="shared" si="452"/>
        <v>0</v>
      </c>
      <c r="I327" s="9" t="s">
        <v>1287</v>
      </c>
      <c r="J327" s="9">
        <f t="shared" si="453"/>
        <v>0</v>
      </c>
      <c r="K327" s="9">
        <f t="shared" si="454"/>
        <v>0</v>
      </c>
      <c r="L327" s="9">
        <f t="shared" si="455"/>
        <v>0</v>
      </c>
      <c r="M327" s="11">
        <f t="shared" si="463"/>
        <v>0</v>
      </c>
      <c r="N327" s="9">
        <f t="shared" si="456"/>
        <v>0</v>
      </c>
      <c r="O327" s="12">
        <f t="shared" si="457"/>
        <v>0</v>
      </c>
      <c r="P327" s="13" t="str">
        <f t="shared" si="464"/>
        <v>NO</v>
      </c>
      <c r="Q327">
        <f t="shared" si="458"/>
        <v>0</v>
      </c>
      <c r="R327">
        <f t="shared" si="459"/>
        <v>0</v>
      </c>
      <c r="S327">
        <f t="shared" si="460"/>
        <v>0</v>
      </c>
    </row>
    <row r="328" spans="1:22" customFormat="1" ht="15" hidden="1" customHeight="1" thickBot="1" x14ac:dyDescent="0.35">
      <c r="A328" s="34" t="s">
        <v>1326</v>
      </c>
      <c r="B328" s="36">
        <v>309</v>
      </c>
      <c r="C328" s="29" t="s">
        <v>1373</v>
      </c>
      <c r="D328" s="29" t="str">
        <f t="shared" si="461"/>
        <v>NO APLICA</v>
      </c>
      <c r="E328" s="27" t="s">
        <v>1137</v>
      </c>
      <c r="F328" s="43">
        <f t="shared" si="462"/>
        <v>0</v>
      </c>
      <c r="G328" s="21">
        <v>0</v>
      </c>
      <c r="H328" s="9">
        <f t="shared" si="452"/>
        <v>0</v>
      </c>
      <c r="I328" s="9" t="s">
        <v>1287</v>
      </c>
      <c r="J328" s="9">
        <f t="shared" si="453"/>
        <v>0</v>
      </c>
      <c r="K328" s="9">
        <f t="shared" si="454"/>
        <v>0</v>
      </c>
      <c r="L328" s="9">
        <f t="shared" si="455"/>
        <v>0</v>
      </c>
      <c r="M328" s="11">
        <f t="shared" si="463"/>
        <v>0</v>
      </c>
      <c r="N328" s="9">
        <f t="shared" si="456"/>
        <v>0</v>
      </c>
      <c r="O328" s="12">
        <f t="shared" si="457"/>
        <v>0</v>
      </c>
      <c r="P328" s="13" t="str">
        <f t="shared" si="464"/>
        <v>NO</v>
      </c>
      <c r="Q328">
        <f t="shared" si="458"/>
        <v>0</v>
      </c>
      <c r="R328">
        <f t="shared" si="459"/>
        <v>0</v>
      </c>
      <c r="S328">
        <f t="shared" si="460"/>
        <v>0</v>
      </c>
      <c r="T328" s="205">
        <f>SUM(T284:T327)</f>
        <v>0</v>
      </c>
      <c r="U328" s="119">
        <f t="shared" ref="U328:V328" si="465">SUM(U284:U327)</f>
        <v>0</v>
      </c>
      <c r="V328" s="119">
        <f t="shared" si="465"/>
        <v>0</v>
      </c>
    </row>
    <row r="329" spans="1:22" s="18" customFormat="1" ht="15" hidden="1" customHeight="1" thickBot="1" x14ac:dyDescent="0.35">
      <c r="A329" s="24"/>
      <c r="B329" s="26"/>
      <c r="C329" s="15" t="s">
        <v>1177</v>
      </c>
      <c r="D329" s="38" t="str">
        <f>D328</f>
        <v>NO APLICA</v>
      </c>
      <c r="E329" s="38"/>
      <c r="F329" s="16">
        <f>SUMIF(E284:E328,"Adicional",F284:F328)</f>
        <v>0</v>
      </c>
      <c r="G329" s="17"/>
      <c r="H329" s="16">
        <f>SUM(H284:H328)</f>
        <v>0</v>
      </c>
      <c r="I329" s="16"/>
      <c r="J329" s="16">
        <f>SUM(J284:J328)</f>
        <v>0</v>
      </c>
      <c r="K329" s="16">
        <f>SUM(K284:K328)</f>
        <v>0</v>
      </c>
      <c r="L329" s="16">
        <f>SUM(L284:L328)</f>
        <v>0</v>
      </c>
      <c r="M329" s="16" t="s">
        <v>1178</v>
      </c>
      <c r="N329" s="16">
        <f>SUM(N284:N328)</f>
        <v>0</v>
      </c>
      <c r="O329" s="84">
        <f>SUM(O284:O328)</f>
        <v>0</v>
      </c>
      <c r="P329" s="13" t="str">
        <f t="shared" si="464"/>
        <v>NO</v>
      </c>
      <c r="Q329">
        <f>IF(D329="INCLUIDO",IF(H329&lt;&gt;0,1,0),0)</f>
        <v>0</v>
      </c>
      <c r="T329" s="143">
        <f>T272+T282+T276+T328</f>
        <v>1.0000000000000002</v>
      </c>
      <c r="U329" s="144">
        <f>U272+U282+U276+U328</f>
        <v>0</v>
      </c>
      <c r="V329" s="145">
        <f>V272+V282+V276+V328</f>
        <v>0</v>
      </c>
    </row>
    <row r="330" spans="1:22" customFormat="1" ht="21.75" hidden="1" customHeight="1" thickBot="1" x14ac:dyDescent="0.35">
      <c r="A330" s="82">
        <v>911</v>
      </c>
      <c r="B330" s="33">
        <v>4</v>
      </c>
      <c r="C330" s="19" t="s">
        <v>1374</v>
      </c>
      <c r="D330" s="23" t="str">
        <f>'Ramo Comercial'!C178</f>
        <v>NO APLICA</v>
      </c>
      <c r="E330" s="91"/>
      <c r="F330" s="113">
        <v>0</v>
      </c>
      <c r="G330" s="113">
        <v>0</v>
      </c>
      <c r="H330" s="28"/>
      <c r="I330" s="28"/>
      <c r="J330" s="28"/>
      <c r="K330" s="28"/>
      <c r="L330" s="28"/>
      <c r="M330" s="68">
        <v>0</v>
      </c>
      <c r="N330" s="28"/>
      <c r="O330" s="83"/>
      <c r="P330" s="13" t="str">
        <f t="shared" si="464"/>
        <v>NO</v>
      </c>
      <c r="Q330" s="48">
        <f t="shared" ref="Q330:Q335" si="466">IF(D330="INCLUIDO",IF(F330&lt;&gt;0,1,0),0)</f>
        <v>0</v>
      </c>
      <c r="T330" s="142">
        <f>G330</f>
        <v>0</v>
      </c>
      <c r="U330" s="150"/>
      <c r="V330" s="151"/>
    </row>
    <row r="331" spans="1:22" customFormat="1" ht="15" hidden="1" customHeight="1" x14ac:dyDescent="0.3">
      <c r="A331" s="34" t="s">
        <v>1326</v>
      </c>
      <c r="B331" s="36">
        <v>232</v>
      </c>
      <c r="C331" s="29" t="s">
        <v>1375</v>
      </c>
      <c r="D331" s="29" t="str">
        <f>$D$330</f>
        <v>NO APLICA</v>
      </c>
      <c r="E331" s="27" t="s">
        <v>1152</v>
      </c>
      <c r="F331" s="20">
        <f>F330*S331</f>
        <v>0</v>
      </c>
      <c r="G331" s="21">
        <f>V331</f>
        <v>0</v>
      </c>
      <c r="H331" s="9">
        <f t="shared" ref="H331" si="467">(IF(I331="$ Prima",G331,G331*F331/R331))*$U$9</f>
        <v>0</v>
      </c>
      <c r="I331" s="9" t="s">
        <v>1287</v>
      </c>
      <c r="J331" s="9">
        <f t="shared" ref="J331:J335" si="468">H331*$U$7</f>
        <v>0</v>
      </c>
      <c r="K331" s="9">
        <f t="shared" ref="K331:K335" si="469">(H331+J331)*$K$15</f>
        <v>0</v>
      </c>
      <c r="L331" s="9">
        <f t="shared" ref="L331:L335" si="470">ROUND(H331+J331+K331,2)</f>
        <v>0</v>
      </c>
      <c r="M331" s="11">
        <f>$M$330</f>
        <v>0</v>
      </c>
      <c r="N331" s="9">
        <f t="shared" ref="N331:N335" si="471">H331*M331</f>
        <v>0</v>
      </c>
      <c r="O331" s="12">
        <f t="shared" ref="O331:O335" si="472">N331</f>
        <v>0</v>
      </c>
      <c r="P331" s="13" t="str">
        <f t="shared" si="464"/>
        <v>NO</v>
      </c>
      <c r="Q331">
        <f t="shared" si="466"/>
        <v>0</v>
      </c>
      <c r="R331">
        <f>IF(I331="%o Al Millar",1000,IF(I331="% Al Porciento",100,IF(I331="$ Prima",G331)))</f>
        <v>0</v>
      </c>
      <c r="S331">
        <f t="shared" ref="S331:S335" si="473">IF(E331="Excluido",0,IF(D331="NO APLICA",0,1))</f>
        <v>0</v>
      </c>
      <c r="T331" s="152">
        <v>0.13</v>
      </c>
      <c r="U331" s="159">
        <f>IF(E331="Excluido",0,T330*T331)</f>
        <v>0</v>
      </c>
      <c r="V331" s="160">
        <f>IF(D330="NO APLICA",0,(U336-U332-U333-U334-U335)+(T330-U336))</f>
        <v>0</v>
      </c>
    </row>
    <row r="332" spans="1:22" customFormat="1" ht="15" hidden="1" customHeight="1" x14ac:dyDescent="0.3">
      <c r="A332" s="34" t="s">
        <v>1326</v>
      </c>
      <c r="B332" s="36">
        <v>234</v>
      </c>
      <c r="C332" s="29" t="s">
        <v>1376</v>
      </c>
      <c r="D332" s="29" t="str">
        <f t="shared" ref="D332:D335" si="474">$D$330</f>
        <v>NO APLICA</v>
      </c>
      <c r="E332" s="27" t="s">
        <v>1137</v>
      </c>
      <c r="F332" s="20">
        <f>$F$331*S332</f>
        <v>0</v>
      </c>
      <c r="G332" s="21">
        <f t="shared" ref="G332:G335" si="475">V332</f>
        <v>0</v>
      </c>
      <c r="H332" s="9">
        <f t="shared" ref="H332:H335" si="476">(IF(I332="$ Prima",G332,G332*F332/R332))*$U$9</f>
        <v>0</v>
      </c>
      <c r="I332" s="9" t="s">
        <v>1287</v>
      </c>
      <c r="J332" s="9">
        <f t="shared" si="468"/>
        <v>0</v>
      </c>
      <c r="K332" s="9">
        <f t="shared" si="469"/>
        <v>0</v>
      </c>
      <c r="L332" s="9">
        <f t="shared" si="470"/>
        <v>0</v>
      </c>
      <c r="M332" s="11">
        <f t="shared" ref="M332:M335" si="477">$M$330</f>
        <v>0</v>
      </c>
      <c r="N332" s="9">
        <f t="shared" si="471"/>
        <v>0</v>
      </c>
      <c r="O332" s="12">
        <f t="shared" si="472"/>
        <v>0</v>
      </c>
      <c r="P332" s="13" t="str">
        <f t="shared" si="464"/>
        <v>NO</v>
      </c>
      <c r="Q332">
        <f t="shared" si="466"/>
        <v>0</v>
      </c>
      <c r="R332">
        <f>IF(I332="%o Al Millar",1000,IF(I332="% Al Porciento",100,IF(I332="$ Prima",G332)))</f>
        <v>0</v>
      </c>
      <c r="S332">
        <f t="shared" si="473"/>
        <v>0</v>
      </c>
      <c r="T332" s="152">
        <v>0.12</v>
      </c>
      <c r="U332" s="159">
        <f>IF(E332="Excluido",0,T330*T332)</f>
        <v>0</v>
      </c>
      <c r="V332" s="160">
        <f>IF(F332=0,0,U332)</f>
        <v>0</v>
      </c>
    </row>
    <row r="333" spans="1:22" customFormat="1" ht="15" hidden="1" customHeight="1" x14ac:dyDescent="0.3">
      <c r="A333" s="34" t="s">
        <v>1326</v>
      </c>
      <c r="B333" s="36">
        <v>235</v>
      </c>
      <c r="C333" s="29" t="s">
        <v>1377</v>
      </c>
      <c r="D333" s="29" t="str">
        <f t="shared" si="474"/>
        <v>NO APLICA</v>
      </c>
      <c r="E333" s="27" t="s">
        <v>1137</v>
      </c>
      <c r="F333" s="20">
        <f t="shared" ref="F333:F335" si="478">$F$331*S333</f>
        <v>0</v>
      </c>
      <c r="G333" s="21">
        <f t="shared" si="475"/>
        <v>0</v>
      </c>
      <c r="H333" s="9">
        <f t="shared" si="476"/>
        <v>0</v>
      </c>
      <c r="I333" s="9" t="s">
        <v>1287</v>
      </c>
      <c r="J333" s="9">
        <f t="shared" si="468"/>
        <v>0</v>
      </c>
      <c r="K333" s="9">
        <f t="shared" si="469"/>
        <v>0</v>
      </c>
      <c r="L333" s="9">
        <f t="shared" si="470"/>
        <v>0</v>
      </c>
      <c r="M333" s="11">
        <f t="shared" si="477"/>
        <v>0</v>
      </c>
      <c r="N333" s="9">
        <f t="shared" si="471"/>
        <v>0</v>
      </c>
      <c r="O333" s="12">
        <f t="shared" si="472"/>
        <v>0</v>
      </c>
      <c r="P333" s="13" t="str">
        <f t="shared" si="464"/>
        <v>NO</v>
      </c>
      <c r="Q333">
        <f t="shared" si="466"/>
        <v>0</v>
      </c>
      <c r="R333">
        <f>IF(I333="%o Al Millar",1000,IF(I333="% Al Porciento",100,IF(I333="$ Prima",G333)))</f>
        <v>0</v>
      </c>
      <c r="S333">
        <f t="shared" si="473"/>
        <v>0</v>
      </c>
      <c r="T333" s="152">
        <v>0.2</v>
      </c>
      <c r="U333" s="159">
        <f>IF(E333="Excluido",0,T330*T333)</f>
        <v>0</v>
      </c>
      <c r="V333" s="160">
        <f t="shared" ref="V333:V335" si="479">IF(F333=0,0,U333)</f>
        <v>0</v>
      </c>
    </row>
    <row r="334" spans="1:22" customFormat="1" ht="15" hidden="1" customHeight="1" x14ac:dyDescent="0.3">
      <c r="A334" s="34" t="s">
        <v>1326</v>
      </c>
      <c r="B334" s="36">
        <v>236</v>
      </c>
      <c r="C334" s="29" t="s">
        <v>1378</v>
      </c>
      <c r="D334" s="29" t="str">
        <f t="shared" si="474"/>
        <v>NO APLICA</v>
      </c>
      <c r="E334" s="27" t="s">
        <v>1137</v>
      </c>
      <c r="F334" s="20">
        <f t="shared" si="478"/>
        <v>0</v>
      </c>
      <c r="G334" s="21">
        <f t="shared" si="475"/>
        <v>0</v>
      </c>
      <c r="H334" s="9">
        <f t="shared" si="476"/>
        <v>0</v>
      </c>
      <c r="I334" s="9" t="s">
        <v>1287</v>
      </c>
      <c r="J334" s="9">
        <f t="shared" si="468"/>
        <v>0</v>
      </c>
      <c r="K334" s="9">
        <f t="shared" si="469"/>
        <v>0</v>
      </c>
      <c r="L334" s="9">
        <f t="shared" si="470"/>
        <v>0</v>
      </c>
      <c r="M334" s="11">
        <f t="shared" si="477"/>
        <v>0</v>
      </c>
      <c r="N334" s="9">
        <f t="shared" si="471"/>
        <v>0</v>
      </c>
      <c r="O334" s="12">
        <f t="shared" si="472"/>
        <v>0</v>
      </c>
      <c r="P334" s="13" t="str">
        <f t="shared" si="464"/>
        <v>NO</v>
      </c>
      <c r="Q334">
        <f t="shared" si="466"/>
        <v>0</v>
      </c>
      <c r="R334">
        <f>IF(I334="%o Al Millar",1000,IF(I334="% Al Porciento",100,IF(I334="$ Prima",G334)))</f>
        <v>0</v>
      </c>
      <c r="S334">
        <f t="shared" si="473"/>
        <v>0</v>
      </c>
      <c r="T334" s="152">
        <v>0.15</v>
      </c>
      <c r="U334" s="159">
        <f>IF(E334="Excluido",0,T330*T334)</f>
        <v>0</v>
      </c>
      <c r="V334" s="160">
        <f t="shared" si="479"/>
        <v>0</v>
      </c>
    </row>
    <row r="335" spans="1:22" customFormat="1" ht="15" hidden="1" customHeight="1" thickBot="1" x14ac:dyDescent="0.35">
      <c r="A335" s="34" t="s">
        <v>1326</v>
      </c>
      <c r="B335" s="36">
        <v>233</v>
      </c>
      <c r="C335" s="29" t="s">
        <v>1293</v>
      </c>
      <c r="D335" s="29" t="str">
        <f t="shared" si="474"/>
        <v>NO APLICA</v>
      </c>
      <c r="E335" s="27" t="s">
        <v>1137</v>
      </c>
      <c r="F335" s="20">
        <f t="shared" si="478"/>
        <v>0</v>
      </c>
      <c r="G335" s="21">
        <f t="shared" si="475"/>
        <v>0</v>
      </c>
      <c r="H335" s="9">
        <f t="shared" si="476"/>
        <v>0</v>
      </c>
      <c r="I335" s="9" t="s">
        <v>1287</v>
      </c>
      <c r="J335" s="9">
        <f t="shared" si="468"/>
        <v>0</v>
      </c>
      <c r="K335" s="9">
        <f t="shared" si="469"/>
        <v>0</v>
      </c>
      <c r="L335" s="9">
        <f t="shared" si="470"/>
        <v>0</v>
      </c>
      <c r="M335" s="11">
        <f t="shared" si="477"/>
        <v>0</v>
      </c>
      <c r="N335" s="9">
        <f t="shared" si="471"/>
        <v>0</v>
      </c>
      <c r="O335" s="12">
        <f t="shared" si="472"/>
        <v>0</v>
      </c>
      <c r="P335" s="13" t="str">
        <f t="shared" si="464"/>
        <v>NO</v>
      </c>
      <c r="Q335">
        <f t="shared" si="466"/>
        <v>0</v>
      </c>
      <c r="R335">
        <f>IF(I335="%o Al Millar",1000,IF(I335="% Al Porciento",100,IF(I335="$ Prima",G335)))</f>
        <v>0</v>
      </c>
      <c r="S335">
        <f t="shared" si="473"/>
        <v>0</v>
      </c>
      <c r="T335" s="152">
        <v>0.4</v>
      </c>
      <c r="U335" s="159">
        <f>IF(E335="Excluido",0,T330*T335)</f>
        <v>0</v>
      </c>
      <c r="V335" s="160">
        <f t="shared" si="479"/>
        <v>0</v>
      </c>
    </row>
    <row r="336" spans="1:22" s="18" customFormat="1" ht="15" hidden="1" customHeight="1" thickBot="1" x14ac:dyDescent="0.35">
      <c r="A336" s="24"/>
      <c r="B336" s="26"/>
      <c r="C336" s="15" t="s">
        <v>1177</v>
      </c>
      <c r="D336" s="38" t="str">
        <f>D335</f>
        <v>NO APLICA</v>
      </c>
      <c r="E336" s="38"/>
      <c r="F336" s="16">
        <f>SUMIF(E331:E335,"Adicional",F331:F335)</f>
        <v>0</v>
      </c>
      <c r="G336" s="17"/>
      <c r="H336" s="16">
        <f>SUM(H331:H335)</f>
        <v>0</v>
      </c>
      <c r="I336" s="16"/>
      <c r="J336" s="16">
        <f t="shared" ref="J336:L336" si="480">SUM(J331:J335)</f>
        <v>0</v>
      </c>
      <c r="K336" s="16">
        <f t="shared" si="480"/>
        <v>0</v>
      </c>
      <c r="L336" s="16">
        <f t="shared" si="480"/>
        <v>0</v>
      </c>
      <c r="M336" s="16" t="s">
        <v>1178</v>
      </c>
      <c r="N336" s="16">
        <f t="shared" ref="N336:O336" si="481">SUM(N331:N335)</f>
        <v>0</v>
      </c>
      <c r="O336" s="84">
        <f t="shared" si="481"/>
        <v>0</v>
      </c>
      <c r="P336" s="13" t="str">
        <f t="shared" si="464"/>
        <v>NO</v>
      </c>
      <c r="Q336">
        <f>IF(D336="INCLUIDO",IF(H336&lt;&gt;0,1,0),0)</f>
        <v>0</v>
      </c>
      <c r="T336" s="143">
        <f>SUM(T331:T335)</f>
        <v>1</v>
      </c>
      <c r="U336" s="144">
        <f>SUM(U331:U335)</f>
        <v>0</v>
      </c>
      <c r="V336" s="145">
        <f>SUM(V331:V335)</f>
        <v>0</v>
      </c>
    </row>
    <row r="337" spans="1:22" customFormat="1" ht="15" hidden="1" customHeight="1" thickBot="1" x14ac:dyDescent="0.35">
      <c r="A337" s="82">
        <v>911</v>
      </c>
      <c r="B337" s="33">
        <v>5</v>
      </c>
      <c r="C337" s="19" t="s">
        <v>1379</v>
      </c>
      <c r="D337" s="23" t="str">
        <f>'Ramo Comercial'!C179</f>
        <v>NO APLICA</v>
      </c>
      <c r="E337" s="91"/>
      <c r="F337" s="113">
        <v>0</v>
      </c>
      <c r="G337" s="113">
        <v>0</v>
      </c>
      <c r="H337" s="28"/>
      <c r="I337" s="28"/>
      <c r="J337" s="28"/>
      <c r="K337" s="28"/>
      <c r="L337" s="28"/>
      <c r="M337" s="68">
        <v>0</v>
      </c>
      <c r="N337" s="28"/>
      <c r="O337" s="83"/>
      <c r="P337" s="13" t="str">
        <f t="shared" si="464"/>
        <v>NO</v>
      </c>
      <c r="Q337" s="48">
        <f t="shared" ref="Q337:Q343" si="482">IF(D337="INCLUIDO",IF(F337&lt;&gt;0,1,0),0)</f>
        <v>0</v>
      </c>
      <c r="T337" s="142">
        <f>G337</f>
        <v>0</v>
      </c>
      <c r="U337" s="150"/>
      <c r="V337" s="151"/>
    </row>
    <row r="338" spans="1:22" customFormat="1" ht="15" hidden="1" customHeight="1" x14ac:dyDescent="0.3">
      <c r="A338" s="34" t="s">
        <v>1326</v>
      </c>
      <c r="B338" s="36">
        <v>237</v>
      </c>
      <c r="C338" s="29" t="s">
        <v>1375</v>
      </c>
      <c r="D338" s="29" t="str">
        <f>$D$337</f>
        <v>NO APLICA</v>
      </c>
      <c r="E338" s="27" t="s">
        <v>1152</v>
      </c>
      <c r="F338" s="20">
        <f>F337*S338</f>
        <v>0</v>
      </c>
      <c r="G338" s="21">
        <v>0</v>
      </c>
      <c r="H338" s="9">
        <f t="shared" ref="H338:H343" si="483">(IF(I338="$ Prima",G338,G338*F338/R338))*$U$9</f>
        <v>0</v>
      </c>
      <c r="I338" s="9" t="s">
        <v>1287</v>
      </c>
      <c r="J338" s="9">
        <f t="shared" ref="J338:J343" si="484">H338*$U$7</f>
        <v>0</v>
      </c>
      <c r="K338" s="9">
        <f t="shared" ref="K338:K343" si="485">(H338+J338)*$K$15</f>
        <v>0</v>
      </c>
      <c r="L338" s="9">
        <f t="shared" ref="L338:L343" si="486">ROUND(H338+J338+K338,2)</f>
        <v>0</v>
      </c>
      <c r="M338" s="11">
        <f>$M$337</f>
        <v>0</v>
      </c>
      <c r="N338" s="9">
        <f t="shared" ref="N338:N343" si="487">H338*M338</f>
        <v>0</v>
      </c>
      <c r="O338" s="12">
        <f t="shared" ref="O338:O343" si="488">N338</f>
        <v>0</v>
      </c>
      <c r="P338" s="13" t="str">
        <f t="shared" si="464"/>
        <v>NO</v>
      </c>
      <c r="Q338">
        <f t="shared" si="482"/>
        <v>0</v>
      </c>
      <c r="R338">
        <f t="shared" ref="R338:R343" si="489">IF(I338="%o Al Millar",1000,IF(I338="% Al Porciento",100,IF(I338="$ Prima",G338)))</f>
        <v>0</v>
      </c>
      <c r="S338">
        <f t="shared" ref="S338:S343" si="490">IF(E338="Excluido",0,IF(D338="NO APLICA",0,1))</f>
        <v>0</v>
      </c>
      <c r="T338" s="152">
        <v>0.13</v>
      </c>
      <c r="U338" s="159">
        <f>IF(E338="Excluido",0,T337*T338)</f>
        <v>0</v>
      </c>
      <c r="V338" s="160">
        <f>IF(D337="NO APLICA",0,(U343-U339-U340-U341-U342)+(T337-U343))</f>
        <v>0</v>
      </c>
    </row>
    <row r="339" spans="1:22" customFormat="1" ht="15" hidden="1" customHeight="1" x14ac:dyDescent="0.3">
      <c r="A339" s="34" t="s">
        <v>1326</v>
      </c>
      <c r="B339" s="36">
        <v>238</v>
      </c>
      <c r="C339" s="29" t="s">
        <v>1352</v>
      </c>
      <c r="D339" s="29" t="str">
        <f t="shared" ref="D339:D343" si="491">$D$337</f>
        <v>NO APLICA</v>
      </c>
      <c r="E339" s="27" t="s">
        <v>1137</v>
      </c>
      <c r="F339" s="20">
        <f>$F$338*S339</f>
        <v>0</v>
      </c>
      <c r="G339" s="21">
        <v>0</v>
      </c>
      <c r="H339" s="9">
        <f t="shared" si="483"/>
        <v>0</v>
      </c>
      <c r="I339" s="9" t="s">
        <v>1287</v>
      </c>
      <c r="J339" s="9">
        <f t="shared" si="484"/>
        <v>0</v>
      </c>
      <c r="K339" s="9">
        <f t="shared" si="485"/>
        <v>0</v>
      </c>
      <c r="L339" s="9">
        <f t="shared" si="486"/>
        <v>0</v>
      </c>
      <c r="M339" s="11">
        <f t="shared" ref="M339:M343" si="492">$M$337</f>
        <v>0</v>
      </c>
      <c r="N339" s="9">
        <f t="shared" si="487"/>
        <v>0</v>
      </c>
      <c r="O339" s="12">
        <f t="shared" si="488"/>
        <v>0</v>
      </c>
      <c r="P339" s="13" t="str">
        <f t="shared" si="464"/>
        <v>NO</v>
      </c>
      <c r="Q339">
        <f t="shared" si="482"/>
        <v>0</v>
      </c>
      <c r="R339">
        <f t="shared" si="489"/>
        <v>0</v>
      </c>
      <c r="S339">
        <f t="shared" si="490"/>
        <v>0</v>
      </c>
      <c r="T339" s="152">
        <v>0.12</v>
      </c>
      <c r="U339" s="159">
        <f>IF(E339="Excluido",0,T337*T339)</f>
        <v>0</v>
      </c>
      <c r="V339" s="160">
        <f>IF(F339=0,0,U339)</f>
        <v>0</v>
      </c>
    </row>
    <row r="340" spans="1:22" customFormat="1" ht="15" hidden="1" customHeight="1" x14ac:dyDescent="0.3">
      <c r="A340" s="34" t="s">
        <v>1326</v>
      </c>
      <c r="B340" s="36">
        <v>240</v>
      </c>
      <c r="C340" s="29" t="s">
        <v>1376</v>
      </c>
      <c r="D340" s="29" t="str">
        <f t="shared" si="491"/>
        <v>NO APLICA</v>
      </c>
      <c r="E340" s="27" t="s">
        <v>1137</v>
      </c>
      <c r="F340" s="20">
        <f t="shared" ref="F340:F343" si="493">$F$338*S340</f>
        <v>0</v>
      </c>
      <c r="G340" s="21">
        <v>0</v>
      </c>
      <c r="H340" s="9">
        <f t="shared" si="483"/>
        <v>0</v>
      </c>
      <c r="I340" s="9" t="s">
        <v>1287</v>
      </c>
      <c r="J340" s="9">
        <f t="shared" si="484"/>
        <v>0</v>
      </c>
      <c r="K340" s="9">
        <f t="shared" si="485"/>
        <v>0</v>
      </c>
      <c r="L340" s="9">
        <f t="shared" si="486"/>
        <v>0</v>
      </c>
      <c r="M340" s="11">
        <f t="shared" si="492"/>
        <v>0</v>
      </c>
      <c r="N340" s="9">
        <f t="shared" si="487"/>
        <v>0</v>
      </c>
      <c r="O340" s="12">
        <f t="shared" si="488"/>
        <v>0</v>
      </c>
      <c r="P340" s="13" t="str">
        <f t="shared" si="464"/>
        <v>NO</v>
      </c>
      <c r="Q340">
        <f t="shared" si="482"/>
        <v>0</v>
      </c>
      <c r="R340">
        <f t="shared" si="489"/>
        <v>0</v>
      </c>
      <c r="S340">
        <f t="shared" si="490"/>
        <v>0</v>
      </c>
      <c r="T340" s="152">
        <v>0.2</v>
      </c>
      <c r="U340" s="159">
        <f>IF(E340="Excluido",0,T337*T340)</f>
        <v>0</v>
      </c>
      <c r="V340" s="160">
        <f t="shared" ref="V340:V342" si="494">IF(F340=0,0,U340)</f>
        <v>0</v>
      </c>
    </row>
    <row r="341" spans="1:22" customFormat="1" ht="15" hidden="1" customHeight="1" x14ac:dyDescent="0.3">
      <c r="A341" s="34" t="s">
        <v>1326</v>
      </c>
      <c r="B341" s="36">
        <v>241</v>
      </c>
      <c r="C341" s="29" t="s">
        <v>1377</v>
      </c>
      <c r="D341" s="29" t="str">
        <f t="shared" si="491"/>
        <v>NO APLICA</v>
      </c>
      <c r="E341" s="27" t="s">
        <v>1137</v>
      </c>
      <c r="F341" s="20">
        <f t="shared" si="493"/>
        <v>0</v>
      </c>
      <c r="G341" s="21">
        <v>0</v>
      </c>
      <c r="H341" s="9">
        <f t="shared" si="483"/>
        <v>0</v>
      </c>
      <c r="I341" s="9" t="s">
        <v>1287</v>
      </c>
      <c r="J341" s="9">
        <f t="shared" si="484"/>
        <v>0</v>
      </c>
      <c r="K341" s="9">
        <f t="shared" si="485"/>
        <v>0</v>
      </c>
      <c r="L341" s="9">
        <f t="shared" si="486"/>
        <v>0</v>
      </c>
      <c r="M341" s="11">
        <f t="shared" si="492"/>
        <v>0</v>
      </c>
      <c r="N341" s="9">
        <f t="shared" si="487"/>
        <v>0</v>
      </c>
      <c r="O341" s="12">
        <f t="shared" si="488"/>
        <v>0</v>
      </c>
      <c r="P341" s="13" t="str">
        <f t="shared" si="464"/>
        <v>NO</v>
      </c>
      <c r="Q341">
        <f t="shared" si="482"/>
        <v>0</v>
      </c>
      <c r="R341">
        <f t="shared" si="489"/>
        <v>0</v>
      </c>
      <c r="S341">
        <f t="shared" si="490"/>
        <v>0</v>
      </c>
      <c r="T341" s="152">
        <v>0.15</v>
      </c>
      <c r="U341" s="159">
        <f>IF(E341="Excluido",0,T337*T341)</f>
        <v>0</v>
      </c>
      <c r="V341" s="160">
        <f t="shared" si="494"/>
        <v>0</v>
      </c>
    </row>
    <row r="342" spans="1:22" customFormat="1" ht="15" hidden="1" customHeight="1" thickBot="1" x14ac:dyDescent="0.35">
      <c r="A342" s="34" t="s">
        <v>1326</v>
      </c>
      <c r="B342" s="36">
        <v>242</v>
      </c>
      <c r="C342" s="29" t="s">
        <v>1378</v>
      </c>
      <c r="D342" s="29" t="str">
        <f t="shared" si="491"/>
        <v>NO APLICA</v>
      </c>
      <c r="E342" s="27" t="s">
        <v>1137</v>
      </c>
      <c r="F342" s="20">
        <f t="shared" si="493"/>
        <v>0</v>
      </c>
      <c r="G342" s="21">
        <v>0</v>
      </c>
      <c r="H342" s="9">
        <f t="shared" si="483"/>
        <v>0</v>
      </c>
      <c r="I342" s="9" t="s">
        <v>1287</v>
      </c>
      <c r="J342" s="9">
        <f t="shared" si="484"/>
        <v>0</v>
      </c>
      <c r="K342" s="9">
        <f t="shared" si="485"/>
        <v>0</v>
      </c>
      <c r="L342" s="9">
        <f t="shared" si="486"/>
        <v>0</v>
      </c>
      <c r="M342" s="11">
        <f t="shared" si="492"/>
        <v>0</v>
      </c>
      <c r="N342" s="9">
        <f t="shared" si="487"/>
        <v>0</v>
      </c>
      <c r="O342" s="12">
        <f t="shared" si="488"/>
        <v>0</v>
      </c>
      <c r="P342" s="13" t="str">
        <f t="shared" si="464"/>
        <v>NO</v>
      </c>
      <c r="Q342">
        <f t="shared" si="482"/>
        <v>0</v>
      </c>
      <c r="R342">
        <f t="shared" si="489"/>
        <v>0</v>
      </c>
      <c r="S342">
        <f t="shared" si="490"/>
        <v>0</v>
      </c>
      <c r="T342" s="152">
        <v>0.4</v>
      </c>
      <c r="U342" s="159">
        <f>IF(E342="Excluido",0,T337*T342)</f>
        <v>0</v>
      </c>
      <c r="V342" s="160">
        <f t="shared" si="494"/>
        <v>0</v>
      </c>
    </row>
    <row r="343" spans="1:22" customFormat="1" ht="15" hidden="1" customHeight="1" thickBot="1" x14ac:dyDescent="0.35">
      <c r="A343" s="34" t="s">
        <v>1326</v>
      </c>
      <c r="B343" s="36">
        <v>239</v>
      </c>
      <c r="C343" s="29" t="s">
        <v>1293</v>
      </c>
      <c r="D343" s="29" t="str">
        <f t="shared" si="491"/>
        <v>NO APLICA</v>
      </c>
      <c r="E343" s="27" t="s">
        <v>1137</v>
      </c>
      <c r="F343" s="20">
        <f t="shared" si="493"/>
        <v>0</v>
      </c>
      <c r="G343" s="21">
        <v>0</v>
      </c>
      <c r="H343" s="9">
        <f t="shared" si="483"/>
        <v>0</v>
      </c>
      <c r="I343" s="9" t="s">
        <v>1287</v>
      </c>
      <c r="J343" s="9">
        <f t="shared" si="484"/>
        <v>0</v>
      </c>
      <c r="K343" s="9">
        <f t="shared" si="485"/>
        <v>0</v>
      </c>
      <c r="L343" s="9">
        <f t="shared" si="486"/>
        <v>0</v>
      </c>
      <c r="M343" s="11">
        <f t="shared" si="492"/>
        <v>0</v>
      </c>
      <c r="N343" s="9">
        <f t="shared" si="487"/>
        <v>0</v>
      </c>
      <c r="O343" s="12">
        <f t="shared" si="488"/>
        <v>0</v>
      </c>
      <c r="P343" s="13" t="str">
        <f t="shared" si="464"/>
        <v>NO</v>
      </c>
      <c r="Q343">
        <f t="shared" si="482"/>
        <v>0</v>
      </c>
      <c r="R343">
        <f t="shared" si="489"/>
        <v>0</v>
      </c>
      <c r="S343">
        <f t="shared" si="490"/>
        <v>0</v>
      </c>
      <c r="T343" s="143">
        <f>SUM(T338:T342)</f>
        <v>1</v>
      </c>
      <c r="U343" s="144">
        <f>SUM(U338:U342)</f>
        <v>0</v>
      </c>
      <c r="V343" s="145">
        <f>SUM(V338:V342)</f>
        <v>0</v>
      </c>
    </row>
    <row r="344" spans="1:22" s="18" customFormat="1" ht="15" hidden="1" customHeight="1" x14ac:dyDescent="0.3">
      <c r="A344" s="24"/>
      <c r="B344" s="26"/>
      <c r="C344" s="15" t="s">
        <v>1177</v>
      </c>
      <c r="D344" s="38" t="str">
        <f>D343</f>
        <v>NO APLICA</v>
      </c>
      <c r="E344" s="38"/>
      <c r="F344" s="16">
        <f>SUMIF(E338:E343,"Adicional",F338:F343)</f>
        <v>0</v>
      </c>
      <c r="G344" s="17"/>
      <c r="H344" s="16">
        <f>SUM(H338:H343)</f>
        <v>0</v>
      </c>
      <c r="I344" s="16"/>
      <c r="J344" s="16">
        <f t="shared" ref="J344:L344" si="495">SUM(J338:J343)</f>
        <v>0</v>
      </c>
      <c r="K344" s="16">
        <f t="shared" si="495"/>
        <v>0</v>
      </c>
      <c r="L344" s="16">
        <f t="shared" si="495"/>
        <v>0</v>
      </c>
      <c r="M344" s="16" t="s">
        <v>1178</v>
      </c>
      <c r="N344" s="16">
        <f t="shared" ref="N344:O344" si="496">SUM(N338:N343)</f>
        <v>0</v>
      </c>
      <c r="O344" s="84">
        <f t="shared" si="496"/>
        <v>0</v>
      </c>
      <c r="P344" s="13" t="str">
        <f t="shared" si="464"/>
        <v>NO</v>
      </c>
      <c r="Q344">
        <f>IF(D344="INCLUIDO",IF(H344&lt;&gt;0,1,0),0)</f>
        <v>0</v>
      </c>
    </row>
    <row r="345" spans="1:22" customFormat="1" ht="15" hidden="1" customHeight="1" x14ac:dyDescent="0.3">
      <c r="A345" s="82">
        <v>912</v>
      </c>
      <c r="B345" s="33">
        <v>1</v>
      </c>
      <c r="C345" s="19" t="s">
        <v>1380</v>
      </c>
      <c r="D345" s="23" t="str">
        <f>'Ramo Comercial'!C175</f>
        <v>NO APLICA</v>
      </c>
      <c r="E345" s="91"/>
      <c r="F345" s="28"/>
      <c r="G345" s="28"/>
      <c r="H345" s="28"/>
      <c r="I345" s="28"/>
      <c r="J345" s="28"/>
      <c r="K345" s="28"/>
      <c r="L345" s="28"/>
      <c r="M345" s="68">
        <v>0</v>
      </c>
      <c r="N345" s="28"/>
      <c r="O345" s="83"/>
      <c r="P345" s="13" t="str">
        <f t="shared" si="464"/>
        <v>NO</v>
      </c>
      <c r="Q345" s="47">
        <f>IF(D345="INCLUIDO",IF(F346&lt;&gt;0,1,0),0)</f>
        <v>0</v>
      </c>
    </row>
    <row r="346" spans="1:22" customFormat="1" ht="15" hidden="1" customHeight="1" x14ac:dyDescent="0.3">
      <c r="A346" s="34" t="s">
        <v>1381</v>
      </c>
      <c r="B346" s="36">
        <v>190</v>
      </c>
      <c r="C346" s="29" t="s">
        <v>1380</v>
      </c>
      <c r="D346" s="29" t="str">
        <f>$D$345</f>
        <v>NO APLICA</v>
      </c>
      <c r="E346" s="27" t="s">
        <v>1152</v>
      </c>
      <c r="F346" s="43">
        <v>0</v>
      </c>
      <c r="G346" s="21">
        <v>0</v>
      </c>
      <c r="H346" s="9">
        <f t="shared" ref="H346:H349" si="497">(IF(I346="$ Prima",G346,G346*F346/R346))*$U$9</f>
        <v>0</v>
      </c>
      <c r="I346" s="9" t="s">
        <v>1287</v>
      </c>
      <c r="J346" s="9">
        <f t="shared" ref="J346:J349" si="498">H346*$U$7</f>
        <v>0</v>
      </c>
      <c r="K346" s="9">
        <f t="shared" ref="K346:K349" si="499">(H346+J346)*$K$15</f>
        <v>0</v>
      </c>
      <c r="L346" s="9">
        <f t="shared" ref="L346:L349" si="500">ROUND(H346+J346+K346,2)</f>
        <v>0</v>
      </c>
      <c r="M346" s="11">
        <f>$M$345</f>
        <v>0</v>
      </c>
      <c r="N346" s="9">
        <f t="shared" ref="N346:N349" si="501">H346*M346</f>
        <v>0</v>
      </c>
      <c r="O346" s="12">
        <f t="shared" ref="O346:O349" si="502">N346</f>
        <v>0</v>
      </c>
      <c r="P346" s="13" t="str">
        <f t="shared" si="464"/>
        <v>NO</v>
      </c>
      <c r="Q346">
        <f t="shared" ref="Q346:Q349" si="503">IF(D346="INCLUIDO",IF(F346&lt;&gt;0,1,0),0)</f>
        <v>0</v>
      </c>
      <c r="R346">
        <f t="shared" ref="R346:R349" si="504">IF(I346="%o Al Millar",1000,IF(I346="% Al Porciento",100,IF(I346="$ Prima",G346)))</f>
        <v>0</v>
      </c>
      <c r="S346">
        <f t="shared" ref="S346:S349" si="505">IF(E346="Excluido",0,IF(D346="NO APLICA",0,1))</f>
        <v>0</v>
      </c>
    </row>
    <row r="347" spans="1:22" customFormat="1" ht="15" hidden="1" customHeight="1" x14ac:dyDescent="0.3">
      <c r="A347" s="34" t="s">
        <v>1381</v>
      </c>
      <c r="B347" s="36">
        <v>306</v>
      </c>
      <c r="C347" s="29" t="s">
        <v>1382</v>
      </c>
      <c r="D347" s="29" t="str">
        <f>$D$345</f>
        <v>NO APLICA</v>
      </c>
      <c r="E347" s="27" t="s">
        <v>1152</v>
      </c>
      <c r="F347" s="43">
        <v>0</v>
      </c>
      <c r="G347" s="21">
        <v>0</v>
      </c>
      <c r="H347" s="9">
        <f t="shared" si="497"/>
        <v>0</v>
      </c>
      <c r="I347" s="9" t="s">
        <v>1287</v>
      </c>
      <c r="J347" s="9">
        <f t="shared" si="498"/>
        <v>0</v>
      </c>
      <c r="K347" s="9">
        <f t="shared" si="499"/>
        <v>0</v>
      </c>
      <c r="L347" s="9">
        <f t="shared" si="500"/>
        <v>0</v>
      </c>
      <c r="M347" s="11">
        <f t="shared" ref="M347:M349" si="506">$M$345</f>
        <v>0</v>
      </c>
      <c r="N347" s="9">
        <f t="shared" si="501"/>
        <v>0</v>
      </c>
      <c r="O347" s="12">
        <f t="shared" si="502"/>
        <v>0</v>
      </c>
      <c r="P347" s="13" t="str">
        <f t="shared" si="464"/>
        <v>NO</v>
      </c>
      <c r="Q347">
        <f t="shared" si="503"/>
        <v>0</v>
      </c>
      <c r="R347">
        <f t="shared" si="504"/>
        <v>0</v>
      </c>
      <c r="S347">
        <f t="shared" si="505"/>
        <v>0</v>
      </c>
    </row>
    <row r="348" spans="1:22" customFormat="1" ht="15" hidden="1" customHeight="1" x14ac:dyDescent="0.3">
      <c r="A348" s="34" t="s">
        <v>1381</v>
      </c>
      <c r="B348" s="36">
        <v>307</v>
      </c>
      <c r="C348" s="29" t="s">
        <v>1383</v>
      </c>
      <c r="D348" s="29" t="str">
        <f t="shared" ref="D348:D349" si="507">$D$345</f>
        <v>NO APLICA</v>
      </c>
      <c r="E348" s="27" t="s">
        <v>1152</v>
      </c>
      <c r="F348" s="43">
        <v>0</v>
      </c>
      <c r="G348" s="21">
        <v>0</v>
      </c>
      <c r="H348" s="9">
        <f t="shared" si="497"/>
        <v>0</v>
      </c>
      <c r="I348" s="9" t="s">
        <v>1287</v>
      </c>
      <c r="J348" s="9">
        <f t="shared" si="498"/>
        <v>0</v>
      </c>
      <c r="K348" s="9">
        <f t="shared" si="499"/>
        <v>0</v>
      </c>
      <c r="L348" s="9">
        <f t="shared" si="500"/>
        <v>0</v>
      </c>
      <c r="M348" s="11">
        <f t="shared" si="506"/>
        <v>0</v>
      </c>
      <c r="N348" s="9">
        <f t="shared" si="501"/>
        <v>0</v>
      </c>
      <c r="O348" s="12">
        <f t="shared" si="502"/>
        <v>0</v>
      </c>
      <c r="P348" s="13" t="str">
        <f t="shared" si="464"/>
        <v>NO</v>
      </c>
      <c r="Q348">
        <f t="shared" si="503"/>
        <v>0</v>
      </c>
      <c r="R348">
        <f t="shared" si="504"/>
        <v>0</v>
      </c>
      <c r="S348">
        <f t="shared" si="505"/>
        <v>0</v>
      </c>
    </row>
    <row r="349" spans="1:22" customFormat="1" ht="15" hidden="1" customHeight="1" x14ac:dyDescent="0.3">
      <c r="A349" s="34" t="s">
        <v>1381</v>
      </c>
      <c r="B349" s="36">
        <v>254</v>
      </c>
      <c r="C349" s="29" t="s">
        <v>1293</v>
      </c>
      <c r="D349" s="29" t="str">
        <f t="shared" si="507"/>
        <v>NO APLICA</v>
      </c>
      <c r="E349" s="27" t="s">
        <v>1137</v>
      </c>
      <c r="F349" s="20">
        <f>(F346+F347+F348)*S349</f>
        <v>0</v>
      </c>
      <c r="G349" s="21">
        <v>0</v>
      </c>
      <c r="H349" s="9">
        <f t="shared" si="497"/>
        <v>0</v>
      </c>
      <c r="I349" s="9" t="s">
        <v>1287</v>
      </c>
      <c r="J349" s="9">
        <f t="shared" si="498"/>
        <v>0</v>
      </c>
      <c r="K349" s="9">
        <f t="shared" si="499"/>
        <v>0</v>
      </c>
      <c r="L349" s="9">
        <f t="shared" si="500"/>
        <v>0</v>
      </c>
      <c r="M349" s="11">
        <f t="shared" si="506"/>
        <v>0</v>
      </c>
      <c r="N349" s="9">
        <f t="shared" si="501"/>
        <v>0</v>
      </c>
      <c r="O349" s="12">
        <f t="shared" si="502"/>
        <v>0</v>
      </c>
      <c r="P349" s="13" t="str">
        <f t="shared" si="464"/>
        <v>NO</v>
      </c>
      <c r="Q349">
        <f t="shared" si="503"/>
        <v>0</v>
      </c>
      <c r="R349">
        <f t="shared" si="504"/>
        <v>0</v>
      </c>
      <c r="S349">
        <f t="shared" si="505"/>
        <v>0</v>
      </c>
    </row>
    <row r="350" spans="1:22" s="18" customFormat="1" ht="15" hidden="1" customHeight="1" x14ac:dyDescent="0.3">
      <c r="A350" s="24"/>
      <c r="B350" s="26"/>
      <c r="C350" s="15" t="s">
        <v>1177</v>
      </c>
      <c r="D350" s="38" t="str">
        <f>D349</f>
        <v>NO APLICA</v>
      </c>
      <c r="E350" s="38"/>
      <c r="F350" s="16">
        <f>SUMIF(E346:E349,"Adicional",F346:F349)</f>
        <v>0</v>
      </c>
      <c r="G350" s="17"/>
      <c r="H350" s="16">
        <f>SUM(H346:H349)</f>
        <v>0</v>
      </c>
      <c r="I350" s="16"/>
      <c r="J350" s="16">
        <f>SUM(J346:J349)</f>
        <v>0</v>
      </c>
      <c r="K350" s="16">
        <f>SUM(K346:K349)</f>
        <v>0</v>
      </c>
      <c r="L350" s="16">
        <f>SUM(L346:L349)</f>
        <v>0</v>
      </c>
      <c r="M350" s="16" t="s">
        <v>1178</v>
      </c>
      <c r="N350" s="16">
        <f>SUM(N346:N349)</f>
        <v>0</v>
      </c>
      <c r="O350" s="84">
        <f>SUM(O346:O349)</f>
        <v>0</v>
      </c>
      <c r="P350" s="13" t="str">
        <f t="shared" si="464"/>
        <v>NO</v>
      </c>
      <c r="Q350">
        <f>IF(D350="INCLUIDO",IF(H350&lt;&gt;0,1,0),0)</f>
        <v>0</v>
      </c>
    </row>
    <row r="351" spans="1:22" customFormat="1" ht="15" hidden="1" customHeight="1" x14ac:dyDescent="0.3">
      <c r="A351" s="82">
        <v>913</v>
      </c>
      <c r="B351" s="33">
        <v>1</v>
      </c>
      <c r="C351" s="19" t="s">
        <v>1384</v>
      </c>
      <c r="D351" s="23" t="str">
        <f>'Ramo Comercial'!C166</f>
        <v>NO APLICA</v>
      </c>
      <c r="E351" s="91"/>
      <c r="F351" s="28"/>
      <c r="G351" s="28"/>
      <c r="H351" s="28"/>
      <c r="I351" s="28"/>
      <c r="J351" s="28"/>
      <c r="K351" s="28"/>
      <c r="L351" s="28"/>
      <c r="M351" s="68">
        <v>0</v>
      </c>
      <c r="N351" s="28"/>
      <c r="O351" s="83"/>
      <c r="P351" s="13" t="str">
        <f t="shared" si="464"/>
        <v>NO</v>
      </c>
      <c r="Q351" s="47">
        <f>IF(D351="INCLUIDO",IF(F352&lt;&gt;0,1,0),0)</f>
        <v>0</v>
      </c>
    </row>
    <row r="352" spans="1:22" customFormat="1" ht="15" hidden="1" customHeight="1" x14ac:dyDescent="0.3">
      <c r="A352" s="34" t="s">
        <v>1385</v>
      </c>
      <c r="B352" s="36">
        <v>191</v>
      </c>
      <c r="C352" s="29" t="s">
        <v>1384</v>
      </c>
      <c r="D352" s="29" t="str">
        <f>$D$351</f>
        <v>NO APLICA</v>
      </c>
      <c r="E352" s="27" t="s">
        <v>1152</v>
      </c>
      <c r="F352" s="43">
        <v>0</v>
      </c>
      <c r="G352" s="21">
        <v>0</v>
      </c>
      <c r="H352" s="9">
        <f t="shared" ref="H352:H362" si="508">(IF(I352="$ Prima",G352,G352*F352/R352))*$U$9</f>
        <v>0</v>
      </c>
      <c r="I352" s="9" t="s">
        <v>1235</v>
      </c>
      <c r="J352" s="9">
        <f t="shared" ref="J352:J362" si="509">H352*$U$7</f>
        <v>0</v>
      </c>
      <c r="K352" s="9">
        <f t="shared" ref="K352:K362" si="510">(H352+J352)*$K$15</f>
        <v>0</v>
      </c>
      <c r="L352" s="9">
        <f t="shared" ref="L352:L362" si="511">ROUND(H352+J352+K352,2)</f>
        <v>0</v>
      </c>
      <c r="M352" s="11">
        <f>$M$351</f>
        <v>0</v>
      </c>
      <c r="N352" s="9">
        <f t="shared" ref="N352:N362" si="512">H352*M352</f>
        <v>0</v>
      </c>
      <c r="O352" s="12">
        <f t="shared" ref="O352:O362" si="513">N352</f>
        <v>0</v>
      </c>
      <c r="P352" s="13" t="str">
        <f t="shared" si="464"/>
        <v>NO</v>
      </c>
      <c r="Q352">
        <f t="shared" ref="Q352:Q362" si="514">IF(D352="INCLUIDO",IF(F352&lt;&gt;0,1,0),0)</f>
        <v>0</v>
      </c>
      <c r="R352">
        <f t="shared" ref="R352:R362" si="515">IF(I352="%o Al Millar",1000,IF(I352="% Al Porciento",100,IF(I352="$ Prima",G352)))</f>
        <v>100</v>
      </c>
      <c r="S352">
        <f t="shared" ref="S352:S362" si="516">IF(E352="Excluido",0,IF(D352="NO APLICA",0,1))</f>
        <v>0</v>
      </c>
    </row>
    <row r="353" spans="1:19" customFormat="1" ht="15" hidden="1" customHeight="1" x14ac:dyDescent="0.3">
      <c r="A353" s="34" t="s">
        <v>1385</v>
      </c>
      <c r="B353" s="36">
        <v>245</v>
      </c>
      <c r="C353" s="29" t="s">
        <v>1386</v>
      </c>
      <c r="D353" s="29" t="str">
        <f t="shared" ref="D353:D362" si="517">$D$351</f>
        <v>NO APLICA</v>
      </c>
      <c r="E353" s="27" t="s">
        <v>1152</v>
      </c>
      <c r="F353" s="43">
        <v>0</v>
      </c>
      <c r="G353" s="21">
        <v>0</v>
      </c>
      <c r="H353" s="9">
        <f t="shared" si="508"/>
        <v>0</v>
      </c>
      <c r="I353" s="9" t="s">
        <v>1235</v>
      </c>
      <c r="J353" s="9">
        <f t="shared" si="509"/>
        <v>0</v>
      </c>
      <c r="K353" s="9">
        <f t="shared" si="510"/>
        <v>0</v>
      </c>
      <c r="L353" s="9">
        <f t="shared" si="511"/>
        <v>0</v>
      </c>
      <c r="M353" s="11">
        <f t="shared" ref="M353:M362" si="518">$M$351</f>
        <v>0</v>
      </c>
      <c r="N353" s="9">
        <f t="shared" si="512"/>
        <v>0</v>
      </c>
      <c r="O353" s="12">
        <f t="shared" si="513"/>
        <v>0</v>
      </c>
      <c r="P353" s="13" t="str">
        <f t="shared" si="464"/>
        <v>NO</v>
      </c>
      <c r="Q353">
        <f t="shared" si="514"/>
        <v>0</v>
      </c>
      <c r="R353">
        <f t="shared" si="515"/>
        <v>100</v>
      </c>
      <c r="S353">
        <f t="shared" si="516"/>
        <v>0</v>
      </c>
    </row>
    <row r="354" spans="1:19" customFormat="1" ht="15" hidden="1" customHeight="1" x14ac:dyDescent="0.3">
      <c r="A354" s="34" t="s">
        <v>1385</v>
      </c>
      <c r="B354" s="36">
        <v>246</v>
      </c>
      <c r="C354" s="29" t="s">
        <v>1293</v>
      </c>
      <c r="D354" s="29" t="str">
        <f t="shared" si="517"/>
        <v>NO APLICA</v>
      </c>
      <c r="E354" s="27" t="s">
        <v>1152</v>
      </c>
      <c r="F354" s="20">
        <f>(F352+F353)*S354</f>
        <v>0</v>
      </c>
      <c r="G354" s="21">
        <v>0</v>
      </c>
      <c r="H354" s="9">
        <f t="shared" si="508"/>
        <v>0</v>
      </c>
      <c r="I354" s="9" t="s">
        <v>1235</v>
      </c>
      <c r="J354" s="9">
        <f t="shared" si="509"/>
        <v>0</v>
      </c>
      <c r="K354" s="9">
        <f t="shared" si="510"/>
        <v>0</v>
      </c>
      <c r="L354" s="9">
        <f t="shared" si="511"/>
        <v>0</v>
      </c>
      <c r="M354" s="11">
        <f t="shared" si="518"/>
        <v>0</v>
      </c>
      <c r="N354" s="9">
        <f t="shared" si="512"/>
        <v>0</v>
      </c>
      <c r="O354" s="12">
        <f t="shared" si="513"/>
        <v>0</v>
      </c>
      <c r="P354" s="13" t="str">
        <f t="shared" si="464"/>
        <v>NO</v>
      </c>
      <c r="Q354">
        <f t="shared" si="514"/>
        <v>0</v>
      </c>
      <c r="R354">
        <f t="shared" si="515"/>
        <v>100</v>
      </c>
      <c r="S354">
        <f t="shared" si="516"/>
        <v>0</v>
      </c>
    </row>
    <row r="355" spans="1:19" customFormat="1" ht="15" hidden="1" customHeight="1" x14ac:dyDescent="0.3">
      <c r="A355" s="34" t="s">
        <v>1385</v>
      </c>
      <c r="B355" s="36">
        <v>247</v>
      </c>
      <c r="C355" s="29" t="s">
        <v>1387</v>
      </c>
      <c r="D355" s="29" t="str">
        <f t="shared" si="517"/>
        <v>NO APLICA</v>
      </c>
      <c r="E355" s="27" t="s">
        <v>1152</v>
      </c>
      <c r="F355" s="43">
        <v>0</v>
      </c>
      <c r="G355" s="21">
        <v>0</v>
      </c>
      <c r="H355" s="9">
        <f t="shared" si="508"/>
        <v>0</v>
      </c>
      <c r="I355" s="9" t="s">
        <v>1235</v>
      </c>
      <c r="J355" s="9">
        <f t="shared" si="509"/>
        <v>0</v>
      </c>
      <c r="K355" s="9">
        <f t="shared" si="510"/>
        <v>0</v>
      </c>
      <c r="L355" s="9">
        <f t="shared" si="511"/>
        <v>0</v>
      </c>
      <c r="M355" s="11">
        <f t="shared" si="518"/>
        <v>0</v>
      </c>
      <c r="N355" s="9">
        <f t="shared" si="512"/>
        <v>0</v>
      </c>
      <c r="O355" s="12">
        <f t="shared" si="513"/>
        <v>0</v>
      </c>
      <c r="P355" s="13" t="str">
        <f t="shared" si="464"/>
        <v>NO</v>
      </c>
      <c r="Q355">
        <f t="shared" si="514"/>
        <v>0</v>
      </c>
      <c r="R355">
        <f t="shared" si="515"/>
        <v>100</v>
      </c>
      <c r="S355">
        <f t="shared" si="516"/>
        <v>0</v>
      </c>
    </row>
    <row r="356" spans="1:19" customFormat="1" ht="15" hidden="1" customHeight="1" x14ac:dyDescent="0.3">
      <c r="A356" s="34" t="s">
        <v>1385</v>
      </c>
      <c r="B356" s="36">
        <v>248</v>
      </c>
      <c r="C356" s="29" t="s">
        <v>1388</v>
      </c>
      <c r="D356" s="29" t="str">
        <f t="shared" si="517"/>
        <v>NO APLICA</v>
      </c>
      <c r="E356" s="27" t="s">
        <v>1152</v>
      </c>
      <c r="F356" s="43">
        <v>0</v>
      </c>
      <c r="G356" s="21">
        <v>0</v>
      </c>
      <c r="H356" s="9">
        <f t="shared" si="508"/>
        <v>0</v>
      </c>
      <c r="I356" s="9" t="s">
        <v>1235</v>
      </c>
      <c r="J356" s="9">
        <f t="shared" si="509"/>
        <v>0</v>
      </c>
      <c r="K356" s="9">
        <f t="shared" si="510"/>
        <v>0</v>
      </c>
      <c r="L356" s="9">
        <f t="shared" si="511"/>
        <v>0</v>
      </c>
      <c r="M356" s="11">
        <f t="shared" si="518"/>
        <v>0</v>
      </c>
      <c r="N356" s="9">
        <f t="shared" si="512"/>
        <v>0</v>
      </c>
      <c r="O356" s="12">
        <f t="shared" si="513"/>
        <v>0</v>
      </c>
      <c r="P356" s="13" t="str">
        <f t="shared" si="464"/>
        <v>NO</v>
      </c>
      <c r="Q356">
        <f t="shared" si="514"/>
        <v>0</v>
      </c>
      <c r="R356">
        <f t="shared" si="515"/>
        <v>100</v>
      </c>
      <c r="S356">
        <f t="shared" si="516"/>
        <v>0</v>
      </c>
    </row>
    <row r="357" spans="1:19" customFormat="1" ht="15" hidden="1" customHeight="1" x14ac:dyDescent="0.3">
      <c r="A357" s="34" t="s">
        <v>1385</v>
      </c>
      <c r="B357" s="36">
        <v>249</v>
      </c>
      <c r="C357" s="29" t="s">
        <v>1389</v>
      </c>
      <c r="D357" s="29" t="str">
        <f t="shared" si="517"/>
        <v>NO APLICA</v>
      </c>
      <c r="E357" s="27" t="s">
        <v>1152</v>
      </c>
      <c r="F357" s="43">
        <v>0</v>
      </c>
      <c r="G357" s="21">
        <v>0</v>
      </c>
      <c r="H357" s="9">
        <f t="shared" si="508"/>
        <v>0</v>
      </c>
      <c r="I357" s="9" t="s">
        <v>1235</v>
      </c>
      <c r="J357" s="9">
        <f t="shared" si="509"/>
        <v>0</v>
      </c>
      <c r="K357" s="9">
        <f t="shared" si="510"/>
        <v>0</v>
      </c>
      <c r="L357" s="9">
        <f t="shared" si="511"/>
        <v>0</v>
      </c>
      <c r="M357" s="11">
        <f t="shared" si="518"/>
        <v>0</v>
      </c>
      <c r="N357" s="9">
        <f t="shared" si="512"/>
        <v>0</v>
      </c>
      <c r="O357" s="12">
        <f t="shared" si="513"/>
        <v>0</v>
      </c>
      <c r="P357" s="13" t="str">
        <f t="shared" ref="P357:P410" si="519">IF(Q357=1,"SI","NO")</f>
        <v>NO</v>
      </c>
      <c r="Q357">
        <f t="shared" si="514"/>
        <v>0</v>
      </c>
      <c r="R357">
        <f t="shared" si="515"/>
        <v>100</v>
      </c>
      <c r="S357">
        <f t="shared" si="516"/>
        <v>0</v>
      </c>
    </row>
    <row r="358" spans="1:19" customFormat="1" ht="15" hidden="1" customHeight="1" x14ac:dyDescent="0.3">
      <c r="A358" s="34" t="s">
        <v>1385</v>
      </c>
      <c r="B358" s="36">
        <v>250</v>
      </c>
      <c r="C358" s="29" t="s">
        <v>1390</v>
      </c>
      <c r="D358" s="29" t="str">
        <f t="shared" si="517"/>
        <v>NO APLICA</v>
      </c>
      <c r="E358" s="27" t="s">
        <v>1152</v>
      </c>
      <c r="F358" s="43">
        <v>0</v>
      </c>
      <c r="G358" s="21">
        <v>0</v>
      </c>
      <c r="H358" s="9">
        <f t="shared" si="508"/>
        <v>0</v>
      </c>
      <c r="I358" s="9" t="s">
        <v>1235</v>
      </c>
      <c r="J358" s="9">
        <f t="shared" si="509"/>
        <v>0</v>
      </c>
      <c r="K358" s="9">
        <f t="shared" si="510"/>
        <v>0</v>
      </c>
      <c r="L358" s="9">
        <f t="shared" si="511"/>
        <v>0</v>
      </c>
      <c r="M358" s="11">
        <f t="shared" si="518"/>
        <v>0</v>
      </c>
      <c r="N358" s="9">
        <f t="shared" si="512"/>
        <v>0</v>
      </c>
      <c r="O358" s="12">
        <f t="shared" si="513"/>
        <v>0</v>
      </c>
      <c r="P358" s="13" t="str">
        <f t="shared" si="519"/>
        <v>NO</v>
      </c>
      <c r="Q358">
        <f t="shared" si="514"/>
        <v>0</v>
      </c>
      <c r="R358">
        <f t="shared" si="515"/>
        <v>100</v>
      </c>
      <c r="S358">
        <f t="shared" si="516"/>
        <v>0</v>
      </c>
    </row>
    <row r="359" spans="1:19" customFormat="1" ht="15" hidden="1" customHeight="1" x14ac:dyDescent="0.3">
      <c r="A359" s="34" t="s">
        <v>1385</v>
      </c>
      <c r="B359" s="36">
        <v>251</v>
      </c>
      <c r="C359" s="29" t="s">
        <v>1391</v>
      </c>
      <c r="D359" s="29" t="str">
        <f t="shared" si="517"/>
        <v>NO APLICA</v>
      </c>
      <c r="E359" s="27" t="s">
        <v>1152</v>
      </c>
      <c r="F359" s="43">
        <v>0</v>
      </c>
      <c r="G359" s="21">
        <v>0</v>
      </c>
      <c r="H359" s="9">
        <f t="shared" si="508"/>
        <v>0</v>
      </c>
      <c r="I359" s="9" t="s">
        <v>1235</v>
      </c>
      <c r="J359" s="9">
        <f t="shared" si="509"/>
        <v>0</v>
      </c>
      <c r="K359" s="9">
        <f t="shared" si="510"/>
        <v>0</v>
      </c>
      <c r="L359" s="9">
        <f t="shared" si="511"/>
        <v>0</v>
      </c>
      <c r="M359" s="11">
        <f t="shared" si="518"/>
        <v>0</v>
      </c>
      <c r="N359" s="9">
        <f t="shared" si="512"/>
        <v>0</v>
      </c>
      <c r="O359" s="12">
        <f t="shared" si="513"/>
        <v>0</v>
      </c>
      <c r="P359" s="13" t="str">
        <f t="shared" si="519"/>
        <v>NO</v>
      </c>
      <c r="Q359">
        <f t="shared" si="514"/>
        <v>0</v>
      </c>
      <c r="R359">
        <f t="shared" si="515"/>
        <v>100</v>
      </c>
      <c r="S359">
        <f t="shared" si="516"/>
        <v>0</v>
      </c>
    </row>
    <row r="360" spans="1:19" customFormat="1" ht="15" hidden="1" customHeight="1" x14ac:dyDescent="0.3">
      <c r="A360" s="34" t="s">
        <v>1385</v>
      </c>
      <c r="B360" s="36">
        <v>252</v>
      </c>
      <c r="C360" s="29" t="s">
        <v>1392</v>
      </c>
      <c r="D360" s="29" t="str">
        <f t="shared" si="517"/>
        <v>NO APLICA</v>
      </c>
      <c r="E360" s="27" t="s">
        <v>1152</v>
      </c>
      <c r="F360" s="43">
        <v>0</v>
      </c>
      <c r="G360" s="21">
        <v>0</v>
      </c>
      <c r="H360" s="9">
        <f t="shared" si="508"/>
        <v>0</v>
      </c>
      <c r="I360" s="9" t="s">
        <v>1235</v>
      </c>
      <c r="J360" s="9">
        <f t="shared" si="509"/>
        <v>0</v>
      </c>
      <c r="K360" s="9">
        <f t="shared" si="510"/>
        <v>0</v>
      </c>
      <c r="L360" s="9">
        <f t="shared" si="511"/>
        <v>0</v>
      </c>
      <c r="M360" s="11">
        <f t="shared" si="518"/>
        <v>0</v>
      </c>
      <c r="N360" s="9">
        <f t="shared" si="512"/>
        <v>0</v>
      </c>
      <c r="O360" s="12">
        <f t="shared" si="513"/>
        <v>0</v>
      </c>
      <c r="P360" s="13" t="str">
        <f t="shared" si="519"/>
        <v>NO</v>
      </c>
      <c r="Q360">
        <f t="shared" si="514"/>
        <v>0</v>
      </c>
      <c r="R360">
        <f t="shared" si="515"/>
        <v>100</v>
      </c>
      <c r="S360">
        <f t="shared" si="516"/>
        <v>0</v>
      </c>
    </row>
    <row r="361" spans="1:19" customFormat="1" ht="15" hidden="1" customHeight="1" x14ac:dyDescent="0.3">
      <c r="A361" s="34" t="s">
        <v>1385</v>
      </c>
      <c r="B361" s="36">
        <v>275</v>
      </c>
      <c r="C361" s="29" t="s">
        <v>1393</v>
      </c>
      <c r="D361" s="29" t="str">
        <f t="shared" si="517"/>
        <v>NO APLICA</v>
      </c>
      <c r="E361" s="27" t="s">
        <v>1152</v>
      </c>
      <c r="F361" s="43">
        <v>0</v>
      </c>
      <c r="G361" s="21">
        <v>0</v>
      </c>
      <c r="H361" s="9">
        <f t="shared" si="508"/>
        <v>0</v>
      </c>
      <c r="I361" s="9" t="s">
        <v>1235</v>
      </c>
      <c r="J361" s="9">
        <f t="shared" si="509"/>
        <v>0</v>
      </c>
      <c r="K361" s="9">
        <f t="shared" si="510"/>
        <v>0</v>
      </c>
      <c r="L361" s="9">
        <f t="shared" si="511"/>
        <v>0</v>
      </c>
      <c r="M361" s="11">
        <f t="shared" si="518"/>
        <v>0</v>
      </c>
      <c r="N361" s="9">
        <f t="shared" si="512"/>
        <v>0</v>
      </c>
      <c r="O361" s="12">
        <f t="shared" si="513"/>
        <v>0</v>
      </c>
      <c r="P361" s="13" t="str">
        <f t="shared" si="519"/>
        <v>NO</v>
      </c>
      <c r="Q361">
        <f t="shared" si="514"/>
        <v>0</v>
      </c>
      <c r="R361">
        <f t="shared" si="515"/>
        <v>100</v>
      </c>
      <c r="S361">
        <f t="shared" si="516"/>
        <v>0</v>
      </c>
    </row>
    <row r="362" spans="1:19" customFormat="1" ht="15" hidden="1" customHeight="1" x14ac:dyDescent="0.3">
      <c r="A362" s="34" t="s">
        <v>1385</v>
      </c>
      <c r="B362" s="36">
        <v>305</v>
      </c>
      <c r="C362" s="29" t="s">
        <v>1394</v>
      </c>
      <c r="D362" s="29" t="str">
        <f t="shared" si="517"/>
        <v>NO APLICA</v>
      </c>
      <c r="E362" s="27" t="s">
        <v>1152</v>
      </c>
      <c r="F362" s="43">
        <v>0</v>
      </c>
      <c r="G362" s="21">
        <v>0</v>
      </c>
      <c r="H362" s="9">
        <f t="shared" si="508"/>
        <v>0</v>
      </c>
      <c r="I362" s="9" t="s">
        <v>1235</v>
      </c>
      <c r="J362" s="9">
        <f t="shared" si="509"/>
        <v>0</v>
      </c>
      <c r="K362" s="9">
        <f t="shared" si="510"/>
        <v>0</v>
      </c>
      <c r="L362" s="9">
        <f t="shared" si="511"/>
        <v>0</v>
      </c>
      <c r="M362" s="11">
        <f t="shared" si="518"/>
        <v>0</v>
      </c>
      <c r="N362" s="9">
        <f t="shared" si="512"/>
        <v>0</v>
      </c>
      <c r="O362" s="12">
        <f t="shared" si="513"/>
        <v>0</v>
      </c>
      <c r="P362" s="13" t="str">
        <f t="shared" si="519"/>
        <v>NO</v>
      </c>
      <c r="Q362">
        <f t="shared" si="514"/>
        <v>0</v>
      </c>
      <c r="R362">
        <f t="shared" si="515"/>
        <v>100</v>
      </c>
      <c r="S362">
        <f t="shared" si="516"/>
        <v>0</v>
      </c>
    </row>
    <row r="363" spans="1:19" s="18" customFormat="1" ht="15" hidden="1" customHeight="1" x14ac:dyDescent="0.3">
      <c r="A363" s="24"/>
      <c r="B363" s="26"/>
      <c r="C363" s="15" t="s">
        <v>1177</v>
      </c>
      <c r="D363" s="38" t="str">
        <f>D362</f>
        <v>NO APLICA</v>
      </c>
      <c r="E363" s="38"/>
      <c r="F363" s="16">
        <f>SUMIF(E352:E362,"Adicional",F352:F362)</f>
        <v>0</v>
      </c>
      <c r="G363" s="17"/>
      <c r="H363" s="16">
        <f>SUM(H352:H362)</f>
        <v>0</v>
      </c>
      <c r="I363" s="16"/>
      <c r="J363" s="16">
        <f t="shared" ref="J363:L363" si="520">SUM(J352:J362)</f>
        <v>0</v>
      </c>
      <c r="K363" s="16">
        <f t="shared" si="520"/>
        <v>0</v>
      </c>
      <c r="L363" s="16">
        <f t="shared" si="520"/>
        <v>0</v>
      </c>
      <c r="M363" s="16" t="s">
        <v>1178</v>
      </c>
      <c r="N363" s="16">
        <f t="shared" ref="N363:O363" si="521">SUM(N352:N362)</f>
        <v>0</v>
      </c>
      <c r="O363" s="84">
        <f t="shared" si="521"/>
        <v>0</v>
      </c>
      <c r="P363" s="13" t="str">
        <f t="shared" si="519"/>
        <v>NO</v>
      </c>
      <c r="Q363">
        <f>IF(D363="INCLUIDO",IF(H363&lt;&gt;0,1,0),0)</f>
        <v>0</v>
      </c>
    </row>
    <row r="364" spans="1:19" customFormat="1" ht="21" hidden="1" customHeight="1" x14ac:dyDescent="0.3">
      <c r="A364" s="82">
        <v>913</v>
      </c>
      <c r="B364" s="33">
        <v>2</v>
      </c>
      <c r="C364" s="19" t="s">
        <v>1395</v>
      </c>
      <c r="D364" s="23" t="str">
        <f>'Ramo Comercial'!C167</f>
        <v>NO APLICA</v>
      </c>
      <c r="E364" s="91"/>
      <c r="F364" s="28"/>
      <c r="G364" s="28"/>
      <c r="H364" s="28"/>
      <c r="I364" s="28"/>
      <c r="J364" s="28"/>
      <c r="K364" s="28"/>
      <c r="L364" s="28"/>
      <c r="M364" s="68">
        <v>0</v>
      </c>
      <c r="N364" s="28"/>
      <c r="O364" s="83"/>
      <c r="P364" s="13" t="str">
        <f t="shared" si="519"/>
        <v>NO</v>
      </c>
      <c r="Q364" s="47">
        <f>IF(D364="INCLUIDO",IF(F365&lt;&gt;0,1,0),0)</f>
        <v>0</v>
      </c>
    </row>
    <row r="365" spans="1:19" customFormat="1" ht="15" hidden="1" customHeight="1" x14ac:dyDescent="0.3">
      <c r="A365" s="34" t="s">
        <v>1385</v>
      </c>
      <c r="B365" s="36">
        <v>192</v>
      </c>
      <c r="C365" s="29" t="s">
        <v>1396</v>
      </c>
      <c r="D365" s="29" t="str">
        <f>$D$364</f>
        <v>NO APLICA</v>
      </c>
      <c r="E365" s="27" t="s">
        <v>1152</v>
      </c>
      <c r="F365" s="43">
        <v>0</v>
      </c>
      <c r="G365" s="21">
        <v>0</v>
      </c>
      <c r="H365" s="9">
        <f t="shared" ref="H365:H368" si="522">(IF(I365="$ Prima",G365,G365*F365/R365))*$U$9</f>
        <v>0</v>
      </c>
      <c r="I365" s="9" t="s">
        <v>1235</v>
      </c>
      <c r="J365" s="9">
        <f t="shared" ref="J365:J368" si="523">H365*$U$7</f>
        <v>0</v>
      </c>
      <c r="K365" s="9">
        <f t="shared" ref="K365:K368" si="524">(H365+J365)*$K$15</f>
        <v>0</v>
      </c>
      <c r="L365" s="9">
        <f t="shared" ref="L365:L368" si="525">ROUND(H365+J365+K365,2)</f>
        <v>0</v>
      </c>
      <c r="M365" s="11">
        <f>$M$364</f>
        <v>0</v>
      </c>
      <c r="N365" s="9">
        <f t="shared" ref="N365:N368" si="526">H365*M365</f>
        <v>0</v>
      </c>
      <c r="O365" s="12">
        <f t="shared" ref="O365:O368" si="527">N365</f>
        <v>0</v>
      </c>
      <c r="P365" s="13" t="str">
        <f t="shared" si="519"/>
        <v>NO</v>
      </c>
      <c r="Q365">
        <f>IF(D365="INCLUIDO",IF(F365&lt;&gt;0,1,0),0)</f>
        <v>0</v>
      </c>
      <c r="R365">
        <f>IF(I365="%o Al Millar",1000,IF(I365="% Al Porciento",100,IF(I365="$ Prima",G365)))</f>
        <v>100</v>
      </c>
      <c r="S365">
        <f t="shared" ref="S365:S368" si="528">IF(E365="Excluido",0,IF(D365="NO APLICA",0,1))</f>
        <v>0</v>
      </c>
    </row>
    <row r="366" spans="1:19" customFormat="1" ht="22.5" hidden="1" customHeight="1" x14ac:dyDescent="0.3">
      <c r="A366" s="34" t="s">
        <v>1385</v>
      </c>
      <c r="B366" s="36">
        <v>193</v>
      </c>
      <c r="C366" s="29" t="s">
        <v>1397</v>
      </c>
      <c r="D366" s="29" t="str">
        <f t="shared" ref="D366:D368" si="529">$D$364</f>
        <v>NO APLICA</v>
      </c>
      <c r="E366" s="27" t="s">
        <v>1152</v>
      </c>
      <c r="F366" s="43">
        <v>0</v>
      </c>
      <c r="G366" s="21">
        <v>0</v>
      </c>
      <c r="H366" s="9">
        <f t="shared" si="522"/>
        <v>0</v>
      </c>
      <c r="I366" s="9" t="s">
        <v>1235</v>
      </c>
      <c r="J366" s="9">
        <f t="shared" si="523"/>
        <v>0</v>
      </c>
      <c r="K366" s="9">
        <f t="shared" si="524"/>
        <v>0</v>
      </c>
      <c r="L366" s="9">
        <f t="shared" si="525"/>
        <v>0</v>
      </c>
      <c r="M366" s="11">
        <f t="shared" ref="M366:M368" si="530">$M$364</f>
        <v>0</v>
      </c>
      <c r="N366" s="9">
        <f t="shared" si="526"/>
        <v>0</v>
      </c>
      <c r="O366" s="12">
        <f t="shared" si="527"/>
        <v>0</v>
      </c>
      <c r="P366" s="13" t="str">
        <f t="shared" si="519"/>
        <v>NO</v>
      </c>
      <c r="Q366">
        <f>IF(D366="INCLUIDO",IF(F366&lt;&gt;0,1,0),0)</f>
        <v>0</v>
      </c>
      <c r="R366">
        <f>IF(I366="%o Al Millar",1000,IF(I366="% Al Porciento",100,IF(I366="$ Prima",G366)))</f>
        <v>100</v>
      </c>
      <c r="S366">
        <f t="shared" si="528"/>
        <v>0</v>
      </c>
    </row>
    <row r="367" spans="1:19" customFormat="1" ht="15" hidden="1" customHeight="1" x14ac:dyDescent="0.3">
      <c r="A367" s="34" t="s">
        <v>1385</v>
      </c>
      <c r="B367" s="36">
        <v>194</v>
      </c>
      <c r="C367" s="29" t="s">
        <v>1398</v>
      </c>
      <c r="D367" s="29" t="str">
        <f t="shared" si="529"/>
        <v>NO APLICA</v>
      </c>
      <c r="E367" s="27" t="s">
        <v>1152</v>
      </c>
      <c r="F367" s="43">
        <v>0</v>
      </c>
      <c r="G367" s="21">
        <v>0</v>
      </c>
      <c r="H367" s="9">
        <f t="shared" si="522"/>
        <v>0</v>
      </c>
      <c r="I367" s="9" t="s">
        <v>1235</v>
      </c>
      <c r="J367" s="9">
        <f t="shared" si="523"/>
        <v>0</v>
      </c>
      <c r="K367" s="9">
        <f t="shared" si="524"/>
        <v>0</v>
      </c>
      <c r="L367" s="9">
        <f t="shared" si="525"/>
        <v>0</v>
      </c>
      <c r="M367" s="11">
        <f t="shared" si="530"/>
        <v>0</v>
      </c>
      <c r="N367" s="9">
        <f t="shared" si="526"/>
        <v>0</v>
      </c>
      <c r="O367" s="12">
        <f t="shared" si="527"/>
        <v>0</v>
      </c>
      <c r="P367" s="13" t="str">
        <f t="shared" si="519"/>
        <v>NO</v>
      </c>
      <c r="Q367">
        <f>IF(D367="INCLUIDO",IF(F367&lt;&gt;0,1,0),0)</f>
        <v>0</v>
      </c>
      <c r="R367">
        <f>IF(I367="%o Al Millar",1000,IF(I367="% Al Porciento",100,IF(I367="$ Prima",G367)))</f>
        <v>100</v>
      </c>
      <c r="S367">
        <f t="shared" si="528"/>
        <v>0</v>
      </c>
    </row>
    <row r="368" spans="1:19" customFormat="1" ht="15" hidden="1" customHeight="1" x14ac:dyDescent="0.3">
      <c r="A368" s="34" t="s">
        <v>1385</v>
      </c>
      <c r="B368" s="36">
        <v>253</v>
      </c>
      <c r="C368" s="29" t="s">
        <v>1293</v>
      </c>
      <c r="D368" s="29" t="str">
        <f t="shared" si="529"/>
        <v>NO APLICA</v>
      </c>
      <c r="E368" s="27" t="s">
        <v>1152</v>
      </c>
      <c r="F368" s="20">
        <f>(F365+F366+F367)*1</f>
        <v>0</v>
      </c>
      <c r="G368" s="21">
        <v>0</v>
      </c>
      <c r="H368" s="9">
        <f t="shared" si="522"/>
        <v>0</v>
      </c>
      <c r="I368" s="9" t="s">
        <v>1235</v>
      </c>
      <c r="J368" s="9">
        <f t="shared" si="523"/>
        <v>0</v>
      </c>
      <c r="K368" s="9">
        <f t="shared" si="524"/>
        <v>0</v>
      </c>
      <c r="L368" s="9">
        <f t="shared" si="525"/>
        <v>0</v>
      </c>
      <c r="M368" s="11">
        <f t="shared" si="530"/>
        <v>0</v>
      </c>
      <c r="N368" s="9">
        <f t="shared" si="526"/>
        <v>0</v>
      </c>
      <c r="O368" s="12">
        <f t="shared" si="527"/>
        <v>0</v>
      </c>
      <c r="P368" s="13" t="str">
        <f t="shared" si="519"/>
        <v>NO</v>
      </c>
      <c r="Q368">
        <f>IF(D368="INCLUIDO",IF(F368&lt;&gt;0,1,0),0)</f>
        <v>0</v>
      </c>
      <c r="R368">
        <f>IF(I368="%o Al Millar",1000,IF(I368="% Al Porciento",100,IF(I368="$ Prima",G368)))</f>
        <v>100</v>
      </c>
      <c r="S368">
        <f t="shared" si="528"/>
        <v>0</v>
      </c>
    </row>
    <row r="369" spans="1:22" s="18" customFormat="1" ht="15" hidden="1" customHeight="1" thickBot="1" x14ac:dyDescent="0.35">
      <c r="A369" s="24"/>
      <c r="B369" s="26"/>
      <c r="C369" s="15" t="s">
        <v>1177</v>
      </c>
      <c r="D369" s="38" t="str">
        <f>D368</f>
        <v>NO APLICA</v>
      </c>
      <c r="E369" s="38"/>
      <c r="F369" s="16">
        <f>SUMIF(E365:E368,"Adicional",F365:F368)</f>
        <v>0</v>
      </c>
      <c r="G369" s="17"/>
      <c r="H369" s="16">
        <f>SUM(H365:H368)</f>
        <v>0</v>
      </c>
      <c r="I369" s="16"/>
      <c r="J369" s="16">
        <f t="shared" ref="J369:L369" si="531">SUM(J365:J368)</f>
        <v>0</v>
      </c>
      <c r="K369" s="16">
        <f t="shared" si="531"/>
        <v>0</v>
      </c>
      <c r="L369" s="16">
        <f t="shared" si="531"/>
        <v>0</v>
      </c>
      <c r="M369" s="16" t="s">
        <v>1178</v>
      </c>
      <c r="N369" s="16">
        <f t="shared" ref="N369:O369" si="532">SUM(N365:N368)</f>
        <v>0</v>
      </c>
      <c r="O369" s="84">
        <f t="shared" si="532"/>
        <v>0</v>
      </c>
      <c r="P369" s="13" t="str">
        <f t="shared" si="519"/>
        <v>NO</v>
      </c>
      <c r="Q369">
        <f>IF(D369="INCLUIDO",IF(H369&lt;&gt;0,1,0),0)</f>
        <v>0</v>
      </c>
    </row>
    <row r="370" spans="1:22" customFormat="1" ht="15" hidden="1" customHeight="1" thickBot="1" x14ac:dyDescent="0.35">
      <c r="A370" s="82">
        <v>914</v>
      </c>
      <c r="B370" s="33">
        <v>1</v>
      </c>
      <c r="C370" s="19" t="s">
        <v>1399</v>
      </c>
      <c r="D370" s="23" t="str">
        <f>'Ramo Comercial'!C170</f>
        <v>NO APLICA</v>
      </c>
      <c r="E370" s="91"/>
      <c r="F370" s="113">
        <v>0</v>
      </c>
      <c r="G370" s="113">
        <v>0</v>
      </c>
      <c r="H370" s="28"/>
      <c r="I370" s="28"/>
      <c r="J370" s="28"/>
      <c r="K370" s="28"/>
      <c r="L370" s="28"/>
      <c r="M370" s="68">
        <v>0</v>
      </c>
      <c r="N370" s="28"/>
      <c r="O370" s="83"/>
      <c r="P370" s="13" t="str">
        <f t="shared" si="519"/>
        <v>NO</v>
      </c>
      <c r="Q370" s="48">
        <f t="shared" ref="Q370:Q378" si="533">IF(D370="INCLUIDO",IF(F370&lt;&gt;0,1,0),0)</f>
        <v>0</v>
      </c>
      <c r="T370" s="149">
        <f>G370</f>
        <v>0</v>
      </c>
      <c r="U370" s="150"/>
      <c r="V370" s="151"/>
    </row>
    <row r="371" spans="1:22" customFormat="1" ht="15" hidden="1" customHeight="1" x14ac:dyDescent="0.3">
      <c r="A371" s="34" t="s">
        <v>1400</v>
      </c>
      <c r="B371" s="36">
        <v>196</v>
      </c>
      <c r="C371" s="29" t="s">
        <v>1401</v>
      </c>
      <c r="D371" s="29" t="str">
        <f>$D$370</f>
        <v>NO APLICA</v>
      </c>
      <c r="E371" s="27" t="s">
        <v>1152</v>
      </c>
      <c r="F371" s="20">
        <f>$F$370*S371</f>
        <v>0</v>
      </c>
      <c r="G371" s="21">
        <f>V371</f>
        <v>0</v>
      </c>
      <c r="H371" s="9">
        <f t="shared" ref="H371:H378" si="534">(IF(I371="$ Prima",G371,G371*F371/R371))*$U$9</f>
        <v>0</v>
      </c>
      <c r="I371" s="9" t="s">
        <v>1235</v>
      </c>
      <c r="J371" s="9">
        <f t="shared" ref="J371:J378" si="535">H371*$U$7</f>
        <v>0</v>
      </c>
      <c r="K371" s="9">
        <f t="shared" ref="K371:K378" si="536">(H371+J371)*$K$15</f>
        <v>0</v>
      </c>
      <c r="L371" s="9">
        <f t="shared" ref="L371:L378" si="537">ROUND(H371+J371+K371,2)</f>
        <v>0</v>
      </c>
      <c r="M371" s="11">
        <f>$M$370</f>
        <v>0</v>
      </c>
      <c r="N371" s="9">
        <f t="shared" ref="N371:N378" si="538">H371*M371</f>
        <v>0</v>
      </c>
      <c r="O371" s="12">
        <f t="shared" ref="O371:O378" si="539">N371</f>
        <v>0</v>
      </c>
      <c r="P371" s="13" t="str">
        <f t="shared" si="519"/>
        <v>NO</v>
      </c>
      <c r="Q371">
        <f t="shared" si="533"/>
        <v>0</v>
      </c>
      <c r="R371">
        <f t="shared" ref="R371:R378" si="540">IF(I371="%o Al Millar",1000,IF(I371="% Al Porciento",100,IF(I371="$ Prima",G371)))</f>
        <v>100</v>
      </c>
      <c r="S371">
        <f t="shared" ref="S371:S378" si="541">IF(E371="Excluido",0,IF(D371="NO APLICA",0,1))</f>
        <v>0</v>
      </c>
      <c r="T371" s="152">
        <v>0.25</v>
      </c>
      <c r="U371" s="159">
        <f>IF(E371="Excluido",0,$T$370*T371)</f>
        <v>0</v>
      </c>
      <c r="V371" s="160">
        <f>IF(D370="NO APLICA",0,(U379-U372-U373-U374-U376-U378)+(T370-U379))</f>
        <v>0</v>
      </c>
    </row>
    <row r="372" spans="1:22" customFormat="1" ht="15" hidden="1" customHeight="1" x14ac:dyDescent="0.3">
      <c r="A372" s="34" t="s">
        <v>1400</v>
      </c>
      <c r="B372" s="36">
        <v>197</v>
      </c>
      <c r="C372" s="29" t="s">
        <v>1402</v>
      </c>
      <c r="D372" s="29" t="str">
        <f t="shared" ref="D372:D378" si="542">$D$370</f>
        <v>NO APLICA</v>
      </c>
      <c r="E372" s="27" t="s">
        <v>1137</v>
      </c>
      <c r="F372" s="20">
        <f>$F$371*S372</f>
        <v>0</v>
      </c>
      <c r="G372" s="21">
        <f t="shared" ref="G372:G378" si="543">V372</f>
        <v>0</v>
      </c>
      <c r="H372" s="9">
        <f t="shared" si="534"/>
        <v>0</v>
      </c>
      <c r="I372" s="9" t="s">
        <v>1235</v>
      </c>
      <c r="J372" s="9">
        <f t="shared" si="535"/>
        <v>0</v>
      </c>
      <c r="K372" s="9">
        <f t="shared" si="536"/>
        <v>0</v>
      </c>
      <c r="L372" s="9">
        <f t="shared" si="537"/>
        <v>0</v>
      </c>
      <c r="M372" s="11">
        <f t="shared" ref="M372:M378" si="544">$M$370</f>
        <v>0</v>
      </c>
      <c r="N372" s="9">
        <f t="shared" si="538"/>
        <v>0</v>
      </c>
      <c r="O372" s="12">
        <f t="shared" si="539"/>
        <v>0</v>
      </c>
      <c r="P372" s="13" t="str">
        <f t="shared" si="519"/>
        <v>NO</v>
      </c>
      <c r="Q372">
        <f t="shared" si="533"/>
        <v>0</v>
      </c>
      <c r="R372">
        <f t="shared" si="540"/>
        <v>100</v>
      </c>
      <c r="S372">
        <f t="shared" si="541"/>
        <v>0</v>
      </c>
      <c r="T372" s="152">
        <v>0.05</v>
      </c>
      <c r="U372" s="159">
        <f t="shared" ref="U372:U378" si="545">IF(E372="Excluido",0,$T$370*T372)</f>
        <v>0</v>
      </c>
      <c r="V372" s="160">
        <f>IF(F372=0,0,U372)</f>
        <v>0</v>
      </c>
    </row>
    <row r="373" spans="1:22" customFormat="1" ht="15" hidden="1" customHeight="1" x14ac:dyDescent="0.3">
      <c r="A373" s="34" t="s">
        <v>1400</v>
      </c>
      <c r="B373" s="36">
        <v>198</v>
      </c>
      <c r="C373" s="29" t="s">
        <v>1403</v>
      </c>
      <c r="D373" s="29" t="str">
        <f t="shared" si="542"/>
        <v>NO APLICA</v>
      </c>
      <c r="E373" s="27" t="s">
        <v>1137</v>
      </c>
      <c r="F373" s="20">
        <f t="shared" ref="F373:F378" si="546">$F$371*S373</f>
        <v>0</v>
      </c>
      <c r="G373" s="21">
        <f t="shared" si="543"/>
        <v>0</v>
      </c>
      <c r="H373" s="9">
        <f t="shared" si="534"/>
        <v>0</v>
      </c>
      <c r="I373" s="9" t="s">
        <v>1235</v>
      </c>
      <c r="J373" s="9">
        <f t="shared" si="535"/>
        <v>0</v>
      </c>
      <c r="K373" s="9">
        <f t="shared" si="536"/>
        <v>0</v>
      </c>
      <c r="L373" s="9">
        <f t="shared" si="537"/>
        <v>0</v>
      </c>
      <c r="M373" s="11">
        <f t="shared" si="544"/>
        <v>0</v>
      </c>
      <c r="N373" s="9">
        <f t="shared" si="538"/>
        <v>0</v>
      </c>
      <c r="O373" s="12">
        <f t="shared" si="539"/>
        <v>0</v>
      </c>
      <c r="P373" s="13" t="str">
        <f t="shared" si="519"/>
        <v>NO</v>
      </c>
      <c r="Q373">
        <f t="shared" si="533"/>
        <v>0</v>
      </c>
      <c r="R373">
        <f t="shared" si="540"/>
        <v>100</v>
      </c>
      <c r="S373">
        <f t="shared" si="541"/>
        <v>0</v>
      </c>
      <c r="T373" s="152">
        <v>0.1</v>
      </c>
      <c r="U373" s="159">
        <f t="shared" si="545"/>
        <v>0</v>
      </c>
      <c r="V373" s="160">
        <f t="shared" ref="V373:V378" si="547">IF(F373=0,0,U373)</f>
        <v>0</v>
      </c>
    </row>
    <row r="374" spans="1:22" customFormat="1" ht="15" hidden="1" customHeight="1" x14ac:dyDescent="0.3">
      <c r="A374" s="34" t="s">
        <v>1400</v>
      </c>
      <c r="B374" s="36">
        <v>199</v>
      </c>
      <c r="C374" s="29" t="s">
        <v>1404</v>
      </c>
      <c r="D374" s="29" t="str">
        <f t="shared" si="542"/>
        <v>NO APLICA</v>
      </c>
      <c r="E374" s="27" t="s">
        <v>1137</v>
      </c>
      <c r="F374" s="20">
        <f t="shared" si="546"/>
        <v>0</v>
      </c>
      <c r="G374" s="21">
        <f t="shared" si="543"/>
        <v>0</v>
      </c>
      <c r="H374" s="9">
        <f t="shared" si="534"/>
        <v>0</v>
      </c>
      <c r="I374" s="9" t="s">
        <v>1235</v>
      </c>
      <c r="J374" s="9">
        <f t="shared" si="535"/>
        <v>0</v>
      </c>
      <c r="K374" s="9">
        <f t="shared" si="536"/>
        <v>0</v>
      </c>
      <c r="L374" s="9">
        <f t="shared" si="537"/>
        <v>0</v>
      </c>
      <c r="M374" s="11">
        <f t="shared" si="544"/>
        <v>0</v>
      </c>
      <c r="N374" s="9">
        <f t="shared" si="538"/>
        <v>0</v>
      </c>
      <c r="O374" s="12">
        <f t="shared" si="539"/>
        <v>0</v>
      </c>
      <c r="P374" s="13" t="str">
        <f t="shared" si="519"/>
        <v>NO</v>
      </c>
      <c r="Q374">
        <f t="shared" si="533"/>
        <v>0</v>
      </c>
      <c r="R374">
        <f t="shared" si="540"/>
        <v>100</v>
      </c>
      <c r="S374">
        <f t="shared" si="541"/>
        <v>0</v>
      </c>
      <c r="T374" s="152">
        <v>0.05</v>
      </c>
      <c r="U374" s="159">
        <f t="shared" si="545"/>
        <v>0</v>
      </c>
      <c r="V374" s="160">
        <f t="shared" si="547"/>
        <v>0</v>
      </c>
    </row>
    <row r="375" spans="1:22" customFormat="1" ht="15" hidden="1" customHeight="1" x14ac:dyDescent="0.3">
      <c r="A375" s="34" t="s">
        <v>1400</v>
      </c>
      <c r="B375" s="36">
        <v>200</v>
      </c>
      <c r="C375" s="29" t="s">
        <v>1405</v>
      </c>
      <c r="D375" s="29" t="str">
        <f t="shared" si="542"/>
        <v>NO APLICA</v>
      </c>
      <c r="E375" s="27" t="s">
        <v>1137</v>
      </c>
      <c r="F375" s="42">
        <v>0</v>
      </c>
      <c r="G375" s="113">
        <v>0</v>
      </c>
      <c r="H375" s="9">
        <f t="shared" si="534"/>
        <v>0</v>
      </c>
      <c r="I375" s="9" t="s">
        <v>1235</v>
      </c>
      <c r="J375" s="9">
        <f t="shared" si="535"/>
        <v>0</v>
      </c>
      <c r="K375" s="9">
        <f t="shared" si="536"/>
        <v>0</v>
      </c>
      <c r="L375" s="9">
        <f t="shared" si="537"/>
        <v>0</v>
      </c>
      <c r="M375" s="11">
        <f t="shared" si="544"/>
        <v>0</v>
      </c>
      <c r="N375" s="9">
        <f t="shared" si="538"/>
        <v>0</v>
      </c>
      <c r="O375" s="12">
        <f t="shared" si="539"/>
        <v>0</v>
      </c>
      <c r="P375" s="13" t="str">
        <f t="shared" si="519"/>
        <v>NO</v>
      </c>
      <c r="Q375">
        <f t="shared" si="533"/>
        <v>0</v>
      </c>
      <c r="R375">
        <f t="shared" si="540"/>
        <v>100</v>
      </c>
      <c r="S375">
        <f t="shared" si="541"/>
        <v>0</v>
      </c>
      <c r="T375" s="154"/>
      <c r="U375" s="159"/>
      <c r="V375" s="160"/>
    </row>
    <row r="376" spans="1:22" customFormat="1" ht="15" hidden="1" customHeight="1" x14ac:dyDescent="0.3">
      <c r="A376" s="34" t="s">
        <v>1400</v>
      </c>
      <c r="B376" s="36">
        <v>201</v>
      </c>
      <c r="C376" s="29" t="s">
        <v>1110</v>
      </c>
      <c r="D376" s="29" t="str">
        <f t="shared" si="542"/>
        <v>NO APLICA</v>
      </c>
      <c r="E376" s="27" t="s">
        <v>1137</v>
      </c>
      <c r="F376" s="20">
        <f t="shared" si="546"/>
        <v>0</v>
      </c>
      <c r="G376" s="21">
        <f t="shared" si="543"/>
        <v>0</v>
      </c>
      <c r="H376" s="9">
        <f t="shared" si="534"/>
        <v>0</v>
      </c>
      <c r="I376" s="9" t="s">
        <v>1235</v>
      </c>
      <c r="J376" s="9">
        <f t="shared" si="535"/>
        <v>0</v>
      </c>
      <c r="K376" s="9">
        <f t="shared" si="536"/>
        <v>0</v>
      </c>
      <c r="L376" s="9">
        <f t="shared" si="537"/>
        <v>0</v>
      </c>
      <c r="M376" s="11">
        <f t="shared" si="544"/>
        <v>0</v>
      </c>
      <c r="N376" s="9">
        <f t="shared" si="538"/>
        <v>0</v>
      </c>
      <c r="O376" s="12">
        <f t="shared" si="539"/>
        <v>0</v>
      </c>
      <c r="P376" s="13" t="str">
        <f t="shared" si="519"/>
        <v>NO</v>
      </c>
      <c r="Q376">
        <f t="shared" si="533"/>
        <v>0</v>
      </c>
      <c r="R376">
        <f t="shared" si="540"/>
        <v>100</v>
      </c>
      <c r="S376">
        <f t="shared" si="541"/>
        <v>0</v>
      </c>
      <c r="T376" s="152">
        <v>0.5</v>
      </c>
      <c r="U376" s="159">
        <f t="shared" si="545"/>
        <v>0</v>
      </c>
      <c r="V376" s="160">
        <f t="shared" si="547"/>
        <v>0</v>
      </c>
    </row>
    <row r="377" spans="1:22" customFormat="1" ht="15" hidden="1" customHeight="1" x14ac:dyDescent="0.3">
      <c r="A377" s="34" t="s">
        <v>1400</v>
      </c>
      <c r="B377" s="36">
        <v>202</v>
      </c>
      <c r="C377" s="29" t="s">
        <v>1406</v>
      </c>
      <c r="D377" s="29" t="str">
        <f t="shared" si="542"/>
        <v>NO APLICA</v>
      </c>
      <c r="E377" s="27" t="s">
        <v>1137</v>
      </c>
      <c r="F377" s="42">
        <v>0</v>
      </c>
      <c r="G377" s="113">
        <v>0</v>
      </c>
      <c r="H377" s="9">
        <f t="shared" si="534"/>
        <v>0</v>
      </c>
      <c r="I377" s="9" t="s">
        <v>1235</v>
      </c>
      <c r="J377" s="9">
        <f t="shared" si="535"/>
        <v>0</v>
      </c>
      <c r="K377" s="9">
        <f t="shared" si="536"/>
        <v>0</v>
      </c>
      <c r="L377" s="9">
        <f t="shared" si="537"/>
        <v>0</v>
      </c>
      <c r="M377" s="11">
        <f t="shared" si="544"/>
        <v>0</v>
      </c>
      <c r="N377" s="9">
        <f t="shared" si="538"/>
        <v>0</v>
      </c>
      <c r="O377" s="12">
        <f t="shared" si="539"/>
        <v>0</v>
      </c>
      <c r="P377" s="13" t="str">
        <f t="shared" si="519"/>
        <v>NO</v>
      </c>
      <c r="Q377">
        <f t="shared" si="533"/>
        <v>0</v>
      </c>
      <c r="R377">
        <f t="shared" si="540"/>
        <v>100</v>
      </c>
      <c r="S377">
        <f t="shared" si="541"/>
        <v>0</v>
      </c>
      <c r="T377" s="152"/>
      <c r="U377" s="159"/>
      <c r="V377" s="160"/>
    </row>
    <row r="378" spans="1:22" customFormat="1" ht="15" hidden="1" customHeight="1" thickBot="1" x14ac:dyDescent="0.35">
      <c r="A378" s="34" t="s">
        <v>1400</v>
      </c>
      <c r="B378" s="36">
        <v>195</v>
      </c>
      <c r="C378" s="29" t="s">
        <v>1262</v>
      </c>
      <c r="D378" s="29" t="str">
        <f t="shared" si="542"/>
        <v>NO APLICA</v>
      </c>
      <c r="E378" s="27" t="s">
        <v>1186</v>
      </c>
      <c r="F378" s="20">
        <f t="shared" si="546"/>
        <v>0</v>
      </c>
      <c r="G378" s="21">
        <f t="shared" si="543"/>
        <v>0</v>
      </c>
      <c r="H378" s="9">
        <f t="shared" si="534"/>
        <v>0</v>
      </c>
      <c r="I378" s="9" t="s">
        <v>1235</v>
      </c>
      <c r="J378" s="9">
        <f t="shared" si="535"/>
        <v>0</v>
      </c>
      <c r="K378" s="9">
        <f t="shared" si="536"/>
        <v>0</v>
      </c>
      <c r="L378" s="9">
        <f t="shared" si="537"/>
        <v>0</v>
      </c>
      <c r="M378" s="11">
        <f t="shared" si="544"/>
        <v>0</v>
      </c>
      <c r="N378" s="9">
        <f t="shared" si="538"/>
        <v>0</v>
      </c>
      <c r="O378" s="12">
        <f t="shared" si="539"/>
        <v>0</v>
      </c>
      <c r="P378" s="13" t="str">
        <f t="shared" si="519"/>
        <v>NO</v>
      </c>
      <c r="Q378">
        <f t="shared" si="533"/>
        <v>0</v>
      </c>
      <c r="R378">
        <f t="shared" si="540"/>
        <v>100</v>
      </c>
      <c r="S378">
        <f t="shared" si="541"/>
        <v>0</v>
      </c>
      <c r="T378" s="152">
        <v>0.05</v>
      </c>
      <c r="U378" s="159">
        <f t="shared" si="545"/>
        <v>0</v>
      </c>
      <c r="V378" s="160">
        <f t="shared" si="547"/>
        <v>0</v>
      </c>
    </row>
    <row r="379" spans="1:22" s="18" customFormat="1" ht="15" hidden="1" customHeight="1" thickBot="1" x14ac:dyDescent="0.35">
      <c r="A379" s="24"/>
      <c r="B379" s="26"/>
      <c r="C379" s="15" t="s">
        <v>1177</v>
      </c>
      <c r="D379" s="38" t="str">
        <f>D378</f>
        <v>NO APLICA</v>
      </c>
      <c r="E379" s="38"/>
      <c r="F379" s="16">
        <f>SUMIF(E371:E378,"Adicional",F371:F378)</f>
        <v>0</v>
      </c>
      <c r="G379" s="17"/>
      <c r="H379" s="16">
        <f>SUM(H371:H378)</f>
        <v>0</v>
      </c>
      <c r="I379" s="16"/>
      <c r="J379" s="16">
        <f t="shared" ref="J379:L379" si="548">SUM(J371:J378)</f>
        <v>0</v>
      </c>
      <c r="K379" s="16">
        <f t="shared" si="548"/>
        <v>0</v>
      </c>
      <c r="L379" s="16">
        <f t="shared" si="548"/>
        <v>0</v>
      </c>
      <c r="M379" s="16" t="s">
        <v>1178</v>
      </c>
      <c r="N379" s="16">
        <f t="shared" ref="N379:O379" si="549">SUM(N371:N378)</f>
        <v>0</v>
      </c>
      <c r="O379" s="84">
        <f t="shared" si="549"/>
        <v>0</v>
      </c>
      <c r="P379" s="13" t="str">
        <f t="shared" si="519"/>
        <v>NO</v>
      </c>
      <c r="Q379">
        <f>IF(D379="INCLUIDO",IF(H379&lt;&gt;0,1,0),0)</f>
        <v>0</v>
      </c>
      <c r="T379" s="143">
        <f>SUM(T371:T378)</f>
        <v>1</v>
      </c>
      <c r="U379" s="144">
        <f>SUM(U371:U378)</f>
        <v>0</v>
      </c>
      <c r="V379" s="145">
        <f>SUM(V371:V378)</f>
        <v>0</v>
      </c>
    </row>
    <row r="380" spans="1:22" customFormat="1" ht="15" hidden="1" customHeight="1" x14ac:dyDescent="0.3">
      <c r="A380" s="82">
        <v>915</v>
      </c>
      <c r="B380" s="33">
        <v>1</v>
      </c>
      <c r="C380" s="19" t="s">
        <v>1407</v>
      </c>
      <c r="D380" s="23" t="str">
        <f>'Ramo Comercial'!C169</f>
        <v>NO APLICA</v>
      </c>
      <c r="E380" s="91"/>
      <c r="F380" s="28"/>
      <c r="G380" s="28"/>
      <c r="H380" s="28"/>
      <c r="I380" s="28"/>
      <c r="J380" s="28"/>
      <c r="K380" s="28"/>
      <c r="L380" s="28"/>
      <c r="M380" s="68">
        <v>0.2</v>
      </c>
      <c r="N380" s="28"/>
      <c r="O380" s="83"/>
      <c r="P380" s="13" t="str">
        <f t="shared" si="519"/>
        <v>NO</v>
      </c>
      <c r="Q380" s="47">
        <f>IF(D380="INCLUIDO",IF(F381&lt;&gt;0,1,0),0)</f>
        <v>0</v>
      </c>
    </row>
    <row r="381" spans="1:22" customFormat="1" ht="15" hidden="1" customHeight="1" x14ac:dyDescent="0.3">
      <c r="A381" s="34" t="s">
        <v>1408</v>
      </c>
      <c r="B381" s="36">
        <v>203</v>
      </c>
      <c r="C381" s="29" t="s">
        <v>1409</v>
      </c>
      <c r="D381" s="29" t="str">
        <f>$D$380</f>
        <v>NO APLICA</v>
      </c>
      <c r="E381" s="27" t="s">
        <v>1152</v>
      </c>
      <c r="F381" s="43">
        <v>0</v>
      </c>
      <c r="G381" s="21">
        <v>0</v>
      </c>
      <c r="H381" s="9">
        <f t="shared" ref="H381:H393" si="550">(IF(I381="$ Prima",G381,G381*F381/R381))*$U$9</f>
        <v>0</v>
      </c>
      <c r="I381" s="9" t="s">
        <v>1287</v>
      </c>
      <c r="J381" s="9">
        <f t="shared" ref="J381:J393" si="551">H381*$U$7</f>
        <v>0</v>
      </c>
      <c r="K381" s="9">
        <f t="shared" ref="K381:K393" si="552">(H381+J381)*$K$15</f>
        <v>0</v>
      </c>
      <c r="L381" s="9">
        <f t="shared" ref="L381:L393" si="553">ROUND(H381+J381+K381,2)</f>
        <v>0</v>
      </c>
      <c r="M381" s="11">
        <f>$M$380</f>
        <v>0.2</v>
      </c>
      <c r="N381" s="9">
        <f t="shared" ref="N381:N393" si="554">H381*M381</f>
        <v>0</v>
      </c>
      <c r="O381" s="12">
        <f t="shared" ref="O381:O393" si="555">N381</f>
        <v>0</v>
      </c>
      <c r="P381" s="13" t="str">
        <f t="shared" si="519"/>
        <v>NO</v>
      </c>
      <c r="Q381">
        <f t="shared" ref="Q381:Q393" si="556">IF(D381="INCLUIDO",IF(F381&lt;&gt;0,1,0),0)</f>
        <v>0</v>
      </c>
      <c r="R381">
        <f t="shared" ref="R381:R393" si="557">IF(I381="%o Al Millar",1000,IF(I381="% Al Porciento",100,IF(I381="$ Prima",G381)))</f>
        <v>0</v>
      </c>
      <c r="S381">
        <f t="shared" ref="S381:S393" si="558">IF(E381="Excluido",0,IF(D381="NO APLICA",0,1))</f>
        <v>0</v>
      </c>
    </row>
    <row r="382" spans="1:22" customFormat="1" ht="15" hidden="1" customHeight="1" x14ac:dyDescent="0.3">
      <c r="A382" s="34" t="s">
        <v>1408</v>
      </c>
      <c r="B382" s="36">
        <v>206</v>
      </c>
      <c r="C382" s="29" t="s">
        <v>1410</v>
      </c>
      <c r="D382" s="29" t="str">
        <f t="shared" ref="D382:D393" si="559">$D$380</f>
        <v>NO APLICA</v>
      </c>
      <c r="E382" s="27" t="s">
        <v>1152</v>
      </c>
      <c r="F382" s="43">
        <v>0</v>
      </c>
      <c r="G382" s="21">
        <v>0</v>
      </c>
      <c r="H382" s="9">
        <f t="shared" si="550"/>
        <v>0</v>
      </c>
      <c r="I382" s="9" t="s">
        <v>1287</v>
      </c>
      <c r="J382" s="9">
        <f t="shared" si="551"/>
        <v>0</v>
      </c>
      <c r="K382" s="9">
        <f t="shared" si="552"/>
        <v>0</v>
      </c>
      <c r="L382" s="9">
        <f t="shared" si="553"/>
        <v>0</v>
      </c>
      <c r="M382" s="11">
        <f t="shared" ref="M382:M393" si="560">$M$380</f>
        <v>0.2</v>
      </c>
      <c r="N382" s="9">
        <f t="shared" si="554"/>
        <v>0</v>
      </c>
      <c r="O382" s="12">
        <f t="shared" si="555"/>
        <v>0</v>
      </c>
      <c r="P382" s="13" t="str">
        <f t="shared" si="519"/>
        <v>NO</v>
      </c>
      <c r="Q382">
        <f t="shared" si="556"/>
        <v>0</v>
      </c>
      <c r="R382">
        <f t="shared" si="557"/>
        <v>0</v>
      </c>
      <c r="S382">
        <f t="shared" si="558"/>
        <v>0</v>
      </c>
    </row>
    <row r="383" spans="1:22" customFormat="1" ht="15" hidden="1" customHeight="1" x14ac:dyDescent="0.3">
      <c r="A383" s="34" t="s">
        <v>1408</v>
      </c>
      <c r="B383" s="36">
        <v>269</v>
      </c>
      <c r="C383" s="29" t="s">
        <v>1411</v>
      </c>
      <c r="D383" s="29" t="str">
        <f t="shared" si="559"/>
        <v>NO APLICA</v>
      </c>
      <c r="E383" s="27" t="s">
        <v>1152</v>
      </c>
      <c r="F383" s="43">
        <v>0</v>
      </c>
      <c r="G383" s="21">
        <v>0</v>
      </c>
      <c r="H383" s="9">
        <f t="shared" si="550"/>
        <v>0</v>
      </c>
      <c r="I383" s="9" t="s">
        <v>1287</v>
      </c>
      <c r="J383" s="9">
        <f t="shared" si="551"/>
        <v>0</v>
      </c>
      <c r="K383" s="9">
        <f t="shared" si="552"/>
        <v>0</v>
      </c>
      <c r="L383" s="9">
        <f t="shared" si="553"/>
        <v>0</v>
      </c>
      <c r="M383" s="11">
        <f t="shared" si="560"/>
        <v>0.2</v>
      </c>
      <c r="N383" s="9">
        <f t="shared" si="554"/>
        <v>0</v>
      </c>
      <c r="O383" s="12">
        <f t="shared" si="555"/>
        <v>0</v>
      </c>
      <c r="P383" s="13" t="str">
        <f t="shared" si="519"/>
        <v>NO</v>
      </c>
      <c r="Q383">
        <f t="shared" si="556"/>
        <v>0</v>
      </c>
      <c r="R383">
        <f t="shared" si="557"/>
        <v>0</v>
      </c>
      <c r="S383">
        <f t="shared" si="558"/>
        <v>0</v>
      </c>
    </row>
    <row r="384" spans="1:22" customFormat="1" ht="15" hidden="1" customHeight="1" x14ac:dyDescent="0.3">
      <c r="A384" s="34" t="s">
        <v>1408</v>
      </c>
      <c r="B384" s="36">
        <v>270</v>
      </c>
      <c r="C384" s="29" t="s">
        <v>1412</v>
      </c>
      <c r="D384" s="29" t="str">
        <f t="shared" si="559"/>
        <v>NO APLICA</v>
      </c>
      <c r="E384" s="27" t="s">
        <v>1152</v>
      </c>
      <c r="F384" s="43">
        <v>0</v>
      </c>
      <c r="G384" s="21">
        <v>0</v>
      </c>
      <c r="H384" s="9">
        <f t="shared" si="550"/>
        <v>0</v>
      </c>
      <c r="I384" s="9" t="s">
        <v>1287</v>
      </c>
      <c r="J384" s="9">
        <f t="shared" si="551"/>
        <v>0</v>
      </c>
      <c r="K384" s="9">
        <f t="shared" si="552"/>
        <v>0</v>
      </c>
      <c r="L384" s="9">
        <f t="shared" si="553"/>
        <v>0</v>
      </c>
      <c r="M384" s="11">
        <f t="shared" si="560"/>
        <v>0.2</v>
      </c>
      <c r="N384" s="9">
        <f t="shared" si="554"/>
        <v>0</v>
      </c>
      <c r="O384" s="12">
        <f t="shared" si="555"/>
        <v>0</v>
      </c>
      <c r="P384" s="13" t="str">
        <f t="shared" si="519"/>
        <v>NO</v>
      </c>
      <c r="Q384">
        <f t="shared" si="556"/>
        <v>0</v>
      </c>
      <c r="R384">
        <f t="shared" si="557"/>
        <v>0</v>
      </c>
      <c r="S384">
        <f t="shared" si="558"/>
        <v>0</v>
      </c>
    </row>
    <row r="385" spans="1:19" customFormat="1" ht="15" hidden="1" customHeight="1" x14ac:dyDescent="0.3">
      <c r="A385" s="34" t="s">
        <v>1408</v>
      </c>
      <c r="B385" s="36">
        <v>204</v>
      </c>
      <c r="C385" s="29" t="s">
        <v>1413</v>
      </c>
      <c r="D385" s="29" t="str">
        <f t="shared" si="559"/>
        <v>NO APLICA</v>
      </c>
      <c r="E385" s="27" t="s">
        <v>1152</v>
      </c>
      <c r="F385" s="43">
        <v>0</v>
      </c>
      <c r="G385" s="21">
        <v>0</v>
      </c>
      <c r="H385" s="9">
        <f t="shared" si="550"/>
        <v>0</v>
      </c>
      <c r="I385" s="9" t="s">
        <v>1287</v>
      </c>
      <c r="J385" s="9">
        <f t="shared" si="551"/>
        <v>0</v>
      </c>
      <c r="K385" s="9">
        <f t="shared" si="552"/>
        <v>0</v>
      </c>
      <c r="L385" s="9">
        <f t="shared" si="553"/>
        <v>0</v>
      </c>
      <c r="M385" s="11">
        <f t="shared" si="560"/>
        <v>0.2</v>
      </c>
      <c r="N385" s="9">
        <f t="shared" si="554"/>
        <v>0</v>
      </c>
      <c r="O385" s="12">
        <f t="shared" si="555"/>
        <v>0</v>
      </c>
      <c r="P385" s="13" t="str">
        <f t="shared" si="519"/>
        <v>NO</v>
      </c>
      <c r="Q385">
        <f t="shared" si="556"/>
        <v>0</v>
      </c>
      <c r="R385">
        <f t="shared" si="557"/>
        <v>0</v>
      </c>
      <c r="S385">
        <f t="shared" si="558"/>
        <v>0</v>
      </c>
    </row>
    <row r="386" spans="1:19" customFormat="1" ht="15" hidden="1" customHeight="1" x14ac:dyDescent="0.3">
      <c r="A386" s="34" t="s">
        <v>1408</v>
      </c>
      <c r="B386" s="36">
        <v>207</v>
      </c>
      <c r="C386" s="29" t="s">
        <v>1414</v>
      </c>
      <c r="D386" s="29" t="str">
        <f t="shared" si="559"/>
        <v>NO APLICA</v>
      </c>
      <c r="E386" s="27" t="s">
        <v>1152</v>
      </c>
      <c r="F386" s="43">
        <v>0</v>
      </c>
      <c r="G386" s="21">
        <v>0</v>
      </c>
      <c r="H386" s="9">
        <f t="shared" si="550"/>
        <v>0</v>
      </c>
      <c r="I386" s="9" t="s">
        <v>1287</v>
      </c>
      <c r="J386" s="9">
        <f t="shared" si="551"/>
        <v>0</v>
      </c>
      <c r="K386" s="9">
        <f t="shared" si="552"/>
        <v>0</v>
      </c>
      <c r="L386" s="9">
        <f t="shared" si="553"/>
        <v>0</v>
      </c>
      <c r="M386" s="11">
        <f t="shared" si="560"/>
        <v>0.2</v>
      </c>
      <c r="N386" s="9">
        <f t="shared" si="554"/>
        <v>0</v>
      </c>
      <c r="O386" s="12">
        <f t="shared" si="555"/>
        <v>0</v>
      </c>
      <c r="P386" s="13" t="str">
        <f t="shared" si="519"/>
        <v>NO</v>
      </c>
      <c r="Q386">
        <f t="shared" si="556"/>
        <v>0</v>
      </c>
      <c r="R386">
        <f t="shared" si="557"/>
        <v>0</v>
      </c>
      <c r="S386">
        <f t="shared" si="558"/>
        <v>0</v>
      </c>
    </row>
    <row r="387" spans="1:19" customFormat="1" ht="15" hidden="1" customHeight="1" x14ac:dyDescent="0.3">
      <c r="A387" s="34" t="s">
        <v>1408</v>
      </c>
      <c r="B387" s="36">
        <v>271</v>
      </c>
      <c r="C387" s="29" t="s">
        <v>1415</v>
      </c>
      <c r="D387" s="29" t="str">
        <f t="shared" si="559"/>
        <v>NO APLICA</v>
      </c>
      <c r="E387" s="27" t="s">
        <v>1152</v>
      </c>
      <c r="F387" s="43">
        <v>0</v>
      </c>
      <c r="G387" s="21">
        <v>0</v>
      </c>
      <c r="H387" s="9">
        <f t="shared" si="550"/>
        <v>0</v>
      </c>
      <c r="I387" s="9" t="s">
        <v>1287</v>
      </c>
      <c r="J387" s="9">
        <f t="shared" si="551"/>
        <v>0</v>
      </c>
      <c r="K387" s="9">
        <f t="shared" si="552"/>
        <v>0</v>
      </c>
      <c r="L387" s="9">
        <f t="shared" si="553"/>
        <v>0</v>
      </c>
      <c r="M387" s="11">
        <f t="shared" si="560"/>
        <v>0.2</v>
      </c>
      <c r="N387" s="9">
        <f t="shared" si="554"/>
        <v>0</v>
      </c>
      <c r="O387" s="12">
        <f t="shared" si="555"/>
        <v>0</v>
      </c>
      <c r="P387" s="13" t="str">
        <f t="shared" si="519"/>
        <v>NO</v>
      </c>
      <c r="Q387">
        <f t="shared" si="556"/>
        <v>0</v>
      </c>
      <c r="R387">
        <f t="shared" si="557"/>
        <v>0</v>
      </c>
      <c r="S387">
        <f t="shared" si="558"/>
        <v>0</v>
      </c>
    </row>
    <row r="388" spans="1:19" customFormat="1" ht="15" hidden="1" customHeight="1" x14ac:dyDescent="0.3">
      <c r="A388" s="34" t="s">
        <v>1408</v>
      </c>
      <c r="B388" s="36">
        <v>272</v>
      </c>
      <c r="C388" s="29" t="s">
        <v>1416</v>
      </c>
      <c r="D388" s="29" t="str">
        <f t="shared" si="559"/>
        <v>NO APLICA</v>
      </c>
      <c r="E388" s="27" t="s">
        <v>1152</v>
      </c>
      <c r="F388" s="43">
        <v>0</v>
      </c>
      <c r="G388" s="21">
        <v>0</v>
      </c>
      <c r="H388" s="9">
        <f t="shared" si="550"/>
        <v>0</v>
      </c>
      <c r="I388" s="9" t="s">
        <v>1287</v>
      </c>
      <c r="J388" s="9">
        <f t="shared" si="551"/>
        <v>0</v>
      </c>
      <c r="K388" s="9">
        <f t="shared" si="552"/>
        <v>0</v>
      </c>
      <c r="L388" s="9">
        <f t="shared" si="553"/>
        <v>0</v>
      </c>
      <c r="M388" s="11">
        <f t="shared" si="560"/>
        <v>0.2</v>
      </c>
      <c r="N388" s="9">
        <f t="shared" si="554"/>
        <v>0</v>
      </c>
      <c r="O388" s="12">
        <f t="shared" si="555"/>
        <v>0</v>
      </c>
      <c r="P388" s="13" t="str">
        <f t="shared" si="519"/>
        <v>NO</v>
      </c>
      <c r="Q388">
        <f t="shared" si="556"/>
        <v>0</v>
      </c>
      <c r="R388">
        <f t="shared" si="557"/>
        <v>0</v>
      </c>
      <c r="S388">
        <f t="shared" si="558"/>
        <v>0</v>
      </c>
    </row>
    <row r="389" spans="1:19" customFormat="1" ht="15" hidden="1" customHeight="1" x14ac:dyDescent="0.3">
      <c r="A389" s="34" t="s">
        <v>1408</v>
      </c>
      <c r="B389" s="36">
        <v>205</v>
      </c>
      <c r="C389" s="29" t="s">
        <v>1417</v>
      </c>
      <c r="D389" s="29" t="str">
        <f t="shared" si="559"/>
        <v>NO APLICA</v>
      </c>
      <c r="E389" s="27" t="s">
        <v>1152</v>
      </c>
      <c r="F389" s="43">
        <v>0</v>
      </c>
      <c r="G389" s="21">
        <v>0</v>
      </c>
      <c r="H389" s="9">
        <f t="shared" si="550"/>
        <v>0</v>
      </c>
      <c r="I389" s="9" t="s">
        <v>1287</v>
      </c>
      <c r="J389" s="9">
        <f t="shared" si="551"/>
        <v>0</v>
      </c>
      <c r="K389" s="9">
        <f t="shared" si="552"/>
        <v>0</v>
      </c>
      <c r="L389" s="9">
        <f t="shared" si="553"/>
        <v>0</v>
      </c>
      <c r="M389" s="11">
        <f t="shared" si="560"/>
        <v>0.2</v>
      </c>
      <c r="N389" s="9">
        <f t="shared" si="554"/>
        <v>0</v>
      </c>
      <c r="O389" s="12">
        <f t="shared" si="555"/>
        <v>0</v>
      </c>
      <c r="P389" s="13" t="str">
        <f t="shared" si="519"/>
        <v>NO</v>
      </c>
      <c r="Q389">
        <f t="shared" si="556"/>
        <v>0</v>
      </c>
      <c r="R389">
        <f t="shared" si="557"/>
        <v>0</v>
      </c>
      <c r="S389">
        <f t="shared" si="558"/>
        <v>0</v>
      </c>
    </row>
    <row r="390" spans="1:19" customFormat="1" ht="15" hidden="1" customHeight="1" x14ac:dyDescent="0.3">
      <c r="A390" s="34" t="s">
        <v>1408</v>
      </c>
      <c r="B390" s="36">
        <v>208</v>
      </c>
      <c r="C390" s="29" t="s">
        <v>1418</v>
      </c>
      <c r="D390" s="29" t="str">
        <f t="shared" si="559"/>
        <v>NO APLICA</v>
      </c>
      <c r="E390" s="27" t="s">
        <v>1152</v>
      </c>
      <c r="F390" s="43">
        <v>0</v>
      </c>
      <c r="G390" s="21">
        <v>0</v>
      </c>
      <c r="H390" s="9">
        <f t="shared" si="550"/>
        <v>0</v>
      </c>
      <c r="I390" s="9" t="s">
        <v>1287</v>
      </c>
      <c r="J390" s="9">
        <f t="shared" si="551"/>
        <v>0</v>
      </c>
      <c r="K390" s="9">
        <f t="shared" si="552"/>
        <v>0</v>
      </c>
      <c r="L390" s="9">
        <f t="shared" si="553"/>
        <v>0</v>
      </c>
      <c r="M390" s="11">
        <f t="shared" si="560"/>
        <v>0.2</v>
      </c>
      <c r="N390" s="9">
        <f t="shared" si="554"/>
        <v>0</v>
      </c>
      <c r="O390" s="12">
        <f t="shared" si="555"/>
        <v>0</v>
      </c>
      <c r="P390" s="13" t="str">
        <f t="shared" si="519"/>
        <v>NO</v>
      </c>
      <c r="Q390">
        <f t="shared" si="556"/>
        <v>0</v>
      </c>
      <c r="R390">
        <f t="shared" si="557"/>
        <v>0</v>
      </c>
      <c r="S390">
        <f t="shared" si="558"/>
        <v>0</v>
      </c>
    </row>
    <row r="391" spans="1:19" customFormat="1" ht="15" hidden="1" customHeight="1" x14ac:dyDescent="0.3">
      <c r="A391" s="34" t="s">
        <v>1408</v>
      </c>
      <c r="B391" s="36">
        <v>273</v>
      </c>
      <c r="C391" s="29" t="s">
        <v>1419</v>
      </c>
      <c r="D391" s="29" t="str">
        <f t="shared" si="559"/>
        <v>NO APLICA</v>
      </c>
      <c r="E391" s="27" t="s">
        <v>1152</v>
      </c>
      <c r="F391" s="43">
        <v>0</v>
      </c>
      <c r="G391" s="21">
        <v>0</v>
      </c>
      <c r="H391" s="9">
        <f t="shared" si="550"/>
        <v>0</v>
      </c>
      <c r="I391" s="9" t="s">
        <v>1287</v>
      </c>
      <c r="J391" s="9">
        <f t="shared" si="551"/>
        <v>0</v>
      </c>
      <c r="K391" s="9">
        <f t="shared" si="552"/>
        <v>0</v>
      </c>
      <c r="L391" s="9">
        <f t="shared" si="553"/>
        <v>0</v>
      </c>
      <c r="M391" s="11">
        <f t="shared" si="560"/>
        <v>0.2</v>
      </c>
      <c r="N391" s="9">
        <f t="shared" si="554"/>
        <v>0</v>
      </c>
      <c r="O391" s="12">
        <f t="shared" si="555"/>
        <v>0</v>
      </c>
      <c r="P391" s="13" t="str">
        <f t="shared" si="519"/>
        <v>NO</v>
      </c>
      <c r="Q391">
        <f t="shared" si="556"/>
        <v>0</v>
      </c>
      <c r="R391">
        <f t="shared" si="557"/>
        <v>0</v>
      </c>
      <c r="S391">
        <f t="shared" si="558"/>
        <v>0</v>
      </c>
    </row>
    <row r="392" spans="1:19" customFormat="1" ht="15" hidden="1" customHeight="1" x14ac:dyDescent="0.3">
      <c r="A392" s="34" t="s">
        <v>1408</v>
      </c>
      <c r="B392" s="36">
        <v>274</v>
      </c>
      <c r="C392" s="29" t="s">
        <v>1420</v>
      </c>
      <c r="D392" s="29" t="str">
        <f t="shared" si="559"/>
        <v>NO APLICA</v>
      </c>
      <c r="E392" s="27" t="s">
        <v>1152</v>
      </c>
      <c r="F392" s="43">
        <v>0</v>
      </c>
      <c r="G392" s="21">
        <v>0</v>
      </c>
      <c r="H392" s="9">
        <f t="shared" si="550"/>
        <v>0</v>
      </c>
      <c r="I392" s="9" t="s">
        <v>1287</v>
      </c>
      <c r="J392" s="9">
        <f t="shared" si="551"/>
        <v>0</v>
      </c>
      <c r="K392" s="9">
        <f t="shared" si="552"/>
        <v>0</v>
      </c>
      <c r="L392" s="9">
        <f t="shared" si="553"/>
        <v>0</v>
      </c>
      <c r="M392" s="11">
        <f t="shared" si="560"/>
        <v>0.2</v>
      </c>
      <c r="N392" s="9">
        <f t="shared" si="554"/>
        <v>0</v>
      </c>
      <c r="O392" s="12">
        <f t="shared" si="555"/>
        <v>0</v>
      </c>
      <c r="P392" s="13" t="str">
        <f t="shared" si="519"/>
        <v>NO</v>
      </c>
      <c r="Q392">
        <f t="shared" si="556"/>
        <v>0</v>
      </c>
      <c r="R392">
        <f t="shared" si="557"/>
        <v>0</v>
      </c>
      <c r="S392">
        <f t="shared" si="558"/>
        <v>0</v>
      </c>
    </row>
    <row r="393" spans="1:19" customFormat="1" ht="15" hidden="1" customHeight="1" x14ac:dyDescent="0.3">
      <c r="A393" s="34" t="s">
        <v>1408</v>
      </c>
      <c r="B393" s="36">
        <v>255</v>
      </c>
      <c r="C393" s="29" t="s">
        <v>1293</v>
      </c>
      <c r="D393" s="29" t="str">
        <f t="shared" si="559"/>
        <v>NO APLICA</v>
      </c>
      <c r="E393" s="27" t="s">
        <v>1152</v>
      </c>
      <c r="F393" s="43">
        <v>0</v>
      </c>
      <c r="G393" s="21">
        <v>0</v>
      </c>
      <c r="H393" s="9">
        <f t="shared" si="550"/>
        <v>0</v>
      </c>
      <c r="I393" s="9" t="s">
        <v>1287</v>
      </c>
      <c r="J393" s="9">
        <f t="shared" si="551"/>
        <v>0</v>
      </c>
      <c r="K393" s="9">
        <f t="shared" si="552"/>
        <v>0</v>
      </c>
      <c r="L393" s="9">
        <f t="shared" si="553"/>
        <v>0</v>
      </c>
      <c r="M393" s="11">
        <f t="shared" si="560"/>
        <v>0.2</v>
      </c>
      <c r="N393" s="9">
        <f t="shared" si="554"/>
        <v>0</v>
      </c>
      <c r="O393" s="12">
        <f t="shared" si="555"/>
        <v>0</v>
      </c>
      <c r="P393" s="13" t="str">
        <f t="shared" si="519"/>
        <v>NO</v>
      </c>
      <c r="Q393">
        <f t="shared" si="556"/>
        <v>0</v>
      </c>
      <c r="R393">
        <f t="shared" si="557"/>
        <v>0</v>
      </c>
      <c r="S393">
        <f t="shared" si="558"/>
        <v>0</v>
      </c>
    </row>
    <row r="394" spans="1:19" s="18" customFormat="1" ht="15" hidden="1" customHeight="1" x14ac:dyDescent="0.3">
      <c r="A394" s="24"/>
      <c r="B394" s="26"/>
      <c r="C394" s="15" t="s">
        <v>1177</v>
      </c>
      <c r="D394" s="38" t="str">
        <f>D393</f>
        <v>NO APLICA</v>
      </c>
      <c r="E394" s="38"/>
      <c r="F394" s="16">
        <f>SUMIF(E381:E393,"Adicional",F381:F393)</f>
        <v>0</v>
      </c>
      <c r="G394" s="17"/>
      <c r="H394" s="16">
        <f>SUM(H381:H393)</f>
        <v>0</v>
      </c>
      <c r="I394" s="16"/>
      <c r="J394" s="16">
        <f t="shared" ref="J394:L394" si="561">SUM(J381:J393)</f>
        <v>0</v>
      </c>
      <c r="K394" s="16">
        <f t="shared" si="561"/>
        <v>0</v>
      </c>
      <c r="L394" s="16">
        <f t="shared" si="561"/>
        <v>0</v>
      </c>
      <c r="M394" s="16" t="s">
        <v>1178</v>
      </c>
      <c r="N394" s="16">
        <f t="shared" ref="N394:O394" si="562">SUM(N381:N393)</f>
        <v>0</v>
      </c>
      <c r="O394" s="84">
        <f t="shared" si="562"/>
        <v>0</v>
      </c>
      <c r="P394" s="13" t="str">
        <f t="shared" si="519"/>
        <v>NO</v>
      </c>
      <c r="Q394">
        <f>IF(D394="INCLUIDO",IF(H394&lt;&gt;0,1,0),0)</f>
        <v>0</v>
      </c>
    </row>
    <row r="395" spans="1:19" customFormat="1" ht="15" hidden="1" customHeight="1" x14ac:dyDescent="0.3">
      <c r="A395" s="82">
        <v>916</v>
      </c>
      <c r="B395" s="33">
        <v>1</v>
      </c>
      <c r="C395" s="19" t="s">
        <v>1421</v>
      </c>
      <c r="D395" s="23" t="str">
        <f>'Ramo Comercial'!C171</f>
        <v>NO APLICA</v>
      </c>
      <c r="E395" s="91"/>
      <c r="F395" s="28"/>
      <c r="G395" s="28"/>
      <c r="H395" s="28"/>
      <c r="I395" s="28"/>
      <c r="J395" s="28"/>
      <c r="K395" s="28"/>
      <c r="L395" s="28"/>
      <c r="M395" s="68">
        <v>0</v>
      </c>
      <c r="N395" s="28"/>
      <c r="O395" s="83"/>
      <c r="P395" s="13" t="str">
        <f t="shared" si="519"/>
        <v>NO</v>
      </c>
      <c r="Q395" s="47">
        <f>IF(D395="INCLUIDO",IF(F396&lt;&gt;0,1,0),0)</f>
        <v>0</v>
      </c>
    </row>
    <row r="396" spans="1:19" customFormat="1" ht="15" hidden="1" customHeight="1" x14ac:dyDescent="0.3">
      <c r="A396" s="34" t="s">
        <v>1422</v>
      </c>
      <c r="B396" s="36">
        <v>212</v>
      </c>
      <c r="C396" s="29" t="s">
        <v>1423</v>
      </c>
      <c r="D396" s="29" t="str">
        <f>$D$395</f>
        <v>NO APLICA</v>
      </c>
      <c r="E396" s="27" t="s">
        <v>1152</v>
      </c>
      <c r="F396" s="43">
        <v>0</v>
      </c>
      <c r="G396" s="21">
        <v>0</v>
      </c>
      <c r="H396" s="9">
        <f t="shared" ref="H396:H400" si="563">(IF(I396="$ Prima",G396,G396*F396/R396))*$U$9</f>
        <v>0</v>
      </c>
      <c r="I396" s="9" t="s">
        <v>1235</v>
      </c>
      <c r="J396" s="9">
        <f t="shared" ref="J396:J400" si="564">H396*$U$7</f>
        <v>0</v>
      </c>
      <c r="K396" s="9">
        <f t="shared" ref="K396:K400" si="565">(H396+J396)*$K$15</f>
        <v>0</v>
      </c>
      <c r="L396" s="9">
        <f t="shared" ref="L396:L400" si="566">ROUND(H396+J396+K396,2)</f>
        <v>0</v>
      </c>
      <c r="M396" s="11">
        <f>$M$395</f>
        <v>0</v>
      </c>
      <c r="N396" s="9">
        <f t="shared" ref="N396:N400" si="567">H396*M396</f>
        <v>0</v>
      </c>
      <c r="O396" s="12">
        <f t="shared" ref="O396:O400" si="568">N396</f>
        <v>0</v>
      </c>
      <c r="P396" s="13" t="str">
        <f t="shared" si="519"/>
        <v>NO</v>
      </c>
      <c r="Q396">
        <f>IF(D396="INCLUIDO",IF(F396&lt;&gt;0,1,0),0)</f>
        <v>0</v>
      </c>
      <c r="R396">
        <f>IF(I396="%o Al Millar",1000,IF(I396="% Al Porciento",100,IF(I396="$ Prima",G396)))</f>
        <v>100</v>
      </c>
      <c r="S396">
        <f t="shared" ref="S396:S400" si="569">IF(E396="Excluido",0,IF(D396="NO APLICA",0,1))</f>
        <v>0</v>
      </c>
    </row>
    <row r="397" spans="1:19" customFormat="1" ht="15" hidden="1" customHeight="1" x14ac:dyDescent="0.3">
      <c r="A397" s="34" t="s">
        <v>1422</v>
      </c>
      <c r="B397" s="36">
        <v>211</v>
      </c>
      <c r="C397" s="29" t="s">
        <v>1424</v>
      </c>
      <c r="D397" s="29" t="str">
        <f t="shared" ref="D397:D400" si="570">$D$395</f>
        <v>NO APLICA</v>
      </c>
      <c r="E397" s="27" t="s">
        <v>1137</v>
      </c>
      <c r="F397" s="43">
        <v>0</v>
      </c>
      <c r="G397" s="21">
        <v>0</v>
      </c>
      <c r="H397" s="9">
        <f t="shared" si="563"/>
        <v>0</v>
      </c>
      <c r="I397" s="9" t="s">
        <v>1235</v>
      </c>
      <c r="J397" s="9">
        <f t="shared" si="564"/>
        <v>0</v>
      </c>
      <c r="K397" s="9">
        <f t="shared" si="565"/>
        <v>0</v>
      </c>
      <c r="L397" s="9">
        <f t="shared" si="566"/>
        <v>0</v>
      </c>
      <c r="M397" s="11">
        <f t="shared" ref="M397:M400" si="571">$M$395</f>
        <v>0</v>
      </c>
      <c r="N397" s="9">
        <f t="shared" si="567"/>
        <v>0</v>
      </c>
      <c r="O397" s="12">
        <f t="shared" si="568"/>
        <v>0</v>
      </c>
      <c r="P397" s="13" t="str">
        <f t="shared" si="519"/>
        <v>NO</v>
      </c>
      <c r="Q397">
        <f>IF(D397="INCLUIDO",IF(F397&lt;&gt;0,1,0),0)</f>
        <v>0</v>
      </c>
      <c r="R397">
        <f>IF(I397="%o Al Millar",1000,IF(I397="% Al Porciento",100,IF(I397="$ Prima",G397)))</f>
        <v>100</v>
      </c>
      <c r="S397">
        <f t="shared" si="569"/>
        <v>0</v>
      </c>
    </row>
    <row r="398" spans="1:19" customFormat="1" ht="15" hidden="1" customHeight="1" x14ac:dyDescent="0.3">
      <c r="A398" s="34" t="s">
        <v>1422</v>
      </c>
      <c r="B398" s="36">
        <v>215</v>
      </c>
      <c r="C398" s="29" t="s">
        <v>1425</v>
      </c>
      <c r="D398" s="29" t="str">
        <f t="shared" si="570"/>
        <v>NO APLICA</v>
      </c>
      <c r="E398" s="27" t="s">
        <v>1137</v>
      </c>
      <c r="F398" s="43">
        <v>0</v>
      </c>
      <c r="G398" s="21">
        <v>0</v>
      </c>
      <c r="H398" s="9">
        <f t="shared" si="563"/>
        <v>0</v>
      </c>
      <c r="I398" s="9" t="s">
        <v>1235</v>
      </c>
      <c r="J398" s="9">
        <f t="shared" si="564"/>
        <v>0</v>
      </c>
      <c r="K398" s="9">
        <f t="shared" si="565"/>
        <v>0</v>
      </c>
      <c r="L398" s="9">
        <f t="shared" si="566"/>
        <v>0</v>
      </c>
      <c r="M398" s="11">
        <f t="shared" si="571"/>
        <v>0</v>
      </c>
      <c r="N398" s="9">
        <f t="shared" si="567"/>
        <v>0</v>
      </c>
      <c r="O398" s="12">
        <f t="shared" si="568"/>
        <v>0</v>
      </c>
      <c r="P398" s="13" t="str">
        <f t="shared" si="519"/>
        <v>NO</v>
      </c>
      <c r="Q398">
        <f>IF(D398="INCLUIDO",IF(F398&lt;&gt;0,1,0),0)</f>
        <v>0</v>
      </c>
      <c r="R398">
        <f>IF(I398="%o Al Millar",1000,IF(I398="% Al Porciento",100,IF(I398="$ Prima",G398)))</f>
        <v>100</v>
      </c>
      <c r="S398">
        <f t="shared" si="569"/>
        <v>0</v>
      </c>
    </row>
    <row r="399" spans="1:19" customFormat="1" ht="15" hidden="1" customHeight="1" x14ac:dyDescent="0.3">
      <c r="A399" s="34" t="s">
        <v>1422</v>
      </c>
      <c r="B399" s="36">
        <v>217</v>
      </c>
      <c r="C399" s="29" t="s">
        <v>1426</v>
      </c>
      <c r="D399" s="29" t="str">
        <f t="shared" si="570"/>
        <v>NO APLICA</v>
      </c>
      <c r="E399" s="27" t="s">
        <v>1137</v>
      </c>
      <c r="F399" s="43">
        <v>0</v>
      </c>
      <c r="G399" s="21">
        <v>0</v>
      </c>
      <c r="H399" s="9">
        <f t="shared" si="563"/>
        <v>0</v>
      </c>
      <c r="I399" s="9" t="s">
        <v>1235</v>
      </c>
      <c r="J399" s="9">
        <f t="shared" si="564"/>
        <v>0</v>
      </c>
      <c r="K399" s="9">
        <f t="shared" si="565"/>
        <v>0</v>
      </c>
      <c r="L399" s="9">
        <f t="shared" si="566"/>
        <v>0</v>
      </c>
      <c r="M399" s="11">
        <f t="shared" si="571"/>
        <v>0</v>
      </c>
      <c r="N399" s="9">
        <f t="shared" si="567"/>
        <v>0</v>
      </c>
      <c r="O399" s="12">
        <f t="shared" si="568"/>
        <v>0</v>
      </c>
      <c r="P399" s="13" t="str">
        <f t="shared" si="519"/>
        <v>NO</v>
      </c>
      <c r="Q399">
        <f>IF(D399="INCLUIDO",IF(F399&lt;&gt;0,1,0),0)</f>
        <v>0</v>
      </c>
      <c r="R399">
        <f>IF(I399="%o Al Millar",1000,IF(I399="% Al Porciento",100,IF(I399="$ Prima",G399)))</f>
        <v>100</v>
      </c>
      <c r="S399">
        <f t="shared" si="569"/>
        <v>0</v>
      </c>
    </row>
    <row r="400" spans="1:19" customFormat="1" ht="15" hidden="1" customHeight="1" x14ac:dyDescent="0.3">
      <c r="A400" s="34" t="s">
        <v>1422</v>
      </c>
      <c r="B400" s="36">
        <v>218</v>
      </c>
      <c r="C400" s="29" t="s">
        <v>1392</v>
      </c>
      <c r="D400" s="29" t="str">
        <f t="shared" si="570"/>
        <v>NO APLICA</v>
      </c>
      <c r="E400" s="27" t="s">
        <v>1137</v>
      </c>
      <c r="F400" s="43">
        <v>0</v>
      </c>
      <c r="G400" s="21">
        <v>0</v>
      </c>
      <c r="H400" s="9">
        <f t="shared" si="563"/>
        <v>0</v>
      </c>
      <c r="I400" s="9" t="s">
        <v>1235</v>
      </c>
      <c r="J400" s="9">
        <f t="shared" si="564"/>
        <v>0</v>
      </c>
      <c r="K400" s="9">
        <f t="shared" si="565"/>
        <v>0</v>
      </c>
      <c r="L400" s="9">
        <f t="shared" si="566"/>
        <v>0</v>
      </c>
      <c r="M400" s="11">
        <f t="shared" si="571"/>
        <v>0</v>
      </c>
      <c r="N400" s="9">
        <f t="shared" si="567"/>
        <v>0</v>
      </c>
      <c r="O400" s="12">
        <f t="shared" si="568"/>
        <v>0</v>
      </c>
      <c r="P400" s="13" t="str">
        <f t="shared" si="519"/>
        <v>NO</v>
      </c>
      <c r="Q400">
        <f>IF(D400="INCLUIDO",IF(F400&lt;&gt;0,1,0),0)</f>
        <v>0</v>
      </c>
      <c r="R400">
        <f>IF(I400="%o Al Millar",1000,IF(I400="% Al Porciento",100,IF(I400="$ Prima",G400)))</f>
        <v>100</v>
      </c>
      <c r="S400">
        <f t="shared" si="569"/>
        <v>0</v>
      </c>
    </row>
    <row r="401" spans="1:23" s="18" customFormat="1" ht="15" hidden="1" customHeight="1" x14ac:dyDescent="0.3">
      <c r="A401" s="24"/>
      <c r="B401" s="26"/>
      <c r="C401" s="15" t="s">
        <v>1177</v>
      </c>
      <c r="D401" s="38" t="str">
        <f>D400</f>
        <v>NO APLICA</v>
      </c>
      <c r="E401" s="38"/>
      <c r="F401" s="16">
        <f>SUMIF(E396:E400,"Adicional",F396:F400)</f>
        <v>0</v>
      </c>
      <c r="G401" s="17"/>
      <c r="H401" s="16">
        <f>SUM(H396:H400)</f>
        <v>0</v>
      </c>
      <c r="I401" s="16"/>
      <c r="J401" s="16">
        <f t="shared" ref="J401:L401" si="572">SUM(J396:J400)</f>
        <v>0</v>
      </c>
      <c r="K401" s="16">
        <f t="shared" si="572"/>
        <v>0</v>
      </c>
      <c r="L401" s="16">
        <f t="shared" si="572"/>
        <v>0</v>
      </c>
      <c r="M401" s="16" t="s">
        <v>1178</v>
      </c>
      <c r="N401" s="16">
        <f t="shared" ref="N401:O401" si="573">SUM(N396:N400)</f>
        <v>0</v>
      </c>
      <c r="O401" s="84">
        <f t="shared" si="573"/>
        <v>0</v>
      </c>
      <c r="P401" s="13" t="str">
        <f t="shared" si="519"/>
        <v>NO</v>
      </c>
      <c r="Q401">
        <f>IF(D401="INCLUIDO",IF(H401&lt;&gt;0,1,0),0)</f>
        <v>0</v>
      </c>
    </row>
    <row r="402" spans="1:23" ht="15" hidden="1" customHeight="1" x14ac:dyDescent="0.3">
      <c r="A402" s="82">
        <v>918</v>
      </c>
      <c r="B402" s="33">
        <v>1</v>
      </c>
      <c r="C402" s="19" t="s">
        <v>1427</v>
      </c>
      <c r="D402" s="23" t="str">
        <f>'Ramo Comercial'!C172</f>
        <v>NO APLICA</v>
      </c>
      <c r="E402" s="91"/>
      <c r="F402" s="42">
        <v>0</v>
      </c>
      <c r="G402" s="28"/>
      <c r="H402" s="28"/>
      <c r="I402" s="28"/>
      <c r="J402" s="28"/>
      <c r="K402" s="28"/>
      <c r="L402" s="28"/>
      <c r="M402" s="68">
        <v>0</v>
      </c>
      <c r="N402" s="28"/>
      <c r="O402" s="83"/>
      <c r="P402" s="13" t="str">
        <f t="shared" si="519"/>
        <v>NO</v>
      </c>
      <c r="Q402" s="48">
        <f>IF(D402="INCLUIDO",IF(F402&lt;&gt;0,1,0),0)</f>
        <v>0</v>
      </c>
      <c r="W402"/>
    </row>
    <row r="403" spans="1:23" ht="15" hidden="1" customHeight="1" x14ac:dyDescent="0.3">
      <c r="A403" s="34" t="s">
        <v>1428</v>
      </c>
      <c r="B403" s="36">
        <v>219</v>
      </c>
      <c r="C403" s="29" t="s">
        <v>1429</v>
      </c>
      <c r="D403" s="29" t="str">
        <f>D402</f>
        <v>NO APLICA</v>
      </c>
      <c r="E403" s="27" t="s">
        <v>1152</v>
      </c>
      <c r="F403" s="20">
        <f>F402*S403</f>
        <v>0</v>
      </c>
      <c r="G403" s="21">
        <v>0</v>
      </c>
      <c r="H403" s="9">
        <f>(IF(I403="$ Prima",G403,G403*F403/R403))*$U$9</f>
        <v>0</v>
      </c>
      <c r="I403" s="9" t="s">
        <v>1235</v>
      </c>
      <c r="J403" s="9">
        <f>H403*$U$7</f>
        <v>0</v>
      </c>
      <c r="K403" s="9">
        <f>(H403+J403)*$K$15</f>
        <v>0</v>
      </c>
      <c r="L403" s="9">
        <f>ROUND(H403+J403+K403,2)</f>
        <v>0</v>
      </c>
      <c r="M403" s="11">
        <f>M402</f>
        <v>0</v>
      </c>
      <c r="N403" s="9">
        <f>H403*M403</f>
        <v>0</v>
      </c>
      <c r="O403" s="12">
        <f>N403</f>
        <v>0</v>
      </c>
      <c r="P403" s="13" t="str">
        <f t="shared" si="519"/>
        <v>NO</v>
      </c>
      <c r="Q403">
        <f>IF(D403="INCLUIDO",IF(F403&lt;&gt;0,1,0),0)</f>
        <v>0</v>
      </c>
      <c r="R403">
        <f>IF(I403="%o Al Millar",1000,IF(I403="% Al Porciento",100,IF(I403="$ Prima",G403)))</f>
        <v>100</v>
      </c>
      <c r="S403">
        <f t="shared" ref="S403" si="574">IF(E403="Excluido",0,IF(D403="NO APLICA",0,1))</f>
        <v>0</v>
      </c>
      <c r="W403"/>
    </row>
    <row r="404" spans="1:23" s="18" customFormat="1" ht="15" hidden="1" customHeight="1" x14ac:dyDescent="0.3">
      <c r="A404" s="24"/>
      <c r="B404" s="26"/>
      <c r="C404" s="15" t="s">
        <v>1177</v>
      </c>
      <c r="D404" s="38" t="str">
        <f>D403</f>
        <v>NO APLICA</v>
      </c>
      <c r="E404" s="38"/>
      <c r="F404" s="16">
        <f>F403</f>
        <v>0</v>
      </c>
      <c r="G404" s="17"/>
      <c r="H404" s="16">
        <f>SUM(H403)</f>
        <v>0</v>
      </c>
      <c r="I404" s="16"/>
      <c r="J404" s="16">
        <f t="shared" ref="J404:L404" si="575">SUM(J403)</f>
        <v>0</v>
      </c>
      <c r="K404" s="16">
        <f t="shared" si="575"/>
        <v>0</v>
      </c>
      <c r="L404" s="16">
        <f t="shared" si="575"/>
        <v>0</v>
      </c>
      <c r="M404" s="16" t="s">
        <v>1178</v>
      </c>
      <c r="N404" s="16">
        <f t="shared" ref="N404:O404" si="576">SUM(N403)</f>
        <v>0</v>
      </c>
      <c r="O404" s="84">
        <f t="shared" si="576"/>
        <v>0</v>
      </c>
      <c r="P404" s="13" t="str">
        <f t="shared" si="519"/>
        <v>NO</v>
      </c>
      <c r="Q404">
        <f>IF(D404="INCLUIDO",IF(H404&lt;&gt;0,1,0),0)</f>
        <v>0</v>
      </c>
    </row>
    <row r="405" spans="1:23" ht="15" hidden="1" customHeight="1" x14ac:dyDescent="0.3">
      <c r="A405" s="82">
        <v>919</v>
      </c>
      <c r="B405" s="33">
        <v>1</v>
      </c>
      <c r="C405" s="19" t="s">
        <v>1430</v>
      </c>
      <c r="D405" s="23" t="str">
        <f>'Ramo Comercial'!C173</f>
        <v>NO APLICA</v>
      </c>
      <c r="E405" s="91"/>
      <c r="F405" s="28"/>
      <c r="G405" s="28"/>
      <c r="H405" s="28"/>
      <c r="I405" s="28"/>
      <c r="J405" s="28"/>
      <c r="K405" s="28"/>
      <c r="L405" s="28"/>
      <c r="M405" s="68">
        <v>0</v>
      </c>
      <c r="N405" s="28"/>
      <c r="O405" s="83"/>
      <c r="P405" s="13" t="str">
        <f t="shared" si="519"/>
        <v>NO</v>
      </c>
      <c r="Q405" s="47">
        <f>IF(D405="INCLUIDO",IF(F406&lt;&gt;0,1,0),0)</f>
        <v>0</v>
      </c>
      <c r="W405"/>
    </row>
    <row r="406" spans="1:23" ht="15" hidden="1" customHeight="1" x14ac:dyDescent="0.3">
      <c r="A406" s="34" t="s">
        <v>1430</v>
      </c>
      <c r="B406" s="36">
        <v>220</v>
      </c>
      <c r="C406" s="29" t="s">
        <v>1431</v>
      </c>
      <c r="D406" s="29" t="str">
        <f>$D$405</f>
        <v>NO APLICA</v>
      </c>
      <c r="E406" s="27" t="s">
        <v>1152</v>
      </c>
      <c r="F406" s="43">
        <v>0</v>
      </c>
      <c r="G406" s="21">
        <v>0</v>
      </c>
      <c r="H406" s="9">
        <f t="shared" ref="H406:H409" si="577">(IF(I406="$ Prima",G406,G406*F406/R406))*$U$9</f>
        <v>0</v>
      </c>
      <c r="I406" s="9" t="s">
        <v>1287</v>
      </c>
      <c r="J406" s="9">
        <f t="shared" ref="J406:J409" si="578">H406*$U$7</f>
        <v>0</v>
      </c>
      <c r="K406" s="9">
        <f t="shared" ref="K406:K409" si="579">(H406+J406)*$K$15</f>
        <v>0</v>
      </c>
      <c r="L406" s="9">
        <f t="shared" ref="L406:L409" si="580">ROUND(H406+J406+K406,2)</f>
        <v>0</v>
      </c>
      <c r="M406" s="11">
        <f>$M$405</f>
        <v>0</v>
      </c>
      <c r="N406" s="9">
        <f t="shared" ref="N406:N409" si="581">H406*M406</f>
        <v>0</v>
      </c>
      <c r="O406" s="12">
        <f t="shared" ref="O406:O409" si="582">N406</f>
        <v>0</v>
      </c>
      <c r="P406" s="13" t="str">
        <f t="shared" si="519"/>
        <v>NO</v>
      </c>
      <c r="Q406">
        <f>IF(D406="INCLUIDO",IF(F406&lt;&gt;0,1,0),0)</f>
        <v>0</v>
      </c>
      <c r="R406">
        <f>IF(I406="%o Al Millar",1000,IF(I406="% Al Porciento",100,IF(I406="$ Prima",G406)))</f>
        <v>0</v>
      </c>
      <c r="S406">
        <f t="shared" ref="S406:S409" si="583">IF(E406="Excluido",0,IF(D406="NO APLICA",0,1))</f>
        <v>0</v>
      </c>
      <c r="W406"/>
    </row>
    <row r="407" spans="1:23" ht="22.5" hidden="1" customHeight="1" x14ac:dyDescent="0.3">
      <c r="A407" s="34" t="s">
        <v>1430</v>
      </c>
      <c r="B407" s="36">
        <v>221</v>
      </c>
      <c r="C407" s="29" t="s">
        <v>1432</v>
      </c>
      <c r="D407" s="29" t="str">
        <f t="shared" ref="D407:D409" si="584">$D$405</f>
        <v>NO APLICA</v>
      </c>
      <c r="E407" s="27" t="s">
        <v>1137</v>
      </c>
      <c r="F407" s="43">
        <v>0</v>
      </c>
      <c r="G407" s="21">
        <v>0</v>
      </c>
      <c r="H407" s="9">
        <f t="shared" si="577"/>
        <v>0</v>
      </c>
      <c r="I407" s="9" t="s">
        <v>1287</v>
      </c>
      <c r="J407" s="9">
        <f t="shared" si="578"/>
        <v>0</v>
      </c>
      <c r="K407" s="9">
        <f t="shared" si="579"/>
        <v>0</v>
      </c>
      <c r="L407" s="9">
        <f t="shared" si="580"/>
        <v>0</v>
      </c>
      <c r="M407" s="11">
        <f t="shared" ref="M407:M409" si="585">$M$405</f>
        <v>0</v>
      </c>
      <c r="N407" s="9">
        <f t="shared" si="581"/>
        <v>0</v>
      </c>
      <c r="O407" s="12">
        <f t="shared" si="582"/>
        <v>0</v>
      </c>
      <c r="P407" s="13" t="str">
        <f t="shared" si="519"/>
        <v>NO</v>
      </c>
      <c r="Q407">
        <f>IF(D407="INCLUIDO",IF(F407&lt;&gt;0,1,0),0)</f>
        <v>0</v>
      </c>
      <c r="R407">
        <f>IF(I407="%o Al Millar",1000,IF(I407="% Al Porciento",100,IF(I407="$ Prima",G407)))</f>
        <v>0</v>
      </c>
      <c r="S407">
        <f t="shared" si="583"/>
        <v>0</v>
      </c>
      <c r="W407"/>
    </row>
    <row r="408" spans="1:23" ht="15" hidden="1" customHeight="1" x14ac:dyDescent="0.3">
      <c r="A408" s="34" t="s">
        <v>1430</v>
      </c>
      <c r="B408" s="36">
        <v>222</v>
      </c>
      <c r="C408" s="29" t="s">
        <v>1433</v>
      </c>
      <c r="D408" s="29" t="str">
        <f t="shared" si="584"/>
        <v>NO APLICA</v>
      </c>
      <c r="E408" s="27" t="s">
        <v>1137</v>
      </c>
      <c r="F408" s="43">
        <v>0</v>
      </c>
      <c r="G408" s="21">
        <v>0</v>
      </c>
      <c r="H408" s="9">
        <f t="shared" si="577"/>
        <v>0</v>
      </c>
      <c r="I408" s="9" t="s">
        <v>1287</v>
      </c>
      <c r="J408" s="9">
        <f t="shared" si="578"/>
        <v>0</v>
      </c>
      <c r="K408" s="9">
        <f t="shared" si="579"/>
        <v>0</v>
      </c>
      <c r="L408" s="9">
        <f t="shared" si="580"/>
        <v>0</v>
      </c>
      <c r="M408" s="11">
        <f t="shared" si="585"/>
        <v>0</v>
      </c>
      <c r="N408" s="9">
        <f t="shared" si="581"/>
        <v>0</v>
      </c>
      <c r="O408" s="12">
        <f t="shared" si="582"/>
        <v>0</v>
      </c>
      <c r="P408" s="13" t="str">
        <f t="shared" si="519"/>
        <v>NO</v>
      </c>
      <c r="Q408">
        <f>IF(D408="INCLUIDO",IF(F408&lt;&gt;0,1,0),0)</f>
        <v>0</v>
      </c>
      <c r="R408">
        <f>IF(I408="%o Al Millar",1000,IF(I408="% Al Porciento",100,IF(I408="$ Prima",G408)))</f>
        <v>0</v>
      </c>
      <c r="S408">
        <f t="shared" si="583"/>
        <v>0</v>
      </c>
      <c r="W408"/>
    </row>
    <row r="409" spans="1:23" ht="15" hidden="1" customHeight="1" x14ac:dyDescent="0.3">
      <c r="A409" s="34" t="s">
        <v>1430</v>
      </c>
      <c r="B409" s="36">
        <v>223</v>
      </c>
      <c r="C409" s="29" t="s">
        <v>1434</v>
      </c>
      <c r="D409" s="29" t="str">
        <f t="shared" si="584"/>
        <v>NO APLICA</v>
      </c>
      <c r="E409" s="27" t="s">
        <v>1137</v>
      </c>
      <c r="F409" s="43">
        <v>0</v>
      </c>
      <c r="G409" s="21">
        <v>0</v>
      </c>
      <c r="H409" s="9">
        <f t="shared" si="577"/>
        <v>0</v>
      </c>
      <c r="I409" s="9" t="s">
        <v>1287</v>
      </c>
      <c r="J409" s="9">
        <f t="shared" si="578"/>
        <v>0</v>
      </c>
      <c r="K409" s="9">
        <f t="shared" si="579"/>
        <v>0</v>
      </c>
      <c r="L409" s="9">
        <f t="shared" si="580"/>
        <v>0</v>
      </c>
      <c r="M409" s="11">
        <f t="shared" si="585"/>
        <v>0</v>
      </c>
      <c r="N409" s="9">
        <f t="shared" si="581"/>
        <v>0</v>
      </c>
      <c r="O409" s="12">
        <f t="shared" si="582"/>
        <v>0</v>
      </c>
      <c r="P409" s="13" t="str">
        <f t="shared" si="519"/>
        <v>NO</v>
      </c>
      <c r="Q409">
        <f>IF(D409="INCLUIDO",IF(F409&lt;&gt;0,1,0),0)</f>
        <v>0</v>
      </c>
      <c r="R409">
        <f>IF(I409="%o Al Millar",1000,IF(I409="% Al Porciento",100,IF(I409="$ Prima",G409)))</f>
        <v>0</v>
      </c>
      <c r="S409">
        <f t="shared" si="583"/>
        <v>0</v>
      </c>
      <c r="W409"/>
    </row>
    <row r="410" spans="1:23" s="18" customFormat="1" ht="15.75" hidden="1" customHeight="1" thickBot="1" x14ac:dyDescent="0.35">
      <c r="A410" s="85"/>
      <c r="B410" s="86"/>
      <c r="C410" s="99" t="s">
        <v>1177</v>
      </c>
      <c r="D410" s="100" t="str">
        <f>D409</f>
        <v>NO APLICA</v>
      </c>
      <c r="E410" s="100"/>
      <c r="F410" s="87">
        <f>SUMIF(E406:E409,"Adicional",F406:F409)</f>
        <v>0</v>
      </c>
      <c r="G410" s="101"/>
      <c r="H410" s="87">
        <f>SUM(H406:H409)</f>
        <v>0</v>
      </c>
      <c r="I410" s="87"/>
      <c r="J410" s="87">
        <f t="shared" ref="J410:L410" si="586">SUM(J406:J409)</f>
        <v>0</v>
      </c>
      <c r="K410" s="87">
        <f t="shared" si="586"/>
        <v>0</v>
      </c>
      <c r="L410" s="87">
        <f t="shared" si="586"/>
        <v>0</v>
      </c>
      <c r="M410" s="87" t="s">
        <v>1178</v>
      </c>
      <c r="N410" s="87">
        <f t="shared" ref="N410:O410" si="587">SUM(N406:N409)</f>
        <v>0</v>
      </c>
      <c r="O410" s="102">
        <f t="shared" si="587"/>
        <v>0</v>
      </c>
      <c r="P410" s="13" t="str">
        <f t="shared" si="519"/>
        <v>NO</v>
      </c>
      <c r="Q410">
        <f>IF(D410="INCLUIDO",IF(H410&lt;&gt;0,1,0),0)</f>
        <v>0</v>
      </c>
    </row>
    <row r="411" spans="1:23" s="18" customFormat="1" ht="21" customHeight="1" x14ac:dyDescent="0.3">
      <c r="A411" s="69"/>
      <c r="B411" s="69"/>
      <c r="C411" s="103" t="s">
        <v>1435</v>
      </c>
      <c r="D411" s="94" t="s">
        <v>1436</v>
      </c>
      <c r="E411" s="94"/>
      <c r="F411" s="104">
        <f>SUMIF(C17:C410,"SUBTOTAL",F17:F410)</f>
        <v>7100000</v>
      </c>
      <c r="G411" s="94"/>
      <c r="H411" s="93">
        <f>H40+H77+H99+H103+H107+H111+H115+H122+H129+H137+H145+H148+H151+H154+H157+H160+H166+H172+H178+H182+H186+H202+H206+H210+H213+H216+H220+H223+H226+H230+H233+H236+H240+H272+H276+H282+H329+H336+H344+H350+H363+H369+H379+H394+H401+H404+H410</f>
        <v>1088395.2387804075</v>
      </c>
      <c r="I411" s="104">
        <f>'COTIZACIÓN M.N.'!F101</f>
        <v>100</v>
      </c>
      <c r="J411" s="93">
        <f>H411*1.055%</f>
        <v>11482.569769133297</v>
      </c>
      <c r="K411" s="93">
        <f>(H411+I411+J411)*16%</f>
        <v>175996.44936792654</v>
      </c>
      <c r="L411" s="93">
        <f>H411+I411+J411+K411</f>
        <v>1275974.2579174673</v>
      </c>
      <c r="M411" s="94"/>
      <c r="N411" s="93">
        <f>N40+N77+N99+N103+N107+N111+N115+N122+N129+N137+N145+N148+N151+N154+N157+N160+N166+N172+N178+N182+N186+N202+N206+N210+N213+N216+N220+N223+N226+N230+N233+N236+N240+N272+N276+N282+N329+N336+N344+N350+N363+N369+N379+N394+N401+N404+N410</f>
        <v>87084.323064077209</v>
      </c>
      <c r="O411" s="93">
        <f>O40+O77+O99+O103+O107+O111+O115+O122+O129+O137+O145+O148+O151+O154+O157+O160+O166+O172+O178+O182+O186+O202+O206+O210+O213+O216+O220+O223+O226+O230+O233+O236+O240+O272+O276+O282+O329+O336+O344+O350+O363+O369+O379+O394+O401+O404+O410</f>
        <v>87084.323064077209</v>
      </c>
      <c r="P411" s="98" t="s">
        <v>1437</v>
      </c>
      <c r="Q411"/>
      <c r="W411" s="111" t="e">
        <f>'UB (1)'!H411+'UB (2)'!H411+'UB (3)'!H411+#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row>
    <row r="412" spans="1:23" x14ac:dyDescent="0.3">
      <c r="C412" s="3"/>
      <c r="D412" s="94" t="s">
        <v>1436</v>
      </c>
      <c r="E412" s="94"/>
      <c r="F412" s="96" t="s">
        <v>1438</v>
      </c>
      <c r="G412" s="94"/>
      <c r="H412" s="95" t="s">
        <v>1439</v>
      </c>
      <c r="I412" s="96" t="s">
        <v>56</v>
      </c>
      <c r="J412" s="95" t="s">
        <v>1440</v>
      </c>
      <c r="K412" s="95" t="s">
        <v>1131</v>
      </c>
      <c r="L412" s="95" t="s">
        <v>79</v>
      </c>
      <c r="M412" s="93"/>
      <c r="N412" s="736" t="s">
        <v>1441</v>
      </c>
      <c r="O412" s="736"/>
      <c r="P412" s="98" t="s">
        <v>1437</v>
      </c>
    </row>
    <row r="413" spans="1:23" x14ac:dyDescent="0.3">
      <c r="C413" s="3"/>
      <c r="G413" s="481" t="e">
        <f>H413-H411</f>
        <v>#REF!</v>
      </c>
      <c r="H413" s="481" t="e">
        <f>'UB (1)'!H411+'UB (2)'!H411+'UB (3)'!H411+#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f>
        <v>#REF!</v>
      </c>
      <c r="I413" s="22"/>
      <c r="N413" s="432">
        <f>N411/H411</f>
        <v>8.0011672195165834E-2</v>
      </c>
    </row>
    <row r="414" spans="1:23" ht="24" x14ac:dyDescent="0.3">
      <c r="C414" s="422" t="s">
        <v>1443</v>
      </c>
      <c r="D414" s="421"/>
      <c r="E414" s="735" t="s">
        <v>1444</v>
      </c>
      <c r="F414" s="735"/>
      <c r="G414" s="735"/>
      <c r="H414" s="422" t="s">
        <v>1445</v>
      </c>
      <c r="J414" s="417"/>
      <c r="K414" s="750" t="s">
        <v>1442</v>
      </c>
      <c r="L414" s="750"/>
      <c r="M414" s="750"/>
      <c r="N414" s="750"/>
      <c r="O414" s="750"/>
    </row>
    <row r="415" spans="1:23" ht="18" x14ac:dyDescent="0.3">
      <c r="C415" t="s">
        <v>1446</v>
      </c>
      <c r="F415" s="4" t="s">
        <v>1447</v>
      </c>
      <c r="H415" s="4" t="s">
        <v>1437</v>
      </c>
      <c r="J415" s="417"/>
      <c r="K415" s="751"/>
      <c r="L415" s="751"/>
      <c r="M415" s="751"/>
      <c r="N415" s="751"/>
      <c r="O415" s="751"/>
    </row>
    <row r="416" spans="1:23" ht="18" x14ac:dyDescent="0.3">
      <c r="C416" t="s">
        <v>1449</v>
      </c>
      <c r="F416" s="4" t="s">
        <v>1450</v>
      </c>
      <c r="H416" s="4" t="s">
        <v>1437</v>
      </c>
      <c r="J416" s="417"/>
      <c r="K416" s="752" t="s">
        <v>1448</v>
      </c>
      <c r="L416" s="753"/>
      <c r="M416" s="753"/>
      <c r="N416" s="753"/>
      <c r="O416" s="753"/>
    </row>
    <row r="417" spans="3:15" ht="15.6" x14ac:dyDescent="0.3">
      <c r="C417" t="s">
        <v>1451</v>
      </c>
      <c r="F417" s="4" t="s">
        <v>1452</v>
      </c>
      <c r="H417" s="4" t="s">
        <v>1437</v>
      </c>
      <c r="K417" s="754"/>
      <c r="L417" s="754"/>
      <c r="M417" s="754"/>
      <c r="N417" s="754"/>
      <c r="O417" s="754"/>
    </row>
    <row r="418" spans="3:15" ht="18" x14ac:dyDescent="0.3">
      <c r="C418" t="s">
        <v>1454</v>
      </c>
      <c r="F418" s="4" t="s">
        <v>1455</v>
      </c>
      <c r="H418" s="4" t="s">
        <v>1437</v>
      </c>
      <c r="J418" s="417"/>
      <c r="K418" s="750" t="s">
        <v>1453</v>
      </c>
      <c r="L418" s="750"/>
      <c r="M418" s="750"/>
      <c r="N418" s="750"/>
      <c r="O418" s="750"/>
    </row>
    <row r="419" spans="3:15" ht="18" x14ac:dyDescent="0.3">
      <c r="C419" t="s">
        <v>1457</v>
      </c>
      <c r="F419" s="4" t="s">
        <v>1458</v>
      </c>
      <c r="H419" s="4" t="s">
        <v>1437</v>
      </c>
      <c r="K419" s="750" t="s">
        <v>1456</v>
      </c>
      <c r="L419" s="750"/>
      <c r="M419" s="750"/>
      <c r="N419" s="750"/>
      <c r="O419" s="750"/>
    </row>
    <row r="420" spans="3:15" ht="18" x14ac:dyDescent="0.3">
      <c r="C420" t="s">
        <v>1460</v>
      </c>
      <c r="F420" s="4" t="s">
        <v>1461</v>
      </c>
      <c r="H420" s="4" t="s">
        <v>1462</v>
      </c>
      <c r="K420" s="750" t="s">
        <v>1459</v>
      </c>
      <c r="L420" s="750"/>
      <c r="M420" s="750"/>
      <c r="N420" s="750"/>
      <c r="O420" s="750"/>
    </row>
  </sheetData>
  <autoFilter ref="A16:P412" xr:uid="{00000000-0009-0000-0000-000001000000}">
    <filterColumn colId="3">
      <filters>
        <filter val="INCLUIDO"/>
      </filters>
    </filterColumn>
    <filterColumn colId="15">
      <filters>
        <filter val="SI"/>
      </filters>
    </filterColumn>
  </autoFilter>
  <dataConsolidate/>
  <mergeCells count="40">
    <mergeCell ref="K418:O418"/>
    <mergeCell ref="K419:O419"/>
    <mergeCell ref="K420:O420"/>
    <mergeCell ref="S7:T7"/>
    <mergeCell ref="S9:T9"/>
    <mergeCell ref="N9:O9"/>
    <mergeCell ref="N10:O10"/>
    <mergeCell ref="K415:O415"/>
    <mergeCell ref="K416:O416"/>
    <mergeCell ref="K417:O417"/>
    <mergeCell ref="N412:O412"/>
    <mergeCell ref="C10:K10"/>
    <mergeCell ref="J13:J14"/>
    <mergeCell ref="H13:I13"/>
    <mergeCell ref="H12:J12"/>
    <mergeCell ref="L7:O7"/>
    <mergeCell ref="E414:G414"/>
    <mergeCell ref="A7:B7"/>
    <mergeCell ref="D13:E13"/>
    <mergeCell ref="D14:E14"/>
    <mergeCell ref="A5:O5"/>
    <mergeCell ref="A8:B8"/>
    <mergeCell ref="K414:O414"/>
    <mergeCell ref="A9:B9"/>
    <mergeCell ref="A11:B11"/>
    <mergeCell ref="A15:B15"/>
    <mergeCell ref="C15:D15"/>
    <mergeCell ref="A12:B12"/>
    <mergeCell ref="A13:B13"/>
    <mergeCell ref="L8:O8"/>
    <mergeCell ref="C7:J7"/>
    <mergeCell ref="C8:E8"/>
    <mergeCell ref="A14:B14"/>
    <mergeCell ref="A10:B10"/>
    <mergeCell ref="L10:M10"/>
    <mergeCell ref="C11:K11"/>
    <mergeCell ref="E2:H3"/>
    <mergeCell ref="G8:K8"/>
    <mergeCell ref="C9:I9"/>
    <mergeCell ref="L9:M9"/>
  </mergeCells>
  <conditionalFormatting sqref="E18:E19">
    <cfRule type="containsText" dxfId="1914" priority="785" operator="containsText" text="Sublimite">
      <formula>NOT(ISERROR(SEARCH("Sublimite",E18)))</formula>
    </cfRule>
    <cfRule type="containsText" dxfId="1913" priority="786" operator="containsText" text="Adicional">
      <formula>NOT(ISERROR(SEARCH("Adicional",E18)))</formula>
    </cfRule>
  </conditionalFormatting>
  <conditionalFormatting sqref="E18:E27">
    <cfRule type="containsText" dxfId="1912" priority="23" operator="containsText" text="Excluido">
      <formula>NOT(ISERROR(SEARCH("Excluido",E18)))</formula>
    </cfRule>
    <cfRule type="containsText" dxfId="1911" priority="26" operator="containsText" text="Sublimite">
      <formula>NOT(ISERROR(SEARCH("Sublimite",E18)))</formula>
    </cfRule>
    <cfRule type="containsText" dxfId="1910" priority="25" operator="containsText" text="Excluido">
      <formula>NOT(ISERROR(SEARCH("Excluido",E18)))</formula>
    </cfRule>
    <cfRule type="containsText" dxfId="1909" priority="24" operator="containsText" text="Sublimite">
      <formula>NOT(ISERROR(SEARCH("Sublimite",E18)))</formula>
    </cfRule>
  </conditionalFormatting>
  <conditionalFormatting sqref="E20:E23">
    <cfRule type="containsText" dxfId="1908" priority="769" operator="containsText" text="Sublimite">
      <formula>NOT(ISERROR(SEARCH("Sublimite",E20)))</formula>
    </cfRule>
  </conditionalFormatting>
  <conditionalFormatting sqref="E24">
    <cfRule type="containsText" dxfId="1907" priority="28" operator="containsText" text="Adicional">
      <formula>NOT(ISERROR(SEARCH("Adicional",E24)))</formula>
    </cfRule>
    <cfRule type="containsText" dxfId="1906" priority="27" operator="containsText" text="Sublimite">
      <formula>NOT(ISERROR(SEARCH("Sublimite",E24)))</formula>
    </cfRule>
  </conditionalFormatting>
  <conditionalFormatting sqref="E25">
    <cfRule type="containsText" dxfId="1905" priority="759" operator="containsText" text="Sublimite">
      <formula>NOT(ISERROR(SEARCH("Sublimite",E25)))</formula>
    </cfRule>
  </conditionalFormatting>
  <conditionalFormatting sqref="E26:E27">
    <cfRule type="containsText" dxfId="1904" priority="51" operator="containsText" text="Sublimite">
      <formula>NOT(ISERROR(SEARCH("Sublimite",E26)))</formula>
    </cfRule>
    <cfRule type="containsText" dxfId="1903" priority="52" operator="containsText" text="Adicional">
      <formula>NOT(ISERROR(SEARCH("Adicional",E26)))</formula>
    </cfRule>
  </conditionalFormatting>
  <conditionalFormatting sqref="E29:E30">
    <cfRule type="containsText" dxfId="1902" priority="739" operator="containsText" text="Sublimite">
      <formula>NOT(ISERROR(SEARCH("Sublimite",E29)))</formula>
    </cfRule>
    <cfRule type="containsText" dxfId="1901" priority="738" operator="containsText" text="Sublimite">
      <formula>NOT(ISERROR(SEARCH("Sublimite",E29)))</formula>
    </cfRule>
    <cfRule type="containsText" dxfId="1900" priority="737" operator="containsText" text="Excluido">
      <formula>NOT(ISERROR(SEARCH("Excluido",E29)))</formula>
    </cfRule>
    <cfRule type="containsText" dxfId="1899" priority="736" operator="containsText" text="Sublimite">
      <formula>NOT(ISERROR(SEARCH("Sublimite",E29)))</formula>
    </cfRule>
    <cfRule type="containsText" dxfId="1898" priority="735" operator="containsText" text="Excluido">
      <formula>NOT(ISERROR(SEARCH("Excluido",E29)))</formula>
    </cfRule>
  </conditionalFormatting>
  <conditionalFormatting sqref="E32:E33">
    <cfRule type="containsText" dxfId="1897" priority="726" operator="containsText" text="Sublimite">
      <formula>NOT(ISERROR(SEARCH("Sublimite",E32)))</formula>
    </cfRule>
    <cfRule type="containsText" dxfId="1896" priority="725" operator="containsText" text="Excluido">
      <formula>NOT(ISERROR(SEARCH("Excluido",E32)))</formula>
    </cfRule>
    <cfRule type="containsText" dxfId="1895" priority="729" operator="containsText" text="Sublimite">
      <formula>NOT(ISERROR(SEARCH("Sublimite",E32)))</formula>
    </cfRule>
    <cfRule type="containsText" dxfId="1894" priority="727" operator="containsText" text="Excluido">
      <formula>NOT(ISERROR(SEARCH("Excluido",E32)))</formula>
    </cfRule>
    <cfRule type="containsText" dxfId="1893" priority="728" operator="containsText" text="Sublimite">
      <formula>NOT(ISERROR(SEARCH("Sublimite",E32)))</formula>
    </cfRule>
  </conditionalFormatting>
  <conditionalFormatting sqref="E35">
    <cfRule type="containsText" dxfId="1892" priority="13" operator="containsText" text="Excluido">
      <formula>NOT(ISERROR(SEARCH("Excluido",E35)))</formula>
    </cfRule>
    <cfRule type="containsText" dxfId="1891" priority="14" operator="containsText" text="Sublimite">
      <formula>NOT(ISERROR(SEARCH("Sublimite",E35)))</formula>
    </cfRule>
    <cfRule type="containsText" dxfId="1890" priority="15" operator="containsText" text="Excluido">
      <formula>NOT(ISERROR(SEARCH("Excluido",E35)))</formula>
    </cfRule>
    <cfRule type="containsText" dxfId="1889" priority="16" operator="containsText" text="Sublimite">
      <formula>NOT(ISERROR(SEARCH("Sublimite",E35)))</formula>
    </cfRule>
    <cfRule type="containsText" dxfId="1888" priority="17" operator="containsText" text="Sublimite">
      <formula>NOT(ISERROR(SEARCH("Sublimite",E35)))</formula>
    </cfRule>
    <cfRule type="containsText" dxfId="1887" priority="18" operator="containsText" text="Adicional">
      <formula>NOT(ISERROR(SEARCH("Adicional",E35)))</formula>
    </cfRule>
  </conditionalFormatting>
  <conditionalFormatting sqref="E37">
    <cfRule type="containsText" dxfId="1886" priority="192" operator="containsText" text="Sublimite">
      <formula>NOT(ISERROR(SEARCH("Sublimite",E37)))</formula>
    </cfRule>
    <cfRule type="containsText" dxfId="1885" priority="191" operator="containsText" text="Sublimite">
      <formula>NOT(ISERROR(SEARCH("Sublimite",E37)))</formula>
    </cfRule>
    <cfRule type="containsText" dxfId="1884" priority="190" operator="containsText" text="Excluido">
      <formula>NOT(ISERROR(SEARCH("Excluido",E37)))</formula>
    </cfRule>
    <cfRule type="containsText" dxfId="1883" priority="189" operator="containsText" text="Sublimite">
      <formula>NOT(ISERROR(SEARCH("Sublimite",E37)))</formula>
    </cfRule>
    <cfRule type="containsText" dxfId="1882" priority="188" operator="containsText" text="Excluido">
      <formula>NOT(ISERROR(SEARCH("Excluido",E37)))</formula>
    </cfRule>
  </conditionalFormatting>
  <conditionalFormatting sqref="E39">
    <cfRule type="containsText" dxfId="1881" priority="186" operator="containsText" text="Sublimite">
      <formula>NOT(ISERROR(SEARCH("Sublimite",E39)))</formula>
    </cfRule>
    <cfRule type="containsText" dxfId="1880" priority="185" operator="containsText" text="Excluido">
      <formula>NOT(ISERROR(SEARCH("Excluido",E39)))</formula>
    </cfRule>
    <cfRule type="containsText" dxfId="1879" priority="184" operator="containsText" text="Sublimite">
      <formula>NOT(ISERROR(SEARCH("Sublimite",E39)))</formula>
    </cfRule>
    <cfRule type="containsText" dxfId="1878" priority="183" operator="containsText" text="Excluido">
      <formula>NOT(ISERROR(SEARCH("Excluido",E39)))</formula>
    </cfRule>
    <cfRule type="containsText" dxfId="1877" priority="187" operator="containsText" text="Sublimite">
      <formula>NOT(ISERROR(SEARCH("Sublimite",E39)))</formula>
    </cfRule>
  </conditionalFormatting>
  <conditionalFormatting sqref="E42:E43">
    <cfRule type="containsText" dxfId="1876" priority="39" operator="containsText" text="Sublimite">
      <formula>NOT(ISERROR(SEARCH("Sublimite",E42)))</formula>
    </cfRule>
    <cfRule type="containsText" dxfId="1875" priority="40" operator="containsText" text="Adicional">
      <formula>NOT(ISERROR(SEARCH("Adicional",E42)))</formula>
    </cfRule>
  </conditionalFormatting>
  <conditionalFormatting sqref="E42:E60">
    <cfRule type="containsText" dxfId="1874" priority="37" operator="containsText" text="Excluido">
      <formula>NOT(ISERROR(SEARCH("Excluido",E42)))</formula>
    </cfRule>
    <cfRule type="containsText" dxfId="1873" priority="38" operator="containsText" text="Sublimite">
      <formula>NOT(ISERROR(SEARCH("Sublimite",E42)))</formula>
    </cfRule>
    <cfRule type="containsText" dxfId="1872" priority="36" operator="containsText" text="Sublimite">
      <formula>NOT(ISERROR(SEARCH("Sublimite",E42)))</formula>
    </cfRule>
    <cfRule type="containsText" dxfId="1871" priority="35" operator="containsText" text="Excluido">
      <formula>NOT(ISERROR(SEARCH("Excluido",E42)))</formula>
    </cfRule>
  </conditionalFormatting>
  <conditionalFormatting sqref="E44:E58">
    <cfRule type="containsText" dxfId="1870" priority="654" operator="containsText" text="Sublimite">
      <formula>NOT(ISERROR(SEARCH("Sublimite",E44)))</formula>
    </cfRule>
  </conditionalFormatting>
  <conditionalFormatting sqref="E59:E60">
    <cfRule type="containsText" dxfId="1869" priority="45" operator="containsText" text="Sublimite">
      <formula>NOT(ISERROR(SEARCH("Sublimite",E59)))</formula>
    </cfRule>
    <cfRule type="containsText" dxfId="1868" priority="46" operator="containsText" text="Adicional">
      <formula>NOT(ISERROR(SEARCH("Adicional",E59)))</formula>
    </cfRule>
  </conditionalFormatting>
  <conditionalFormatting sqref="E62:E63">
    <cfRule type="containsText" dxfId="1867" priority="641" operator="containsText" text="Sublimite">
      <formula>NOT(ISERROR(SEARCH("Sublimite",E62)))</formula>
    </cfRule>
    <cfRule type="containsText" dxfId="1866" priority="643" operator="containsText" text="Sublimite">
      <formula>NOT(ISERROR(SEARCH("Sublimite",E62)))</formula>
    </cfRule>
    <cfRule type="containsText" dxfId="1865" priority="644" operator="containsText" text="Sublimite">
      <formula>NOT(ISERROR(SEARCH("Sublimite",E62)))</formula>
    </cfRule>
    <cfRule type="containsText" dxfId="1864" priority="642" operator="containsText" text="Excluido">
      <formula>NOT(ISERROR(SEARCH("Excluido",E62)))</formula>
    </cfRule>
    <cfRule type="containsText" dxfId="1863" priority="640" operator="containsText" text="Excluido">
      <formula>NOT(ISERROR(SEARCH("Excluido",E62)))</formula>
    </cfRule>
  </conditionalFormatting>
  <conditionalFormatting sqref="E65:E66">
    <cfRule type="containsText" dxfId="1862" priority="634" operator="containsText" text="Sublimite">
      <formula>NOT(ISERROR(SEARCH("Sublimite",E65)))</formula>
    </cfRule>
    <cfRule type="containsText" dxfId="1861" priority="633" operator="containsText" text="Sublimite">
      <formula>NOT(ISERROR(SEARCH("Sublimite",E65)))</formula>
    </cfRule>
    <cfRule type="containsText" dxfId="1860" priority="632" operator="containsText" text="Excluido">
      <formula>NOT(ISERROR(SEARCH("Excluido",E65)))</formula>
    </cfRule>
    <cfRule type="containsText" dxfId="1859" priority="631" operator="containsText" text="Sublimite">
      <formula>NOT(ISERROR(SEARCH("Sublimite",E65)))</formula>
    </cfRule>
    <cfRule type="containsText" dxfId="1858" priority="630" operator="containsText" text="Excluido">
      <formula>NOT(ISERROR(SEARCH("Excluido",E65)))</formula>
    </cfRule>
  </conditionalFormatting>
  <conditionalFormatting sqref="E68">
    <cfRule type="containsText" dxfId="1857" priority="385" operator="containsText" text="Sublimite">
      <formula>NOT(ISERROR(SEARCH("Sublimite",E68)))</formula>
    </cfRule>
    <cfRule type="containsText" dxfId="1856" priority="386" operator="containsText" text="Excluido">
      <formula>NOT(ISERROR(SEARCH("Excluido",E68)))</formula>
    </cfRule>
    <cfRule type="containsText" dxfId="1855" priority="388" operator="containsText" text="Sublimite">
      <formula>NOT(ISERROR(SEARCH("Sublimite",E68)))</formula>
    </cfRule>
    <cfRule type="containsText" dxfId="1854" priority="389" operator="containsText" text="Adicional">
      <formula>NOT(ISERROR(SEARCH("Adicional",E68)))</formula>
    </cfRule>
    <cfRule type="containsText" dxfId="1853" priority="387" operator="containsText" text="Sublimite">
      <formula>NOT(ISERROR(SEARCH("Sublimite",E68)))</formula>
    </cfRule>
    <cfRule type="containsText" dxfId="1852" priority="384" operator="containsText" text="Excluido">
      <formula>NOT(ISERROR(SEARCH("Excluido",E68)))</formula>
    </cfRule>
  </conditionalFormatting>
  <conditionalFormatting sqref="E70">
    <cfRule type="containsText" dxfId="1851" priority="180" operator="containsText" text="Excluido">
      <formula>NOT(ISERROR(SEARCH("Excluido",E70)))</formula>
    </cfRule>
    <cfRule type="containsText" dxfId="1850" priority="182" operator="containsText" text="Sublimite">
      <formula>NOT(ISERROR(SEARCH("Sublimite",E70)))</formula>
    </cfRule>
    <cfRule type="containsText" dxfId="1849" priority="179" operator="containsText" text="Sublimite">
      <formula>NOT(ISERROR(SEARCH("Sublimite",E70)))</formula>
    </cfRule>
    <cfRule type="containsText" dxfId="1848" priority="181" operator="containsText" text="Sublimite">
      <formula>NOT(ISERROR(SEARCH("Sublimite",E70)))</formula>
    </cfRule>
    <cfRule type="containsText" dxfId="1847" priority="178" operator="containsText" text="Excluido">
      <formula>NOT(ISERROR(SEARCH("Excluido",E70)))</formula>
    </cfRule>
  </conditionalFormatting>
  <conditionalFormatting sqref="E72">
    <cfRule type="containsText" dxfId="1846" priority="173" operator="containsText" text="Excluido">
      <formula>NOT(ISERROR(SEARCH("Excluido",E72)))</formula>
    </cfRule>
    <cfRule type="containsText" dxfId="1845" priority="174" operator="containsText" text="Sublimite">
      <formula>NOT(ISERROR(SEARCH("Sublimite",E72)))</formula>
    </cfRule>
    <cfRule type="containsText" dxfId="1844" priority="175" operator="containsText" text="Excluido">
      <formula>NOT(ISERROR(SEARCH("Excluido",E72)))</formula>
    </cfRule>
    <cfRule type="containsText" dxfId="1843" priority="177" operator="containsText" text="Sublimite">
      <formula>NOT(ISERROR(SEARCH("Sublimite",E72)))</formula>
    </cfRule>
    <cfRule type="containsText" dxfId="1842" priority="176" operator="containsText" text="Sublimite">
      <formula>NOT(ISERROR(SEARCH("Sublimite",E72)))</formula>
    </cfRule>
  </conditionalFormatting>
  <conditionalFormatting sqref="E74">
    <cfRule type="containsText" dxfId="1841" priority="170" operator="containsText" text="Excluido">
      <formula>NOT(ISERROR(SEARCH("Excluido",E74)))</formula>
    </cfRule>
    <cfRule type="containsText" dxfId="1840" priority="168" operator="containsText" text="Excluido">
      <formula>NOT(ISERROR(SEARCH("Excluido",E74)))</formula>
    </cfRule>
    <cfRule type="containsText" dxfId="1839" priority="169" operator="containsText" text="Sublimite">
      <formula>NOT(ISERROR(SEARCH("Sublimite",E74)))</formula>
    </cfRule>
    <cfRule type="containsText" dxfId="1838" priority="172" operator="containsText" text="Sublimite">
      <formula>NOT(ISERROR(SEARCH("Sublimite",E74)))</formula>
    </cfRule>
    <cfRule type="containsText" dxfId="1837" priority="171" operator="containsText" text="Sublimite">
      <formula>NOT(ISERROR(SEARCH("Sublimite",E74)))</formula>
    </cfRule>
  </conditionalFormatting>
  <conditionalFormatting sqref="E76">
    <cfRule type="containsText" dxfId="1836" priority="167" operator="containsText" text="Sublimite">
      <formula>NOT(ISERROR(SEARCH("Sublimite",E76)))</formula>
    </cfRule>
    <cfRule type="containsText" dxfId="1835" priority="166" operator="containsText" text="Sublimite">
      <formula>NOT(ISERROR(SEARCH("Sublimite",E76)))</formula>
    </cfRule>
    <cfRule type="containsText" dxfId="1834" priority="165" operator="containsText" text="Excluido">
      <formula>NOT(ISERROR(SEARCH("Excluido",E76)))</formula>
    </cfRule>
    <cfRule type="containsText" dxfId="1833" priority="164" operator="containsText" text="Sublimite">
      <formula>NOT(ISERROR(SEARCH("Sublimite",E76)))</formula>
    </cfRule>
    <cfRule type="containsText" dxfId="1832" priority="163" operator="containsText" text="Excluido">
      <formula>NOT(ISERROR(SEARCH("Excluido",E76)))</formula>
    </cfRule>
  </conditionalFormatting>
  <conditionalFormatting sqref="E79:E86">
    <cfRule type="containsText" dxfId="1831" priority="382" operator="containsText" text="Sublimite">
      <formula>NOT(ISERROR(SEARCH("Sublimite",E79)))</formula>
    </cfRule>
    <cfRule type="containsText" dxfId="1830" priority="383" operator="containsText" text="Adicional">
      <formula>NOT(ISERROR(SEARCH("Adicional",E79)))</formula>
    </cfRule>
  </conditionalFormatting>
  <conditionalFormatting sqref="E79:E89">
    <cfRule type="containsText" dxfId="1829" priority="161" operator="containsText" text="Sublimite">
      <formula>NOT(ISERROR(SEARCH("Sublimite",E79)))</formula>
    </cfRule>
    <cfRule type="containsText" dxfId="1828" priority="160" operator="containsText" text="Excluido">
      <formula>NOT(ISERROR(SEARCH("Excluido",E79)))</formula>
    </cfRule>
    <cfRule type="containsText" dxfId="1827" priority="158" operator="containsText" text="Excluido">
      <formula>NOT(ISERROR(SEARCH("Excluido",E79)))</formula>
    </cfRule>
    <cfRule type="containsText" dxfId="1826" priority="159" operator="containsText" text="Sublimite">
      <formula>NOT(ISERROR(SEARCH("Sublimite",E79)))</formula>
    </cfRule>
  </conditionalFormatting>
  <conditionalFormatting sqref="E87:E89">
    <cfRule type="containsText" dxfId="1825" priority="162" operator="containsText" text="Sublimite">
      <formula>NOT(ISERROR(SEARCH("Sublimite",E87)))</formula>
    </cfRule>
  </conditionalFormatting>
  <conditionalFormatting sqref="E91:E94">
    <cfRule type="containsText" dxfId="1824" priority="156" operator="containsText" text="Sublimite">
      <formula>NOT(ISERROR(SEARCH("Sublimite",E91)))</formula>
    </cfRule>
    <cfRule type="containsText" dxfId="1823" priority="157" operator="containsText" text="Sublimite">
      <formula>NOT(ISERROR(SEARCH("Sublimite",E91)))</formula>
    </cfRule>
    <cfRule type="containsText" dxfId="1822" priority="155" operator="containsText" text="Excluido">
      <formula>NOT(ISERROR(SEARCH("Excluido",E91)))</formula>
    </cfRule>
    <cfRule type="containsText" dxfId="1821" priority="154" operator="containsText" text="Sublimite">
      <formula>NOT(ISERROR(SEARCH("Sublimite",E91)))</formula>
    </cfRule>
    <cfRule type="containsText" dxfId="1820" priority="153" operator="containsText" text="Excluido">
      <formula>NOT(ISERROR(SEARCH("Excluido",E91)))</formula>
    </cfRule>
  </conditionalFormatting>
  <conditionalFormatting sqref="E96:E98">
    <cfRule type="containsText" dxfId="1819" priority="152" operator="containsText" text="Sublimite">
      <formula>NOT(ISERROR(SEARCH("Sublimite",E96)))</formula>
    </cfRule>
    <cfRule type="containsText" dxfId="1818" priority="151" operator="containsText" text="Sublimite">
      <formula>NOT(ISERROR(SEARCH("Sublimite",E96)))</formula>
    </cfRule>
    <cfRule type="containsText" dxfId="1817" priority="150" operator="containsText" text="Excluido">
      <formula>NOT(ISERROR(SEARCH("Excluido",E96)))</formula>
    </cfRule>
    <cfRule type="containsText" dxfId="1816" priority="149" operator="containsText" text="Sublimite">
      <formula>NOT(ISERROR(SEARCH("Sublimite",E96)))</formula>
    </cfRule>
    <cfRule type="containsText" dxfId="1815" priority="148" operator="containsText" text="Excluido">
      <formula>NOT(ISERROR(SEARCH("Excluido",E96)))</formula>
    </cfRule>
  </conditionalFormatting>
  <conditionalFormatting sqref="E101:E102">
    <cfRule type="containsText" dxfId="1814" priority="491" operator="containsText" text="Adicional">
      <formula>NOT(ISERROR(SEARCH("Adicional",E101)))</formula>
    </cfRule>
    <cfRule type="containsText" dxfId="1813" priority="490" operator="containsText" text="Sublimite">
      <formula>NOT(ISERROR(SEARCH("Sublimite",E101)))</formula>
    </cfRule>
    <cfRule type="containsText" dxfId="1812" priority="488" operator="containsText" text="Excluido">
      <formula>NOT(ISERROR(SEARCH("Excluido",E101)))</formula>
    </cfRule>
    <cfRule type="containsText" dxfId="1811" priority="489" operator="containsText" text="Sublimite">
      <formula>NOT(ISERROR(SEARCH("Sublimite",E101)))</formula>
    </cfRule>
    <cfRule type="containsText" dxfId="1810" priority="487" operator="containsText" text="Sublimite">
      <formula>NOT(ISERROR(SEARCH("Sublimite",E101)))</formula>
    </cfRule>
    <cfRule type="containsText" dxfId="1809" priority="486" operator="containsText" text="Excluido">
      <formula>NOT(ISERROR(SEARCH("Excluido",E101)))</formula>
    </cfRule>
  </conditionalFormatting>
  <conditionalFormatting sqref="E105:E106">
    <cfRule type="containsText" dxfId="1808" priority="478" operator="containsText" text="Sublimite">
      <formula>NOT(ISERROR(SEARCH("Sublimite",E105)))</formula>
    </cfRule>
    <cfRule type="containsText" dxfId="1807" priority="475" operator="containsText" text="Sublimite">
      <formula>NOT(ISERROR(SEARCH("Sublimite",E105)))</formula>
    </cfRule>
    <cfRule type="containsText" dxfId="1806" priority="476" operator="containsText" text="Excluido">
      <formula>NOT(ISERROR(SEARCH("Excluido",E105)))</formula>
    </cfRule>
    <cfRule type="containsText" dxfId="1805" priority="477" operator="containsText" text="Sublimite">
      <formula>NOT(ISERROR(SEARCH("Sublimite",E105)))</formula>
    </cfRule>
    <cfRule type="containsText" dxfId="1804" priority="479" operator="containsText" text="Adicional">
      <formula>NOT(ISERROR(SEARCH("Adicional",E105)))</formula>
    </cfRule>
    <cfRule type="containsText" dxfId="1803" priority="474" operator="containsText" text="Excluido">
      <formula>NOT(ISERROR(SEARCH("Excluido",E105)))</formula>
    </cfRule>
  </conditionalFormatting>
  <conditionalFormatting sqref="E109:E110">
    <cfRule type="containsText" dxfId="1802" priority="463" operator="containsText" text="Sublimite">
      <formula>NOT(ISERROR(SEARCH("Sublimite",E109)))</formula>
    </cfRule>
    <cfRule type="containsText" dxfId="1801" priority="464" operator="containsText" text="Excluido">
      <formula>NOT(ISERROR(SEARCH("Excluido",E109)))</formula>
    </cfRule>
    <cfRule type="containsText" dxfId="1800" priority="465" operator="containsText" text="Sublimite">
      <formula>NOT(ISERROR(SEARCH("Sublimite",E109)))</formula>
    </cfRule>
    <cfRule type="containsText" dxfId="1799" priority="466" operator="containsText" text="Sublimite">
      <formula>NOT(ISERROR(SEARCH("Sublimite",E109)))</formula>
    </cfRule>
    <cfRule type="containsText" dxfId="1798" priority="462" operator="containsText" text="Excluido">
      <formula>NOT(ISERROR(SEARCH("Excluido",E109)))</formula>
    </cfRule>
    <cfRule type="containsText" dxfId="1797" priority="467" operator="containsText" text="Adicional">
      <formula>NOT(ISERROR(SEARCH("Adicional",E109)))</formula>
    </cfRule>
  </conditionalFormatting>
  <conditionalFormatting sqref="E113:E114">
    <cfRule type="containsText" dxfId="1796" priority="450" operator="containsText" text="Excluido">
      <formula>NOT(ISERROR(SEARCH("Excluido",E113)))</formula>
    </cfRule>
    <cfRule type="containsText" dxfId="1795" priority="455" operator="containsText" text="Adicional">
      <formula>NOT(ISERROR(SEARCH("Adicional",E113)))</formula>
    </cfRule>
    <cfRule type="containsText" dxfId="1794" priority="453" operator="containsText" text="Sublimite">
      <formula>NOT(ISERROR(SEARCH("Sublimite",E113)))</formula>
    </cfRule>
    <cfRule type="containsText" dxfId="1793" priority="452" operator="containsText" text="Excluido">
      <formula>NOT(ISERROR(SEARCH("Excluido",E113)))</formula>
    </cfRule>
    <cfRule type="containsText" dxfId="1792" priority="451" operator="containsText" text="Sublimite">
      <formula>NOT(ISERROR(SEARCH("Sublimite",E113)))</formula>
    </cfRule>
    <cfRule type="containsText" dxfId="1791" priority="454" operator="containsText" text="Sublimite">
      <formula>NOT(ISERROR(SEARCH("Sublimite",E113)))</formula>
    </cfRule>
  </conditionalFormatting>
  <conditionalFormatting sqref="E117">
    <cfRule type="containsText" dxfId="1790" priority="12" operator="containsText" text="Adicional">
      <formula>NOT(ISERROR(SEARCH("Adicional",E117)))</formula>
    </cfRule>
    <cfRule type="containsText" dxfId="1789" priority="11" operator="containsText" text="Sublimite">
      <formula>NOT(ISERROR(SEARCH("Sublimite",E117)))</formula>
    </cfRule>
  </conditionalFormatting>
  <conditionalFormatting sqref="E117:E121">
    <cfRule type="containsText" dxfId="1788" priority="10" operator="containsText" text="Sublimite">
      <formula>NOT(ISERROR(SEARCH("Sublimite",E117)))</formula>
    </cfRule>
    <cfRule type="containsText" dxfId="1787" priority="9" operator="containsText" text="Excluido">
      <formula>NOT(ISERROR(SEARCH("Excluido",E117)))</formula>
    </cfRule>
    <cfRule type="containsText" dxfId="1786" priority="8" operator="containsText" text="Sublimite">
      <formula>NOT(ISERROR(SEARCH("Sublimite",E117)))</formula>
    </cfRule>
    <cfRule type="containsText" dxfId="1785" priority="7" operator="containsText" text="Excluido">
      <formula>NOT(ISERROR(SEARCH("Excluido",E117)))</formula>
    </cfRule>
  </conditionalFormatting>
  <conditionalFormatting sqref="E118:E121">
    <cfRule type="containsText" dxfId="1784" priority="147" operator="containsText" text="Sublimite">
      <formula>NOT(ISERROR(SEARCH("Sublimite",E118)))</formula>
    </cfRule>
  </conditionalFormatting>
  <conditionalFormatting sqref="E124">
    <cfRule type="containsText" dxfId="1783" priority="5" operator="containsText" text="Sublimite">
      <formula>NOT(ISERROR(SEARCH("Sublimite",E124)))</formula>
    </cfRule>
    <cfRule type="containsText" dxfId="1782" priority="6" operator="containsText" text="Adicional">
      <formula>NOT(ISERROR(SEARCH("Adicional",E124)))</formula>
    </cfRule>
  </conditionalFormatting>
  <conditionalFormatting sqref="E124:E128">
    <cfRule type="containsText" dxfId="1781" priority="3" operator="containsText" text="Excluido">
      <formula>NOT(ISERROR(SEARCH("Excluido",E124)))</formula>
    </cfRule>
    <cfRule type="containsText" dxfId="1780" priority="4" operator="containsText" text="Sublimite">
      <formula>NOT(ISERROR(SEARCH("Sublimite",E124)))</formula>
    </cfRule>
    <cfRule type="containsText" dxfId="1779" priority="1" operator="containsText" text="Excluido">
      <formula>NOT(ISERROR(SEARCH("Excluido",E124)))</formula>
    </cfRule>
    <cfRule type="containsText" dxfId="1778" priority="2" operator="containsText" text="Sublimite">
      <formula>NOT(ISERROR(SEARCH("Sublimite",E124)))</formula>
    </cfRule>
  </conditionalFormatting>
  <conditionalFormatting sqref="E125:E128">
    <cfRule type="containsText" dxfId="1777" priority="142" operator="containsText" text="Sublimite">
      <formula>NOT(ISERROR(SEARCH("Sublimite",E125)))</formula>
    </cfRule>
  </conditionalFormatting>
  <conditionalFormatting sqref="E131:E136">
    <cfRule type="containsText" dxfId="1776" priority="365" operator="containsText" text="Adicional">
      <formula>NOT(ISERROR(SEARCH("Adicional",E131)))</formula>
    </cfRule>
    <cfRule type="containsText" dxfId="1775" priority="364" operator="containsText" text="Sublimite">
      <formula>NOT(ISERROR(SEARCH("Sublimite",E131)))</formula>
    </cfRule>
    <cfRule type="containsText" dxfId="1774" priority="363" operator="containsText" text="Sublimite">
      <formula>NOT(ISERROR(SEARCH("Sublimite",E131)))</formula>
    </cfRule>
    <cfRule type="containsText" dxfId="1773" priority="362" operator="containsText" text="Excluido">
      <formula>NOT(ISERROR(SEARCH("Excluido",E131)))</formula>
    </cfRule>
    <cfRule type="containsText" dxfId="1772" priority="361" operator="containsText" text="Sublimite">
      <formula>NOT(ISERROR(SEARCH("Sublimite",E131)))</formula>
    </cfRule>
    <cfRule type="containsText" dxfId="1771" priority="360" operator="containsText" text="Excluido">
      <formula>NOT(ISERROR(SEARCH("Excluido",E131)))</formula>
    </cfRule>
  </conditionalFormatting>
  <conditionalFormatting sqref="E139:E144">
    <cfRule type="containsText" dxfId="1770" priority="355" operator="containsText" text="Sublimite">
      <formula>NOT(ISERROR(SEARCH("Sublimite",E139)))</formula>
    </cfRule>
    <cfRule type="containsText" dxfId="1769" priority="354" operator="containsText" text="Excluido">
      <formula>NOT(ISERROR(SEARCH("Excluido",E139)))</formula>
    </cfRule>
    <cfRule type="containsText" dxfId="1768" priority="358" operator="containsText" text="Sublimite">
      <formula>NOT(ISERROR(SEARCH("Sublimite",E139)))</formula>
    </cfRule>
    <cfRule type="containsText" dxfId="1767" priority="357" operator="containsText" text="Sublimite">
      <formula>NOT(ISERROR(SEARCH("Sublimite",E139)))</formula>
    </cfRule>
    <cfRule type="containsText" dxfId="1766" priority="356" operator="containsText" text="Excluido">
      <formula>NOT(ISERROR(SEARCH("Excluido",E139)))</formula>
    </cfRule>
    <cfRule type="containsText" dxfId="1765" priority="359" operator="containsText" text="Adicional">
      <formula>NOT(ISERROR(SEARCH("Adicional",E139)))</formula>
    </cfRule>
  </conditionalFormatting>
  <conditionalFormatting sqref="E147">
    <cfRule type="containsText" dxfId="1764" priority="352" operator="containsText" text="Sublimite">
      <formula>NOT(ISERROR(SEARCH("Sublimite",E147)))</formula>
    </cfRule>
    <cfRule type="containsText" dxfId="1763" priority="351" operator="containsText" text="Sublimite">
      <formula>NOT(ISERROR(SEARCH("Sublimite",E147)))</formula>
    </cfRule>
    <cfRule type="containsText" dxfId="1762" priority="350" operator="containsText" text="Excluido">
      <formula>NOT(ISERROR(SEARCH("Excluido",E147)))</formula>
    </cfRule>
    <cfRule type="containsText" dxfId="1761" priority="349" operator="containsText" text="Sublimite">
      <formula>NOT(ISERROR(SEARCH("Sublimite",E147)))</formula>
    </cfRule>
    <cfRule type="containsText" dxfId="1760" priority="348" operator="containsText" text="Excluido">
      <formula>NOT(ISERROR(SEARCH("Excluido",E147)))</formula>
    </cfRule>
    <cfRule type="containsText" dxfId="1759" priority="353" operator="containsText" text="Adicional">
      <formula>NOT(ISERROR(SEARCH("Adicional",E147)))</formula>
    </cfRule>
  </conditionalFormatting>
  <conditionalFormatting sqref="E150">
    <cfRule type="containsText" dxfId="1758" priority="343" operator="containsText" text="Sublimite">
      <formula>NOT(ISERROR(SEARCH("Sublimite",E150)))</formula>
    </cfRule>
    <cfRule type="containsText" dxfId="1757" priority="347" operator="containsText" text="Adicional">
      <formula>NOT(ISERROR(SEARCH("Adicional",E150)))</formula>
    </cfRule>
    <cfRule type="containsText" dxfId="1756" priority="342" operator="containsText" text="Excluido">
      <formula>NOT(ISERROR(SEARCH("Excluido",E150)))</formula>
    </cfRule>
    <cfRule type="containsText" dxfId="1755" priority="346" operator="containsText" text="Sublimite">
      <formula>NOT(ISERROR(SEARCH("Sublimite",E150)))</formula>
    </cfRule>
    <cfRule type="containsText" dxfId="1754" priority="345" operator="containsText" text="Sublimite">
      <formula>NOT(ISERROR(SEARCH("Sublimite",E150)))</formula>
    </cfRule>
    <cfRule type="containsText" dxfId="1753" priority="344" operator="containsText" text="Excluido">
      <formula>NOT(ISERROR(SEARCH("Excluido",E150)))</formula>
    </cfRule>
  </conditionalFormatting>
  <conditionalFormatting sqref="E153">
    <cfRule type="containsText" dxfId="1752" priority="341" operator="containsText" text="Adicional">
      <formula>NOT(ISERROR(SEARCH("Adicional",E153)))</formula>
    </cfRule>
    <cfRule type="containsText" dxfId="1751" priority="340" operator="containsText" text="Sublimite">
      <formula>NOT(ISERROR(SEARCH("Sublimite",E153)))</formula>
    </cfRule>
    <cfRule type="containsText" dxfId="1750" priority="339" operator="containsText" text="Sublimite">
      <formula>NOT(ISERROR(SEARCH("Sublimite",E153)))</formula>
    </cfRule>
    <cfRule type="containsText" dxfId="1749" priority="336" operator="containsText" text="Excluido">
      <formula>NOT(ISERROR(SEARCH("Excluido",E153)))</formula>
    </cfRule>
    <cfRule type="containsText" dxfId="1748" priority="337" operator="containsText" text="Sublimite">
      <formula>NOT(ISERROR(SEARCH("Sublimite",E153)))</formula>
    </cfRule>
    <cfRule type="containsText" dxfId="1747" priority="338" operator="containsText" text="Excluido">
      <formula>NOT(ISERROR(SEARCH("Excluido",E153)))</formula>
    </cfRule>
  </conditionalFormatting>
  <conditionalFormatting sqref="E156">
    <cfRule type="containsText" dxfId="1746" priority="333" operator="containsText" text="Sublimite">
      <formula>NOT(ISERROR(SEARCH("Sublimite",E156)))</formula>
    </cfRule>
    <cfRule type="containsText" dxfId="1745" priority="335" operator="containsText" text="Adicional">
      <formula>NOT(ISERROR(SEARCH("Adicional",E156)))</formula>
    </cfRule>
    <cfRule type="containsText" dxfId="1744" priority="334" operator="containsText" text="Sublimite">
      <formula>NOT(ISERROR(SEARCH("Sublimite",E156)))</formula>
    </cfRule>
    <cfRule type="containsText" dxfId="1743" priority="332" operator="containsText" text="Excluido">
      <formula>NOT(ISERROR(SEARCH("Excluido",E156)))</formula>
    </cfRule>
    <cfRule type="containsText" dxfId="1742" priority="331" operator="containsText" text="Sublimite">
      <formula>NOT(ISERROR(SEARCH("Sublimite",E156)))</formula>
    </cfRule>
    <cfRule type="containsText" dxfId="1741" priority="330" operator="containsText" text="Excluido">
      <formula>NOT(ISERROR(SEARCH("Excluido",E156)))</formula>
    </cfRule>
  </conditionalFormatting>
  <conditionalFormatting sqref="E159">
    <cfRule type="containsText" dxfId="1740" priority="329" operator="containsText" text="Adicional">
      <formula>NOT(ISERROR(SEARCH("Adicional",E159)))</formula>
    </cfRule>
    <cfRule type="containsText" dxfId="1739" priority="327" operator="containsText" text="Sublimite">
      <formula>NOT(ISERROR(SEARCH("Sublimite",E159)))</formula>
    </cfRule>
    <cfRule type="containsText" dxfId="1738" priority="328" operator="containsText" text="Sublimite">
      <formula>NOT(ISERROR(SEARCH("Sublimite",E159)))</formula>
    </cfRule>
    <cfRule type="containsText" dxfId="1737" priority="326" operator="containsText" text="Excluido">
      <formula>NOT(ISERROR(SEARCH("Excluido",E159)))</formula>
    </cfRule>
    <cfRule type="containsText" dxfId="1736" priority="325" operator="containsText" text="Sublimite">
      <formula>NOT(ISERROR(SEARCH("Sublimite",E159)))</formula>
    </cfRule>
    <cfRule type="containsText" dxfId="1735" priority="324" operator="containsText" text="Excluido">
      <formula>NOT(ISERROR(SEARCH("Excluido",E159)))</formula>
    </cfRule>
  </conditionalFormatting>
  <conditionalFormatting sqref="E162:E163">
    <cfRule type="containsText" dxfId="1734" priority="442" operator="containsText" text="Sublimite">
      <formula>NOT(ISERROR(SEARCH("Sublimite",E162)))</formula>
    </cfRule>
    <cfRule type="containsText" dxfId="1733" priority="443" operator="containsText" text="Adicional">
      <formula>NOT(ISERROR(SEARCH("Adicional",E162)))</formula>
    </cfRule>
  </conditionalFormatting>
  <conditionalFormatting sqref="E162:E165">
    <cfRule type="containsText" dxfId="1732" priority="438" operator="containsText" text="Excluido">
      <formula>NOT(ISERROR(SEARCH("Excluido",E162)))</formula>
    </cfRule>
    <cfRule type="containsText" dxfId="1731" priority="439" operator="containsText" text="Sublimite">
      <formula>NOT(ISERROR(SEARCH("Sublimite",E162)))</formula>
    </cfRule>
    <cfRule type="containsText" dxfId="1730" priority="440" operator="containsText" text="Excluido">
      <formula>NOT(ISERROR(SEARCH("Excluido",E162)))</formula>
    </cfRule>
    <cfRule type="containsText" dxfId="1729" priority="441" operator="containsText" text="Sublimite">
      <formula>NOT(ISERROR(SEARCH("Sublimite",E162)))</formula>
    </cfRule>
  </conditionalFormatting>
  <conditionalFormatting sqref="E164:E165">
    <cfRule type="containsText" dxfId="1728" priority="624" operator="containsText" text="Sublimite">
      <formula>NOT(ISERROR(SEARCH("Sublimite",E164)))</formula>
    </cfRule>
  </conditionalFormatting>
  <conditionalFormatting sqref="E168:E169">
    <cfRule type="containsText" dxfId="1727" priority="430" operator="containsText" text="Sublimite">
      <formula>NOT(ISERROR(SEARCH("Sublimite",E168)))</formula>
    </cfRule>
    <cfRule type="containsText" dxfId="1726" priority="431" operator="containsText" text="Adicional">
      <formula>NOT(ISERROR(SEARCH("Adicional",E168)))</formula>
    </cfRule>
  </conditionalFormatting>
  <conditionalFormatting sqref="E168:E171">
    <cfRule type="containsText" dxfId="1725" priority="426" operator="containsText" text="Excluido">
      <formula>NOT(ISERROR(SEARCH("Excluido",E168)))</formula>
    </cfRule>
    <cfRule type="containsText" dxfId="1724" priority="427" operator="containsText" text="Sublimite">
      <formula>NOT(ISERROR(SEARCH("Sublimite",E168)))</formula>
    </cfRule>
    <cfRule type="containsText" dxfId="1723" priority="428" operator="containsText" text="Excluido">
      <formula>NOT(ISERROR(SEARCH("Excluido",E168)))</formula>
    </cfRule>
    <cfRule type="containsText" dxfId="1722" priority="429" operator="containsText" text="Sublimite">
      <formula>NOT(ISERROR(SEARCH("Sublimite",E168)))</formula>
    </cfRule>
  </conditionalFormatting>
  <conditionalFormatting sqref="E170:E171">
    <cfRule type="containsText" dxfId="1721" priority="614" operator="containsText" text="Sublimite">
      <formula>NOT(ISERROR(SEARCH("Sublimite",E170)))</formula>
    </cfRule>
  </conditionalFormatting>
  <conditionalFormatting sqref="E174:E175">
    <cfRule type="containsText" dxfId="1720" priority="418" operator="containsText" text="Sublimite">
      <formula>NOT(ISERROR(SEARCH("Sublimite",E174)))</formula>
    </cfRule>
    <cfRule type="containsText" dxfId="1719" priority="419" operator="containsText" text="Adicional">
      <formula>NOT(ISERROR(SEARCH("Adicional",E174)))</formula>
    </cfRule>
  </conditionalFormatting>
  <conditionalFormatting sqref="E174:E177">
    <cfRule type="containsText" dxfId="1718" priority="414" operator="containsText" text="Excluido">
      <formula>NOT(ISERROR(SEARCH("Excluido",E174)))</formula>
    </cfRule>
    <cfRule type="containsText" dxfId="1717" priority="415" operator="containsText" text="Sublimite">
      <formula>NOT(ISERROR(SEARCH("Sublimite",E174)))</formula>
    </cfRule>
    <cfRule type="containsText" dxfId="1716" priority="416" operator="containsText" text="Excluido">
      <formula>NOT(ISERROR(SEARCH("Excluido",E174)))</formula>
    </cfRule>
    <cfRule type="containsText" dxfId="1715" priority="417" operator="containsText" text="Sublimite">
      <formula>NOT(ISERROR(SEARCH("Sublimite",E174)))</formula>
    </cfRule>
  </conditionalFormatting>
  <conditionalFormatting sqref="E176:E177">
    <cfRule type="containsText" dxfId="1714" priority="604" operator="containsText" text="Sublimite">
      <formula>NOT(ISERROR(SEARCH("Sublimite",E176)))</formula>
    </cfRule>
  </conditionalFormatting>
  <conditionalFormatting sqref="E180:E181">
    <cfRule type="containsText" dxfId="1713" priority="593" operator="containsText" text="Sublimite">
      <formula>NOT(ISERROR(SEARCH("Sublimite",E180)))</formula>
    </cfRule>
    <cfRule type="containsText" dxfId="1712" priority="594" operator="containsText" text="Sublimite">
      <formula>NOT(ISERROR(SEARCH("Sublimite",E180)))</formula>
    </cfRule>
    <cfRule type="containsText" dxfId="1711" priority="590" operator="containsText" text="Excluido">
      <formula>NOT(ISERROR(SEARCH("Excluido",E180)))</formula>
    </cfRule>
    <cfRule type="containsText" dxfId="1710" priority="591" operator="containsText" text="Sublimite">
      <formula>NOT(ISERROR(SEARCH("Sublimite",E180)))</formula>
    </cfRule>
    <cfRule type="containsText" dxfId="1709" priority="592" operator="containsText" text="Excluido">
      <formula>NOT(ISERROR(SEARCH("Excluido",E180)))</formula>
    </cfRule>
  </conditionalFormatting>
  <conditionalFormatting sqref="E184:E185">
    <cfRule type="containsText" dxfId="1708" priority="584" operator="containsText" text="Sublimite">
      <formula>NOT(ISERROR(SEARCH("Sublimite",E184)))</formula>
    </cfRule>
    <cfRule type="containsText" dxfId="1707" priority="583" operator="containsText" text="Sublimite">
      <formula>NOT(ISERROR(SEARCH("Sublimite",E184)))</formula>
    </cfRule>
    <cfRule type="containsText" dxfId="1706" priority="582" operator="containsText" text="Excluido">
      <formula>NOT(ISERROR(SEARCH("Excluido",E184)))</formula>
    </cfRule>
    <cfRule type="containsText" dxfId="1705" priority="581" operator="containsText" text="Sublimite">
      <formula>NOT(ISERROR(SEARCH("Sublimite",E184)))</formula>
    </cfRule>
    <cfRule type="containsText" dxfId="1704" priority="580" operator="containsText" text="Excluido">
      <formula>NOT(ISERROR(SEARCH("Excluido",E184)))</formula>
    </cfRule>
  </conditionalFormatting>
  <conditionalFormatting sqref="E188:E191">
    <cfRule type="containsText" dxfId="1703" priority="394" operator="containsText" text="Sublimite">
      <formula>NOT(ISERROR(SEARCH("Sublimite",E188)))</formula>
    </cfRule>
    <cfRule type="containsText" dxfId="1702" priority="395" operator="containsText" text="Adicional">
      <formula>NOT(ISERROR(SEARCH("Adicional",E188)))</formula>
    </cfRule>
  </conditionalFormatting>
  <conditionalFormatting sqref="E188:E201">
    <cfRule type="containsText" dxfId="1701" priority="391" operator="containsText" text="Sublimite">
      <formula>NOT(ISERROR(SEARCH("Sublimite",E188)))</formula>
    </cfRule>
    <cfRule type="containsText" dxfId="1700" priority="392" operator="containsText" text="Excluido">
      <formula>NOT(ISERROR(SEARCH("Excluido",E188)))</formula>
    </cfRule>
    <cfRule type="containsText" dxfId="1699" priority="393" operator="containsText" text="Sublimite">
      <formula>NOT(ISERROR(SEARCH("Sublimite",E188)))</formula>
    </cfRule>
    <cfRule type="containsText" dxfId="1698" priority="390" operator="containsText" text="Excluido">
      <formula>NOT(ISERROR(SEARCH("Excluido",E188)))</formula>
    </cfRule>
  </conditionalFormatting>
  <conditionalFormatting sqref="E192:E201">
    <cfRule type="containsText" dxfId="1697" priority="534" operator="containsText" text="Sublimite">
      <formula>NOT(ISERROR(SEARCH("Sublimite",E192)))</formula>
    </cfRule>
  </conditionalFormatting>
  <conditionalFormatting sqref="E204:E205">
    <cfRule type="containsText" dxfId="1696" priority="524" operator="containsText" text="Sublimite">
      <formula>NOT(ISERROR(SEARCH("Sublimite",E204)))</formula>
    </cfRule>
    <cfRule type="containsText" dxfId="1695" priority="523" operator="containsText" text="Sublimite">
      <formula>NOT(ISERROR(SEARCH("Sublimite",E204)))</formula>
    </cfRule>
    <cfRule type="containsText" dxfId="1694" priority="522" operator="containsText" text="Excluido">
      <formula>NOT(ISERROR(SEARCH("Excluido",E204)))</formula>
    </cfRule>
    <cfRule type="containsText" dxfId="1693" priority="521" operator="containsText" text="Sublimite">
      <formula>NOT(ISERROR(SEARCH("Sublimite",E204)))</formula>
    </cfRule>
    <cfRule type="containsText" dxfId="1692" priority="520" operator="containsText" text="Excluido">
      <formula>NOT(ISERROR(SEARCH("Excluido",E204)))</formula>
    </cfRule>
  </conditionalFormatting>
  <conditionalFormatting sqref="E208:E209">
    <cfRule type="containsText" dxfId="1691" priority="511" operator="containsText" text="Sublimite">
      <formula>NOT(ISERROR(SEARCH("Sublimite",E208)))</formula>
    </cfRule>
    <cfRule type="containsText" dxfId="1690" priority="513" operator="containsText" text="Sublimite">
      <formula>NOT(ISERROR(SEARCH("Sublimite",E208)))</formula>
    </cfRule>
    <cfRule type="containsText" dxfId="1689" priority="514" operator="containsText" text="Sublimite">
      <formula>NOT(ISERROR(SEARCH("Sublimite",E208)))</formula>
    </cfRule>
    <cfRule type="containsText" dxfId="1688" priority="512" operator="containsText" text="Excluido">
      <formula>NOT(ISERROR(SEARCH("Excluido",E208)))</formula>
    </cfRule>
    <cfRule type="containsText" dxfId="1687" priority="510" operator="containsText" text="Excluido">
      <formula>NOT(ISERROR(SEARCH("Excluido",E208)))</formula>
    </cfRule>
  </conditionalFormatting>
  <conditionalFormatting sqref="E212">
    <cfRule type="containsText" dxfId="1686" priority="322" operator="containsText" text="Sublimite">
      <formula>NOT(ISERROR(SEARCH("Sublimite",E212)))</formula>
    </cfRule>
    <cfRule type="containsText" dxfId="1685" priority="318" operator="containsText" text="Excluido">
      <formula>NOT(ISERROR(SEARCH("Excluido",E212)))</formula>
    </cfRule>
    <cfRule type="containsText" dxfId="1684" priority="319" operator="containsText" text="Sublimite">
      <formula>NOT(ISERROR(SEARCH("Sublimite",E212)))</formula>
    </cfRule>
    <cfRule type="containsText" dxfId="1683" priority="320" operator="containsText" text="Excluido">
      <formula>NOT(ISERROR(SEARCH("Excluido",E212)))</formula>
    </cfRule>
    <cfRule type="containsText" dxfId="1682" priority="321" operator="containsText" text="Sublimite">
      <formula>NOT(ISERROR(SEARCH("Sublimite",E212)))</formula>
    </cfRule>
    <cfRule type="containsText" dxfId="1681" priority="323" operator="containsText" text="Adicional">
      <formula>NOT(ISERROR(SEARCH("Adicional",E212)))</formula>
    </cfRule>
  </conditionalFormatting>
  <conditionalFormatting sqref="E215">
    <cfRule type="containsText" dxfId="1680" priority="317" operator="containsText" text="Adicional">
      <formula>NOT(ISERROR(SEARCH("Adicional",E215)))</formula>
    </cfRule>
    <cfRule type="containsText" dxfId="1679" priority="315" operator="containsText" text="Sublimite">
      <formula>NOT(ISERROR(SEARCH("Sublimite",E215)))</formula>
    </cfRule>
    <cfRule type="containsText" dxfId="1678" priority="314" operator="containsText" text="Excluido">
      <formula>NOT(ISERROR(SEARCH("Excluido",E215)))</formula>
    </cfRule>
    <cfRule type="containsText" dxfId="1677" priority="313" operator="containsText" text="Sublimite">
      <formula>NOT(ISERROR(SEARCH("Sublimite",E215)))</formula>
    </cfRule>
    <cfRule type="containsText" dxfId="1676" priority="312" operator="containsText" text="Excluido">
      <formula>NOT(ISERROR(SEARCH("Excluido",E215)))</formula>
    </cfRule>
    <cfRule type="containsText" dxfId="1675" priority="316" operator="containsText" text="Sublimite">
      <formula>NOT(ISERROR(SEARCH("Sublimite",E215)))</formula>
    </cfRule>
  </conditionalFormatting>
  <conditionalFormatting sqref="E218">
    <cfRule type="containsText" dxfId="1674" priority="311" operator="containsText" text="Adicional">
      <formula>NOT(ISERROR(SEARCH("Adicional",E218)))</formula>
    </cfRule>
    <cfRule type="containsText" dxfId="1673" priority="310" operator="containsText" text="Sublimite">
      <formula>NOT(ISERROR(SEARCH("Sublimite",E218)))</formula>
    </cfRule>
  </conditionalFormatting>
  <conditionalFormatting sqref="E218:E219">
    <cfRule type="containsText" dxfId="1672" priority="133" operator="containsText" text="Excluido">
      <formula>NOT(ISERROR(SEARCH("Excluido",E218)))</formula>
    </cfRule>
    <cfRule type="containsText" dxfId="1671" priority="136" operator="containsText" text="Sublimite">
      <formula>NOT(ISERROR(SEARCH("Sublimite",E218)))</formula>
    </cfRule>
    <cfRule type="containsText" dxfId="1670" priority="134" operator="containsText" text="Sublimite">
      <formula>NOT(ISERROR(SEARCH("Sublimite",E218)))</formula>
    </cfRule>
    <cfRule type="containsText" dxfId="1669" priority="135" operator="containsText" text="Excluido">
      <formula>NOT(ISERROR(SEARCH("Excluido",E218)))</formula>
    </cfRule>
  </conditionalFormatting>
  <conditionalFormatting sqref="E219">
    <cfRule type="containsText" dxfId="1668" priority="137" operator="containsText" text="Sublimite">
      <formula>NOT(ISERROR(SEARCH("Sublimite",E219)))</formula>
    </cfRule>
  </conditionalFormatting>
  <conditionalFormatting sqref="E222">
    <cfRule type="containsText" dxfId="1667" priority="132" operator="containsText" text="Sublimite">
      <formula>NOT(ISERROR(SEARCH("Sublimite",E222)))</formula>
    </cfRule>
    <cfRule type="containsText" dxfId="1666" priority="131" operator="containsText" text="Sublimite">
      <formula>NOT(ISERROR(SEARCH("Sublimite",E222)))</formula>
    </cfRule>
    <cfRule type="containsText" dxfId="1665" priority="130" operator="containsText" text="Excluido">
      <formula>NOT(ISERROR(SEARCH("Excluido",E222)))</formula>
    </cfRule>
    <cfRule type="containsText" dxfId="1664" priority="129" operator="containsText" text="Sublimite">
      <formula>NOT(ISERROR(SEARCH("Sublimite",E222)))</formula>
    </cfRule>
    <cfRule type="containsText" dxfId="1663" priority="128" operator="containsText" text="Excluido">
      <formula>NOT(ISERROR(SEARCH("Excluido",E222)))</formula>
    </cfRule>
  </conditionalFormatting>
  <conditionalFormatting sqref="E225">
    <cfRule type="containsText" dxfId="1662" priority="123" operator="containsText" text="Excluido">
      <formula>NOT(ISERROR(SEARCH("Excluido",E225)))</formula>
    </cfRule>
    <cfRule type="containsText" dxfId="1661" priority="124" operator="containsText" text="Sublimite">
      <formula>NOT(ISERROR(SEARCH("Sublimite",E225)))</formula>
    </cfRule>
    <cfRule type="containsText" dxfId="1660" priority="127" operator="containsText" text="Sublimite">
      <formula>NOT(ISERROR(SEARCH("Sublimite",E225)))</formula>
    </cfRule>
    <cfRule type="containsText" dxfId="1659" priority="126" operator="containsText" text="Sublimite">
      <formula>NOT(ISERROR(SEARCH("Sublimite",E225)))</formula>
    </cfRule>
    <cfRule type="containsText" dxfId="1658" priority="125" operator="containsText" text="Excluido">
      <formula>NOT(ISERROR(SEARCH("Excluido",E225)))</formula>
    </cfRule>
  </conditionalFormatting>
  <conditionalFormatting sqref="E228">
    <cfRule type="containsText" dxfId="1657" priority="304" operator="containsText" text="Sublimite">
      <formula>NOT(ISERROR(SEARCH("Sublimite",E228)))</formula>
    </cfRule>
    <cfRule type="containsText" dxfId="1656" priority="305" operator="containsText" text="Adicional">
      <formula>NOT(ISERROR(SEARCH("Adicional",E228)))</formula>
    </cfRule>
  </conditionalFormatting>
  <conditionalFormatting sqref="E228:E229">
    <cfRule type="containsText" dxfId="1655" priority="118" operator="containsText" text="Excluido">
      <formula>NOT(ISERROR(SEARCH("Excluido",E228)))</formula>
    </cfRule>
    <cfRule type="containsText" dxfId="1654" priority="119" operator="containsText" text="Sublimite">
      <formula>NOT(ISERROR(SEARCH("Sublimite",E228)))</formula>
    </cfRule>
    <cfRule type="containsText" dxfId="1653" priority="121" operator="containsText" text="Sublimite">
      <formula>NOT(ISERROR(SEARCH("Sublimite",E228)))</formula>
    </cfRule>
    <cfRule type="containsText" dxfId="1652" priority="120" operator="containsText" text="Excluido">
      <formula>NOT(ISERROR(SEARCH("Excluido",E228)))</formula>
    </cfRule>
  </conditionalFormatting>
  <conditionalFormatting sqref="E229">
    <cfRule type="containsText" dxfId="1651" priority="122" operator="containsText" text="Sublimite">
      <formula>NOT(ISERROR(SEARCH("Sublimite",E229)))</formula>
    </cfRule>
  </conditionalFormatting>
  <conditionalFormatting sqref="E232">
    <cfRule type="containsText" dxfId="1650" priority="113" operator="containsText" text="Excluido">
      <formula>NOT(ISERROR(SEARCH("Excluido",E232)))</formula>
    </cfRule>
    <cfRule type="containsText" dxfId="1649" priority="115" operator="containsText" text="Excluido">
      <formula>NOT(ISERROR(SEARCH("Excluido",E232)))</formula>
    </cfRule>
    <cfRule type="containsText" dxfId="1648" priority="116" operator="containsText" text="Sublimite">
      <formula>NOT(ISERROR(SEARCH("Sublimite",E232)))</formula>
    </cfRule>
    <cfRule type="containsText" dxfId="1647" priority="117" operator="containsText" text="Sublimite">
      <formula>NOT(ISERROR(SEARCH("Sublimite",E232)))</formula>
    </cfRule>
    <cfRule type="containsText" dxfId="1646" priority="114" operator="containsText" text="Sublimite">
      <formula>NOT(ISERROR(SEARCH("Sublimite",E232)))</formula>
    </cfRule>
  </conditionalFormatting>
  <conditionalFormatting sqref="E235">
    <cfRule type="containsText" dxfId="1645" priority="108" operator="containsText" text="Excluido">
      <formula>NOT(ISERROR(SEARCH("Excluido",E235)))</formula>
    </cfRule>
    <cfRule type="containsText" dxfId="1644" priority="109" operator="containsText" text="Sublimite">
      <formula>NOT(ISERROR(SEARCH("Sublimite",E235)))</formula>
    </cfRule>
    <cfRule type="containsText" dxfId="1643" priority="110" operator="containsText" text="Excluido">
      <formula>NOT(ISERROR(SEARCH("Excluido",E235)))</formula>
    </cfRule>
    <cfRule type="containsText" dxfId="1642" priority="111" operator="containsText" text="Sublimite">
      <formula>NOT(ISERROR(SEARCH("Sublimite",E235)))</formula>
    </cfRule>
    <cfRule type="containsText" dxfId="1641" priority="112" operator="containsText" text="Sublimite">
      <formula>NOT(ISERROR(SEARCH("Sublimite",E235)))</formula>
    </cfRule>
  </conditionalFormatting>
  <conditionalFormatting sqref="E238:E239">
    <cfRule type="containsText" dxfId="1640" priority="295" operator="containsText" text="Sublimite">
      <formula>NOT(ISERROR(SEARCH("Sublimite",E238)))</formula>
    </cfRule>
    <cfRule type="containsText" dxfId="1639" priority="294" operator="containsText" text="Excluido">
      <formula>NOT(ISERROR(SEARCH("Excluido",E238)))</formula>
    </cfRule>
    <cfRule type="containsText" dxfId="1638" priority="296" operator="containsText" text="Excluido">
      <formula>NOT(ISERROR(SEARCH("Excluido",E238)))</formula>
    </cfRule>
    <cfRule type="containsText" dxfId="1637" priority="297" operator="containsText" text="Sublimite">
      <formula>NOT(ISERROR(SEARCH("Sublimite",E238)))</formula>
    </cfRule>
    <cfRule type="containsText" dxfId="1636" priority="298" operator="containsText" text="Sublimite">
      <formula>NOT(ISERROR(SEARCH("Sublimite",E238)))</formula>
    </cfRule>
    <cfRule type="containsText" dxfId="1635" priority="299" operator="containsText" text="Adicional">
      <formula>NOT(ISERROR(SEARCH("Adicional",E238)))</formula>
    </cfRule>
  </conditionalFormatting>
  <conditionalFormatting sqref="E242:E243">
    <cfRule type="containsText" dxfId="1634" priority="293" operator="containsText" text="Adicional">
      <formula>NOT(ISERROR(SEARCH("Adicional",E242)))</formula>
    </cfRule>
    <cfRule type="containsText" dxfId="1633" priority="292" operator="containsText" text="Sublimite">
      <formula>NOT(ISERROR(SEARCH("Sublimite",E242)))</formula>
    </cfRule>
  </conditionalFormatting>
  <conditionalFormatting sqref="E242:E271">
    <cfRule type="containsText" dxfId="1632" priority="95" operator="containsText" text="Excluido">
      <formula>NOT(ISERROR(SEARCH("Excluido",E242)))</formula>
    </cfRule>
    <cfRule type="containsText" dxfId="1631" priority="96" operator="containsText" text="Sublimite">
      <formula>NOT(ISERROR(SEARCH("Sublimite",E242)))</formula>
    </cfRule>
    <cfRule type="containsText" dxfId="1630" priority="93" operator="containsText" text="Excluido">
      <formula>NOT(ISERROR(SEARCH("Excluido",E242)))</formula>
    </cfRule>
    <cfRule type="containsText" dxfId="1629" priority="94" operator="containsText" text="Sublimite">
      <formula>NOT(ISERROR(SEARCH("Sublimite",E242)))</formula>
    </cfRule>
  </conditionalFormatting>
  <conditionalFormatting sqref="E244:E265">
    <cfRule type="containsText" dxfId="1628" priority="107" operator="containsText" text="Sublimite">
      <formula>NOT(ISERROR(SEARCH("Sublimite",E244)))</formula>
    </cfRule>
  </conditionalFormatting>
  <conditionalFormatting sqref="E266">
    <cfRule type="containsText" dxfId="1627" priority="287" operator="containsText" text="Adicional">
      <formula>NOT(ISERROR(SEARCH("Adicional",E266)))</formula>
    </cfRule>
    <cfRule type="containsText" dxfId="1626" priority="286" operator="containsText" text="Sublimite">
      <formula>NOT(ISERROR(SEARCH("Sublimite",E266)))</formula>
    </cfRule>
  </conditionalFormatting>
  <conditionalFormatting sqref="E267:E268">
    <cfRule type="containsText" dxfId="1625" priority="102" operator="containsText" text="Sublimite">
      <formula>NOT(ISERROR(SEARCH("Sublimite",E267)))</formula>
    </cfRule>
  </conditionalFormatting>
  <conditionalFormatting sqref="E269">
    <cfRule type="containsText" dxfId="1624" priority="281" operator="containsText" text="Adicional">
      <formula>NOT(ISERROR(SEARCH("Adicional",E269)))</formula>
    </cfRule>
    <cfRule type="containsText" dxfId="1623" priority="280" operator="containsText" text="Sublimite">
      <formula>NOT(ISERROR(SEARCH("Sublimite",E269)))</formula>
    </cfRule>
  </conditionalFormatting>
  <conditionalFormatting sqref="E270:E271">
    <cfRule type="containsText" dxfId="1622" priority="97" operator="containsText" text="Sublimite">
      <formula>NOT(ISERROR(SEARCH("Sublimite",E270)))</formula>
    </cfRule>
  </conditionalFormatting>
  <conditionalFormatting sqref="E274">
    <cfRule type="containsText" dxfId="1621" priority="275" operator="containsText" text="Adicional">
      <formula>NOT(ISERROR(SEARCH("Adicional",E274)))</formula>
    </cfRule>
    <cfRule type="containsText" dxfId="1620" priority="274" operator="containsText" text="Sublimite">
      <formula>NOT(ISERROR(SEARCH("Sublimite",E274)))</formula>
    </cfRule>
  </conditionalFormatting>
  <conditionalFormatting sqref="E274:E275">
    <cfRule type="containsText" dxfId="1619" priority="88" operator="containsText" text="Excluido">
      <formula>NOT(ISERROR(SEARCH("Excluido",E274)))</formula>
    </cfRule>
    <cfRule type="containsText" dxfId="1618" priority="89" operator="containsText" text="Sublimite">
      <formula>NOT(ISERROR(SEARCH("Sublimite",E274)))</formula>
    </cfRule>
    <cfRule type="containsText" dxfId="1617" priority="91" operator="containsText" text="Sublimite">
      <formula>NOT(ISERROR(SEARCH("Sublimite",E274)))</formula>
    </cfRule>
    <cfRule type="containsText" dxfId="1616" priority="90" operator="containsText" text="Excluido">
      <formula>NOT(ISERROR(SEARCH("Excluido",E274)))</formula>
    </cfRule>
  </conditionalFormatting>
  <conditionalFormatting sqref="E275">
    <cfRule type="containsText" dxfId="1615" priority="92" operator="containsText" text="Sublimite">
      <formula>NOT(ISERROR(SEARCH("Sublimite",E275)))</formula>
    </cfRule>
  </conditionalFormatting>
  <conditionalFormatting sqref="E278">
    <cfRule type="containsText" dxfId="1614" priority="269" operator="containsText" text="Adicional">
      <formula>NOT(ISERROR(SEARCH("Adicional",E278)))</formula>
    </cfRule>
    <cfRule type="containsText" dxfId="1613" priority="268" operator="containsText" text="Sublimite">
      <formula>NOT(ISERROR(SEARCH("Sublimite",E278)))</formula>
    </cfRule>
  </conditionalFormatting>
  <conditionalFormatting sqref="E278:E281">
    <cfRule type="containsText" dxfId="1612" priority="86" operator="containsText" text="Sublimite">
      <formula>NOT(ISERROR(SEARCH("Sublimite",E278)))</formula>
    </cfRule>
    <cfRule type="containsText" dxfId="1611" priority="85" operator="containsText" text="Excluido">
      <formula>NOT(ISERROR(SEARCH("Excluido",E278)))</formula>
    </cfRule>
    <cfRule type="containsText" dxfId="1610" priority="84" operator="containsText" text="Sublimite">
      <formula>NOT(ISERROR(SEARCH("Sublimite",E278)))</formula>
    </cfRule>
    <cfRule type="containsText" dxfId="1609" priority="83" operator="containsText" text="Excluido">
      <formula>NOT(ISERROR(SEARCH("Excluido",E278)))</formula>
    </cfRule>
  </conditionalFormatting>
  <conditionalFormatting sqref="E279:E281">
    <cfRule type="containsText" dxfId="1608" priority="87" operator="containsText" text="Sublimite">
      <formula>NOT(ISERROR(SEARCH("Sublimite",E279)))</formula>
    </cfRule>
  </conditionalFormatting>
  <conditionalFormatting sqref="E284:E328">
    <cfRule type="containsText" dxfId="1607" priority="262" operator="containsText" text="Sublimite">
      <formula>NOT(ISERROR(SEARCH("Sublimite",E284)))</formula>
    </cfRule>
    <cfRule type="containsText" dxfId="1606" priority="263" operator="containsText" text="Adicional">
      <formula>NOT(ISERROR(SEARCH("Adicional",E284)))</formula>
    </cfRule>
    <cfRule type="containsText" dxfId="1605" priority="258" operator="containsText" text="Excluido">
      <formula>NOT(ISERROR(SEARCH("Excluido",E284)))</formula>
    </cfRule>
    <cfRule type="containsText" dxfId="1604" priority="259" operator="containsText" text="Sublimite">
      <formula>NOT(ISERROR(SEARCH("Sublimite",E284)))</formula>
    </cfRule>
    <cfRule type="containsText" dxfId="1603" priority="260" operator="containsText" text="Excluido">
      <formula>NOT(ISERROR(SEARCH("Excluido",E284)))</formula>
    </cfRule>
    <cfRule type="containsText" dxfId="1602" priority="261" operator="containsText" text="Sublimite">
      <formula>NOT(ISERROR(SEARCH("Sublimite",E284)))</formula>
    </cfRule>
  </conditionalFormatting>
  <conditionalFormatting sqref="E331">
    <cfRule type="containsText" dxfId="1601" priority="256" operator="containsText" text="Sublimite">
      <formula>NOT(ISERROR(SEARCH("Sublimite",E331)))</formula>
    </cfRule>
    <cfRule type="containsText" dxfId="1600" priority="257" operator="containsText" text="Adicional">
      <formula>NOT(ISERROR(SEARCH("Adicional",E331)))</formula>
    </cfRule>
  </conditionalFormatting>
  <conditionalFormatting sqref="E331:E335">
    <cfRule type="containsText" dxfId="1599" priority="78" operator="containsText" text="Excluido">
      <formula>NOT(ISERROR(SEARCH("Excluido",E331)))</formula>
    </cfRule>
    <cfRule type="containsText" dxfId="1598" priority="79" operator="containsText" text="Sublimite">
      <formula>NOT(ISERROR(SEARCH("Sublimite",E331)))</formula>
    </cfRule>
    <cfRule type="containsText" dxfId="1597" priority="80" operator="containsText" text="Excluido">
      <formula>NOT(ISERROR(SEARCH("Excluido",E331)))</formula>
    </cfRule>
    <cfRule type="containsText" dxfId="1596" priority="81" operator="containsText" text="Sublimite">
      <formula>NOT(ISERROR(SEARCH("Sublimite",E331)))</formula>
    </cfRule>
  </conditionalFormatting>
  <conditionalFormatting sqref="E332:E335">
    <cfRule type="containsText" dxfId="1595" priority="82" operator="containsText" text="Sublimite">
      <formula>NOT(ISERROR(SEARCH("Sublimite",E332)))</formula>
    </cfRule>
  </conditionalFormatting>
  <conditionalFormatting sqref="E338">
    <cfRule type="containsText" dxfId="1594" priority="251" operator="containsText" text="Adicional">
      <formula>NOT(ISERROR(SEARCH("Adicional",E338)))</formula>
    </cfRule>
    <cfRule type="containsText" dxfId="1593" priority="250" operator="containsText" text="Sublimite">
      <formula>NOT(ISERROR(SEARCH("Sublimite",E338)))</formula>
    </cfRule>
  </conditionalFormatting>
  <conditionalFormatting sqref="E338:E343">
    <cfRule type="containsText" dxfId="1592" priority="75" operator="containsText" text="Excluido">
      <formula>NOT(ISERROR(SEARCH("Excluido",E338)))</formula>
    </cfRule>
    <cfRule type="containsText" dxfId="1591" priority="76" operator="containsText" text="Sublimite">
      <formula>NOT(ISERROR(SEARCH("Sublimite",E338)))</formula>
    </cfRule>
    <cfRule type="containsText" dxfId="1590" priority="73" operator="containsText" text="Excluido">
      <formula>NOT(ISERROR(SEARCH("Excluido",E338)))</formula>
    </cfRule>
    <cfRule type="containsText" dxfId="1589" priority="74" operator="containsText" text="Sublimite">
      <formula>NOT(ISERROR(SEARCH("Sublimite",E338)))</formula>
    </cfRule>
  </conditionalFormatting>
  <conditionalFormatting sqref="E339:E343">
    <cfRule type="containsText" dxfId="1588" priority="77" operator="containsText" text="Sublimite">
      <formula>NOT(ISERROR(SEARCH("Sublimite",E339)))</formula>
    </cfRule>
  </conditionalFormatting>
  <conditionalFormatting sqref="E346:E348">
    <cfRule type="containsText" dxfId="1587" priority="244" operator="containsText" text="Sublimite">
      <formula>NOT(ISERROR(SEARCH("Sublimite",E346)))</formula>
    </cfRule>
    <cfRule type="containsText" dxfId="1586" priority="245" operator="containsText" text="Adicional">
      <formula>NOT(ISERROR(SEARCH("Adicional",E346)))</formula>
    </cfRule>
  </conditionalFormatting>
  <conditionalFormatting sqref="E346:E349">
    <cfRule type="containsText" dxfId="1585" priority="243" operator="containsText" text="Sublimite">
      <formula>NOT(ISERROR(SEARCH("Sublimite",E346)))</formula>
    </cfRule>
    <cfRule type="containsText" dxfId="1584" priority="240" operator="containsText" text="Excluido">
      <formula>NOT(ISERROR(SEARCH("Excluido",E346)))</formula>
    </cfRule>
    <cfRule type="containsText" dxfId="1583" priority="241" operator="containsText" text="Sublimite">
      <formula>NOT(ISERROR(SEARCH("Sublimite",E346)))</formula>
    </cfRule>
    <cfRule type="containsText" dxfId="1582" priority="242" operator="containsText" text="Excluido">
      <formula>NOT(ISERROR(SEARCH("Excluido",E346)))</formula>
    </cfRule>
  </conditionalFormatting>
  <conditionalFormatting sqref="E349">
    <cfRule type="containsText" dxfId="1581" priority="1283" operator="containsText" text="Sublimite">
      <formula>NOT(ISERROR(SEARCH("Sublimite",E349)))</formula>
    </cfRule>
  </conditionalFormatting>
  <conditionalFormatting sqref="E352:E362">
    <cfRule type="containsText" dxfId="1580" priority="234" operator="containsText" text="Excluido">
      <formula>NOT(ISERROR(SEARCH("Excluido",E352)))</formula>
    </cfRule>
    <cfRule type="containsText" dxfId="1579" priority="235" operator="containsText" text="Sublimite">
      <formula>NOT(ISERROR(SEARCH("Sublimite",E352)))</formula>
    </cfRule>
    <cfRule type="containsText" dxfId="1578" priority="236" operator="containsText" text="Excluido">
      <formula>NOT(ISERROR(SEARCH("Excluido",E352)))</formula>
    </cfRule>
    <cfRule type="containsText" dxfId="1577" priority="237" operator="containsText" text="Sublimite">
      <formula>NOT(ISERROR(SEARCH("Sublimite",E352)))</formula>
    </cfRule>
    <cfRule type="containsText" dxfId="1576" priority="238" operator="containsText" text="Sublimite">
      <formula>NOT(ISERROR(SEARCH("Sublimite",E352)))</formula>
    </cfRule>
    <cfRule type="containsText" dxfId="1575" priority="239" operator="containsText" text="Adicional">
      <formula>NOT(ISERROR(SEARCH("Adicional",E352)))</formula>
    </cfRule>
  </conditionalFormatting>
  <conditionalFormatting sqref="E365:E368">
    <cfRule type="containsText" dxfId="1574" priority="231" operator="containsText" text="Sublimite">
      <formula>NOT(ISERROR(SEARCH("Sublimite",E365)))</formula>
    </cfRule>
    <cfRule type="containsText" dxfId="1573" priority="233" operator="containsText" text="Adicional">
      <formula>NOT(ISERROR(SEARCH("Adicional",E365)))</formula>
    </cfRule>
    <cfRule type="containsText" dxfId="1572" priority="229" operator="containsText" text="Sublimite">
      <formula>NOT(ISERROR(SEARCH("Sublimite",E365)))</formula>
    </cfRule>
    <cfRule type="containsText" dxfId="1571" priority="228" operator="containsText" text="Excluido">
      <formula>NOT(ISERROR(SEARCH("Excluido",E365)))</formula>
    </cfRule>
    <cfRule type="containsText" dxfId="1570" priority="232" operator="containsText" text="Sublimite">
      <formula>NOT(ISERROR(SEARCH("Sublimite",E365)))</formula>
    </cfRule>
    <cfRule type="containsText" dxfId="1569" priority="230" operator="containsText" text="Excluido">
      <formula>NOT(ISERROR(SEARCH("Excluido",E365)))</formula>
    </cfRule>
  </conditionalFormatting>
  <conditionalFormatting sqref="E371">
    <cfRule type="containsText" dxfId="1568" priority="227" operator="containsText" text="Adicional">
      <formula>NOT(ISERROR(SEARCH("Adicional",E371)))</formula>
    </cfRule>
    <cfRule type="containsText" dxfId="1567" priority="226" operator="containsText" text="Sublimite">
      <formula>NOT(ISERROR(SEARCH("Sublimite",E371)))</formula>
    </cfRule>
  </conditionalFormatting>
  <conditionalFormatting sqref="E371:E378">
    <cfRule type="containsText" dxfId="1566" priority="63" operator="containsText" text="Excluido">
      <formula>NOT(ISERROR(SEARCH("Excluido",E371)))</formula>
    </cfRule>
    <cfRule type="containsText" dxfId="1565" priority="64" operator="containsText" text="Sublimite">
      <formula>NOT(ISERROR(SEARCH("Sublimite",E371)))</formula>
    </cfRule>
    <cfRule type="containsText" dxfId="1564" priority="65" operator="containsText" text="Excluido">
      <formula>NOT(ISERROR(SEARCH("Excluido",E371)))</formula>
    </cfRule>
    <cfRule type="containsText" dxfId="1563" priority="66" operator="containsText" text="Sublimite">
      <formula>NOT(ISERROR(SEARCH("Sublimite",E371)))</formula>
    </cfRule>
  </conditionalFormatting>
  <conditionalFormatting sqref="E372:E378">
    <cfRule type="containsText" dxfId="1562" priority="67" operator="containsText" text="Sublimite">
      <formula>NOT(ISERROR(SEARCH("Sublimite",E372)))</formula>
    </cfRule>
  </conditionalFormatting>
  <conditionalFormatting sqref="E381:E393">
    <cfRule type="containsText" dxfId="1561" priority="221" operator="containsText" text="Adicional">
      <formula>NOT(ISERROR(SEARCH("Adicional",E381)))</formula>
    </cfRule>
    <cfRule type="containsText" dxfId="1560" priority="220" operator="containsText" text="Sublimite">
      <formula>NOT(ISERROR(SEARCH("Sublimite",E381)))</formula>
    </cfRule>
    <cfRule type="containsText" dxfId="1559" priority="219" operator="containsText" text="Sublimite">
      <formula>NOT(ISERROR(SEARCH("Sublimite",E381)))</formula>
    </cfRule>
    <cfRule type="containsText" dxfId="1558" priority="218" operator="containsText" text="Excluido">
      <formula>NOT(ISERROR(SEARCH("Excluido",E381)))</formula>
    </cfRule>
    <cfRule type="containsText" dxfId="1557" priority="217" operator="containsText" text="Sublimite">
      <formula>NOT(ISERROR(SEARCH("Sublimite",E381)))</formula>
    </cfRule>
    <cfRule type="containsText" dxfId="1556" priority="216" operator="containsText" text="Excluido">
      <formula>NOT(ISERROR(SEARCH("Excluido",E381)))</formula>
    </cfRule>
  </conditionalFormatting>
  <conditionalFormatting sqref="E396">
    <cfRule type="containsText" dxfId="1555" priority="214" operator="containsText" text="Sublimite">
      <formula>NOT(ISERROR(SEARCH("Sublimite",E396)))</formula>
    </cfRule>
    <cfRule type="containsText" dxfId="1554" priority="215" operator="containsText" text="Adicional">
      <formula>NOT(ISERROR(SEARCH("Adicional",E396)))</formula>
    </cfRule>
  </conditionalFormatting>
  <conditionalFormatting sqref="E396:E400">
    <cfRule type="containsText" dxfId="1553" priority="58" operator="containsText" text="Excluido">
      <formula>NOT(ISERROR(SEARCH("Excluido",E396)))</formula>
    </cfRule>
    <cfRule type="containsText" dxfId="1552" priority="59" operator="containsText" text="Sublimite">
      <formula>NOT(ISERROR(SEARCH("Sublimite",E396)))</formula>
    </cfRule>
    <cfRule type="containsText" dxfId="1551" priority="60" operator="containsText" text="Excluido">
      <formula>NOT(ISERROR(SEARCH("Excluido",E396)))</formula>
    </cfRule>
    <cfRule type="containsText" dxfId="1550" priority="61" operator="containsText" text="Sublimite">
      <formula>NOT(ISERROR(SEARCH("Sublimite",E396)))</formula>
    </cfRule>
  </conditionalFormatting>
  <conditionalFormatting sqref="E397:E400">
    <cfRule type="containsText" dxfId="1549" priority="62" operator="containsText" text="Sublimite">
      <formula>NOT(ISERROR(SEARCH("Sublimite",E397)))</formula>
    </cfRule>
  </conditionalFormatting>
  <conditionalFormatting sqref="E403">
    <cfRule type="containsText" dxfId="1548" priority="209" operator="containsText" text="Adicional">
      <formula>NOT(ISERROR(SEARCH("Adicional",E403)))</formula>
    </cfRule>
    <cfRule type="containsText" dxfId="1547" priority="207" operator="containsText" text="Sublimite">
      <formula>NOT(ISERROR(SEARCH("Sublimite",E403)))</formula>
    </cfRule>
    <cfRule type="containsText" dxfId="1546" priority="205" operator="containsText" text="Sublimite">
      <formula>NOT(ISERROR(SEARCH("Sublimite",E403)))</formula>
    </cfRule>
    <cfRule type="containsText" dxfId="1545" priority="206" operator="containsText" text="Excluido">
      <formula>NOT(ISERROR(SEARCH("Excluido",E403)))</formula>
    </cfRule>
    <cfRule type="containsText" dxfId="1544" priority="204" operator="containsText" text="Excluido">
      <formula>NOT(ISERROR(SEARCH("Excluido",E403)))</formula>
    </cfRule>
    <cfRule type="containsText" dxfId="1543" priority="208" operator="containsText" text="Sublimite">
      <formula>NOT(ISERROR(SEARCH("Sublimite",E403)))</formula>
    </cfRule>
  </conditionalFormatting>
  <conditionalFormatting sqref="E406">
    <cfRule type="containsText" dxfId="1542" priority="203" operator="containsText" text="Adicional">
      <formula>NOT(ISERROR(SEARCH("Adicional",E406)))</formula>
    </cfRule>
    <cfRule type="containsText" dxfId="1541" priority="202" operator="containsText" text="Sublimite">
      <formula>NOT(ISERROR(SEARCH("Sublimite",E406)))</formula>
    </cfRule>
  </conditionalFormatting>
  <conditionalFormatting sqref="E406:E409">
    <cfRule type="containsText" dxfId="1540" priority="53" operator="containsText" text="Excluido">
      <formula>NOT(ISERROR(SEARCH("Excluido",E406)))</formula>
    </cfRule>
    <cfRule type="containsText" dxfId="1539" priority="55" operator="containsText" text="Excluido">
      <formula>NOT(ISERROR(SEARCH("Excluido",E406)))</formula>
    </cfRule>
    <cfRule type="containsText" dxfId="1538" priority="56" operator="containsText" text="Sublimite">
      <formula>NOT(ISERROR(SEARCH("Sublimite",E406)))</formula>
    </cfRule>
    <cfRule type="containsText" dxfId="1537" priority="54" operator="containsText" text="Sublimite">
      <formula>NOT(ISERROR(SEARCH("Sublimite",E406)))</formula>
    </cfRule>
  </conditionalFormatting>
  <conditionalFormatting sqref="E407:E409">
    <cfRule type="containsText" dxfId="1536" priority="57" operator="containsText" text="Sublimite">
      <formula>NOT(ISERROR(SEARCH("Sublimite",E407)))</formula>
    </cfRule>
  </conditionalFormatting>
  <conditionalFormatting sqref="L7:O7">
    <cfRule type="containsText" dxfId="1535" priority="19" operator="containsText" text="POLIZA A VALORES TOTALES">
      <formula>NOT(ISERROR(SEARCH("POLIZA A VALORES TOTALES",L7)))</formula>
    </cfRule>
    <cfRule type="containsText" dxfId="1534" priority="20" operator="containsText" text="POLIZA SIN PRIMER RIESGO">
      <formula>NOT(ISERROR(SEARCH("POLIZA SIN PRIMER RIESGO",L7)))</formula>
    </cfRule>
  </conditionalFormatting>
  <dataValidations count="10">
    <dataValidation type="list" allowBlank="1" showInputMessage="1" showErrorMessage="1" sqref="I29:I30 I32:I33 I35 I37 I39 I18:I27 I62:I63 I65:I66 I68 I70 I235 I76 I91:I94 I96:I98 I101:I102 I105:I106 I109:I110 I113:I114 I117:I121 I124:I128 I131:I136 I139:I144 I147 I150 I153 I156 I159 I174:I177 I162:I165 I168:I171 I180:I181 I184:I185 I284:I328 I204:I205 I208:I209 I212 I215 I218:I219 I222 I225 I228:I229 I232 I238:I239 I242:I271 I274:I275 I278:I281 I331:I335 I338:I343 I352:I362 I365:I368 I371:I378 I381:I393 I396:I400 I403 I406:I409 I72 I74 I42:I60 I79:I89 I188:I201 I346:I349" xr:uid="{00000000-0002-0000-0100-000000000000}">
      <formula1>"%o Al Millar,% Al Porciento,$ Prima"</formula1>
    </dataValidation>
    <dataValidation type="list" allowBlank="1" showInputMessage="1" showErrorMessage="1" sqref="F13" xr:uid="{00000000-0002-0000-0100-000001000000}">
      <formula1>"NACIONAL, DÓLARES"</formula1>
    </dataValidation>
    <dataValidation type="list" allowBlank="1" showInputMessage="1" showErrorMessage="1" sqref="N10" xr:uid="{00000000-0002-0000-0100-000002000000}">
      <formula1>"TODO RIESGO, RIESGOS NOMBRADOS"</formula1>
    </dataValidation>
    <dataValidation type="list" allowBlank="1" showInputMessage="1" showErrorMessage="1" sqref="H14" xr:uid="{00000000-0002-0000-0100-000003000000}">
      <formula1>"PRORRATA, DIRECTA"</formula1>
    </dataValidation>
    <dataValidation type="list" allowBlank="1" showInputMessage="1" showErrorMessage="1" sqref="N9:O9" xr:uid="{00000000-0002-0000-0100-000004000000}">
      <formula1>"POLIZA NUEVA, RENOVACION, CANCELACION, ENDOSO DE AUMENTO, ENDOSO DE DISMINUCION, ENDOSO DE DECLARACION, ENDOSO DE EXTENSIÓN DE VIGENCIA, ENDOSO DE REDUCCIÓN DE VIGENCIA, CAMBIO DE FORMA DE PAGO, ANULACIÓN DE PÓLIZA, ANULACIÓN DE ENDOSO"</formula1>
    </dataValidation>
    <dataValidation type="list" allowBlank="1" showInputMessage="1" showErrorMessage="1" sqref="E406 E396 E168:E169 E365:E368 E26:E27 E188:E191 E68 E19 E101:E102 E105:E106 E109:E110 E79:E86 E331 E43 E131:E136 E139:E144 E147 E150 E153 E156 E174:E175 E59:E60 E113:E114 E381:E393 E162:E163 E371 E403 E159 E212 E215 E218 E228 E278 E269 E274 E124 E338 E346:E348 E352:E362 E238:E239 E266 E243 E35 E117 E284:E328" xr:uid="{00000000-0002-0000-0100-000005000000}">
      <formula1>"Adicional, Sublimite, Excluido"</formula1>
    </dataValidation>
    <dataValidation type="list" allowBlank="1" showInputMessage="1" showErrorMessage="1" sqref="E37 E235 E25 E407:E409 E29:E30 E32:E33 E44:E58 E62:E63 E39 E70 E72 E74 E76 E87:E89 E91:E94 E96:E98 E118:E121 E65:E66 E164:E165 E170:E171 E176:E177 E180:E181 E397:E400 E192:E201 E204:E205 E125:E128 E219 E222 E225 E229 E232 E184:E185 E244:E265 E267:E268 E270:E271 E332:E335 E275 E279:E281 E339:E343 E372:E378 E208:E209 E349 E20:E23" xr:uid="{00000000-0002-0000-0100-000006000000}">
      <formula1>"Sublimite, Excluido"</formula1>
    </dataValidation>
    <dataValidation type="list" allowBlank="1" showInputMessage="1" showErrorMessage="1" sqref="F12" xr:uid="{00000000-0002-0000-0100-000007000000}">
      <formula1>"ORDINARIO, COMERCIAL E INDUSTRIAL, GRANDES RIESGOS, HABITACIONAL"</formula1>
    </dataValidation>
    <dataValidation type="list" allowBlank="1" showInputMessage="1" showErrorMessage="1" sqref="E18 E42 E24 E242" xr:uid="{00000000-0002-0000-0100-000008000000}">
      <formula1>"Adicional, Sublimite"</formula1>
    </dataValidation>
    <dataValidation type="list" allowBlank="1" showInputMessage="1" showErrorMessage="1" sqref="L7:O7" xr:uid="{00000000-0002-0000-0100-000009000000}">
      <formula1>"POLIZA CON COASEGURO CONVENIDO, POLIZA A PRIMER RIESGO, POLIZA A VALORES TOTALES"</formula1>
    </dataValidation>
  </dataValidations>
  <hyperlinks>
    <hyperlink ref="K416" r:id="rId1" display="juliop@arvida.com.mx" xr:uid="{C1B1FC4D-BD29-45AB-B539-A4DE92A919AF}"/>
  </hyperlinks>
  <pageMargins left="0.51181102362204722" right="0.31496062992125984" top="0.35433070866141736" bottom="0.35433070866141736" header="0.31496062992125984" footer="0.31496062992125984"/>
  <pageSetup scale="50" orientation="landscape" r:id="rId2"/>
  <headerFooter>
    <oddFooter>&amp;CPágina &amp;P de &amp;F &amp;RBRENDA PEREZ]</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1049" r:id="rId5" name="Drop Down 25">
              <controlPr defaultSize="0" autoLine="0" autoPict="0">
                <anchor moveWithCells="1">
                  <from>
                    <xdr:col>5</xdr:col>
                    <xdr:colOff>7620</xdr:colOff>
                    <xdr:row>13</xdr:row>
                    <xdr:rowOff>0</xdr:rowOff>
                  </from>
                  <to>
                    <xdr:col>5</xdr:col>
                    <xdr:colOff>1531620</xdr:colOff>
                    <xdr:row>13</xdr:row>
                    <xdr:rowOff>198120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containsText" priority="21" operator="containsText" id="{78F68464-3957-4EFC-9644-213427C79F1F}">
            <xm:f>NOT(ISERROR(SEARCH($L$8,L7)))</xm:f>
            <xm:f>$L$8</xm:f>
            <x14:dxf>
              <font>
                <b/>
                <i val="0"/>
                <color theme="0"/>
              </font>
              <fill>
                <patternFill>
                  <bgColor rgb="FFFF0000"/>
                </patternFill>
              </fill>
            </x14:dxf>
          </x14:cfRule>
          <x14:cfRule type="containsText" priority="22" operator="containsText" id="{25994941-EB63-4C4C-8CF3-6E8169B75FBC}">
            <xm:f>NOT(ISERROR(SEARCH($L$8,L7)))</xm:f>
            <xm:f>$L$8</xm:f>
            <x14:dxf>
              <font>
                <color rgb="FF9C0006"/>
              </font>
              <fill>
                <patternFill>
                  <bgColor rgb="FFFFC7CE"/>
                </patternFill>
              </fill>
            </x14:dxf>
          </x14:cfRule>
          <xm:sqref>L7:O8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100-00000A000000}">
          <x14:formula1>
            <xm:f>Hoja1!$J$3:$J$134</xm:f>
          </x14:formula1>
          <xm:sqref>C8</xm:sqref>
        </x14:dataValidation>
        <x14:dataValidation type="list" allowBlank="1" showInputMessage="1" showErrorMessage="1" xr:uid="{00000000-0002-0000-0100-00000B000000}">
          <x14:formula1>
            <xm:f>Hoja1!$B$4653:$B$4730</xm:f>
          </x14:formula1>
          <xm:sqref>C7:J7</xm:sqref>
        </x14:dataValidation>
        <x14:dataValidation type="list" allowBlank="1" showInputMessage="1" showErrorMessage="1" xr:uid="{00000000-0002-0000-0100-00000C000000}">
          <x14:formula1>
            <xm:f>Hoja3!$F$2:$F$39</xm:f>
          </x14:formula1>
          <xm:sqref>G8:K8</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FA3C2-2BFD-448B-9E35-9B4A973AD4E2}">
  <sheetPr filterMode="1"/>
  <dimension ref="A1:IO431"/>
  <sheetViews>
    <sheetView zoomScaleNormal="100" workbookViewId="0">
      <selection activeCell="N9" sqref="N9:O9"/>
    </sheetView>
  </sheetViews>
  <sheetFormatPr baseColWidth="10" defaultColWidth="11.44140625" defaultRowHeight="14.4" x14ac:dyDescent="0.3"/>
  <cols>
    <col min="1" max="1" width="14.6640625" style="3" customWidth="1"/>
    <col min="2" max="2" width="12.5546875" style="3" customWidth="1"/>
    <col min="3" max="3" width="38" customWidth="1"/>
    <col min="4" max="4" width="14.88671875" customWidth="1"/>
    <col min="5" max="5" width="12.5546875" customWidth="1"/>
    <col min="6" max="6" width="23.6640625" style="4" customWidth="1"/>
    <col min="7" max="7" width="15.88671875" style="4" customWidth="1"/>
    <col min="8" max="8" width="16.109375" style="4" customWidth="1"/>
    <col min="9" max="9" width="14.88671875" style="4" customWidth="1"/>
    <col min="10" max="10" width="15.44140625" style="4" customWidth="1"/>
    <col min="11" max="11" width="14.88671875" style="4" customWidth="1"/>
    <col min="12" max="12" width="14.6640625" style="4" customWidth="1"/>
    <col min="13" max="13" width="12" style="5" customWidth="1"/>
    <col min="14" max="14" width="18.109375" style="4" customWidth="1"/>
    <col min="15" max="15" width="13.44140625" style="4" customWidth="1"/>
    <col min="16" max="16" width="11.44140625" style="6" customWidth="1"/>
    <col min="17" max="19" width="11.44140625" customWidth="1"/>
    <col min="20" max="20" width="14.33203125" customWidth="1"/>
    <col min="21" max="21" width="13" customWidth="1"/>
    <col min="22" max="22" width="14.5546875" customWidth="1"/>
    <col min="23" max="25" width="6.33203125" bestFit="1" customWidth="1"/>
    <col min="26" max="26" width="6.6640625" customWidth="1"/>
    <col min="27" max="27" width="7.33203125" customWidth="1"/>
    <col min="28" max="28" width="6.33203125" bestFit="1" customWidth="1"/>
  </cols>
  <sheetData>
    <row r="1" spans="1:249" x14ac:dyDescent="0.3">
      <c r="S1" s="55">
        <v>1</v>
      </c>
      <c r="T1" s="52" t="str">
        <f>VLOOKUP(S1,S2:T5,2)</f>
        <v>CONTADO</v>
      </c>
      <c r="U1" s="56">
        <f>IF(F13="NACIONAL",1,2)</f>
        <v>2</v>
      </c>
      <c r="V1" s="53" t="str">
        <f>F13</f>
        <v>DÓLARES</v>
      </c>
    </row>
    <row r="2" spans="1:249" ht="18.75" customHeight="1" x14ac:dyDescent="0.3">
      <c r="E2" s="699" t="s">
        <v>1464</v>
      </c>
      <c r="F2" s="699"/>
      <c r="G2" s="699"/>
      <c r="H2" s="699"/>
      <c r="S2" s="57">
        <v>1</v>
      </c>
      <c r="T2" s="57" t="s">
        <v>789</v>
      </c>
      <c r="U2" s="54">
        <v>0</v>
      </c>
      <c r="V2" s="54">
        <v>0</v>
      </c>
    </row>
    <row r="3" spans="1:249" x14ac:dyDescent="0.3">
      <c r="E3" s="699"/>
      <c r="F3" s="699"/>
      <c r="G3" s="699"/>
      <c r="H3" s="699"/>
      <c r="S3" s="57">
        <v>2</v>
      </c>
      <c r="T3" s="57" t="s">
        <v>793</v>
      </c>
      <c r="U3" s="54">
        <v>4.2000000000000003E-2</v>
      </c>
      <c r="V3" s="54">
        <v>1.4E-2</v>
      </c>
    </row>
    <row r="4" spans="1:249" x14ac:dyDescent="0.3">
      <c r="S4" s="57">
        <v>3</v>
      </c>
      <c r="T4" s="57" t="s">
        <v>797</v>
      </c>
      <c r="U4" s="54">
        <v>6.4000000000000001E-2</v>
      </c>
      <c r="V4" s="54">
        <v>2.1100000000000001E-2</v>
      </c>
    </row>
    <row r="5" spans="1:249" ht="24.6" x14ac:dyDescent="0.3">
      <c r="A5" s="700" t="s">
        <v>1093</v>
      </c>
      <c r="B5" s="700"/>
      <c r="C5" s="700"/>
      <c r="D5" s="700"/>
      <c r="E5" s="700"/>
      <c r="F5" s="700"/>
      <c r="G5" s="700"/>
      <c r="H5" s="700"/>
      <c r="I5" s="700"/>
      <c r="J5" s="700"/>
      <c r="K5" s="700"/>
      <c r="L5" s="700"/>
      <c r="M5" s="700"/>
      <c r="N5" s="700"/>
      <c r="O5" s="700"/>
      <c r="S5" s="57">
        <v>4</v>
      </c>
      <c r="T5" s="57" t="s">
        <v>801</v>
      </c>
      <c r="U5" s="54">
        <v>7.6999999999999999E-2</v>
      </c>
      <c r="V5" s="54">
        <v>2.58E-2</v>
      </c>
    </row>
    <row r="6" spans="1:249" ht="15" thickBot="1" x14ac:dyDescent="0.35"/>
    <row r="7" spans="1:249" ht="21" customHeight="1" thickTop="1" thickBot="1" x14ac:dyDescent="0.35">
      <c r="A7" s="701" t="s">
        <v>1094</v>
      </c>
      <c r="B7" s="702"/>
      <c r="C7" s="703" t="s">
        <v>1465</v>
      </c>
      <c r="D7" s="704"/>
      <c r="E7" s="704"/>
      <c r="F7" s="704"/>
      <c r="G7" s="704"/>
      <c r="H7" s="704"/>
      <c r="I7" s="704"/>
      <c r="J7" s="705"/>
      <c r="K7" s="116">
        <f>MID(C7,1,2)*1</f>
        <v>27</v>
      </c>
      <c r="L7" s="706" t="s">
        <v>1096</v>
      </c>
      <c r="M7" s="707"/>
      <c r="N7" s="707"/>
      <c r="O7" s="708"/>
      <c r="S7" s="698" t="s">
        <v>1097</v>
      </c>
      <c r="T7" s="698"/>
      <c r="U7" s="54">
        <f>VLOOKUP(S1,S2:V5,U1+2)</f>
        <v>0</v>
      </c>
    </row>
    <row r="8" spans="1:249" ht="21" customHeight="1" thickTop="1" thickBot="1" x14ac:dyDescent="0.35">
      <c r="A8" s="701" t="s">
        <v>1098</v>
      </c>
      <c r="B8" s="702"/>
      <c r="C8" s="724" t="s">
        <v>1466</v>
      </c>
      <c r="D8" s="725"/>
      <c r="E8" s="726"/>
      <c r="F8" s="117" t="s">
        <v>1100</v>
      </c>
      <c r="G8" s="727" t="s">
        <v>1467</v>
      </c>
      <c r="H8" s="728"/>
      <c r="I8" s="728"/>
      <c r="J8" s="728"/>
      <c r="K8" s="729"/>
      <c r="L8" s="709" t="str">
        <f>Hoja3!A8</f>
        <v/>
      </c>
      <c r="M8" s="710"/>
      <c r="N8" s="710"/>
      <c r="O8" s="711"/>
      <c r="S8" s="90"/>
      <c r="T8" s="90"/>
      <c r="U8" s="54"/>
    </row>
    <row r="9" spans="1:249" ht="16.5" customHeight="1" thickTop="1" x14ac:dyDescent="0.3">
      <c r="A9" s="712" t="s">
        <v>1102</v>
      </c>
      <c r="B9" s="713"/>
      <c r="C9" s="714" t="s">
        <v>1468</v>
      </c>
      <c r="D9" s="715"/>
      <c r="E9" s="715"/>
      <c r="F9" s="715"/>
      <c r="G9" s="715"/>
      <c r="H9" s="715"/>
      <c r="I9" s="716"/>
      <c r="J9" s="88" t="s">
        <v>1103</v>
      </c>
      <c r="K9" s="89">
        <v>0</v>
      </c>
      <c r="L9" s="717" t="s">
        <v>1104</v>
      </c>
      <c r="M9" s="717"/>
      <c r="N9" s="718" t="s">
        <v>1469</v>
      </c>
      <c r="O9" s="719"/>
      <c r="P9"/>
      <c r="S9" s="698" t="s">
        <v>1106</v>
      </c>
      <c r="T9" s="698"/>
      <c r="U9" s="58">
        <f>IF(H14="DIRECTA",1,J15/I15)</f>
        <v>1</v>
      </c>
    </row>
    <row r="10" spans="1:249" x14ac:dyDescent="0.3">
      <c r="A10" s="720" t="s">
        <v>1107</v>
      </c>
      <c r="B10" s="721"/>
      <c r="C10" s="722" t="s">
        <v>1470</v>
      </c>
      <c r="D10" s="722"/>
      <c r="E10" s="722"/>
      <c r="F10" s="722"/>
      <c r="G10" s="722"/>
      <c r="H10" s="722"/>
      <c r="I10" s="722"/>
      <c r="J10" s="722"/>
      <c r="K10" s="730"/>
      <c r="L10" s="731" t="s">
        <v>1109</v>
      </c>
      <c r="M10" s="732"/>
      <c r="N10" s="733" t="s">
        <v>1110</v>
      </c>
      <c r="O10" s="734"/>
      <c r="P10"/>
    </row>
    <row r="11" spans="1:249" x14ac:dyDescent="0.3">
      <c r="A11" s="720" t="s">
        <v>1111</v>
      </c>
      <c r="B11" s="721"/>
      <c r="C11" s="722">
        <f>'COTIZACIÓN M.N.'!C11:E11</f>
        <v>0</v>
      </c>
      <c r="D11" s="722"/>
      <c r="E11" s="722"/>
      <c r="F11" s="722"/>
      <c r="G11" s="722"/>
      <c r="H11" s="722"/>
      <c r="I11" s="722"/>
      <c r="J11" s="722"/>
      <c r="K11" s="723"/>
      <c r="L11" s="79" t="s">
        <v>1112</v>
      </c>
      <c r="M11" s="207" t="str">
        <f>'COTIZACIÓN M.N.'!G13</f>
        <v xml:space="preserve">A </v>
      </c>
      <c r="N11" s="71" t="s">
        <v>1113</v>
      </c>
      <c r="O11" s="413" t="str">
        <f>'COTIZACIÓN M.N.'!G17</f>
        <v>A1PS</v>
      </c>
      <c r="P11"/>
    </row>
    <row r="12" spans="1:249" x14ac:dyDescent="0.3">
      <c r="A12" s="720" t="s">
        <v>1114</v>
      </c>
      <c r="B12" s="721"/>
      <c r="C12" s="50">
        <v>43921</v>
      </c>
      <c r="D12" s="73" t="s">
        <v>1115</v>
      </c>
      <c r="E12" s="73"/>
      <c r="F12" s="74" t="s">
        <v>1116</v>
      </c>
      <c r="G12" s="75" t="s">
        <v>1117</v>
      </c>
      <c r="H12" s="737" t="s">
        <v>1471</v>
      </c>
      <c r="I12" s="737"/>
      <c r="J12" s="737"/>
      <c r="K12" s="78">
        <v>2202</v>
      </c>
      <c r="L12" s="79" t="s">
        <v>1118</v>
      </c>
      <c r="M12" s="80">
        <f>'COTIZACIÓN M.N.'!G15</f>
        <v>0.2</v>
      </c>
      <c r="N12" s="76" t="s">
        <v>1119</v>
      </c>
      <c r="O12" s="77">
        <f>'COTIZACIÓN M.N.'!G16</f>
        <v>0</v>
      </c>
      <c r="P12"/>
    </row>
    <row r="13" spans="1:249" ht="17.25" customHeight="1" x14ac:dyDescent="0.3">
      <c r="A13" s="720" t="s">
        <v>1120</v>
      </c>
      <c r="B13" s="721"/>
      <c r="C13" s="50">
        <v>44286</v>
      </c>
      <c r="D13" s="738" t="s">
        <v>1121</v>
      </c>
      <c r="E13" s="739"/>
      <c r="F13" s="72" t="s">
        <v>1122</v>
      </c>
      <c r="G13" s="70" t="s">
        <v>1123</v>
      </c>
      <c r="H13" s="740" t="s">
        <v>1472</v>
      </c>
      <c r="I13" s="740"/>
      <c r="J13" s="741" t="s">
        <v>1124</v>
      </c>
      <c r="N13" s="76" t="s">
        <v>1125</v>
      </c>
      <c r="O13" s="77">
        <f>100%-'COTIZACIÓN M.N.'!G18</f>
        <v>1</v>
      </c>
      <c r="P13"/>
    </row>
    <row r="14" spans="1:249" ht="16.5" customHeight="1" thickBot="1" x14ac:dyDescent="0.35">
      <c r="A14" s="742" t="s">
        <v>1126</v>
      </c>
      <c r="B14" s="743"/>
      <c r="C14" s="109" t="s">
        <v>1473</v>
      </c>
      <c r="D14" s="744" t="s">
        <v>1128</v>
      </c>
      <c r="E14" s="745"/>
      <c r="F14" s="133"/>
      <c r="G14" s="134" t="s">
        <v>1129</v>
      </c>
      <c r="H14" s="135" t="s">
        <v>1130</v>
      </c>
      <c r="I14" s="51"/>
      <c r="J14" s="741"/>
      <c r="K14" s="7" t="s">
        <v>1131</v>
      </c>
      <c r="N14" s="76" t="s">
        <v>1132</v>
      </c>
      <c r="O14" s="77">
        <f>100%-'COTIZACIÓN M.N.'!G14</f>
        <v>1</v>
      </c>
      <c r="P14"/>
    </row>
    <row r="15" spans="1:249" ht="15.6" thickTop="1" thickBot="1" x14ac:dyDescent="0.35">
      <c r="A15" s="746"/>
      <c r="B15" s="747"/>
      <c r="C15" s="748">
        <v>1</v>
      </c>
      <c r="D15" s="749"/>
      <c r="E15" s="138"/>
      <c r="F15" s="139"/>
      <c r="G15" s="139"/>
      <c r="H15" s="140"/>
      <c r="I15" s="59">
        <v>365</v>
      </c>
      <c r="J15" s="59">
        <f>C13-C12</f>
        <v>365</v>
      </c>
      <c r="K15" s="60">
        <v>0.16</v>
      </c>
      <c r="O15" s="61"/>
      <c r="P15" s="8"/>
    </row>
    <row r="16" spans="1:249" s="41" customFormat="1" ht="30" customHeight="1" thickTop="1" thickBot="1" x14ac:dyDescent="0.3">
      <c r="A16" s="62" t="s">
        <v>1133</v>
      </c>
      <c r="B16" s="63" t="s">
        <v>1134</v>
      </c>
      <c r="C16" s="64" t="s">
        <v>1135</v>
      </c>
      <c r="D16" s="64" t="s">
        <v>1136</v>
      </c>
      <c r="E16" s="136" t="s">
        <v>1137</v>
      </c>
      <c r="F16" s="137" t="s">
        <v>1138</v>
      </c>
      <c r="G16" s="137" t="s">
        <v>1139</v>
      </c>
      <c r="H16" s="137" t="s">
        <v>1140</v>
      </c>
      <c r="I16" s="65" t="s">
        <v>1141</v>
      </c>
      <c r="J16" s="65" t="s">
        <v>1142</v>
      </c>
      <c r="K16" s="65" t="s">
        <v>1131</v>
      </c>
      <c r="L16" s="65" t="s">
        <v>73</v>
      </c>
      <c r="M16" s="66" t="s">
        <v>1143</v>
      </c>
      <c r="N16" s="65" t="s">
        <v>1144</v>
      </c>
      <c r="O16" s="67" t="s">
        <v>1145</v>
      </c>
      <c r="P16" s="40" t="s">
        <v>1146</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pans="1:23" ht="15.6" thickTop="1" thickBot="1" x14ac:dyDescent="0.35">
      <c r="A17" s="82" t="s">
        <v>1147</v>
      </c>
      <c r="B17" s="30" t="s">
        <v>1148</v>
      </c>
      <c r="C17" s="28" t="s">
        <v>1149</v>
      </c>
      <c r="D17" s="28" t="str">
        <f>'Ramo Comercial'!C121</f>
        <v>INCLUIDO</v>
      </c>
      <c r="E17" s="28"/>
      <c r="F17" s="113">
        <f>-'COTIZACIÓN M.N.'!D24</f>
        <v>-155549.70000000001</v>
      </c>
      <c r="G17" s="210">
        <f>'COTIZACIÓN M.N.'!E24+'COTIZACIÓN M.N.'!E25+'COTIZACIÓN M.N.'!E26</f>
        <v>0.30781530000000001</v>
      </c>
      <c r="H17" s="28"/>
      <c r="I17" s="28"/>
      <c r="J17" s="28"/>
      <c r="K17" s="28"/>
      <c r="L17" s="28"/>
      <c r="M17" s="68">
        <v>0.25</v>
      </c>
      <c r="N17" s="28"/>
      <c r="O17" s="83"/>
      <c r="P17" s="13" t="str">
        <f>IF(Q17=1,"SI","NO")</f>
        <v>SI</v>
      </c>
      <c r="Q17" s="48">
        <f t="shared" ref="Q17:Q27" si="0">IF(D17="INCLUIDO",IF(F17&lt;&gt;0,1,0),0)</f>
        <v>1</v>
      </c>
      <c r="T17" s="146">
        <f>G17</f>
        <v>0.30781530000000001</v>
      </c>
      <c r="U17" s="150"/>
      <c r="V17" s="151"/>
    </row>
    <row r="18" spans="1:23" x14ac:dyDescent="0.3">
      <c r="A18" s="31" t="s">
        <v>1150</v>
      </c>
      <c r="B18" s="32" t="s">
        <v>1148</v>
      </c>
      <c r="C18" s="27" t="s">
        <v>1151</v>
      </c>
      <c r="D18" s="27" t="str">
        <f>$D$17</f>
        <v>INCLUIDO</v>
      </c>
      <c r="E18" s="27" t="s">
        <v>1137</v>
      </c>
      <c r="F18" s="9">
        <f>$F$17*S18</f>
        <v>-155549.70000000001</v>
      </c>
      <c r="G18" s="49">
        <f>V18</f>
        <v>0.24625224000000001</v>
      </c>
      <c r="H18" s="9">
        <f>(((IF(I18="$ Prima",G18,G18*F18/R18))*$U$9)/365)*$J$15</f>
        <v>-38.304462056328006</v>
      </c>
      <c r="I18" s="9" t="s">
        <v>1153</v>
      </c>
      <c r="J18" s="9">
        <f>H18*$U$7</f>
        <v>0</v>
      </c>
      <c r="K18" s="9">
        <f>(H18+J18)*$K$15</f>
        <v>-6.1287139290124815</v>
      </c>
      <c r="L18" s="9">
        <f>ROUND(H18+J18+K18,2)</f>
        <v>-44.43</v>
      </c>
      <c r="M18" s="11">
        <f t="shared" ref="M18:M27" si="1">$M$17</f>
        <v>0.25</v>
      </c>
      <c r="N18" s="9">
        <f>H18*M18</f>
        <v>-9.5761155140820016</v>
      </c>
      <c r="O18" s="12">
        <f>N18</f>
        <v>-9.5761155140820016</v>
      </c>
      <c r="P18" s="13" t="str">
        <f t="shared" ref="P18:P90" si="2">IF(Q18=1,"SI","NO")</f>
        <v>SI</v>
      </c>
      <c r="Q18">
        <f t="shared" si="0"/>
        <v>1</v>
      </c>
      <c r="R18">
        <f t="shared" ref="R18:R27" si="3">IF(I18="%o Al Millar",1000,IF(I18="% Al Porciento",100,IF(I18="$ Prima",G18)))</f>
        <v>1000</v>
      </c>
      <c r="S18">
        <f t="shared" ref="S18:S39" si="4">IF(E18="Excluido",0,IF(D18="NO APLICA",0,1))</f>
        <v>1</v>
      </c>
      <c r="T18" s="152">
        <v>0.8</v>
      </c>
      <c r="U18">
        <f>IF(E18="Excluido",0,T17*T18)</f>
        <v>0.24625224000000001</v>
      </c>
      <c r="V18" s="153">
        <f>IF(F17=0,0,(U23-U22-U20)+(T17-U23))</f>
        <v>0.24625224000000001</v>
      </c>
    </row>
    <row r="19" spans="1:23" hidden="1" x14ac:dyDescent="0.3">
      <c r="A19" s="31" t="s">
        <v>1150</v>
      </c>
      <c r="B19" s="32"/>
      <c r="C19" s="81">
        <f>$O$12</f>
        <v>0</v>
      </c>
      <c r="D19" s="27" t="str">
        <f t="shared" ref="D19:D39" si="5">$D$17</f>
        <v>INCLUIDO</v>
      </c>
      <c r="E19" s="27" t="s">
        <v>1152</v>
      </c>
      <c r="F19" s="9">
        <f>(F18*$O$12)*S19</f>
        <v>0</v>
      </c>
      <c r="G19" s="10">
        <f>G18*0.35</f>
        <v>8.6188284000000004E-2</v>
      </c>
      <c r="H19" s="9">
        <f t="shared" ref="H19" si="6">(IF(I19="$ Prima",G19,G19*F19/R19))*$U$9</f>
        <v>0</v>
      </c>
      <c r="I19" s="9" t="s">
        <v>1153</v>
      </c>
      <c r="J19" s="9">
        <f t="shared" ref="J19" si="7">H19*$U$7</f>
        <v>0</v>
      </c>
      <c r="K19" s="9">
        <f t="shared" ref="K19" si="8">(H19+J19)*$K$15</f>
        <v>0</v>
      </c>
      <c r="L19" s="9">
        <f t="shared" ref="L19:L27" si="9">ROUND(H19+J19+K19,2)</f>
        <v>0</v>
      </c>
      <c r="M19" s="11">
        <f t="shared" si="1"/>
        <v>0.25</v>
      </c>
      <c r="N19" s="9">
        <f t="shared" ref="N19:N27" si="10">H19*M19</f>
        <v>0</v>
      </c>
      <c r="O19" s="12">
        <f t="shared" ref="O19:O27" si="11">N19</f>
        <v>0</v>
      </c>
      <c r="P19" s="13" t="str">
        <f t="shared" si="2"/>
        <v>NO</v>
      </c>
      <c r="Q19">
        <f t="shared" si="0"/>
        <v>0</v>
      </c>
      <c r="R19">
        <f t="shared" si="3"/>
        <v>1000</v>
      </c>
      <c r="S19">
        <f t="shared" si="4"/>
        <v>1</v>
      </c>
      <c r="T19" s="152"/>
      <c r="V19" s="153"/>
    </row>
    <row r="20" spans="1:23" ht="20.399999999999999" x14ac:dyDescent="0.3">
      <c r="A20" s="31" t="s">
        <v>1150</v>
      </c>
      <c r="B20" s="32" t="s">
        <v>1154</v>
      </c>
      <c r="C20" s="27" t="s">
        <v>1155</v>
      </c>
      <c r="D20" s="27" t="str">
        <f t="shared" si="5"/>
        <v>INCLUIDO</v>
      </c>
      <c r="E20" s="27" t="s">
        <v>1137</v>
      </c>
      <c r="F20" s="9">
        <f>$F$17*S20</f>
        <v>-155549.70000000001</v>
      </c>
      <c r="G20" s="49">
        <f>V20</f>
        <v>3.0781530000000001E-2</v>
      </c>
      <c r="H20" s="9">
        <f>(((IF(I20="$ Prima",G20,G20*F20/R20))*$U$9)/365)*$J$15</f>
        <v>-4.7880577570410008</v>
      </c>
      <c r="I20" s="9" t="s">
        <v>1153</v>
      </c>
      <c r="J20" s="9">
        <f>H20*$U$7</f>
        <v>0</v>
      </c>
      <c r="K20" s="9">
        <f>(H20+J20)*$K$15</f>
        <v>-0.76608924112656018</v>
      </c>
      <c r="L20" s="9">
        <f t="shared" si="9"/>
        <v>-5.55</v>
      </c>
      <c r="M20" s="11">
        <f t="shared" si="1"/>
        <v>0.25</v>
      </c>
      <c r="N20" s="9">
        <f t="shared" si="10"/>
        <v>-1.1970144392602502</v>
      </c>
      <c r="O20" s="12">
        <f t="shared" si="11"/>
        <v>-1.1970144392602502</v>
      </c>
      <c r="P20" s="13" t="str">
        <f t="shared" si="2"/>
        <v>SI</v>
      </c>
      <c r="Q20">
        <f t="shared" si="0"/>
        <v>1</v>
      </c>
      <c r="R20">
        <f t="shared" si="3"/>
        <v>1000</v>
      </c>
      <c r="S20">
        <f t="shared" si="4"/>
        <v>1</v>
      </c>
      <c r="T20" s="152">
        <v>0.1</v>
      </c>
      <c r="U20">
        <f>IF(E20="Excluido",0,T17*T20)</f>
        <v>3.0781530000000001E-2</v>
      </c>
      <c r="V20" s="153">
        <f>IF(F$17=0,0,U20)</f>
        <v>3.0781530000000001E-2</v>
      </c>
    </row>
    <row r="21" spans="1:23" hidden="1" x14ac:dyDescent="0.3">
      <c r="A21" s="31" t="s">
        <v>1150</v>
      </c>
      <c r="B21" s="32"/>
      <c r="C21" s="81">
        <f>$O$12</f>
        <v>0</v>
      </c>
      <c r="D21" s="27" t="str">
        <f t="shared" si="5"/>
        <v>INCLUIDO</v>
      </c>
      <c r="E21" s="27" t="str">
        <f>E20</f>
        <v>Sublimite</v>
      </c>
      <c r="F21" s="9">
        <f>(F20*$O$12)*S21</f>
        <v>0</v>
      </c>
      <c r="G21" s="10">
        <f>G20*0.35</f>
        <v>1.07735355E-2</v>
      </c>
      <c r="H21" s="9">
        <f t="shared" ref="H21" si="12">(IF(I21="$ Prima",G21,G21*F21/R21))*$U$9</f>
        <v>0</v>
      </c>
      <c r="I21" s="9" t="s">
        <v>1153</v>
      </c>
      <c r="J21" s="9">
        <f t="shared" ref="J21" si="13">H21*$U$7</f>
        <v>0</v>
      </c>
      <c r="K21" s="9">
        <f t="shared" ref="K21" si="14">(H21+J21)*$K$15</f>
        <v>0</v>
      </c>
      <c r="L21" s="9">
        <f t="shared" si="9"/>
        <v>0</v>
      </c>
      <c r="M21" s="11">
        <f t="shared" si="1"/>
        <v>0.25</v>
      </c>
      <c r="N21" s="9">
        <f t="shared" si="10"/>
        <v>0</v>
      </c>
      <c r="O21" s="12">
        <f t="shared" si="11"/>
        <v>0</v>
      </c>
      <c r="P21" s="13" t="str">
        <f t="shared" si="2"/>
        <v>NO</v>
      </c>
      <c r="Q21">
        <f t="shared" si="0"/>
        <v>0</v>
      </c>
      <c r="R21">
        <f t="shared" si="3"/>
        <v>1000</v>
      </c>
      <c r="S21">
        <f t="shared" si="4"/>
        <v>1</v>
      </c>
      <c r="T21" s="152"/>
      <c r="V21" s="153"/>
    </row>
    <row r="22" spans="1:23" ht="15" customHeight="1" x14ac:dyDescent="0.3">
      <c r="A22" s="31" t="s">
        <v>1150</v>
      </c>
      <c r="B22" s="32" t="s">
        <v>1156</v>
      </c>
      <c r="C22" s="27" t="s">
        <v>1110</v>
      </c>
      <c r="D22" s="27" t="str">
        <f t="shared" si="5"/>
        <v>INCLUIDO</v>
      </c>
      <c r="E22" s="27" t="s">
        <v>1137</v>
      </c>
      <c r="F22" s="9">
        <f>-'COTIZACIÓN M.N.'!D26</f>
        <v>-155549.70000000001</v>
      </c>
      <c r="G22" s="49">
        <f>V22</f>
        <v>3.0781530000000001E-2</v>
      </c>
      <c r="H22" s="9">
        <f>(((IF(I22="$ Prima",G22,G22*F22/R22))*$U$9)/365)*$J$15</f>
        <v>-4.7880577570410008</v>
      </c>
      <c r="I22" s="9" t="s">
        <v>1153</v>
      </c>
      <c r="J22" s="9">
        <f>H22*$U$7</f>
        <v>0</v>
      </c>
      <c r="K22" s="9">
        <f>(H22+J22)*$K$15</f>
        <v>-0.76608924112656018</v>
      </c>
      <c r="L22" s="9">
        <f t="shared" si="9"/>
        <v>-5.55</v>
      </c>
      <c r="M22" s="11">
        <f t="shared" si="1"/>
        <v>0.25</v>
      </c>
      <c r="N22" s="9">
        <f t="shared" si="10"/>
        <v>-1.1970144392602502</v>
      </c>
      <c r="O22" s="12">
        <f t="shared" si="11"/>
        <v>-1.1970144392602502</v>
      </c>
      <c r="P22" s="13" t="str">
        <f t="shared" si="2"/>
        <v>SI</v>
      </c>
      <c r="Q22">
        <f t="shared" si="0"/>
        <v>1</v>
      </c>
      <c r="R22">
        <f t="shared" si="3"/>
        <v>1000</v>
      </c>
      <c r="S22">
        <f t="shared" si="4"/>
        <v>1</v>
      </c>
      <c r="T22" s="152">
        <v>0.1</v>
      </c>
      <c r="U22">
        <f>IF(E22="Excluido",0,T17*T22)</f>
        <v>3.0781530000000001E-2</v>
      </c>
      <c r="V22" s="153">
        <f>IF(F$17=0,0,U22)</f>
        <v>3.0781530000000001E-2</v>
      </c>
    </row>
    <row r="23" spans="1:23" ht="15" hidden="1" customHeight="1" thickBot="1" x14ac:dyDescent="0.35">
      <c r="A23" s="31" t="s">
        <v>1150</v>
      </c>
      <c r="B23" s="32"/>
      <c r="C23" s="81">
        <f>$O$12</f>
        <v>0</v>
      </c>
      <c r="D23" s="27" t="str">
        <f t="shared" si="5"/>
        <v>INCLUIDO</v>
      </c>
      <c r="E23" s="27" t="str">
        <f>E22</f>
        <v>Sublimite</v>
      </c>
      <c r="F23" s="9">
        <f>(F22*$O$12)*S23</f>
        <v>0</v>
      </c>
      <c r="G23" s="10">
        <f>G22*0.35</f>
        <v>1.07735355E-2</v>
      </c>
      <c r="H23" s="9">
        <f t="shared" ref="H23:H25" si="15">(IF(I23="$ Prima",G23,G23*F23/R23))*$U$9</f>
        <v>0</v>
      </c>
      <c r="I23" s="9" t="s">
        <v>1153</v>
      </c>
      <c r="J23" s="9">
        <f t="shared" ref="J23:J25" si="16">H23*$U$7</f>
        <v>0</v>
      </c>
      <c r="K23" s="9">
        <f t="shared" ref="K23:K25" si="17">(H23+J23)*$K$15</f>
        <v>0</v>
      </c>
      <c r="L23" s="9">
        <f t="shared" si="9"/>
        <v>0</v>
      </c>
      <c r="M23" s="11">
        <f t="shared" si="1"/>
        <v>0.25</v>
      </c>
      <c r="N23" s="9">
        <f t="shared" si="10"/>
        <v>0</v>
      </c>
      <c r="O23" s="12">
        <f t="shared" si="11"/>
        <v>0</v>
      </c>
      <c r="P23" s="13" t="str">
        <f t="shared" si="2"/>
        <v>NO</v>
      </c>
      <c r="Q23">
        <f t="shared" si="0"/>
        <v>0</v>
      </c>
      <c r="R23">
        <f t="shared" si="3"/>
        <v>1000</v>
      </c>
      <c r="S23">
        <f t="shared" si="4"/>
        <v>1</v>
      </c>
      <c r="T23" s="143">
        <f>SUM(T18:T22)</f>
        <v>1</v>
      </c>
      <c r="U23" s="147">
        <f>SUM(U18:U22)</f>
        <v>0.30781530000000001</v>
      </c>
      <c r="V23" s="148">
        <f>SUM(V18:V22)</f>
        <v>0.30781530000000001</v>
      </c>
      <c r="W23" s="141"/>
    </row>
    <row r="24" spans="1:23" ht="15" hidden="1" customHeight="1" x14ac:dyDescent="0.3">
      <c r="A24" s="31" t="s">
        <v>1150</v>
      </c>
      <c r="B24" s="32">
        <v>280</v>
      </c>
      <c r="C24" s="27" t="s">
        <v>1157</v>
      </c>
      <c r="D24" s="27" t="str">
        <f t="shared" si="5"/>
        <v>INCLUIDO</v>
      </c>
      <c r="E24" s="27" t="s">
        <v>1137</v>
      </c>
      <c r="F24" s="113">
        <v>0</v>
      </c>
      <c r="G24" s="113">
        <v>0</v>
      </c>
      <c r="H24" s="9">
        <f t="shared" si="15"/>
        <v>0</v>
      </c>
      <c r="I24" s="9" t="s">
        <v>1153</v>
      </c>
      <c r="J24" s="9">
        <f t="shared" si="16"/>
        <v>0</v>
      </c>
      <c r="K24" s="9">
        <f t="shared" si="17"/>
        <v>0</v>
      </c>
      <c r="L24" s="9">
        <f t="shared" si="9"/>
        <v>0</v>
      </c>
      <c r="M24" s="11">
        <f t="shared" si="1"/>
        <v>0.25</v>
      </c>
      <c r="N24" s="9">
        <f t="shared" si="10"/>
        <v>0</v>
      </c>
      <c r="O24" s="12">
        <f t="shared" si="11"/>
        <v>0</v>
      </c>
      <c r="P24" s="13" t="str">
        <f t="shared" si="2"/>
        <v>NO</v>
      </c>
      <c r="Q24">
        <f t="shared" si="0"/>
        <v>0</v>
      </c>
      <c r="R24">
        <f t="shared" si="3"/>
        <v>1000</v>
      </c>
      <c r="S24">
        <f t="shared" si="4"/>
        <v>1</v>
      </c>
    </row>
    <row r="25" spans="1:23" ht="15" hidden="1" customHeight="1" x14ac:dyDescent="0.3">
      <c r="A25" s="31" t="s">
        <v>1150</v>
      </c>
      <c r="B25" s="32"/>
      <c r="C25" s="81">
        <f>$O$12</f>
        <v>0</v>
      </c>
      <c r="D25" s="27" t="str">
        <f t="shared" si="5"/>
        <v>INCLUIDO</v>
      </c>
      <c r="E25" s="27" t="str">
        <f>E24</f>
        <v>Sublimite</v>
      </c>
      <c r="F25" s="9">
        <f>(F24*$O$12)*S25</f>
        <v>0</v>
      </c>
      <c r="G25" s="10">
        <f>G24*0.35</f>
        <v>0</v>
      </c>
      <c r="H25" s="9">
        <f t="shared" si="15"/>
        <v>0</v>
      </c>
      <c r="I25" s="9" t="s">
        <v>1153</v>
      </c>
      <c r="J25" s="9">
        <f t="shared" si="16"/>
        <v>0</v>
      </c>
      <c r="K25" s="9">
        <f t="shared" si="17"/>
        <v>0</v>
      </c>
      <c r="L25" s="9">
        <f t="shared" si="9"/>
        <v>0</v>
      </c>
      <c r="M25" s="11">
        <f t="shared" si="1"/>
        <v>0.25</v>
      </c>
      <c r="N25" s="9">
        <f t="shared" si="10"/>
        <v>0</v>
      </c>
      <c r="O25" s="12">
        <f t="shared" si="11"/>
        <v>0</v>
      </c>
      <c r="P25" s="13" t="str">
        <f t="shared" si="2"/>
        <v>NO</v>
      </c>
      <c r="Q25">
        <f t="shared" si="0"/>
        <v>0</v>
      </c>
      <c r="R25">
        <f t="shared" si="3"/>
        <v>1000</v>
      </c>
      <c r="S25">
        <f t="shared" si="4"/>
        <v>1</v>
      </c>
    </row>
    <row r="26" spans="1:23" ht="15" customHeight="1" x14ac:dyDescent="0.3">
      <c r="A26" s="31" t="s">
        <v>1150</v>
      </c>
      <c r="B26" s="32" t="s">
        <v>1158</v>
      </c>
      <c r="C26" s="27" t="s">
        <v>1159</v>
      </c>
      <c r="D26" s="27" t="str">
        <f t="shared" si="5"/>
        <v>INCLUIDO</v>
      </c>
      <c r="E26" s="27" t="s">
        <v>1137</v>
      </c>
      <c r="F26" s="42">
        <f>-'COTIZACIÓN M.N.'!D67</f>
        <v>-5000000</v>
      </c>
      <c r="G26" s="10">
        <f>'COTIZACIÓN M.N.'!E67*50%</f>
        <v>1.1000000000000001E-3</v>
      </c>
      <c r="H26" s="75">
        <f>(IF(I26="$ Prima",G26,G26*F26/R26))*$U$9</f>
        <v>-5.5</v>
      </c>
      <c r="I26" s="9" t="s">
        <v>1153</v>
      </c>
      <c r="J26" s="9">
        <f>H26*$U$7</f>
        <v>0</v>
      </c>
      <c r="K26" s="9">
        <f>(H26+J26)*$K$15</f>
        <v>-0.88</v>
      </c>
      <c r="L26" s="9">
        <f t="shared" si="9"/>
        <v>-6.38</v>
      </c>
      <c r="M26" s="11">
        <f t="shared" si="1"/>
        <v>0.25</v>
      </c>
      <c r="N26" s="9">
        <f t="shared" si="10"/>
        <v>-1.375</v>
      </c>
      <c r="O26" s="12">
        <f t="shared" si="11"/>
        <v>-1.375</v>
      </c>
      <c r="P26" s="13" t="str">
        <f t="shared" si="2"/>
        <v>SI</v>
      </c>
      <c r="Q26">
        <f t="shared" si="0"/>
        <v>1</v>
      </c>
      <c r="R26">
        <f t="shared" si="3"/>
        <v>1000</v>
      </c>
      <c r="S26">
        <f t="shared" si="4"/>
        <v>1</v>
      </c>
    </row>
    <row r="27" spans="1:23" ht="15" customHeight="1" x14ac:dyDescent="0.3">
      <c r="A27" s="31" t="s">
        <v>1150</v>
      </c>
      <c r="B27" s="32" t="s">
        <v>1160</v>
      </c>
      <c r="C27" s="27" t="s">
        <v>1161</v>
      </c>
      <c r="D27" s="27" t="str">
        <f t="shared" si="5"/>
        <v>INCLUIDO</v>
      </c>
      <c r="E27" s="27" t="s">
        <v>1137</v>
      </c>
      <c r="F27" s="42">
        <f>-'COTIZACIÓN M.N.'!D68</f>
        <v>-5000000</v>
      </c>
      <c r="G27" s="10">
        <f>G26</f>
        <v>1.1000000000000001E-3</v>
      </c>
      <c r="H27" s="75">
        <f>(IF(I27="$ Prima",G27,G27*F27/R27))*$U$9</f>
        <v>-5.5</v>
      </c>
      <c r="I27" s="9" t="s">
        <v>1153</v>
      </c>
      <c r="J27" s="9">
        <f>H27*$U$7</f>
        <v>0</v>
      </c>
      <c r="K27" s="9">
        <f>(H27+J27)*$K$15</f>
        <v>-0.88</v>
      </c>
      <c r="L27" s="9">
        <f t="shared" si="9"/>
        <v>-6.38</v>
      </c>
      <c r="M27" s="11">
        <f t="shared" si="1"/>
        <v>0.25</v>
      </c>
      <c r="N27" s="9">
        <f t="shared" si="10"/>
        <v>-1.375</v>
      </c>
      <c r="O27" s="12">
        <f t="shared" si="11"/>
        <v>-1.375</v>
      </c>
      <c r="P27" s="13" t="str">
        <f t="shared" si="2"/>
        <v>SI</v>
      </c>
      <c r="Q27">
        <f t="shared" si="0"/>
        <v>1</v>
      </c>
      <c r="R27">
        <f t="shared" si="3"/>
        <v>1000</v>
      </c>
      <c r="S27">
        <f t="shared" si="4"/>
        <v>1</v>
      </c>
    </row>
    <row r="28" spans="1:23" x14ac:dyDescent="0.3">
      <c r="A28" s="82" t="s">
        <v>1162</v>
      </c>
      <c r="B28" s="33">
        <v>1</v>
      </c>
      <c r="C28" s="28" t="s">
        <v>1163</v>
      </c>
      <c r="D28" s="28" t="str">
        <f>$D$17</f>
        <v>INCLUIDO</v>
      </c>
      <c r="E28" s="28"/>
      <c r="F28" s="28"/>
      <c r="G28" s="28"/>
      <c r="H28" s="28"/>
      <c r="I28" s="28"/>
      <c r="J28" s="28"/>
      <c r="K28" s="28"/>
      <c r="L28" s="28"/>
      <c r="M28" s="68">
        <v>0.05</v>
      </c>
      <c r="N28" s="28"/>
      <c r="O28" s="83"/>
      <c r="P28" s="13" t="str">
        <f t="shared" si="2"/>
        <v>SI</v>
      </c>
      <c r="Q28" s="47">
        <f>IF(D28="INCLUIDO",IF(F29&lt;&gt;0,1,0),0)</f>
        <v>1</v>
      </c>
    </row>
    <row r="29" spans="1:23" x14ac:dyDescent="0.3">
      <c r="A29" s="31" t="s">
        <v>1164</v>
      </c>
      <c r="B29" s="32" t="s">
        <v>1165</v>
      </c>
      <c r="C29" s="27" t="s">
        <v>1166</v>
      </c>
      <c r="D29" s="27" t="str">
        <f t="shared" si="5"/>
        <v>INCLUIDO</v>
      </c>
      <c r="E29" s="27" t="s">
        <v>1137</v>
      </c>
      <c r="F29" s="9">
        <f>$F$17*S29</f>
        <v>-155549.70000000001</v>
      </c>
      <c r="G29" s="10">
        <f>'COTIZACIÓN M.N.'!E28</f>
        <v>0.25</v>
      </c>
      <c r="H29" s="75">
        <f>((((IF(I29="$ Prima",G29,G29*F29/R29))*$U$9)/365)*$J$15)</f>
        <v>-38.887425</v>
      </c>
      <c r="I29" s="9" t="s">
        <v>1153</v>
      </c>
      <c r="J29" s="9">
        <f t="shared" ref="J29:J30" si="18">H29*$U$7</f>
        <v>0</v>
      </c>
      <c r="K29" s="9">
        <f t="shared" ref="K29:K30" si="19">(H29+J29)*$K$15</f>
        <v>-6.2219880000000005</v>
      </c>
      <c r="L29" s="9">
        <f t="shared" ref="L29:L30" si="20">ROUND(H29+J29+K29,2)</f>
        <v>-45.11</v>
      </c>
      <c r="M29" s="11">
        <f>$M$28</f>
        <v>0.05</v>
      </c>
      <c r="N29" s="9">
        <f t="shared" ref="N29:N30" si="21">H29*M29</f>
        <v>-1.9443712500000001</v>
      </c>
      <c r="O29" s="12">
        <f t="shared" ref="O29:O30" si="22">N29</f>
        <v>-1.9443712500000001</v>
      </c>
      <c r="P29" s="13" t="str">
        <f t="shared" si="2"/>
        <v>SI</v>
      </c>
      <c r="Q29">
        <f>IF(D29="INCLUIDO",IF(F29&lt;&gt;0,1,0),0)</f>
        <v>1</v>
      </c>
      <c r="R29">
        <f>IF(I29="%o Al Millar",1000,IF(I29="% Al Porciento",100,IF(I29="$ Prima",G29)))</f>
        <v>1000</v>
      </c>
      <c r="S29">
        <f t="shared" si="4"/>
        <v>1</v>
      </c>
    </row>
    <row r="30" spans="1:23" hidden="1" x14ac:dyDescent="0.3">
      <c r="A30" s="31" t="s">
        <v>1164</v>
      </c>
      <c r="B30" s="32"/>
      <c r="C30" s="81">
        <f>$O$12</f>
        <v>0</v>
      </c>
      <c r="D30" s="27" t="str">
        <f t="shared" si="5"/>
        <v>INCLUIDO</v>
      </c>
      <c r="E30" s="27" t="str">
        <f>E29</f>
        <v>Sublimite</v>
      </c>
      <c r="F30" s="9">
        <f>(F29*$O$12)*S30</f>
        <v>0</v>
      </c>
      <c r="G30" s="10">
        <f>G29*0.35</f>
        <v>8.7499999999999994E-2</v>
      </c>
      <c r="H30" s="9">
        <f>((IF(I30="$ Prima",G30,G30*F30/R30))*$U$9)*O13</f>
        <v>0</v>
      </c>
      <c r="I30" s="9" t="s">
        <v>1153</v>
      </c>
      <c r="J30" s="9">
        <f t="shared" si="18"/>
        <v>0</v>
      </c>
      <c r="K30" s="9">
        <f t="shared" si="19"/>
        <v>0</v>
      </c>
      <c r="L30" s="9">
        <f t="shared" si="20"/>
        <v>0</v>
      </c>
      <c r="M30" s="11">
        <f>$M$28</f>
        <v>0.05</v>
      </c>
      <c r="N30" s="9">
        <f t="shared" si="21"/>
        <v>0</v>
      </c>
      <c r="O30" s="12">
        <f t="shared" si="22"/>
        <v>0</v>
      </c>
      <c r="P30" s="13" t="str">
        <f t="shared" si="2"/>
        <v>NO</v>
      </c>
      <c r="Q30">
        <f>IF(D30="INCLUIDO",IF(F30&lt;&gt;0,1,0),0)</f>
        <v>0</v>
      </c>
      <c r="R30">
        <f>IF(I30="%o Al Millar",1000,IF(I30="% Al Porciento",100,IF(I30="$ Prima",G30)))</f>
        <v>1000</v>
      </c>
      <c r="S30">
        <f t="shared" si="4"/>
        <v>1</v>
      </c>
    </row>
    <row r="31" spans="1:23" x14ac:dyDescent="0.3">
      <c r="A31" s="82">
        <v>904</v>
      </c>
      <c r="B31" s="33">
        <v>1</v>
      </c>
      <c r="C31" s="28" t="s">
        <v>1167</v>
      </c>
      <c r="D31" s="28" t="str">
        <f>$D$17</f>
        <v>INCLUIDO</v>
      </c>
      <c r="E31" s="28"/>
      <c r="F31" s="28"/>
      <c r="G31" s="28"/>
      <c r="H31" s="28"/>
      <c r="I31" s="28"/>
      <c r="J31" s="28"/>
      <c r="K31" s="28"/>
      <c r="L31" s="28"/>
      <c r="M31" s="68">
        <v>0.05</v>
      </c>
      <c r="N31" s="28"/>
      <c r="O31" s="83"/>
      <c r="P31" s="13" t="str">
        <f t="shared" si="2"/>
        <v>SI</v>
      </c>
      <c r="Q31" s="47">
        <f>IF(D31="INCLUIDO",IF(F32&lt;&gt;0,1,0),0)</f>
        <v>1</v>
      </c>
    </row>
    <row r="32" spans="1:23" x14ac:dyDescent="0.3">
      <c r="A32" s="31" t="s">
        <v>1168</v>
      </c>
      <c r="B32" s="32" t="s">
        <v>1169</v>
      </c>
      <c r="C32" s="27" t="s">
        <v>1170</v>
      </c>
      <c r="D32" s="27" t="str">
        <f t="shared" si="5"/>
        <v>INCLUIDO</v>
      </c>
      <c r="E32" s="27" t="s">
        <v>1137</v>
      </c>
      <c r="F32" s="9">
        <f>F17</f>
        <v>-155549.70000000001</v>
      </c>
      <c r="G32" s="10">
        <f>'COTIZACIÓN M.N.'!E30</f>
        <v>0.4</v>
      </c>
      <c r="H32" s="75">
        <f>((((IF(I32="$ Prima",G32,G32*F32/R32))*$U$9)*O14)/365)*$J$15</f>
        <v>-62.219880000000003</v>
      </c>
      <c r="I32" s="9" t="s">
        <v>1153</v>
      </c>
      <c r="J32" s="9">
        <f t="shared" ref="J32:J33" si="23">H32*$U$7</f>
        <v>0</v>
      </c>
      <c r="K32" s="9">
        <f t="shared" ref="K32:K33" si="24">(H32+J32)*$K$15</f>
        <v>-9.9551808000000008</v>
      </c>
      <c r="L32" s="9">
        <f t="shared" ref="L32:L33" si="25">ROUND(H32+J32+K32,2)</f>
        <v>-72.180000000000007</v>
      </c>
      <c r="M32" s="11">
        <f>$M$31</f>
        <v>0.05</v>
      </c>
      <c r="N32" s="9">
        <f t="shared" ref="N32:N33" si="26">H32*M32</f>
        <v>-3.1109940000000003</v>
      </c>
      <c r="O32" s="12">
        <f t="shared" ref="O32:O33" si="27">N32</f>
        <v>-3.1109940000000003</v>
      </c>
      <c r="P32" s="13" t="str">
        <f t="shared" si="2"/>
        <v>SI</v>
      </c>
      <c r="Q32">
        <f>IF(D32="INCLUIDO",IF(F32&lt;&gt;0,1,0),0)</f>
        <v>1</v>
      </c>
      <c r="R32">
        <f>IF(I32="%o Al Millar",1000,IF(I32="% Al Porciento",100,IF(I32="$ Prima",G32)))</f>
        <v>1000</v>
      </c>
      <c r="S32">
        <f t="shared" si="4"/>
        <v>1</v>
      </c>
    </row>
    <row r="33" spans="1:22" hidden="1" x14ac:dyDescent="0.3">
      <c r="A33" s="31" t="s">
        <v>1168</v>
      </c>
      <c r="B33" s="32"/>
      <c r="C33" s="81">
        <f>$O$12</f>
        <v>0</v>
      </c>
      <c r="D33" s="27" t="str">
        <f t="shared" si="5"/>
        <v>INCLUIDO</v>
      </c>
      <c r="E33" s="27" t="str">
        <f>E32</f>
        <v>Sublimite</v>
      </c>
      <c r="F33" s="9">
        <f>(F32*$O$12)*S33</f>
        <v>0</v>
      </c>
      <c r="G33" s="10">
        <f>G32*0.35</f>
        <v>0.13999999999999999</v>
      </c>
      <c r="H33" s="9">
        <f>((IF(I33="$ Prima",G33,G33*F33/R33))*$U$9)*O14</f>
        <v>0</v>
      </c>
      <c r="I33" s="9" t="s">
        <v>1153</v>
      </c>
      <c r="J33" s="9">
        <f t="shared" si="23"/>
        <v>0</v>
      </c>
      <c r="K33" s="9">
        <f t="shared" si="24"/>
        <v>0</v>
      </c>
      <c r="L33" s="9">
        <f t="shared" si="25"/>
        <v>0</v>
      </c>
      <c r="M33" s="11">
        <f>$M$31</f>
        <v>0.05</v>
      </c>
      <c r="N33" s="9">
        <f t="shared" si="26"/>
        <v>0</v>
      </c>
      <c r="O33" s="12">
        <f t="shared" si="27"/>
        <v>0</v>
      </c>
      <c r="P33" s="13" t="str">
        <f t="shared" si="2"/>
        <v>NO</v>
      </c>
      <c r="Q33">
        <f>IF(D33="INCLUIDO",IF(F33&lt;&gt;0,1,0),0)</f>
        <v>0</v>
      </c>
      <c r="R33">
        <f>IF(I33="%o Al Millar",1000,IF(I33="% Al Porciento",100,IF(I33="$ Prima",G33)))</f>
        <v>1000</v>
      </c>
      <c r="S33">
        <f t="shared" si="4"/>
        <v>1</v>
      </c>
    </row>
    <row r="34" spans="1:22" x14ac:dyDescent="0.3">
      <c r="A34" s="82" t="s">
        <v>1147</v>
      </c>
      <c r="B34" s="33" t="s">
        <v>1148</v>
      </c>
      <c r="C34" s="28" t="s">
        <v>1171</v>
      </c>
      <c r="D34" s="28" t="str">
        <f>$D$17</f>
        <v>INCLUIDO</v>
      </c>
      <c r="E34" s="28"/>
      <c r="F34" s="113">
        <f>-'COTIZACIÓN M.N.'!D61</f>
        <v>-31109.940000000002</v>
      </c>
      <c r="G34" s="28"/>
      <c r="H34" s="28"/>
      <c r="I34" s="28"/>
      <c r="J34" s="28"/>
      <c r="K34" s="28"/>
      <c r="L34" s="28"/>
      <c r="M34" s="68">
        <v>0.25</v>
      </c>
      <c r="N34" s="28"/>
      <c r="O34" s="83"/>
      <c r="P34" s="13" t="str">
        <f t="shared" si="2"/>
        <v>SI</v>
      </c>
      <c r="Q34" s="47">
        <f>IF(D34="INCLUIDO",IF(F35&lt;&gt;0,1,0),0)</f>
        <v>1</v>
      </c>
    </row>
    <row r="35" spans="1:22" x14ac:dyDescent="0.3">
      <c r="A35" s="31" t="s">
        <v>1150</v>
      </c>
      <c r="B35" s="32" t="s">
        <v>1172</v>
      </c>
      <c r="C35" s="27" t="s">
        <v>1173</v>
      </c>
      <c r="D35" s="27" t="str">
        <f t="shared" si="5"/>
        <v>INCLUIDO</v>
      </c>
      <c r="E35" s="27" t="s">
        <v>1137</v>
      </c>
      <c r="F35" s="9">
        <f>F34*S35</f>
        <v>-31109.940000000002</v>
      </c>
      <c r="G35" s="10">
        <f>'COTIZACIÓN M.N.'!E61*75%</f>
        <v>4.1836147500000004E-2</v>
      </c>
      <c r="H35" s="75">
        <f>(((IF(I35="$ Prima",G35,G35*F35/R35))*$U$9)/365)*$J$15</f>
        <v>-1.3015200385561503</v>
      </c>
      <c r="I35" s="9" t="s">
        <v>1153</v>
      </c>
      <c r="J35" s="9">
        <f>H35*$U$7</f>
        <v>0</v>
      </c>
      <c r="K35" s="9">
        <f>(H35+J35)*$K$15</f>
        <v>-0.20824320616898406</v>
      </c>
      <c r="L35" s="9">
        <f>ROUND(H35+J35+K35,2)</f>
        <v>-1.51</v>
      </c>
      <c r="M35" s="11">
        <f>M34</f>
        <v>0.25</v>
      </c>
      <c r="N35" s="9">
        <f>H35*M35</f>
        <v>-0.32538000963903757</v>
      </c>
      <c r="O35" s="12">
        <f>N35</f>
        <v>-0.32538000963903757</v>
      </c>
      <c r="P35" s="13" t="str">
        <f t="shared" si="2"/>
        <v>SI</v>
      </c>
      <c r="Q35">
        <f>IF(D35="INCLUIDO",IF(F35&lt;&gt;0,1,0),0)</f>
        <v>1</v>
      </c>
      <c r="R35">
        <f>IF(I35="%o Al Millar",1000,IF(I35="% Al Porciento",100,IF(I35="$ Prima",G35)))</f>
        <v>1000</v>
      </c>
      <c r="S35">
        <f t="shared" si="4"/>
        <v>1</v>
      </c>
    </row>
    <row r="36" spans="1:22" x14ac:dyDescent="0.3">
      <c r="A36" s="82" t="s">
        <v>1162</v>
      </c>
      <c r="B36" s="33">
        <v>1</v>
      </c>
      <c r="C36" s="28" t="s">
        <v>1163</v>
      </c>
      <c r="D36" s="28" t="str">
        <f>$D$17</f>
        <v>INCLUIDO</v>
      </c>
      <c r="E36" s="28"/>
      <c r="F36" s="28"/>
      <c r="G36" s="28"/>
      <c r="H36" s="28"/>
      <c r="I36" s="28"/>
      <c r="J36" s="28"/>
      <c r="K36" s="28"/>
      <c r="L36" s="28"/>
      <c r="M36" s="68">
        <f>M28</f>
        <v>0.05</v>
      </c>
      <c r="N36" s="28"/>
      <c r="O36" s="83"/>
      <c r="P36" s="13" t="str">
        <f t="shared" si="2"/>
        <v>SI</v>
      </c>
      <c r="Q36" s="47">
        <f>IF(D36="INCLUIDO",IF(F37&lt;&gt;0,1,0),0)</f>
        <v>1</v>
      </c>
    </row>
    <row r="37" spans="1:22" ht="20.399999999999999" x14ac:dyDescent="0.3">
      <c r="A37" s="31" t="s">
        <v>1164</v>
      </c>
      <c r="B37" s="32" t="s">
        <v>1174</v>
      </c>
      <c r="C37" s="27" t="s">
        <v>1175</v>
      </c>
      <c r="D37" s="27" t="str">
        <f t="shared" si="5"/>
        <v>INCLUIDO</v>
      </c>
      <c r="E37" s="27" t="s">
        <v>1137</v>
      </c>
      <c r="F37" s="9">
        <f>-'COTIZACIÓN M.N.'!D61</f>
        <v>-31109.940000000002</v>
      </c>
      <c r="G37" s="10">
        <f>'COTIZACIÓN M.N.'!E61*25%</f>
        <v>1.3945382500000001E-2</v>
      </c>
      <c r="H37" s="75">
        <f>(((IF(I37="$ Prima",G37,G37*F37/R37))*$U$9)/365)*$J$15</f>
        <v>-0.43384001285205004</v>
      </c>
      <c r="I37" s="9" t="s">
        <v>1153</v>
      </c>
      <c r="J37" s="9">
        <f>H37*$U$7</f>
        <v>0</v>
      </c>
      <c r="K37" s="9">
        <f>(H37+J37)*$K$15</f>
        <v>-6.9414402056328012E-2</v>
      </c>
      <c r="L37" s="9">
        <f>ROUND(H37+J37+K37,2)</f>
        <v>-0.5</v>
      </c>
      <c r="M37" s="11">
        <f>M36</f>
        <v>0.05</v>
      </c>
      <c r="N37" s="9">
        <f>H37*M37</f>
        <v>-2.1692000642602502E-2</v>
      </c>
      <c r="O37" s="12">
        <f>N37</f>
        <v>-2.1692000642602502E-2</v>
      </c>
      <c r="P37" s="13" t="str">
        <f t="shared" si="2"/>
        <v>SI</v>
      </c>
      <c r="Q37">
        <f>IF(D37="INCLUIDO",IF(F37&lt;&gt;0,1,0),0)</f>
        <v>1</v>
      </c>
      <c r="R37">
        <f>IF(I37="%o Al Millar",1000,IF(I37="% Al Porciento",100,IF(I37="$ Prima",G37)))</f>
        <v>1000</v>
      </c>
      <c r="S37">
        <f t="shared" si="4"/>
        <v>1</v>
      </c>
    </row>
    <row r="38" spans="1:22" x14ac:dyDescent="0.3">
      <c r="A38" s="82">
        <v>904</v>
      </c>
      <c r="B38" s="33">
        <v>1</v>
      </c>
      <c r="C38" s="28" t="s">
        <v>1167</v>
      </c>
      <c r="D38" s="28" t="str">
        <f>$D$17</f>
        <v>INCLUIDO</v>
      </c>
      <c r="E38" s="28"/>
      <c r="F38" s="28"/>
      <c r="G38" s="28"/>
      <c r="H38" s="28"/>
      <c r="I38" s="28"/>
      <c r="J38" s="28"/>
      <c r="K38" s="28"/>
      <c r="L38" s="28"/>
      <c r="M38" s="68">
        <f>M31</f>
        <v>0.05</v>
      </c>
      <c r="N38" s="28"/>
      <c r="O38" s="83"/>
      <c r="P38" s="13" t="str">
        <f t="shared" si="2"/>
        <v>SI</v>
      </c>
      <c r="Q38" s="47">
        <f>IF(D38="INCLUIDO",IF(F39&lt;&gt;0,1,0),0)</f>
        <v>1</v>
      </c>
    </row>
    <row r="39" spans="1:22" ht="20.399999999999999" x14ac:dyDescent="0.3">
      <c r="A39" s="31" t="s">
        <v>1168</v>
      </c>
      <c r="B39" s="32" t="s">
        <v>1176</v>
      </c>
      <c r="C39" s="27" t="s">
        <v>1175</v>
      </c>
      <c r="D39" s="27" t="str">
        <f t="shared" si="5"/>
        <v>INCLUIDO</v>
      </c>
      <c r="E39" s="27" t="s">
        <v>1137</v>
      </c>
      <c r="F39" s="9">
        <f>-'COTIZACIÓN M.N.'!D62</f>
        <v>-31109.940000000002</v>
      </c>
      <c r="G39" s="10">
        <f>'COTIZACIÓN M.N.'!E62</f>
        <v>4.0000000000000008E-2</v>
      </c>
      <c r="H39" s="75">
        <f>(((IF(I39="$ Prima",G39,G39*F39/R39))*$U$9)/365)*$J$15</f>
        <v>-1.2443976000000003</v>
      </c>
      <c r="I39" s="9" t="s">
        <v>1153</v>
      </c>
      <c r="J39" s="9">
        <f>H39*$U$7</f>
        <v>0</v>
      </c>
      <c r="K39" s="9">
        <f>(H39+J39)*$K$15</f>
        <v>-0.19910361600000007</v>
      </c>
      <c r="L39" s="9">
        <f>ROUND(H39+J39+K39,2)</f>
        <v>-1.44</v>
      </c>
      <c r="M39" s="11">
        <f>M38</f>
        <v>0.05</v>
      </c>
      <c r="N39" s="9">
        <f>H39*M39</f>
        <v>-6.2219880000000019E-2</v>
      </c>
      <c r="O39" s="12">
        <f>N39</f>
        <v>-6.2219880000000019E-2</v>
      </c>
      <c r="P39" s="13" t="str">
        <f t="shared" si="2"/>
        <v>SI</v>
      </c>
      <c r="Q39">
        <f>IF(D39="INCLUIDO",IF(F39&lt;&gt;0,1,0),0)</f>
        <v>1</v>
      </c>
      <c r="R39">
        <f>IF(I39="%o Al Millar",1000,IF(I39="% Al Porciento",100,IF(I39="$ Prima",G39)))</f>
        <v>1000</v>
      </c>
      <c r="S39">
        <f t="shared" si="4"/>
        <v>1</v>
      </c>
    </row>
    <row r="40" spans="1:22" s="18" customFormat="1" ht="15" thickBot="1" x14ac:dyDescent="0.35">
      <c r="A40" s="14"/>
      <c r="B40" s="25"/>
      <c r="C40" s="15" t="s">
        <v>1177</v>
      </c>
      <c r="D40" s="38" t="str">
        <f>D39</f>
        <v>INCLUIDO</v>
      </c>
      <c r="E40" s="38"/>
      <c r="F40" s="16">
        <f>SUMIF(E18:E39,"Adicional",F18:F39)</f>
        <v>0</v>
      </c>
      <c r="G40" s="17"/>
      <c r="H40" s="16">
        <f>SUM(H18:H39)</f>
        <v>-162.96764022181824</v>
      </c>
      <c r="I40" s="16"/>
      <c r="J40" s="16">
        <f>SUM(J18:J39)</f>
        <v>0</v>
      </c>
      <c r="K40" s="16">
        <f>SUM(K18:K39)</f>
        <v>-26.074822435490915</v>
      </c>
      <c r="L40" s="16">
        <f>SUM(L18:L39)</f>
        <v>-189.02999999999997</v>
      </c>
      <c r="M40" s="16" t="s">
        <v>1178</v>
      </c>
      <c r="N40" s="16">
        <f>SUM(N18:N39)</f>
        <v>-20.184801532884144</v>
      </c>
      <c r="O40" s="84">
        <f>SUM(O18:O39)</f>
        <v>-20.184801532884144</v>
      </c>
      <c r="P40" s="13" t="str">
        <f t="shared" si="2"/>
        <v>SI</v>
      </c>
      <c r="Q40">
        <f>IF(D40="INCLUIDO",IF(H40&lt;&gt;0,1,0),0)</f>
        <v>1</v>
      </c>
    </row>
    <row r="41" spans="1:22" ht="15" thickBot="1" x14ac:dyDescent="0.35">
      <c r="A41" s="82" t="s">
        <v>1147</v>
      </c>
      <c r="B41" s="33">
        <v>2</v>
      </c>
      <c r="C41" s="28" t="s">
        <v>1179</v>
      </c>
      <c r="D41" s="28" t="str">
        <f>$D$17</f>
        <v>INCLUIDO</v>
      </c>
      <c r="E41" s="28"/>
      <c r="F41" s="113">
        <f>-'COTIZACIÓN M.N.'!D33</f>
        <v>-869216450.12531984</v>
      </c>
      <c r="G41" s="209">
        <f>'COTIZACIÓN M.N.'!E33+'COTIZACIÓN M.N.'!E34+'COTIZACIÓN M.N.'!E35</f>
        <v>0.30781530000000001</v>
      </c>
      <c r="H41" s="28"/>
      <c r="I41" s="28"/>
      <c r="J41" s="28"/>
      <c r="K41" s="28"/>
      <c r="L41" s="28"/>
      <c r="M41" s="68">
        <v>0.25</v>
      </c>
      <c r="N41" s="28"/>
      <c r="O41" s="83"/>
      <c r="P41" s="13" t="str">
        <f t="shared" si="2"/>
        <v>SI</v>
      </c>
      <c r="Q41" s="48">
        <f t="shared" ref="Q41:Q60" si="28">IF(D41="INCLUIDO",IF(F41&lt;&gt;0,1,0),0)</f>
        <v>1</v>
      </c>
      <c r="T41" s="146">
        <f>G41</f>
        <v>0.30781530000000001</v>
      </c>
      <c r="U41" s="150"/>
      <c r="V41" s="151"/>
    </row>
    <row r="42" spans="1:22" x14ac:dyDescent="0.3">
      <c r="A42" s="34" t="s">
        <v>1150</v>
      </c>
      <c r="B42" s="35" t="s">
        <v>1180</v>
      </c>
      <c r="C42" s="29" t="s">
        <v>1151</v>
      </c>
      <c r="D42" s="27" t="str">
        <f t="shared" ref="D42:D76" si="29">$D$17</f>
        <v>INCLUIDO</v>
      </c>
      <c r="E42" s="27" t="s">
        <v>1137</v>
      </c>
      <c r="F42" s="20">
        <f>$F$41*S42</f>
        <v>-869216450.12531984</v>
      </c>
      <c r="G42" s="49">
        <f>V42</f>
        <v>0.24625224000000001</v>
      </c>
      <c r="H42" s="9">
        <f>(((IF(I42="$ Prima",G42,G42*F42/R42))*$U$9)/365)*$J$15</f>
        <v>-214046.49788820831</v>
      </c>
      <c r="I42" s="9" t="s">
        <v>1153</v>
      </c>
      <c r="J42" s="9">
        <f t="shared" ref="J42:J60" si="30">H42*$U$7</f>
        <v>0</v>
      </c>
      <c r="K42" s="9">
        <f t="shared" ref="K42:K60" si="31">(H42+J42)*$K$15</f>
        <v>-34247.439662113327</v>
      </c>
      <c r="L42" s="9">
        <f t="shared" ref="L42:L60" si="32">ROUND(H42+J42+K42,2)</f>
        <v>-248293.94</v>
      </c>
      <c r="M42" s="11">
        <f>$M$41</f>
        <v>0.25</v>
      </c>
      <c r="N42" s="9">
        <f t="shared" ref="N42:N60" si="33">H42*M42</f>
        <v>-53511.624472052077</v>
      </c>
      <c r="O42" s="12">
        <f t="shared" ref="O42:O60" si="34">N42</f>
        <v>-53511.624472052077</v>
      </c>
      <c r="P42" s="13" t="str">
        <f t="shared" si="2"/>
        <v>SI</v>
      </c>
      <c r="Q42">
        <f t="shared" si="28"/>
        <v>1</v>
      </c>
      <c r="R42">
        <f t="shared" ref="R42:R60" si="35">IF(I42="%o Al Millar",1000,IF(I42="% Al Porciento",100,IF(I42="$ Prima",G42)))</f>
        <v>1000</v>
      </c>
      <c r="S42">
        <f t="shared" ref="S42:S76" si="36">IF(E42="Excluido",0,IF(D42="NO APLICA",0,1))</f>
        <v>1</v>
      </c>
      <c r="T42" s="152">
        <v>0.7</v>
      </c>
      <c r="U42">
        <f>IF(E42="Excluido",0,T41*T42)</f>
        <v>0.21547071000000001</v>
      </c>
      <c r="V42" s="153">
        <f>IF(F41=0,0,(U51-U46-U44-U50)+(T41-U51))</f>
        <v>0.24625224000000001</v>
      </c>
    </row>
    <row r="43" spans="1:22" hidden="1" x14ac:dyDescent="0.3">
      <c r="A43" s="34" t="s">
        <v>1150</v>
      </c>
      <c r="B43" s="35"/>
      <c r="C43" s="81">
        <f>$O$12</f>
        <v>0</v>
      </c>
      <c r="D43" s="27" t="str">
        <f t="shared" si="29"/>
        <v>INCLUIDO</v>
      </c>
      <c r="E43" s="27" t="str">
        <f>E42</f>
        <v>Sublimite</v>
      </c>
      <c r="F43" s="9">
        <f>(F42*$O$12)*S42</f>
        <v>0</v>
      </c>
      <c r="G43" s="10">
        <f>G42*0.35</f>
        <v>8.6188284000000004E-2</v>
      </c>
      <c r="H43" s="9">
        <f t="shared" ref="H43" si="37">(IF(I43="$ Prima",G43,G43*F43/R43))*$U$9</f>
        <v>0</v>
      </c>
      <c r="I43" s="9" t="s">
        <v>1153</v>
      </c>
      <c r="J43" s="9">
        <f t="shared" si="30"/>
        <v>0</v>
      </c>
      <c r="K43" s="9">
        <f t="shared" si="31"/>
        <v>0</v>
      </c>
      <c r="L43" s="9">
        <f t="shared" si="32"/>
        <v>0</v>
      </c>
      <c r="M43" s="11">
        <f t="shared" ref="M43:M60" si="38">$M$41</f>
        <v>0.25</v>
      </c>
      <c r="N43" s="9">
        <f t="shared" si="33"/>
        <v>0</v>
      </c>
      <c r="O43" s="12">
        <f t="shared" si="34"/>
        <v>0</v>
      </c>
      <c r="P43" s="13" t="str">
        <f t="shared" si="2"/>
        <v>NO</v>
      </c>
      <c r="Q43">
        <f t="shared" si="28"/>
        <v>0</v>
      </c>
      <c r="R43">
        <f t="shared" si="35"/>
        <v>1000</v>
      </c>
      <c r="S43">
        <f t="shared" si="36"/>
        <v>1</v>
      </c>
      <c r="T43" s="152"/>
      <c r="V43" s="153"/>
    </row>
    <row r="44" spans="1:22" ht="20.399999999999999" x14ac:dyDescent="0.3">
      <c r="A44" s="34" t="s">
        <v>1150</v>
      </c>
      <c r="B44" s="35" t="s">
        <v>1181</v>
      </c>
      <c r="C44" s="29" t="s">
        <v>1155</v>
      </c>
      <c r="D44" s="27" t="str">
        <f t="shared" si="29"/>
        <v>INCLUIDO</v>
      </c>
      <c r="E44" s="27" t="s">
        <v>1137</v>
      </c>
      <c r="F44" s="20">
        <f>$F$41*S44</f>
        <v>-869216450.12531984</v>
      </c>
      <c r="G44" s="49">
        <f>V44</f>
        <v>3.0781530000000001E-2</v>
      </c>
      <c r="H44" s="9">
        <f>(((IF(I44="$ Prima",G44,G44*F44/R44))*$U$9)/365)*$J$15</f>
        <v>-26755.812236026039</v>
      </c>
      <c r="I44" s="9" t="s">
        <v>1153</v>
      </c>
      <c r="J44" s="9">
        <f t="shared" si="30"/>
        <v>0</v>
      </c>
      <c r="K44" s="9">
        <f t="shared" si="31"/>
        <v>-4280.9299577641659</v>
      </c>
      <c r="L44" s="9">
        <f t="shared" si="32"/>
        <v>-31036.74</v>
      </c>
      <c r="M44" s="11">
        <f t="shared" si="38"/>
        <v>0.25</v>
      </c>
      <c r="N44" s="9">
        <f t="shared" si="33"/>
        <v>-6688.9530590065096</v>
      </c>
      <c r="O44" s="12">
        <f t="shared" si="34"/>
        <v>-6688.9530590065096</v>
      </c>
      <c r="P44" s="13" t="str">
        <f t="shared" si="2"/>
        <v>SI</v>
      </c>
      <c r="Q44">
        <f t="shared" si="28"/>
        <v>1</v>
      </c>
      <c r="R44">
        <f t="shared" si="35"/>
        <v>1000</v>
      </c>
      <c r="S44">
        <f t="shared" si="36"/>
        <v>1</v>
      </c>
      <c r="T44" s="152">
        <v>0.1</v>
      </c>
      <c r="U44">
        <f>IF(E44="Excluido",0,T41*T44)</f>
        <v>3.0781530000000001E-2</v>
      </c>
      <c r="V44" s="153">
        <f>IF(F41=0,0,U44)</f>
        <v>3.0781530000000001E-2</v>
      </c>
    </row>
    <row r="45" spans="1:22" hidden="1" x14ac:dyDescent="0.3">
      <c r="A45" s="34" t="s">
        <v>1150</v>
      </c>
      <c r="B45" s="35"/>
      <c r="C45" s="81">
        <f>$O$12</f>
        <v>0</v>
      </c>
      <c r="D45" s="27" t="str">
        <f t="shared" si="29"/>
        <v>INCLUIDO</v>
      </c>
      <c r="E45" s="27" t="str">
        <f>E44</f>
        <v>Sublimite</v>
      </c>
      <c r="F45" s="9">
        <f>(F44*$O$12)*S44</f>
        <v>0</v>
      </c>
      <c r="G45" s="10">
        <f>G44*0.35</f>
        <v>1.07735355E-2</v>
      </c>
      <c r="H45" s="9">
        <f t="shared" ref="H45:H59" si="39">(IF(I45="$ Prima",G45,G45*F45/R45))*$U$9</f>
        <v>0</v>
      </c>
      <c r="I45" s="9" t="s">
        <v>1153</v>
      </c>
      <c r="J45" s="9">
        <f t="shared" si="30"/>
        <v>0</v>
      </c>
      <c r="K45" s="9">
        <f t="shared" si="31"/>
        <v>0</v>
      </c>
      <c r="L45" s="9">
        <f t="shared" si="32"/>
        <v>0</v>
      </c>
      <c r="M45" s="11">
        <f t="shared" si="38"/>
        <v>0.25</v>
      </c>
      <c r="N45" s="9">
        <f t="shared" si="33"/>
        <v>0</v>
      </c>
      <c r="O45" s="12">
        <f t="shared" si="34"/>
        <v>0</v>
      </c>
      <c r="P45" s="13" t="str">
        <f t="shared" si="2"/>
        <v>NO</v>
      </c>
      <c r="Q45">
        <f t="shared" si="28"/>
        <v>0</v>
      </c>
      <c r="R45">
        <f t="shared" si="35"/>
        <v>1000</v>
      </c>
      <c r="S45">
        <f t="shared" si="36"/>
        <v>1</v>
      </c>
      <c r="T45" s="152"/>
      <c r="V45" s="153"/>
    </row>
    <row r="46" spans="1:22" x14ac:dyDescent="0.3">
      <c r="A46" s="34" t="s">
        <v>1150</v>
      </c>
      <c r="B46" s="35" t="s">
        <v>1182</v>
      </c>
      <c r="C46" s="29" t="s">
        <v>1110</v>
      </c>
      <c r="D46" s="27" t="str">
        <f t="shared" si="29"/>
        <v>INCLUIDO</v>
      </c>
      <c r="E46" s="27" t="s">
        <v>1137</v>
      </c>
      <c r="F46" s="20">
        <f>-'COTIZACIÓN M.N.'!D35</f>
        <v>-869216450.12531984</v>
      </c>
      <c r="G46" s="49">
        <f>V46</f>
        <v>3.0781530000000001E-2</v>
      </c>
      <c r="H46" s="9">
        <f>(((IF(I46="$ Prima",G46,G46*F46/R46))*$U$9)/365)*$J$15</f>
        <v>-26755.812236026039</v>
      </c>
      <c r="I46" s="9" t="s">
        <v>1153</v>
      </c>
      <c r="J46" s="9">
        <f t="shared" si="30"/>
        <v>0</v>
      </c>
      <c r="K46" s="9">
        <f t="shared" si="31"/>
        <v>-4280.9299577641659</v>
      </c>
      <c r="L46" s="9">
        <f t="shared" si="32"/>
        <v>-31036.74</v>
      </c>
      <c r="M46" s="11">
        <f t="shared" si="38"/>
        <v>0.25</v>
      </c>
      <c r="N46" s="9">
        <f t="shared" si="33"/>
        <v>-6688.9530590065096</v>
      </c>
      <c r="O46" s="12">
        <f t="shared" si="34"/>
        <v>-6688.9530590065096</v>
      </c>
      <c r="P46" s="13" t="str">
        <f t="shared" si="2"/>
        <v>SI</v>
      </c>
      <c r="Q46">
        <f t="shared" si="28"/>
        <v>1</v>
      </c>
      <c r="R46">
        <f t="shared" si="35"/>
        <v>1000</v>
      </c>
      <c r="S46">
        <f t="shared" si="36"/>
        <v>1</v>
      </c>
      <c r="T46" s="152">
        <v>0.1</v>
      </c>
      <c r="U46">
        <f>IF(E46="Excluido",0,T41*T46)</f>
        <v>3.0781530000000001E-2</v>
      </c>
      <c r="V46" s="153">
        <f>IF(F41=0,0,U46)</f>
        <v>3.0781530000000001E-2</v>
      </c>
    </row>
    <row r="47" spans="1:22" hidden="1" x14ac:dyDescent="0.3">
      <c r="A47" s="34" t="s">
        <v>1150</v>
      </c>
      <c r="B47" s="35"/>
      <c r="C47" s="81">
        <f>$O$12</f>
        <v>0</v>
      </c>
      <c r="D47" s="27" t="str">
        <f t="shared" si="29"/>
        <v>INCLUIDO</v>
      </c>
      <c r="E47" s="27" t="str">
        <f>E46</f>
        <v>Sublimite</v>
      </c>
      <c r="F47" s="9">
        <f>(F46*$O$12)*S46</f>
        <v>0</v>
      </c>
      <c r="G47" s="10">
        <f>G46*0.35</f>
        <v>1.07735355E-2</v>
      </c>
      <c r="H47" s="9">
        <f t="shared" ref="H47" si="40">(IF(I47="$ Prima",G47,G47*F47/R47))*$U$9</f>
        <v>0</v>
      </c>
      <c r="I47" s="9" t="s">
        <v>1153</v>
      </c>
      <c r="J47" s="9">
        <f t="shared" si="30"/>
        <v>0</v>
      </c>
      <c r="K47" s="9">
        <f t="shared" si="31"/>
        <v>0</v>
      </c>
      <c r="L47" s="9">
        <f t="shared" si="32"/>
        <v>0</v>
      </c>
      <c r="M47" s="11">
        <f t="shared" si="38"/>
        <v>0.25</v>
      </c>
      <c r="N47" s="9">
        <f t="shared" si="33"/>
        <v>0</v>
      </c>
      <c r="O47" s="12">
        <f t="shared" si="34"/>
        <v>0</v>
      </c>
      <c r="P47" s="13" t="str">
        <f t="shared" si="2"/>
        <v>NO</v>
      </c>
      <c r="Q47">
        <f t="shared" si="28"/>
        <v>0</v>
      </c>
      <c r="R47">
        <f t="shared" si="35"/>
        <v>1000</v>
      </c>
      <c r="S47">
        <f t="shared" si="36"/>
        <v>1</v>
      </c>
      <c r="T47" s="154"/>
      <c r="V47" s="153"/>
    </row>
    <row r="48" spans="1:22" ht="15" hidden="1" customHeight="1" x14ac:dyDescent="0.3">
      <c r="A48" s="34" t="s">
        <v>1150</v>
      </c>
      <c r="B48" s="35" t="s">
        <v>1183</v>
      </c>
      <c r="C48" s="29" t="s">
        <v>1184</v>
      </c>
      <c r="D48" s="27" t="str">
        <f t="shared" si="29"/>
        <v>INCLUIDO</v>
      </c>
      <c r="E48" s="27" t="s">
        <v>1137</v>
      </c>
      <c r="F48" s="43">
        <v>0</v>
      </c>
      <c r="G48" s="21">
        <v>0</v>
      </c>
      <c r="H48" s="9">
        <f t="shared" si="39"/>
        <v>0</v>
      </c>
      <c r="I48" s="9" t="s">
        <v>1153</v>
      </c>
      <c r="J48" s="9">
        <f t="shared" si="30"/>
        <v>0</v>
      </c>
      <c r="K48" s="9">
        <f t="shared" si="31"/>
        <v>0</v>
      </c>
      <c r="L48" s="9">
        <f t="shared" si="32"/>
        <v>0</v>
      </c>
      <c r="M48" s="11">
        <f t="shared" si="38"/>
        <v>0.25</v>
      </c>
      <c r="N48" s="9">
        <f t="shared" si="33"/>
        <v>0</v>
      </c>
      <c r="O48" s="12">
        <f t="shared" si="34"/>
        <v>0</v>
      </c>
      <c r="P48" s="13" t="str">
        <f t="shared" si="2"/>
        <v>NO</v>
      </c>
      <c r="Q48">
        <f t="shared" si="28"/>
        <v>0</v>
      </c>
      <c r="R48">
        <f t="shared" si="35"/>
        <v>1000</v>
      </c>
      <c r="S48">
        <f t="shared" si="36"/>
        <v>1</v>
      </c>
      <c r="T48" s="154"/>
      <c r="V48" s="153"/>
    </row>
    <row r="49" spans="1:22" ht="15" hidden="1" customHeight="1" x14ac:dyDescent="0.3">
      <c r="A49" s="34" t="s">
        <v>1150</v>
      </c>
      <c r="B49" s="35"/>
      <c r="C49" s="81">
        <f>$O$12</f>
        <v>0</v>
      </c>
      <c r="D49" s="27" t="str">
        <f t="shared" si="29"/>
        <v>INCLUIDO</v>
      </c>
      <c r="E49" s="27" t="str">
        <f>E48</f>
        <v>Sublimite</v>
      </c>
      <c r="F49" s="9">
        <f>(F48*$O$12)*S48</f>
        <v>0</v>
      </c>
      <c r="G49" s="10">
        <f>G48*0.35</f>
        <v>0</v>
      </c>
      <c r="H49" s="9">
        <f t="shared" si="39"/>
        <v>0</v>
      </c>
      <c r="I49" s="9" t="s">
        <v>1153</v>
      </c>
      <c r="J49" s="9">
        <f t="shared" si="30"/>
        <v>0</v>
      </c>
      <c r="K49" s="9">
        <f t="shared" si="31"/>
        <v>0</v>
      </c>
      <c r="L49" s="9">
        <f t="shared" si="32"/>
        <v>0</v>
      </c>
      <c r="M49" s="11">
        <f t="shared" si="38"/>
        <v>0.25</v>
      </c>
      <c r="N49" s="9">
        <f t="shared" si="33"/>
        <v>0</v>
      </c>
      <c r="O49" s="12">
        <f t="shared" si="34"/>
        <v>0</v>
      </c>
      <c r="P49" s="13" t="str">
        <f t="shared" si="2"/>
        <v>NO</v>
      </c>
      <c r="Q49">
        <f t="shared" si="28"/>
        <v>0</v>
      </c>
      <c r="R49">
        <f t="shared" si="35"/>
        <v>1000</v>
      </c>
      <c r="S49">
        <f t="shared" si="36"/>
        <v>1</v>
      </c>
      <c r="T49" s="154"/>
      <c r="V49" s="153"/>
    </row>
    <row r="50" spans="1:22" ht="15" hidden="1" customHeight="1" thickBot="1" x14ac:dyDescent="0.35">
      <c r="A50" s="34" t="s">
        <v>1150</v>
      </c>
      <c r="B50" s="35">
        <v>229</v>
      </c>
      <c r="C50" s="29" t="s">
        <v>1185</v>
      </c>
      <c r="D50" s="27" t="str">
        <f t="shared" si="29"/>
        <v>INCLUIDO</v>
      </c>
      <c r="E50" s="27" t="s">
        <v>1186</v>
      </c>
      <c r="F50" s="20">
        <f>$F$41*S50</f>
        <v>0</v>
      </c>
      <c r="G50" s="21">
        <f>V50</f>
        <v>0</v>
      </c>
      <c r="H50" s="9">
        <f t="shared" si="39"/>
        <v>0</v>
      </c>
      <c r="I50" s="9" t="s">
        <v>1153</v>
      </c>
      <c r="J50" s="9">
        <f t="shared" si="30"/>
        <v>0</v>
      </c>
      <c r="K50" s="9">
        <f t="shared" si="31"/>
        <v>0</v>
      </c>
      <c r="L50" s="9">
        <f t="shared" si="32"/>
        <v>0</v>
      </c>
      <c r="M50" s="11">
        <f t="shared" si="38"/>
        <v>0.25</v>
      </c>
      <c r="N50" s="9">
        <f t="shared" si="33"/>
        <v>0</v>
      </c>
      <c r="O50" s="12">
        <f t="shared" si="34"/>
        <v>0</v>
      </c>
      <c r="P50" s="13" t="str">
        <f t="shared" si="2"/>
        <v>NO</v>
      </c>
      <c r="Q50">
        <f t="shared" si="28"/>
        <v>0</v>
      </c>
      <c r="R50">
        <f t="shared" si="35"/>
        <v>1000</v>
      </c>
      <c r="S50">
        <f t="shared" si="36"/>
        <v>0</v>
      </c>
      <c r="T50" s="152">
        <v>0.1</v>
      </c>
      <c r="U50">
        <f>IF(E50="Excluido",0,T41*T50)</f>
        <v>0</v>
      </c>
      <c r="V50" s="153">
        <f>IF(F41=0,0,U50)</f>
        <v>0</v>
      </c>
    </row>
    <row r="51" spans="1:22" ht="15" hidden="1" customHeight="1" thickBot="1" x14ac:dyDescent="0.35">
      <c r="A51" s="34" t="s">
        <v>1150</v>
      </c>
      <c r="B51" s="35"/>
      <c r="C51" s="81">
        <f>$O$12</f>
        <v>0</v>
      </c>
      <c r="D51" s="27" t="str">
        <f t="shared" si="29"/>
        <v>INCLUIDO</v>
      </c>
      <c r="E51" s="27" t="str">
        <f>E50</f>
        <v>Excluido</v>
      </c>
      <c r="F51" s="9">
        <f>(F50*$O$12)*S50</f>
        <v>0</v>
      </c>
      <c r="G51" s="10">
        <f>G50*0.35</f>
        <v>0</v>
      </c>
      <c r="H51" s="9">
        <f t="shared" si="39"/>
        <v>0</v>
      </c>
      <c r="I51" s="9" t="s">
        <v>1153</v>
      </c>
      <c r="J51" s="9">
        <f t="shared" si="30"/>
        <v>0</v>
      </c>
      <c r="K51" s="9">
        <f t="shared" si="31"/>
        <v>0</v>
      </c>
      <c r="L51" s="9">
        <f t="shared" si="32"/>
        <v>0</v>
      </c>
      <c r="M51" s="11">
        <f t="shared" si="38"/>
        <v>0.25</v>
      </c>
      <c r="N51" s="9">
        <f t="shared" si="33"/>
        <v>0</v>
      </c>
      <c r="O51" s="12">
        <f t="shared" si="34"/>
        <v>0</v>
      </c>
      <c r="P51" s="13" t="str">
        <f t="shared" si="2"/>
        <v>NO</v>
      </c>
      <c r="Q51">
        <f t="shared" si="28"/>
        <v>0</v>
      </c>
      <c r="R51">
        <f t="shared" si="35"/>
        <v>1000</v>
      </c>
      <c r="S51">
        <f t="shared" si="36"/>
        <v>0</v>
      </c>
      <c r="T51" s="143">
        <f>SUM(T42:T50)</f>
        <v>0.99999999999999989</v>
      </c>
      <c r="U51" s="147">
        <f>SUM(U42:U50)</f>
        <v>0.27703377000000001</v>
      </c>
      <c r="V51" s="148">
        <f>SUM(V42:V50)</f>
        <v>0.30781530000000001</v>
      </c>
    </row>
    <row r="52" spans="1:22" ht="15" hidden="1" customHeight="1" x14ac:dyDescent="0.3">
      <c r="A52" s="34" t="s">
        <v>1150</v>
      </c>
      <c r="B52" s="35">
        <v>230</v>
      </c>
      <c r="C52" s="29" t="s">
        <v>1187</v>
      </c>
      <c r="D52" s="27" t="str">
        <f t="shared" si="29"/>
        <v>INCLUIDO</v>
      </c>
      <c r="E52" s="27" t="s">
        <v>1137</v>
      </c>
      <c r="F52" s="43">
        <v>0</v>
      </c>
      <c r="G52" s="21">
        <v>0</v>
      </c>
      <c r="H52" s="9">
        <f t="shared" si="39"/>
        <v>0</v>
      </c>
      <c r="I52" s="9" t="s">
        <v>1153</v>
      </c>
      <c r="J52" s="9">
        <f t="shared" si="30"/>
        <v>0</v>
      </c>
      <c r="K52" s="9">
        <f t="shared" si="31"/>
        <v>0</v>
      </c>
      <c r="L52" s="9">
        <f t="shared" si="32"/>
        <v>0</v>
      </c>
      <c r="M52" s="11">
        <f t="shared" si="38"/>
        <v>0.25</v>
      </c>
      <c r="N52" s="9">
        <f t="shared" si="33"/>
        <v>0</v>
      </c>
      <c r="O52" s="12">
        <f t="shared" si="34"/>
        <v>0</v>
      </c>
      <c r="P52" s="13" t="str">
        <f t="shared" si="2"/>
        <v>NO</v>
      </c>
      <c r="Q52">
        <f t="shared" si="28"/>
        <v>0</v>
      </c>
      <c r="R52">
        <f t="shared" si="35"/>
        <v>1000</v>
      </c>
      <c r="S52">
        <f t="shared" si="36"/>
        <v>1</v>
      </c>
    </row>
    <row r="53" spans="1:22" ht="15" hidden="1" customHeight="1" x14ac:dyDescent="0.3">
      <c r="A53" s="34" t="s">
        <v>1150</v>
      </c>
      <c r="B53" s="35"/>
      <c r="C53" s="81">
        <f>$O$12</f>
        <v>0</v>
      </c>
      <c r="D53" s="27" t="str">
        <f t="shared" si="29"/>
        <v>INCLUIDO</v>
      </c>
      <c r="E53" s="27" t="str">
        <f>E52</f>
        <v>Sublimite</v>
      </c>
      <c r="F53" s="9">
        <f>(F52*$O$12)*S52</f>
        <v>0</v>
      </c>
      <c r="G53" s="10">
        <f>G52*0.35</f>
        <v>0</v>
      </c>
      <c r="H53" s="9">
        <f t="shared" si="39"/>
        <v>0</v>
      </c>
      <c r="I53" s="9" t="s">
        <v>1153</v>
      </c>
      <c r="J53" s="9">
        <f t="shared" si="30"/>
        <v>0</v>
      </c>
      <c r="K53" s="9">
        <f t="shared" si="31"/>
        <v>0</v>
      </c>
      <c r="L53" s="9">
        <f t="shared" si="32"/>
        <v>0</v>
      </c>
      <c r="M53" s="11">
        <f t="shared" si="38"/>
        <v>0.25</v>
      </c>
      <c r="N53" s="9">
        <f t="shared" si="33"/>
        <v>0</v>
      </c>
      <c r="O53" s="12">
        <f t="shared" si="34"/>
        <v>0</v>
      </c>
      <c r="P53" s="13" t="str">
        <f t="shared" si="2"/>
        <v>NO</v>
      </c>
      <c r="Q53">
        <f t="shared" si="28"/>
        <v>0</v>
      </c>
      <c r="R53">
        <f t="shared" si="35"/>
        <v>1000</v>
      </c>
      <c r="S53">
        <f t="shared" si="36"/>
        <v>1</v>
      </c>
    </row>
    <row r="54" spans="1:22" ht="15" hidden="1" customHeight="1" x14ac:dyDescent="0.3">
      <c r="A54" s="34" t="s">
        <v>1150</v>
      </c>
      <c r="B54" s="35">
        <v>231</v>
      </c>
      <c r="C54" s="29" t="s">
        <v>1188</v>
      </c>
      <c r="D54" s="27" t="str">
        <f t="shared" si="29"/>
        <v>INCLUIDO</v>
      </c>
      <c r="E54" s="27" t="s">
        <v>1137</v>
      </c>
      <c r="F54" s="43">
        <v>0</v>
      </c>
      <c r="G54" s="21">
        <v>0</v>
      </c>
      <c r="H54" s="9">
        <f t="shared" si="39"/>
        <v>0</v>
      </c>
      <c r="I54" s="9" t="s">
        <v>1153</v>
      </c>
      <c r="J54" s="9">
        <f t="shared" si="30"/>
        <v>0</v>
      </c>
      <c r="K54" s="9">
        <f t="shared" si="31"/>
        <v>0</v>
      </c>
      <c r="L54" s="9">
        <f t="shared" si="32"/>
        <v>0</v>
      </c>
      <c r="M54" s="11">
        <f t="shared" si="38"/>
        <v>0.25</v>
      </c>
      <c r="N54" s="9">
        <f t="shared" si="33"/>
        <v>0</v>
      </c>
      <c r="O54" s="12">
        <f t="shared" si="34"/>
        <v>0</v>
      </c>
      <c r="P54" s="13" t="str">
        <f t="shared" si="2"/>
        <v>NO</v>
      </c>
      <c r="Q54">
        <f t="shared" si="28"/>
        <v>0</v>
      </c>
      <c r="R54">
        <f t="shared" si="35"/>
        <v>1000</v>
      </c>
      <c r="S54">
        <f t="shared" si="36"/>
        <v>1</v>
      </c>
    </row>
    <row r="55" spans="1:22" ht="15" customHeight="1" x14ac:dyDescent="0.3">
      <c r="A55" s="34" t="s">
        <v>1150</v>
      </c>
      <c r="B55" s="35" t="s">
        <v>1189</v>
      </c>
      <c r="C55" s="29" t="s">
        <v>1190</v>
      </c>
      <c r="D55" s="27" t="str">
        <f t="shared" si="29"/>
        <v>INCLUIDO</v>
      </c>
      <c r="E55" s="27" t="s">
        <v>1137</v>
      </c>
      <c r="F55" s="43">
        <f>-'COTIZACIÓN M.N.'!D65</f>
        <v>-3000000</v>
      </c>
      <c r="G55" s="21">
        <f>'COTIZACIÓN M.N.'!E65</f>
        <v>0.25</v>
      </c>
      <c r="H55" s="75">
        <f>(((IF(I55="$ Prima",G55,G55*F55/R55))*$U$9)/365)*$J$15</f>
        <v>-750.00000000000011</v>
      </c>
      <c r="I55" s="9" t="s">
        <v>1153</v>
      </c>
      <c r="J55" s="9">
        <f t="shared" si="30"/>
        <v>0</v>
      </c>
      <c r="K55" s="9">
        <f t="shared" si="31"/>
        <v>-120.00000000000001</v>
      </c>
      <c r="L55" s="9">
        <f t="shared" si="32"/>
        <v>-870</v>
      </c>
      <c r="M55" s="11">
        <f t="shared" si="38"/>
        <v>0.25</v>
      </c>
      <c r="N55" s="9">
        <f t="shared" si="33"/>
        <v>-187.50000000000003</v>
      </c>
      <c r="O55" s="12">
        <f t="shared" si="34"/>
        <v>-187.50000000000003</v>
      </c>
      <c r="P55" s="13" t="str">
        <f t="shared" si="2"/>
        <v>SI</v>
      </c>
      <c r="Q55">
        <f t="shared" si="28"/>
        <v>1</v>
      </c>
      <c r="R55">
        <f t="shared" si="35"/>
        <v>1000</v>
      </c>
      <c r="S55">
        <f t="shared" si="36"/>
        <v>1</v>
      </c>
    </row>
    <row r="56" spans="1:22" ht="15" hidden="1" customHeight="1" x14ac:dyDescent="0.3">
      <c r="A56" s="34" t="s">
        <v>1150</v>
      </c>
      <c r="B56" s="35"/>
      <c r="C56" s="81">
        <f>$O$12</f>
        <v>0</v>
      </c>
      <c r="D56" s="27" t="str">
        <f t="shared" si="29"/>
        <v>INCLUIDO</v>
      </c>
      <c r="E56" s="27" t="str">
        <f>E55</f>
        <v>Sublimite</v>
      </c>
      <c r="F56" s="9">
        <v>0</v>
      </c>
      <c r="G56" s="10">
        <f>G55*0.35</f>
        <v>8.7499999999999994E-2</v>
      </c>
      <c r="H56" s="9">
        <f t="shared" ref="H56" si="41">(IF(I56="$ Prima",G56,G56*F56/R56))*$U$9</f>
        <v>0</v>
      </c>
      <c r="I56" s="9" t="s">
        <v>1153</v>
      </c>
      <c r="J56" s="9">
        <f t="shared" si="30"/>
        <v>0</v>
      </c>
      <c r="K56" s="9">
        <f t="shared" si="31"/>
        <v>0</v>
      </c>
      <c r="L56" s="9">
        <f t="shared" si="32"/>
        <v>0</v>
      </c>
      <c r="M56" s="11">
        <f t="shared" si="38"/>
        <v>0.25</v>
      </c>
      <c r="N56" s="9">
        <f t="shared" si="33"/>
        <v>0</v>
      </c>
      <c r="O56" s="12">
        <f t="shared" si="34"/>
        <v>0</v>
      </c>
      <c r="P56" s="13" t="str">
        <f t="shared" si="2"/>
        <v>NO</v>
      </c>
      <c r="Q56">
        <f t="shared" si="28"/>
        <v>0</v>
      </c>
      <c r="R56">
        <f t="shared" si="35"/>
        <v>1000</v>
      </c>
      <c r="S56">
        <f t="shared" si="36"/>
        <v>1</v>
      </c>
    </row>
    <row r="57" spans="1:22" ht="15" customHeight="1" x14ac:dyDescent="0.3">
      <c r="A57" s="34" t="s">
        <v>1150</v>
      </c>
      <c r="B57" s="35" t="s">
        <v>1191</v>
      </c>
      <c r="C57" s="29" t="s">
        <v>1192</v>
      </c>
      <c r="D57" s="27" t="str">
        <f t="shared" si="29"/>
        <v>INCLUIDO</v>
      </c>
      <c r="E57" s="27" t="s">
        <v>1137</v>
      </c>
      <c r="F57" s="43">
        <f>-'COTIZACIÓN M.N.'!D66</f>
        <v>-150000</v>
      </c>
      <c r="G57" s="21">
        <f>'COTIZACIÓN M.N.'!E66</f>
        <v>0.2</v>
      </c>
      <c r="H57" s="75">
        <f>(((IF(I57="$ Prima",G57,G57*F57/R57))*$U$9)/365)*$J$15</f>
        <v>-30</v>
      </c>
      <c r="I57" s="9" t="s">
        <v>1153</v>
      </c>
      <c r="J57" s="9">
        <f t="shared" si="30"/>
        <v>0</v>
      </c>
      <c r="K57" s="9">
        <f t="shared" si="31"/>
        <v>-4.8</v>
      </c>
      <c r="L57" s="9">
        <f t="shared" si="32"/>
        <v>-34.799999999999997</v>
      </c>
      <c r="M57" s="11">
        <f t="shared" si="38"/>
        <v>0.25</v>
      </c>
      <c r="N57" s="9">
        <f t="shared" si="33"/>
        <v>-7.5</v>
      </c>
      <c r="O57" s="12">
        <f t="shared" si="34"/>
        <v>-7.5</v>
      </c>
      <c r="P57" s="13" t="str">
        <f t="shared" si="2"/>
        <v>SI</v>
      </c>
      <c r="Q57">
        <f t="shared" si="28"/>
        <v>1</v>
      </c>
      <c r="R57">
        <f t="shared" si="35"/>
        <v>1000</v>
      </c>
      <c r="S57">
        <f t="shared" si="36"/>
        <v>1</v>
      </c>
    </row>
    <row r="58" spans="1:22" ht="15" hidden="1" customHeight="1" x14ac:dyDescent="0.3">
      <c r="A58" s="34" t="s">
        <v>1150</v>
      </c>
      <c r="B58" s="35"/>
      <c r="C58" s="81">
        <f>$O$12</f>
        <v>0</v>
      </c>
      <c r="D58" s="27" t="str">
        <f t="shared" si="29"/>
        <v>INCLUIDO</v>
      </c>
      <c r="E58" s="27" t="str">
        <f>E57</f>
        <v>Sublimite</v>
      </c>
      <c r="F58" s="9">
        <v>0</v>
      </c>
      <c r="G58" s="10">
        <f>G57*0.35</f>
        <v>6.9999999999999993E-2</v>
      </c>
      <c r="H58" s="9">
        <f t="shared" si="39"/>
        <v>0</v>
      </c>
      <c r="I58" s="9" t="s">
        <v>1153</v>
      </c>
      <c r="J58" s="9">
        <f t="shared" si="30"/>
        <v>0</v>
      </c>
      <c r="K58" s="9">
        <f t="shared" si="31"/>
        <v>0</v>
      </c>
      <c r="L58" s="9">
        <f t="shared" si="32"/>
        <v>0</v>
      </c>
      <c r="M58" s="11">
        <f t="shared" si="38"/>
        <v>0.25</v>
      </c>
      <c r="N58" s="9">
        <f t="shared" si="33"/>
        <v>0</v>
      </c>
      <c r="O58" s="12">
        <f t="shared" si="34"/>
        <v>0</v>
      </c>
      <c r="P58" s="13" t="str">
        <f t="shared" si="2"/>
        <v>NO</v>
      </c>
      <c r="Q58">
        <f t="shared" si="28"/>
        <v>0</v>
      </c>
      <c r="R58">
        <f t="shared" si="35"/>
        <v>1000</v>
      </c>
      <c r="S58">
        <f t="shared" si="36"/>
        <v>1</v>
      </c>
    </row>
    <row r="59" spans="1:22" ht="15" customHeight="1" x14ac:dyDescent="0.3">
      <c r="A59" s="34" t="s">
        <v>1150</v>
      </c>
      <c r="B59" s="35" t="s">
        <v>1193</v>
      </c>
      <c r="C59" s="29" t="s">
        <v>1159</v>
      </c>
      <c r="D59" s="27" t="str">
        <f t="shared" si="29"/>
        <v>INCLUIDO</v>
      </c>
      <c r="E59" s="27" t="s">
        <v>1137</v>
      </c>
      <c r="F59" s="43">
        <f>-'COTIZACIÓN M.N.'!D67</f>
        <v>-5000000</v>
      </c>
      <c r="G59" s="49">
        <f>G26</f>
        <v>1.1000000000000001E-3</v>
      </c>
      <c r="H59" s="75">
        <f t="shared" si="39"/>
        <v>-5.5</v>
      </c>
      <c r="I59" s="9" t="s">
        <v>1153</v>
      </c>
      <c r="J59" s="9">
        <f t="shared" si="30"/>
        <v>0</v>
      </c>
      <c r="K59" s="9">
        <f t="shared" si="31"/>
        <v>-0.88</v>
      </c>
      <c r="L59" s="9">
        <f t="shared" si="32"/>
        <v>-6.38</v>
      </c>
      <c r="M59" s="11">
        <f t="shared" si="38"/>
        <v>0.25</v>
      </c>
      <c r="N59" s="9">
        <f t="shared" si="33"/>
        <v>-1.375</v>
      </c>
      <c r="O59" s="12">
        <f t="shared" si="34"/>
        <v>-1.375</v>
      </c>
      <c r="P59" s="13" t="str">
        <f t="shared" si="2"/>
        <v>SI</v>
      </c>
      <c r="Q59">
        <f t="shared" si="28"/>
        <v>1</v>
      </c>
      <c r="R59">
        <f t="shared" si="35"/>
        <v>1000</v>
      </c>
      <c r="S59">
        <f t="shared" si="36"/>
        <v>1</v>
      </c>
    </row>
    <row r="60" spans="1:22" ht="15" customHeight="1" x14ac:dyDescent="0.3">
      <c r="A60" s="34" t="s">
        <v>1150</v>
      </c>
      <c r="B60" s="35" t="s">
        <v>1194</v>
      </c>
      <c r="C60" s="29" t="s">
        <v>1161</v>
      </c>
      <c r="D60" s="27" t="str">
        <f t="shared" si="29"/>
        <v>INCLUIDO</v>
      </c>
      <c r="E60" s="27" t="s">
        <v>1137</v>
      </c>
      <c r="F60" s="43">
        <f>-'COTIZACIÓN M.N.'!D68</f>
        <v>-5000000</v>
      </c>
      <c r="G60" s="49">
        <f>G59</f>
        <v>1.1000000000000001E-3</v>
      </c>
      <c r="H60" s="75">
        <f>((IF(I60="$ Prima",G60,G60*F60/R60))*$U$9)+'COTIZACIÓN M.N.'!F69</f>
        <v>-5.5</v>
      </c>
      <c r="I60" s="9" t="s">
        <v>1153</v>
      </c>
      <c r="J60" s="9">
        <f t="shared" si="30"/>
        <v>0</v>
      </c>
      <c r="K60" s="9">
        <f t="shared" si="31"/>
        <v>-0.88</v>
      </c>
      <c r="L60" s="9">
        <f t="shared" si="32"/>
        <v>-6.38</v>
      </c>
      <c r="M60" s="11">
        <f t="shared" si="38"/>
        <v>0.25</v>
      </c>
      <c r="N60" s="9">
        <f t="shared" si="33"/>
        <v>-1.375</v>
      </c>
      <c r="O60" s="12">
        <f t="shared" si="34"/>
        <v>-1.375</v>
      </c>
      <c r="P60" s="13" t="str">
        <f t="shared" si="2"/>
        <v>SI</v>
      </c>
      <c r="Q60">
        <f t="shared" si="28"/>
        <v>1</v>
      </c>
      <c r="R60">
        <f t="shared" si="35"/>
        <v>1000</v>
      </c>
      <c r="S60">
        <f t="shared" si="36"/>
        <v>1</v>
      </c>
    </row>
    <row r="61" spans="1:22" x14ac:dyDescent="0.3">
      <c r="A61" s="82" t="s">
        <v>1162</v>
      </c>
      <c r="B61" s="33">
        <v>2</v>
      </c>
      <c r="C61" s="28" t="s">
        <v>1195</v>
      </c>
      <c r="D61" s="28" t="str">
        <f>$D$17</f>
        <v>INCLUIDO</v>
      </c>
      <c r="E61" s="28"/>
      <c r="F61" s="28"/>
      <c r="G61" s="28"/>
      <c r="H61" s="28"/>
      <c r="I61" s="28"/>
      <c r="J61" s="28"/>
      <c r="K61" s="28"/>
      <c r="L61" s="28"/>
      <c r="M61" s="68">
        <v>0.05</v>
      </c>
      <c r="N61" s="28"/>
      <c r="O61" s="83"/>
      <c r="P61" s="13" t="str">
        <f t="shared" si="2"/>
        <v>SI</v>
      </c>
      <c r="Q61" s="47">
        <f>IF(D61="INCLUIDO",IF(F62&lt;&gt;0,1,0),0)</f>
        <v>1</v>
      </c>
      <c r="S61">
        <f t="shared" si="36"/>
        <v>1</v>
      </c>
    </row>
    <row r="62" spans="1:22" x14ac:dyDescent="0.3">
      <c r="A62" s="31" t="s">
        <v>1164</v>
      </c>
      <c r="B62" s="32" t="s">
        <v>1196</v>
      </c>
      <c r="C62" s="27" t="s">
        <v>1166</v>
      </c>
      <c r="D62" s="27" t="str">
        <f t="shared" si="29"/>
        <v>INCLUIDO</v>
      </c>
      <c r="E62" s="27" t="s">
        <v>1137</v>
      </c>
      <c r="F62" s="20">
        <f>$F$41*S62</f>
        <v>-869216450.12531984</v>
      </c>
      <c r="G62" s="49">
        <f>'COTIZACIÓN M.N.'!E37</f>
        <v>0.25</v>
      </c>
      <c r="H62" s="75">
        <f>((((IF(I62="$ Prima",G62,G62*F62/R62))*$U$9)/365)*$J$15)</f>
        <v>-217304.11253132997</v>
      </c>
      <c r="I62" s="9" t="s">
        <v>1153</v>
      </c>
      <c r="J62" s="9">
        <f t="shared" ref="J62:J63" si="42">H62*$U$7</f>
        <v>0</v>
      </c>
      <c r="K62" s="9">
        <f t="shared" ref="K62:K63" si="43">(H62+J62)*$K$15</f>
        <v>-34768.658005012796</v>
      </c>
      <c r="L62" s="9">
        <f t="shared" ref="L62:L63" si="44">ROUND(H62+J62+K62,2)</f>
        <v>-252072.77</v>
      </c>
      <c r="M62" s="11">
        <v>0.05</v>
      </c>
      <c r="N62" s="9">
        <f t="shared" ref="N62:N63" si="45">H62*M62</f>
        <v>-10865.2056265665</v>
      </c>
      <c r="O62" s="12">
        <f t="shared" ref="O62:O63" si="46">N62</f>
        <v>-10865.2056265665</v>
      </c>
      <c r="P62" s="13" t="str">
        <f t="shared" si="2"/>
        <v>SI</v>
      </c>
      <c r="Q62">
        <f>IF(D62="INCLUIDO",IF(F62&lt;&gt;0,1,0),0)</f>
        <v>1</v>
      </c>
      <c r="R62">
        <f>IF(I62="%o Al Millar",1000,IF(I62="% Al Porciento",100,IF(I62="$ Prima",G62)))</f>
        <v>1000</v>
      </c>
      <c r="S62">
        <f t="shared" si="36"/>
        <v>1</v>
      </c>
    </row>
    <row r="63" spans="1:22" hidden="1" x14ac:dyDescent="0.3">
      <c r="A63" s="31" t="s">
        <v>1164</v>
      </c>
      <c r="B63" s="32"/>
      <c r="C63" s="81">
        <f>$O$12</f>
        <v>0</v>
      </c>
      <c r="D63" s="27" t="str">
        <f t="shared" si="29"/>
        <v>INCLUIDO</v>
      </c>
      <c r="E63" s="27" t="str">
        <f>E62</f>
        <v>Sublimite</v>
      </c>
      <c r="F63" s="9">
        <f>(F62*$O$12)*S62</f>
        <v>0</v>
      </c>
      <c r="G63" s="10">
        <f>G62*35%</f>
        <v>8.7499999999999994E-2</v>
      </c>
      <c r="H63" s="9">
        <f>((IF(I63="$ Prima",G63,G63*F63/R63))*$U$9)</f>
        <v>0</v>
      </c>
      <c r="I63" s="9" t="s">
        <v>1153</v>
      </c>
      <c r="J63" s="9">
        <f t="shared" si="42"/>
        <v>0</v>
      </c>
      <c r="K63" s="9">
        <f t="shared" si="43"/>
        <v>0</v>
      </c>
      <c r="L63" s="9">
        <f t="shared" si="44"/>
        <v>0</v>
      </c>
      <c r="M63" s="11">
        <f>$M$61</f>
        <v>0.05</v>
      </c>
      <c r="N63" s="9">
        <f t="shared" si="45"/>
        <v>0</v>
      </c>
      <c r="O63" s="12">
        <f t="shared" si="46"/>
        <v>0</v>
      </c>
      <c r="P63" s="13" t="str">
        <f t="shared" si="2"/>
        <v>NO</v>
      </c>
      <c r="Q63">
        <f>IF(D63="INCLUIDO",IF(F63&lt;&gt;0,1,0),0)</f>
        <v>0</v>
      </c>
      <c r="R63">
        <f>IF(I63="%o Al Millar",1000,IF(I63="% Al Porciento",100,IF(I63="$ Prima",G63)))</f>
        <v>1000</v>
      </c>
      <c r="S63">
        <f t="shared" si="36"/>
        <v>1</v>
      </c>
    </row>
    <row r="64" spans="1:22" x14ac:dyDescent="0.3">
      <c r="A64" s="82">
        <v>904</v>
      </c>
      <c r="B64" s="33">
        <v>2</v>
      </c>
      <c r="C64" s="28" t="s">
        <v>1197</v>
      </c>
      <c r="D64" s="28" t="str">
        <f>$D$17</f>
        <v>INCLUIDO</v>
      </c>
      <c r="E64" s="28"/>
      <c r="F64" s="28"/>
      <c r="G64" s="28"/>
      <c r="H64" s="28"/>
      <c r="I64" s="28"/>
      <c r="J64" s="28"/>
      <c r="K64" s="28"/>
      <c r="L64" s="28"/>
      <c r="M64" s="68">
        <v>0.05</v>
      </c>
      <c r="N64" s="28"/>
      <c r="O64" s="83"/>
      <c r="P64" s="13" t="str">
        <f t="shared" si="2"/>
        <v>SI</v>
      </c>
      <c r="Q64" s="47">
        <f>IF(D64="INCLUIDO",IF(F65&lt;&gt;0,1,0),0)</f>
        <v>1</v>
      </c>
      <c r="S64">
        <f t="shared" si="36"/>
        <v>1</v>
      </c>
    </row>
    <row r="65" spans="1:19" x14ac:dyDescent="0.3">
      <c r="A65" s="31" t="s">
        <v>1168</v>
      </c>
      <c r="B65" s="36">
        <v>63</v>
      </c>
      <c r="C65" s="37" t="s">
        <v>1170</v>
      </c>
      <c r="D65" s="27" t="str">
        <f t="shared" si="29"/>
        <v>INCLUIDO</v>
      </c>
      <c r="E65" s="27" t="s">
        <v>1137</v>
      </c>
      <c r="F65" s="20">
        <f>F41</f>
        <v>-869216450.12531984</v>
      </c>
      <c r="G65" s="10">
        <f>'COTIZACIÓN M.N.'!E39</f>
        <v>0.2</v>
      </c>
      <c r="H65" s="75">
        <f>((((IF(I65="$ Prima",G65,G65*F65/R65))*$U$9)*O14)/365)*$J$15</f>
        <v>-173843.29002506399</v>
      </c>
      <c r="I65" s="9" t="s">
        <v>1153</v>
      </c>
      <c r="J65" s="9">
        <f t="shared" ref="J65:J66" si="47">H65*$U$7</f>
        <v>0</v>
      </c>
      <c r="K65" s="9">
        <f t="shared" ref="K65:K66" si="48">(H65+J65)*$K$15</f>
        <v>-27814.926404010239</v>
      </c>
      <c r="L65" s="9">
        <f t="shared" ref="L65:L66" si="49">ROUND(H65+J65+K65,2)</f>
        <v>-201658.22</v>
      </c>
      <c r="M65" s="11">
        <f>$M$64</f>
        <v>0.05</v>
      </c>
      <c r="N65" s="9">
        <f t="shared" ref="N65:N66" si="50">H65*M65</f>
        <v>-8692.1645012532008</v>
      </c>
      <c r="O65" s="12">
        <f t="shared" ref="O65:O66" si="51">N65</f>
        <v>-8692.1645012532008</v>
      </c>
      <c r="P65" s="13" t="str">
        <f t="shared" si="2"/>
        <v>SI</v>
      </c>
      <c r="Q65">
        <f>IF(D65="INCLUIDO",IF(F65&lt;&gt;0,1,0),0)</f>
        <v>1</v>
      </c>
      <c r="R65">
        <f>IF(I65="%o Al Millar",1000,IF(I65="% Al Porciento",100,IF(I65="$ Prima",G65)))</f>
        <v>1000</v>
      </c>
      <c r="S65">
        <f t="shared" si="36"/>
        <v>1</v>
      </c>
    </row>
    <row r="66" spans="1:19" hidden="1" x14ac:dyDescent="0.3">
      <c r="A66" s="31" t="s">
        <v>1168</v>
      </c>
      <c r="B66" s="32"/>
      <c r="C66" s="81">
        <f>$O$12</f>
        <v>0</v>
      </c>
      <c r="D66" s="27" t="str">
        <f t="shared" si="29"/>
        <v>INCLUIDO</v>
      </c>
      <c r="E66" s="27" t="str">
        <f>E65</f>
        <v>Sublimite</v>
      </c>
      <c r="F66" s="9">
        <f>(F65*$O$12)*S65</f>
        <v>0</v>
      </c>
      <c r="G66" s="10">
        <f>G65*0.35</f>
        <v>6.9999999999999993E-2</v>
      </c>
      <c r="H66" s="9">
        <f>((IF(I66="$ Prima",G66,G66*F66/R66))*$U$9)*O14</f>
        <v>0</v>
      </c>
      <c r="I66" s="9" t="s">
        <v>1153</v>
      </c>
      <c r="J66" s="9">
        <f t="shared" si="47"/>
        <v>0</v>
      </c>
      <c r="K66" s="9">
        <f t="shared" si="48"/>
        <v>0</v>
      </c>
      <c r="L66" s="9">
        <f t="shared" si="49"/>
        <v>0</v>
      </c>
      <c r="M66" s="11">
        <f>$M$64</f>
        <v>0.05</v>
      </c>
      <c r="N66" s="9">
        <f t="shared" si="50"/>
        <v>0</v>
      </c>
      <c r="O66" s="12">
        <f t="shared" si="51"/>
        <v>0</v>
      </c>
      <c r="P66" s="13" t="str">
        <f t="shared" si="2"/>
        <v>NO</v>
      </c>
      <c r="Q66">
        <f>IF(D66="INCLUIDO",IF(F66&lt;&gt;0,1,0),0)</f>
        <v>0</v>
      </c>
      <c r="R66">
        <f>IF(I66="%o Al Millar",1000,IF(I66="% Al Porciento",100,IF(I66="$ Prima",G66)))</f>
        <v>1000</v>
      </c>
      <c r="S66">
        <f t="shared" si="36"/>
        <v>1</v>
      </c>
    </row>
    <row r="67" spans="1:19" x14ac:dyDescent="0.3">
      <c r="A67" s="82">
        <v>902</v>
      </c>
      <c r="B67" s="33">
        <v>2</v>
      </c>
      <c r="C67" s="28" t="s">
        <v>1198</v>
      </c>
      <c r="D67" s="28" t="str">
        <f>$D$17</f>
        <v>INCLUIDO</v>
      </c>
      <c r="E67" s="28"/>
      <c r="F67" s="42">
        <f>-'COTIZACIÓN M.N.'!D63</f>
        <v>-173843290.02506399</v>
      </c>
      <c r="G67" s="28"/>
      <c r="H67" s="28"/>
      <c r="I67" s="28"/>
      <c r="J67" s="28"/>
      <c r="K67" s="28"/>
      <c r="L67" s="28"/>
      <c r="M67" s="68">
        <f>M41</f>
        <v>0.25</v>
      </c>
      <c r="N67" s="28"/>
      <c r="O67" s="83"/>
      <c r="P67" s="13" t="str">
        <f t="shared" si="2"/>
        <v>SI</v>
      </c>
      <c r="Q67" s="47">
        <f>IF(D67="INCLUIDO",IF(F68&lt;&gt;0,1,0),0)</f>
        <v>1</v>
      </c>
      <c r="S67">
        <f t="shared" si="36"/>
        <v>1</v>
      </c>
    </row>
    <row r="68" spans="1:19" x14ac:dyDescent="0.3">
      <c r="A68" s="31" t="s">
        <v>1150</v>
      </c>
      <c r="B68" s="36">
        <v>27</v>
      </c>
      <c r="C68" s="27" t="s">
        <v>1173</v>
      </c>
      <c r="D68" s="27" t="str">
        <f t="shared" si="29"/>
        <v>INCLUIDO</v>
      </c>
      <c r="E68" s="27" t="s">
        <v>1137</v>
      </c>
      <c r="F68" s="9">
        <f>F67*S68</f>
        <v>-173843290.02506399</v>
      </c>
      <c r="G68" s="10">
        <f>'COTIZACIÓN M.N.'!E63*75%</f>
        <v>4.1836147500000004E-2</v>
      </c>
      <c r="H68" s="75">
        <f>(((IF(I68="$ Prima",G68,G68*F68/R68))*$U$9)/365)*$J$15</f>
        <v>-7272.9335233738575</v>
      </c>
      <c r="I68" s="9" t="s">
        <v>1153</v>
      </c>
      <c r="J68" s="9">
        <f>H68*$U$7</f>
        <v>0</v>
      </c>
      <c r="K68" s="9">
        <f>(H68+J68)*$K$15</f>
        <v>-1163.6693637398173</v>
      </c>
      <c r="L68" s="9">
        <f>ROUND(H68+J68+K68,2)</f>
        <v>-8436.6</v>
      </c>
      <c r="M68" s="11">
        <f>M67</f>
        <v>0.25</v>
      </c>
      <c r="N68" s="9">
        <f>H68*M68</f>
        <v>-1818.2333808434644</v>
      </c>
      <c r="O68" s="12">
        <f>N68</f>
        <v>-1818.2333808434644</v>
      </c>
      <c r="P68" s="13" t="str">
        <f t="shared" si="2"/>
        <v>SI</v>
      </c>
      <c r="Q68">
        <f>IF(D68="INCLUIDO",IF(F68&lt;&gt;0,1,0),0)</f>
        <v>1</v>
      </c>
      <c r="R68">
        <f>IF(I68="%o Al Millar",1000,IF(I68="% Al Porciento",100,IF(I68="$ Prima",G68)))</f>
        <v>1000</v>
      </c>
      <c r="S68">
        <f t="shared" si="36"/>
        <v>1</v>
      </c>
    </row>
    <row r="69" spans="1:19" x14ac:dyDescent="0.3">
      <c r="A69" s="82" t="s">
        <v>1162</v>
      </c>
      <c r="B69" s="33">
        <v>2</v>
      </c>
      <c r="C69" s="28" t="s">
        <v>1195</v>
      </c>
      <c r="D69" s="28" t="str">
        <f>$D$17</f>
        <v>INCLUIDO</v>
      </c>
      <c r="E69" s="28"/>
      <c r="F69" s="28"/>
      <c r="G69" s="28"/>
      <c r="H69" s="28"/>
      <c r="I69" s="28"/>
      <c r="J69" s="28"/>
      <c r="K69" s="28"/>
      <c r="L69" s="28"/>
      <c r="M69" s="68">
        <f>M61</f>
        <v>0.05</v>
      </c>
      <c r="N69" s="28"/>
      <c r="O69" s="83"/>
      <c r="P69" s="13" t="str">
        <f t="shared" si="2"/>
        <v>SI</v>
      </c>
      <c r="Q69" s="47">
        <f>IF(D69="INCLUIDO",IF(F70&lt;&gt;0,1,0),0)</f>
        <v>1</v>
      </c>
      <c r="S69">
        <f t="shared" si="36"/>
        <v>1</v>
      </c>
    </row>
    <row r="70" spans="1:19" ht="20.399999999999999" x14ac:dyDescent="0.3">
      <c r="A70" s="31" t="s">
        <v>1164</v>
      </c>
      <c r="B70" s="36">
        <v>44</v>
      </c>
      <c r="C70" s="27" t="s">
        <v>1175</v>
      </c>
      <c r="D70" s="27" t="str">
        <f t="shared" si="29"/>
        <v>INCLUIDO</v>
      </c>
      <c r="E70" s="27" t="s">
        <v>1137</v>
      </c>
      <c r="F70" s="9">
        <f>-'COTIZACIÓN M.N.'!D63</f>
        <v>-173843290.02506399</v>
      </c>
      <c r="G70" s="10">
        <f>'COTIZACIÓN M.N.'!E63*25%</f>
        <v>1.3945382500000001E-2</v>
      </c>
      <c r="H70" s="75">
        <f>(((IF(I70="$ Prima",G70,G70*F70/R70))*$U$9)/365)*$J$15</f>
        <v>-2424.3111744579519</v>
      </c>
      <c r="I70" s="9" t="s">
        <v>1153</v>
      </c>
      <c r="J70" s="9">
        <f>H70*$U$7</f>
        <v>0</v>
      </c>
      <c r="K70" s="9">
        <f>(H70+J70)*$K$15</f>
        <v>-387.8897879132723</v>
      </c>
      <c r="L70" s="9">
        <f>ROUND(H70+J70+K70,2)</f>
        <v>-2812.2</v>
      </c>
      <c r="M70" s="11">
        <f>M69</f>
        <v>0.05</v>
      </c>
      <c r="N70" s="9">
        <f>H70*M70</f>
        <v>-121.2155587228976</v>
      </c>
      <c r="O70" s="12">
        <f>N70</f>
        <v>-121.2155587228976</v>
      </c>
      <c r="P70" s="13" t="str">
        <f t="shared" si="2"/>
        <v>SI</v>
      </c>
      <c r="Q70">
        <f>IF(D70="INCLUIDO",IF(F70&lt;&gt;0,1,0),0)</f>
        <v>1</v>
      </c>
      <c r="R70">
        <f>IF(I70="%o Al Millar",1000,IF(I70="% Al Porciento",100,IF(I70="$ Prima",G70)))</f>
        <v>1000</v>
      </c>
      <c r="S70">
        <f t="shared" si="36"/>
        <v>1</v>
      </c>
    </row>
    <row r="71" spans="1:19" x14ac:dyDescent="0.3">
      <c r="A71" s="82">
        <v>904</v>
      </c>
      <c r="B71" s="33">
        <v>2</v>
      </c>
      <c r="C71" s="28" t="s">
        <v>1197</v>
      </c>
      <c r="D71" s="28" t="str">
        <f>$D$17</f>
        <v>INCLUIDO</v>
      </c>
      <c r="E71" s="28"/>
      <c r="F71" s="28"/>
      <c r="G71" s="28"/>
      <c r="H71" s="28"/>
      <c r="I71" s="28"/>
      <c r="J71" s="28"/>
      <c r="K71" s="28"/>
      <c r="L71" s="28"/>
      <c r="M71" s="68">
        <f>M64</f>
        <v>0.05</v>
      </c>
      <c r="N71" s="28"/>
      <c r="O71" s="83"/>
      <c r="P71" s="13" t="str">
        <f t="shared" si="2"/>
        <v>SI</v>
      </c>
      <c r="Q71" s="47">
        <f>IF(D71="INCLUIDO",IF(F72&lt;&gt;0,1,0),0)</f>
        <v>1</v>
      </c>
      <c r="S71">
        <f t="shared" si="36"/>
        <v>1</v>
      </c>
    </row>
    <row r="72" spans="1:19" ht="20.399999999999999" x14ac:dyDescent="0.3">
      <c r="A72" s="31" t="s">
        <v>1168</v>
      </c>
      <c r="B72" s="36">
        <v>62</v>
      </c>
      <c r="C72" s="27" t="s">
        <v>1199</v>
      </c>
      <c r="D72" s="27" t="str">
        <f t="shared" si="29"/>
        <v>INCLUIDO</v>
      </c>
      <c r="E72" s="27" t="s">
        <v>1137</v>
      </c>
      <c r="F72" s="9">
        <f>F68*S72*O14</f>
        <v>-173843290.02506399</v>
      </c>
      <c r="G72" s="10">
        <f>'COTIZACIÓN M.N.'!E64</f>
        <v>2.0000000000000004E-2</v>
      </c>
      <c r="H72" s="75">
        <f>(((IF(I72="$ Prima",G72,G72*F72/R72))*$U$9)/365)*$J$15</f>
        <v>-3476.8658005012803</v>
      </c>
      <c r="I72" s="9" t="s">
        <v>1153</v>
      </c>
      <c r="J72" s="9">
        <f>H72*$U$7</f>
        <v>0</v>
      </c>
      <c r="K72" s="9">
        <f>(H72+J72)*$K$15</f>
        <v>-556.29852808020485</v>
      </c>
      <c r="L72" s="9">
        <f>ROUND(H72+J72+K72,2)</f>
        <v>-4033.16</v>
      </c>
      <c r="M72" s="11">
        <f>M71</f>
        <v>0.05</v>
      </c>
      <c r="N72" s="9">
        <f>H72*M72</f>
        <v>-173.84329002506402</v>
      </c>
      <c r="O72" s="12">
        <f>N72</f>
        <v>-173.84329002506402</v>
      </c>
      <c r="P72" s="13" t="str">
        <f t="shared" si="2"/>
        <v>SI</v>
      </c>
      <c r="Q72">
        <f>IF(D72="INCLUIDO",IF(F72&lt;&gt;0,1,0),0)</f>
        <v>1</v>
      </c>
      <c r="R72">
        <f>IF(I72="%o Al Millar",1000,IF(I72="% Al Porciento",100,IF(I72="$ Prima",G72)))</f>
        <v>1000</v>
      </c>
      <c r="S72">
        <f t="shared" si="36"/>
        <v>1</v>
      </c>
    </row>
    <row r="73" spans="1:19" ht="15" hidden="1" customHeight="1" x14ac:dyDescent="0.3">
      <c r="A73" s="82" t="s">
        <v>1162</v>
      </c>
      <c r="B73" s="33">
        <v>2</v>
      </c>
      <c r="C73" s="28" t="s">
        <v>1195</v>
      </c>
      <c r="D73" s="28" t="str">
        <f>$D$17</f>
        <v>INCLUIDO</v>
      </c>
      <c r="E73" s="28"/>
      <c r="F73" s="28"/>
      <c r="G73" s="28"/>
      <c r="H73" s="28"/>
      <c r="I73" s="28"/>
      <c r="J73" s="28"/>
      <c r="K73" s="28"/>
      <c r="L73" s="28"/>
      <c r="M73" s="68">
        <f>M61</f>
        <v>0.05</v>
      </c>
      <c r="N73" s="28"/>
      <c r="O73" s="83"/>
      <c r="P73" s="13" t="str">
        <f t="shared" si="2"/>
        <v>NO</v>
      </c>
      <c r="Q73" s="47">
        <f>IF(D73="INCLUIDO",IF(F74&lt;&gt;0,1,0),0)</f>
        <v>0</v>
      </c>
      <c r="S73">
        <f t="shared" si="36"/>
        <v>1</v>
      </c>
    </row>
    <row r="74" spans="1:19" ht="22.5" hidden="1" customHeight="1" x14ac:dyDescent="0.3">
      <c r="A74" s="34" t="s">
        <v>1164</v>
      </c>
      <c r="B74" s="36" t="s">
        <v>1200</v>
      </c>
      <c r="C74" s="29" t="s">
        <v>1201</v>
      </c>
      <c r="D74" s="27" t="str">
        <f t="shared" si="29"/>
        <v>INCLUIDO</v>
      </c>
      <c r="E74" s="27" t="s">
        <v>1137</v>
      </c>
      <c r="F74" s="43">
        <v>0</v>
      </c>
      <c r="G74" s="21">
        <v>0</v>
      </c>
      <c r="H74" s="9">
        <f>(IF(I74="$ Prima",G74,G74*F74/R74))*$U$9</f>
        <v>0</v>
      </c>
      <c r="I74" s="9" t="s">
        <v>1153</v>
      </c>
      <c r="J74" s="9">
        <f>H74*$U$7</f>
        <v>0</v>
      </c>
      <c r="K74" s="9">
        <f>(H74+J74)*$K$15</f>
        <v>0</v>
      </c>
      <c r="L74" s="9">
        <f>ROUND(H74+J74+K74,2)</f>
        <v>0</v>
      </c>
      <c r="M74" s="11">
        <f>M73</f>
        <v>0.05</v>
      </c>
      <c r="N74" s="9">
        <f>H74*M74</f>
        <v>0</v>
      </c>
      <c r="O74" s="12">
        <f>N74</f>
        <v>0</v>
      </c>
      <c r="P74" s="13" t="str">
        <f t="shared" si="2"/>
        <v>NO</v>
      </c>
      <c r="Q74">
        <f>IF(D74="INCLUIDO",IF(F74&lt;&gt;0,1,0),0)</f>
        <v>0</v>
      </c>
      <c r="R74">
        <f>IF(I74="%o Al Millar",1000,IF(I74="% Al Porciento",100,IF(I74="$ Prima",G74)))</f>
        <v>1000</v>
      </c>
      <c r="S74">
        <f t="shared" si="36"/>
        <v>1</v>
      </c>
    </row>
    <row r="75" spans="1:19" ht="15" hidden="1" customHeight="1" x14ac:dyDescent="0.3">
      <c r="A75" s="82">
        <v>904</v>
      </c>
      <c r="B75" s="33">
        <v>2</v>
      </c>
      <c r="C75" s="28" t="s">
        <v>1197</v>
      </c>
      <c r="D75" s="28" t="str">
        <f>$D$17</f>
        <v>INCLUIDO</v>
      </c>
      <c r="E75" s="28"/>
      <c r="F75" s="28"/>
      <c r="G75" s="28"/>
      <c r="H75" s="28"/>
      <c r="I75" s="28"/>
      <c r="J75" s="28"/>
      <c r="K75" s="28"/>
      <c r="L75" s="28"/>
      <c r="M75" s="68">
        <f>M64</f>
        <v>0.05</v>
      </c>
      <c r="N75" s="28"/>
      <c r="O75" s="83"/>
      <c r="P75" s="13" t="str">
        <f t="shared" si="2"/>
        <v>NO</v>
      </c>
      <c r="Q75" s="47">
        <f>IF(D75="INCLUIDO",IF(F76&lt;&gt;0,1,0),0)</f>
        <v>0</v>
      </c>
      <c r="S75">
        <f t="shared" si="36"/>
        <v>1</v>
      </c>
    </row>
    <row r="76" spans="1:19" ht="22.5" hidden="1" customHeight="1" x14ac:dyDescent="0.3">
      <c r="A76" s="34" t="s">
        <v>1168</v>
      </c>
      <c r="B76" s="36">
        <v>58</v>
      </c>
      <c r="C76" s="29" t="s">
        <v>1202</v>
      </c>
      <c r="D76" s="27" t="str">
        <f t="shared" si="29"/>
        <v>INCLUIDO</v>
      </c>
      <c r="E76" s="27" t="s">
        <v>1137</v>
      </c>
      <c r="F76" s="43">
        <v>0</v>
      </c>
      <c r="G76" s="10">
        <v>0</v>
      </c>
      <c r="H76" s="9">
        <f>(IF(I76="$ Prima",G76,G76*F76/R76))*$U$9</f>
        <v>0</v>
      </c>
      <c r="I76" s="9" t="s">
        <v>1153</v>
      </c>
      <c r="J76" s="9">
        <f>H76*$U$7</f>
        <v>0</v>
      </c>
      <c r="K76" s="9">
        <f>(H76+J76)*$K$15</f>
        <v>0</v>
      </c>
      <c r="L76" s="9">
        <f>ROUND(H76+J76+K76,2)</f>
        <v>0</v>
      </c>
      <c r="M76" s="11">
        <f>M75</f>
        <v>0.05</v>
      </c>
      <c r="N76" s="9">
        <f>H76*M76</f>
        <v>0</v>
      </c>
      <c r="O76" s="12">
        <f>N76</f>
        <v>0</v>
      </c>
      <c r="P76" s="13" t="str">
        <f t="shared" si="2"/>
        <v>NO</v>
      </c>
      <c r="Q76">
        <f>IF(D76="INCLUIDO",IF(F76&lt;&gt;0,1,0),0)</f>
        <v>0</v>
      </c>
      <c r="R76">
        <f>IF(I76="%o Al Millar",1000,IF(I76="% Al Porciento",100,IF(I76="$ Prima",G76)))</f>
        <v>1000</v>
      </c>
      <c r="S76">
        <f t="shared" si="36"/>
        <v>1</v>
      </c>
    </row>
    <row r="77" spans="1:19" s="18" customFormat="1" x14ac:dyDescent="0.3">
      <c r="A77" s="24"/>
      <c r="B77" s="26"/>
      <c r="C77" s="15" t="s">
        <v>1177</v>
      </c>
      <c r="D77" s="38" t="str">
        <f>D76</f>
        <v>INCLUIDO</v>
      </c>
      <c r="E77" s="38"/>
      <c r="F77" s="16">
        <f>SUMIF(E42:E76,"Adicional",F42:F76)</f>
        <v>0</v>
      </c>
      <c r="G77" s="17"/>
      <c r="H77" s="16">
        <f>SUM(H42:H76)</f>
        <v>-672670.63541498757</v>
      </c>
      <c r="I77" s="16"/>
      <c r="J77" s="16">
        <f>SUM(J42:J76)</f>
        <v>0</v>
      </c>
      <c r="K77" s="16">
        <f>SUM(K42:K76)</f>
        <v>-107627.30166639799</v>
      </c>
      <c r="L77" s="16">
        <f>SUM(L42:L76)</f>
        <v>-780297.92999999993</v>
      </c>
      <c r="M77" s="16" t="s">
        <v>1178</v>
      </c>
      <c r="N77" s="16">
        <f>SUM(N42:N76)</f>
        <v>-88757.942947476215</v>
      </c>
      <c r="O77" s="84">
        <f>SUM(O42:O76)</f>
        <v>-88757.942947476215</v>
      </c>
      <c r="P77" s="13" t="str">
        <f t="shared" si="2"/>
        <v>SI</v>
      </c>
      <c r="Q77">
        <f>IF(D77="INCLUIDO",IF(H77&lt;&gt;0,1,0),0)</f>
        <v>1</v>
      </c>
    </row>
    <row r="78" spans="1:19" ht="20.25" hidden="1" customHeight="1" x14ac:dyDescent="0.3">
      <c r="A78" s="82" t="s">
        <v>1147</v>
      </c>
      <c r="B78" s="30" t="s">
        <v>1203</v>
      </c>
      <c r="C78" s="19" t="s">
        <v>1204</v>
      </c>
      <c r="D78" s="28" t="str">
        <f>$D$17</f>
        <v>INCLUIDO</v>
      </c>
      <c r="E78" s="28"/>
      <c r="F78" s="28"/>
      <c r="G78" s="28"/>
      <c r="H78" s="28"/>
      <c r="I78" s="28"/>
      <c r="J78" s="28"/>
      <c r="K78" s="28"/>
      <c r="L78" s="28"/>
      <c r="M78" s="68">
        <f>M41</f>
        <v>0.25</v>
      </c>
      <c r="N78" s="28"/>
      <c r="O78" s="83"/>
      <c r="P78" s="13" t="str">
        <f t="shared" si="2"/>
        <v>NO</v>
      </c>
      <c r="Q78" s="47">
        <f>IF(D78="INCLUIDO",IF(F79&lt;&gt;0,1,0),0)</f>
        <v>0</v>
      </c>
    </row>
    <row r="79" spans="1:19" ht="15" hidden="1" customHeight="1" x14ac:dyDescent="0.3">
      <c r="A79" s="34" t="s">
        <v>1150</v>
      </c>
      <c r="B79" s="36" t="s">
        <v>1205</v>
      </c>
      <c r="C79" s="29" t="s">
        <v>1206</v>
      </c>
      <c r="D79" s="27" t="str">
        <f t="shared" ref="D79:D98" si="52">$D$17</f>
        <v>INCLUIDO</v>
      </c>
      <c r="E79" s="27" t="s">
        <v>1186</v>
      </c>
      <c r="F79" s="42">
        <v>0</v>
      </c>
      <c r="G79" s="10">
        <v>0</v>
      </c>
      <c r="H79" s="9">
        <f t="shared" ref="H79:H89" si="53">(IF(I79="$ Prima",G79,G79*F79/R79))*$U$9</f>
        <v>0</v>
      </c>
      <c r="I79" s="9" t="s">
        <v>1153</v>
      </c>
      <c r="J79" s="9">
        <f t="shared" ref="J79:J89" si="54">H79*$U$7</f>
        <v>0</v>
      </c>
      <c r="K79" s="9">
        <f t="shared" ref="K79:K89" si="55">(H79+J79)*$K$15</f>
        <v>0</v>
      </c>
      <c r="L79" s="9">
        <f t="shared" ref="L79:L89" si="56">ROUND(H79+J79+K79,2)</f>
        <v>0</v>
      </c>
      <c r="M79" s="11">
        <f>$M$78</f>
        <v>0.25</v>
      </c>
      <c r="N79" s="9">
        <f t="shared" ref="N79:N89" si="57">H79*M79</f>
        <v>0</v>
      </c>
      <c r="O79" s="12">
        <f t="shared" ref="O79:O89" si="58">N79</f>
        <v>0</v>
      </c>
      <c r="P79" s="13" t="str">
        <f t="shared" si="2"/>
        <v>NO</v>
      </c>
      <c r="Q79">
        <f t="shared" ref="Q79:Q89" si="59">IF(D79="INCLUIDO",IF(F79&lt;&gt;0,1,0),0)</f>
        <v>0</v>
      </c>
      <c r="R79">
        <f t="shared" ref="R79:R89" si="60">IF(I79="%o Al Millar",1000,IF(I79="% Al Porciento",100,IF(I79="$ Prima",G79)))</f>
        <v>1000</v>
      </c>
      <c r="S79">
        <f t="shared" ref="S79:S89" si="61">IF(E79="Excluido",0,IF(D79="NO APLICA",0,1))</f>
        <v>0</v>
      </c>
    </row>
    <row r="80" spans="1:19" ht="15" customHeight="1" x14ac:dyDescent="0.3">
      <c r="A80" s="34" t="s">
        <v>1150</v>
      </c>
      <c r="B80" s="36" t="s">
        <v>1207</v>
      </c>
      <c r="C80" s="29" t="s">
        <v>1208</v>
      </c>
      <c r="D80" s="27" t="str">
        <f t="shared" si="52"/>
        <v>INCLUIDO</v>
      </c>
      <c r="E80" s="27" t="s">
        <v>1137</v>
      </c>
      <c r="F80" s="42">
        <f>-'COTIZACIÓN M.N.'!D42</f>
        <v>-324299019.92821944</v>
      </c>
      <c r="G80" s="10">
        <f>'COTIZACIÓN M.N.'!E42</f>
        <v>0.24625224000000001</v>
      </c>
      <c r="H80" s="9">
        <f>(((IF(I80="$ Prima",G80,G80*F80/R80))*$U$9)/365)*$J$15</f>
        <v>-79859.360087128691</v>
      </c>
      <c r="I80" s="9" t="s">
        <v>1153</v>
      </c>
      <c r="J80" s="9">
        <f t="shared" si="54"/>
        <v>0</v>
      </c>
      <c r="K80" s="9">
        <f t="shared" si="55"/>
        <v>-12777.497613940592</v>
      </c>
      <c r="L80" s="9">
        <f t="shared" si="56"/>
        <v>-92636.86</v>
      </c>
      <c r="M80" s="11">
        <f t="shared" ref="M80:M89" si="62">$M$78</f>
        <v>0.25</v>
      </c>
      <c r="N80" s="9">
        <f t="shared" si="57"/>
        <v>-19964.840021782173</v>
      </c>
      <c r="O80" s="12">
        <f t="shared" si="58"/>
        <v>-19964.840021782173</v>
      </c>
      <c r="P80" s="13" t="str">
        <f t="shared" si="2"/>
        <v>SI</v>
      </c>
      <c r="Q80">
        <f t="shared" si="59"/>
        <v>1</v>
      </c>
      <c r="R80">
        <f t="shared" si="60"/>
        <v>1000</v>
      </c>
      <c r="S80">
        <f t="shared" si="61"/>
        <v>1</v>
      </c>
    </row>
    <row r="81" spans="1:19" ht="15" hidden="1" customHeight="1" x14ac:dyDescent="0.3">
      <c r="A81" s="34" t="s">
        <v>1150</v>
      </c>
      <c r="B81" s="36" t="s">
        <v>1209</v>
      </c>
      <c r="C81" s="29" t="s">
        <v>1210</v>
      </c>
      <c r="D81" s="27" t="str">
        <f t="shared" si="52"/>
        <v>INCLUIDO</v>
      </c>
      <c r="E81" s="27" t="s">
        <v>1152</v>
      </c>
      <c r="F81" s="42">
        <v>0</v>
      </c>
      <c r="G81" s="10">
        <v>0</v>
      </c>
      <c r="H81" s="9">
        <f t="shared" si="53"/>
        <v>0</v>
      </c>
      <c r="I81" s="9" t="s">
        <v>1153</v>
      </c>
      <c r="J81" s="9">
        <f t="shared" si="54"/>
        <v>0</v>
      </c>
      <c r="K81" s="9">
        <f t="shared" si="55"/>
        <v>0</v>
      </c>
      <c r="L81" s="9">
        <f t="shared" si="56"/>
        <v>0</v>
      </c>
      <c r="M81" s="11">
        <f t="shared" si="62"/>
        <v>0.25</v>
      </c>
      <c r="N81" s="9">
        <f t="shared" si="57"/>
        <v>0</v>
      </c>
      <c r="O81" s="12">
        <f t="shared" si="58"/>
        <v>0</v>
      </c>
      <c r="P81" s="13" t="str">
        <f t="shared" si="2"/>
        <v>NO</v>
      </c>
      <c r="Q81">
        <f t="shared" si="59"/>
        <v>0</v>
      </c>
      <c r="R81">
        <f t="shared" si="60"/>
        <v>1000</v>
      </c>
      <c r="S81">
        <f t="shared" si="61"/>
        <v>1</v>
      </c>
    </row>
    <row r="82" spans="1:19" ht="22.5" hidden="1" customHeight="1" x14ac:dyDescent="0.3">
      <c r="A82" s="34" t="s">
        <v>1150</v>
      </c>
      <c r="B82" s="36">
        <v>276</v>
      </c>
      <c r="C82" s="29" t="s">
        <v>1211</v>
      </c>
      <c r="D82" s="27" t="str">
        <f t="shared" si="52"/>
        <v>INCLUIDO</v>
      </c>
      <c r="E82" s="27" t="s">
        <v>1186</v>
      </c>
      <c r="F82" s="42">
        <v>0</v>
      </c>
      <c r="G82" s="10">
        <v>0</v>
      </c>
      <c r="H82" s="9">
        <f t="shared" si="53"/>
        <v>0</v>
      </c>
      <c r="I82" s="9" t="s">
        <v>1153</v>
      </c>
      <c r="J82" s="9">
        <f t="shared" si="54"/>
        <v>0</v>
      </c>
      <c r="K82" s="9">
        <f t="shared" si="55"/>
        <v>0</v>
      </c>
      <c r="L82" s="9">
        <f t="shared" si="56"/>
        <v>0</v>
      </c>
      <c r="M82" s="11">
        <f t="shared" si="62"/>
        <v>0.25</v>
      </c>
      <c r="N82" s="9">
        <f t="shared" si="57"/>
        <v>0</v>
      </c>
      <c r="O82" s="12">
        <f t="shared" si="58"/>
        <v>0</v>
      </c>
      <c r="P82" s="13" t="str">
        <f t="shared" si="2"/>
        <v>NO</v>
      </c>
      <c r="Q82">
        <f t="shared" si="59"/>
        <v>0</v>
      </c>
      <c r="R82">
        <f t="shared" si="60"/>
        <v>1000</v>
      </c>
      <c r="S82">
        <f t="shared" si="61"/>
        <v>0</v>
      </c>
    </row>
    <row r="83" spans="1:19" ht="15" customHeight="1" x14ac:dyDescent="0.3">
      <c r="A83" s="34" t="s">
        <v>1150</v>
      </c>
      <c r="B83" s="36" t="s">
        <v>1212</v>
      </c>
      <c r="C83" s="29" t="s">
        <v>1213</v>
      </c>
      <c r="D83" s="27" t="str">
        <f t="shared" si="52"/>
        <v>INCLUIDO</v>
      </c>
      <c r="E83" s="27" t="s">
        <v>1137</v>
      </c>
      <c r="F83" s="43">
        <f>-'COTIZACIÓN M.N.'!D58</f>
        <v>-86937199.982531995</v>
      </c>
      <c r="G83" s="10">
        <f>'COTIZACIÓN M.N.'!E58</f>
        <v>0.11240080626426369</v>
      </c>
      <c r="H83" s="9">
        <f>(((IF(I83="$ Prima",G83,G83*F83/R83))*$U$9)/365)*$J$15</f>
        <v>-9771.8113723941278</v>
      </c>
      <c r="I83" s="9" t="s">
        <v>1153</v>
      </c>
      <c r="J83" s="9">
        <f t="shared" si="54"/>
        <v>0</v>
      </c>
      <c r="K83" s="9">
        <f t="shared" si="55"/>
        <v>-1563.4898195830606</v>
      </c>
      <c r="L83" s="9">
        <f t="shared" si="56"/>
        <v>-11335.3</v>
      </c>
      <c r="M83" s="11">
        <f t="shared" si="62"/>
        <v>0.25</v>
      </c>
      <c r="N83" s="9">
        <f t="shared" si="57"/>
        <v>-2442.952843098532</v>
      </c>
      <c r="O83" s="12">
        <f t="shared" si="58"/>
        <v>-2442.952843098532</v>
      </c>
      <c r="P83" s="13" t="str">
        <f t="shared" si="2"/>
        <v>SI</v>
      </c>
      <c r="Q83">
        <f t="shared" si="59"/>
        <v>1</v>
      </c>
      <c r="R83">
        <f t="shared" si="60"/>
        <v>1000</v>
      </c>
      <c r="S83">
        <f t="shared" si="61"/>
        <v>1</v>
      </c>
    </row>
    <row r="84" spans="1:19" ht="22.5" hidden="1" customHeight="1" x14ac:dyDescent="0.3">
      <c r="A84" s="34" t="s">
        <v>1150</v>
      </c>
      <c r="B84" s="36" t="s">
        <v>1214</v>
      </c>
      <c r="C84" s="29" t="s">
        <v>1215</v>
      </c>
      <c r="D84" s="27" t="str">
        <f t="shared" si="52"/>
        <v>INCLUIDO</v>
      </c>
      <c r="E84" s="27" t="s">
        <v>1186</v>
      </c>
      <c r="F84" s="43">
        <v>0</v>
      </c>
      <c r="G84" s="10">
        <v>0</v>
      </c>
      <c r="H84" s="9">
        <f t="shared" si="53"/>
        <v>0</v>
      </c>
      <c r="I84" s="9" t="s">
        <v>1153</v>
      </c>
      <c r="J84" s="9">
        <f t="shared" si="54"/>
        <v>0</v>
      </c>
      <c r="K84" s="9">
        <f t="shared" si="55"/>
        <v>0</v>
      </c>
      <c r="L84" s="9">
        <f t="shared" si="56"/>
        <v>0</v>
      </c>
      <c r="M84" s="11">
        <f t="shared" si="62"/>
        <v>0.25</v>
      </c>
      <c r="N84" s="9">
        <f t="shared" si="57"/>
        <v>0</v>
      </c>
      <c r="O84" s="12">
        <f t="shared" si="58"/>
        <v>0</v>
      </c>
      <c r="P84" s="13" t="str">
        <f t="shared" si="2"/>
        <v>NO</v>
      </c>
      <c r="Q84">
        <f t="shared" si="59"/>
        <v>0</v>
      </c>
      <c r="R84">
        <f t="shared" si="60"/>
        <v>1000</v>
      </c>
      <c r="S84">
        <f t="shared" si="61"/>
        <v>0</v>
      </c>
    </row>
    <row r="85" spans="1:19" ht="15" hidden="1" customHeight="1" x14ac:dyDescent="0.3">
      <c r="A85" s="34" t="s">
        <v>1150</v>
      </c>
      <c r="B85" s="36" t="s">
        <v>1216</v>
      </c>
      <c r="C85" s="29" t="s">
        <v>1217</v>
      </c>
      <c r="D85" s="27" t="str">
        <f t="shared" si="52"/>
        <v>INCLUIDO</v>
      </c>
      <c r="E85" s="27" t="s">
        <v>1186</v>
      </c>
      <c r="F85" s="43">
        <v>0</v>
      </c>
      <c r="G85" s="21">
        <v>0</v>
      </c>
      <c r="H85" s="9">
        <f t="shared" si="53"/>
        <v>0</v>
      </c>
      <c r="I85" s="9" t="s">
        <v>1153</v>
      </c>
      <c r="J85" s="9">
        <f t="shared" si="54"/>
        <v>0</v>
      </c>
      <c r="K85" s="9">
        <f t="shared" si="55"/>
        <v>0</v>
      </c>
      <c r="L85" s="9">
        <f t="shared" si="56"/>
        <v>0</v>
      </c>
      <c r="M85" s="11">
        <f t="shared" si="62"/>
        <v>0.25</v>
      </c>
      <c r="N85" s="9">
        <f t="shared" si="57"/>
        <v>0</v>
      </c>
      <c r="O85" s="12">
        <f t="shared" si="58"/>
        <v>0</v>
      </c>
      <c r="P85" s="13" t="str">
        <f t="shared" si="2"/>
        <v>NO</v>
      </c>
      <c r="Q85">
        <f t="shared" si="59"/>
        <v>0</v>
      </c>
      <c r="R85">
        <f t="shared" si="60"/>
        <v>1000</v>
      </c>
      <c r="S85">
        <f t="shared" si="61"/>
        <v>0</v>
      </c>
    </row>
    <row r="86" spans="1:19" ht="15" hidden="1" customHeight="1" x14ac:dyDescent="0.3">
      <c r="A86" s="34" t="s">
        <v>1150</v>
      </c>
      <c r="B86" s="36" t="s">
        <v>1218</v>
      </c>
      <c r="C86" s="29" t="s">
        <v>1219</v>
      </c>
      <c r="D86" s="27" t="str">
        <f t="shared" si="52"/>
        <v>INCLUIDO</v>
      </c>
      <c r="E86" s="27" t="s">
        <v>1186</v>
      </c>
      <c r="F86" s="43">
        <v>0</v>
      </c>
      <c r="G86" s="21">
        <v>0</v>
      </c>
      <c r="H86" s="9">
        <f t="shared" si="53"/>
        <v>0</v>
      </c>
      <c r="I86" s="9" t="s">
        <v>1153</v>
      </c>
      <c r="J86" s="9">
        <f t="shared" si="54"/>
        <v>0</v>
      </c>
      <c r="K86" s="9">
        <f t="shared" si="55"/>
        <v>0</v>
      </c>
      <c r="L86" s="9">
        <f t="shared" si="56"/>
        <v>0</v>
      </c>
      <c r="M86" s="11">
        <f t="shared" si="62"/>
        <v>0.25</v>
      </c>
      <c r="N86" s="9">
        <f t="shared" si="57"/>
        <v>0</v>
      </c>
      <c r="O86" s="12">
        <f t="shared" si="58"/>
        <v>0</v>
      </c>
      <c r="P86" s="13" t="str">
        <f t="shared" si="2"/>
        <v>NO</v>
      </c>
      <c r="Q86">
        <f t="shared" si="59"/>
        <v>0</v>
      </c>
      <c r="R86">
        <f t="shared" si="60"/>
        <v>1000</v>
      </c>
      <c r="S86">
        <f t="shared" si="61"/>
        <v>0</v>
      </c>
    </row>
    <row r="87" spans="1:19" ht="15" hidden="1" customHeight="1" x14ac:dyDescent="0.3">
      <c r="A87" s="34" t="s">
        <v>1150</v>
      </c>
      <c r="B87" s="36">
        <v>277</v>
      </c>
      <c r="C87" s="29" t="s">
        <v>1220</v>
      </c>
      <c r="D87" s="27" t="str">
        <f t="shared" si="52"/>
        <v>INCLUIDO</v>
      </c>
      <c r="E87" s="27" t="s">
        <v>1186</v>
      </c>
      <c r="F87" s="43">
        <v>0</v>
      </c>
      <c r="G87" s="21">
        <v>0</v>
      </c>
      <c r="H87" s="9">
        <f t="shared" si="53"/>
        <v>0</v>
      </c>
      <c r="I87" s="9" t="s">
        <v>1153</v>
      </c>
      <c r="J87" s="9">
        <f t="shared" si="54"/>
        <v>0</v>
      </c>
      <c r="K87" s="9">
        <f t="shared" si="55"/>
        <v>0</v>
      </c>
      <c r="L87" s="9">
        <f t="shared" si="56"/>
        <v>0</v>
      </c>
      <c r="M87" s="11">
        <f t="shared" si="62"/>
        <v>0.25</v>
      </c>
      <c r="N87" s="9">
        <f t="shared" si="57"/>
        <v>0</v>
      </c>
      <c r="O87" s="12">
        <f t="shared" si="58"/>
        <v>0</v>
      </c>
      <c r="P87" s="13" t="str">
        <f t="shared" si="2"/>
        <v>NO</v>
      </c>
      <c r="Q87">
        <f t="shared" si="59"/>
        <v>0</v>
      </c>
      <c r="R87">
        <f t="shared" si="60"/>
        <v>1000</v>
      </c>
      <c r="S87">
        <f t="shared" si="61"/>
        <v>0</v>
      </c>
    </row>
    <row r="88" spans="1:19" ht="15" hidden="1" customHeight="1" x14ac:dyDescent="0.3">
      <c r="A88" s="34" t="s">
        <v>1150</v>
      </c>
      <c r="B88" s="36">
        <v>278</v>
      </c>
      <c r="C88" s="29" t="s">
        <v>1221</v>
      </c>
      <c r="D88" s="27" t="str">
        <f t="shared" si="52"/>
        <v>INCLUIDO</v>
      </c>
      <c r="E88" s="27" t="s">
        <v>1186</v>
      </c>
      <c r="F88" s="43">
        <v>0</v>
      </c>
      <c r="G88" s="21">
        <v>0</v>
      </c>
      <c r="H88" s="9">
        <f t="shared" si="53"/>
        <v>0</v>
      </c>
      <c r="I88" s="9" t="s">
        <v>1153</v>
      </c>
      <c r="J88" s="9">
        <f t="shared" si="54"/>
        <v>0</v>
      </c>
      <c r="K88" s="9">
        <f t="shared" si="55"/>
        <v>0</v>
      </c>
      <c r="L88" s="9">
        <f t="shared" si="56"/>
        <v>0</v>
      </c>
      <c r="M88" s="11">
        <f t="shared" si="62"/>
        <v>0.25</v>
      </c>
      <c r="N88" s="9">
        <f t="shared" si="57"/>
        <v>0</v>
      </c>
      <c r="O88" s="12">
        <f t="shared" si="58"/>
        <v>0</v>
      </c>
      <c r="P88" s="13" t="str">
        <f t="shared" si="2"/>
        <v>NO</v>
      </c>
      <c r="Q88">
        <f t="shared" si="59"/>
        <v>0</v>
      </c>
      <c r="R88">
        <f t="shared" si="60"/>
        <v>1000</v>
      </c>
      <c r="S88">
        <f t="shared" si="61"/>
        <v>0</v>
      </c>
    </row>
    <row r="89" spans="1:19" ht="15" hidden="1" customHeight="1" x14ac:dyDescent="0.3">
      <c r="A89" s="34" t="s">
        <v>1150</v>
      </c>
      <c r="B89" s="36">
        <v>279</v>
      </c>
      <c r="C89" s="29" t="s">
        <v>1222</v>
      </c>
      <c r="D89" s="27" t="str">
        <f t="shared" si="52"/>
        <v>INCLUIDO</v>
      </c>
      <c r="E89" s="27" t="s">
        <v>1186</v>
      </c>
      <c r="F89" s="43">
        <v>0</v>
      </c>
      <c r="G89" s="21">
        <v>0</v>
      </c>
      <c r="H89" s="9">
        <f t="shared" si="53"/>
        <v>0</v>
      </c>
      <c r="I89" s="9" t="s">
        <v>1153</v>
      </c>
      <c r="J89" s="9">
        <f t="shared" si="54"/>
        <v>0</v>
      </c>
      <c r="K89" s="9">
        <f t="shared" si="55"/>
        <v>0</v>
      </c>
      <c r="L89" s="9">
        <f t="shared" si="56"/>
        <v>0</v>
      </c>
      <c r="M89" s="11">
        <f t="shared" si="62"/>
        <v>0.25</v>
      </c>
      <c r="N89" s="9">
        <f t="shared" si="57"/>
        <v>0</v>
      </c>
      <c r="O89" s="12">
        <f t="shared" si="58"/>
        <v>0</v>
      </c>
      <c r="P89" s="13" t="str">
        <f t="shared" si="2"/>
        <v>NO</v>
      </c>
      <c r="Q89">
        <f t="shared" si="59"/>
        <v>0</v>
      </c>
      <c r="R89">
        <f t="shared" si="60"/>
        <v>1000</v>
      </c>
      <c r="S89">
        <f t="shared" si="61"/>
        <v>0</v>
      </c>
    </row>
    <row r="90" spans="1:19" ht="15" customHeight="1" x14ac:dyDescent="0.3">
      <c r="A90" s="82" t="s">
        <v>1162</v>
      </c>
      <c r="B90" s="33">
        <v>3</v>
      </c>
      <c r="C90" s="19" t="s">
        <v>1223</v>
      </c>
      <c r="D90" s="28" t="str">
        <f>$D$17</f>
        <v>INCLUIDO</v>
      </c>
      <c r="E90" s="28"/>
      <c r="F90" s="28"/>
      <c r="G90" s="28"/>
      <c r="H90" s="28"/>
      <c r="I90" s="28"/>
      <c r="J90" s="28"/>
      <c r="K90" s="28"/>
      <c r="L90" s="28"/>
      <c r="M90" s="68">
        <f>M61</f>
        <v>0.05</v>
      </c>
      <c r="N90" s="28"/>
      <c r="O90" s="83"/>
      <c r="P90" s="13" t="str">
        <f t="shared" si="2"/>
        <v>SI</v>
      </c>
      <c r="Q90" s="47">
        <f>IF(D90="INCLUIDO",IF(F91&lt;&gt;0,1,0),0)</f>
        <v>1</v>
      </c>
    </row>
    <row r="91" spans="1:19" ht="22.5" customHeight="1" x14ac:dyDescent="0.3">
      <c r="A91" s="34" t="s">
        <v>1164</v>
      </c>
      <c r="B91" s="36">
        <v>50</v>
      </c>
      <c r="C91" s="29" t="s">
        <v>1224</v>
      </c>
      <c r="D91" s="27" t="str">
        <f t="shared" si="52"/>
        <v>INCLUIDO</v>
      </c>
      <c r="E91" s="27" t="s">
        <v>1137</v>
      </c>
      <c r="F91" s="42">
        <f>-'COTIZACIÓN M.N.'!D43</f>
        <v>-324299019.92821944</v>
      </c>
      <c r="G91" s="10">
        <f>'COTIZACIÓN M.N.'!E43</f>
        <v>0.2</v>
      </c>
      <c r="H91" s="9">
        <f t="shared" ref="H91:H92" si="63">(((IF(I91="$ Prima",G91,G91*F91/R91))*$U$9)/365)*$J$15</f>
        <v>-64859.803985643892</v>
      </c>
      <c r="I91" s="9" t="s">
        <v>1153</v>
      </c>
      <c r="J91" s="9">
        <f t="shared" ref="J91:J94" si="64">H91*$U$7</f>
        <v>0</v>
      </c>
      <c r="K91" s="9">
        <f t="shared" ref="K91:K94" si="65">(H91+J91)*$K$15</f>
        <v>-10377.568637703023</v>
      </c>
      <c r="L91" s="9">
        <f t="shared" ref="L91:L94" si="66">ROUND(H91+J91+K91,2)</f>
        <v>-75237.37</v>
      </c>
      <c r="M91" s="11">
        <f>$M$90</f>
        <v>0.05</v>
      </c>
      <c r="N91" s="9">
        <f t="shared" ref="N91:N94" si="67">H91*M91</f>
        <v>-3242.9901992821947</v>
      </c>
      <c r="O91" s="12">
        <f t="shared" ref="O91:O94" si="68">N91</f>
        <v>-3242.9901992821947</v>
      </c>
      <c r="P91" s="13" t="str">
        <f t="shared" ref="P91:P154" si="69">IF(Q91=1,"SI","NO")</f>
        <v>SI</v>
      </c>
      <c r="Q91">
        <f>IF(D91="INCLUIDO",IF(F91&lt;&gt;0,1,0),0)</f>
        <v>1</v>
      </c>
      <c r="R91">
        <f>IF(I91="%o Al Millar",1000,IF(I91="% Al Porciento",100,IF(I91="$ Prima",G91)))</f>
        <v>1000</v>
      </c>
      <c r="S91">
        <f t="shared" ref="S91:S94" si="70">IF(E91="Excluido",0,IF(D91="NO APLICA",0,1))</f>
        <v>1</v>
      </c>
    </row>
    <row r="92" spans="1:19" ht="22.5" customHeight="1" x14ac:dyDescent="0.3">
      <c r="A92" s="34" t="s">
        <v>1164</v>
      </c>
      <c r="B92" s="36">
        <v>49</v>
      </c>
      <c r="C92" s="29" t="s">
        <v>1225</v>
      </c>
      <c r="D92" s="27" t="str">
        <f t="shared" si="52"/>
        <v>INCLUIDO</v>
      </c>
      <c r="E92" s="27" t="s">
        <v>1137</v>
      </c>
      <c r="F92" s="43">
        <f>-'COTIZACIÓN M.N.'!D59</f>
        <v>-86937199.982531995</v>
      </c>
      <c r="G92" s="10">
        <f>'COTIZACIÓN M.N.'!E59</f>
        <v>9.1289164528423131E-2</v>
      </c>
      <c r="H92" s="9">
        <f t="shared" si="63"/>
        <v>-7936.4243528457891</v>
      </c>
      <c r="I92" s="9" t="s">
        <v>1153</v>
      </c>
      <c r="J92" s="9">
        <f t="shared" si="64"/>
        <v>0</v>
      </c>
      <c r="K92" s="9">
        <f t="shared" si="65"/>
        <v>-1269.8278964553263</v>
      </c>
      <c r="L92" s="9">
        <f t="shared" si="66"/>
        <v>-9206.25</v>
      </c>
      <c r="M92" s="11">
        <f t="shared" ref="M92:M94" si="71">$M$90</f>
        <v>0.05</v>
      </c>
      <c r="N92" s="9">
        <f t="shared" si="67"/>
        <v>-396.82121764228947</v>
      </c>
      <c r="O92" s="12">
        <f t="shared" si="68"/>
        <v>-396.82121764228947</v>
      </c>
      <c r="P92" s="13" t="str">
        <f t="shared" si="69"/>
        <v>SI</v>
      </c>
      <c r="Q92">
        <f>IF(D92="INCLUIDO",IF(F92&lt;&gt;0,1,0),0)</f>
        <v>1</v>
      </c>
      <c r="R92">
        <f>IF(I92="%o Al Millar",1000,IF(I92="% Al Porciento",100,IF(I92="$ Prima",G92)))</f>
        <v>1000</v>
      </c>
      <c r="S92">
        <f t="shared" si="70"/>
        <v>1</v>
      </c>
    </row>
    <row r="93" spans="1:19" ht="22.5" hidden="1" customHeight="1" x14ac:dyDescent="0.3">
      <c r="A93" s="34" t="s">
        <v>1164</v>
      </c>
      <c r="B93" s="36">
        <v>48</v>
      </c>
      <c r="C93" s="29" t="s">
        <v>1226</v>
      </c>
      <c r="D93" s="27" t="str">
        <f t="shared" si="52"/>
        <v>INCLUIDO</v>
      </c>
      <c r="E93" s="27" t="s">
        <v>1186</v>
      </c>
      <c r="F93" s="43">
        <v>0</v>
      </c>
      <c r="G93" s="21">
        <v>0</v>
      </c>
      <c r="H93" s="9">
        <f t="shared" ref="H93:H94" si="72">(IF(I93="$ Prima",G93,G93*F93/R93))*$U$9</f>
        <v>0</v>
      </c>
      <c r="I93" s="9" t="s">
        <v>1153</v>
      </c>
      <c r="J93" s="9">
        <f t="shared" si="64"/>
        <v>0</v>
      </c>
      <c r="K93" s="9">
        <f t="shared" si="65"/>
        <v>0</v>
      </c>
      <c r="L93" s="9">
        <f t="shared" si="66"/>
        <v>0</v>
      </c>
      <c r="M93" s="11">
        <f t="shared" si="71"/>
        <v>0.05</v>
      </c>
      <c r="N93" s="9">
        <f t="shared" si="67"/>
        <v>0</v>
      </c>
      <c r="O93" s="12">
        <f t="shared" si="68"/>
        <v>0</v>
      </c>
      <c r="P93" s="13" t="str">
        <f t="shared" si="69"/>
        <v>NO</v>
      </c>
      <c r="Q93">
        <f>IF(D93="INCLUIDO",IF(F93&lt;&gt;0,1,0),0)</f>
        <v>0</v>
      </c>
      <c r="R93">
        <f>IF(I93="%o Al Millar",1000,IF(I93="% Al Porciento",100,IF(I93="$ Prima",G93)))</f>
        <v>1000</v>
      </c>
      <c r="S93">
        <f t="shared" si="70"/>
        <v>0</v>
      </c>
    </row>
    <row r="94" spans="1:19" ht="15" hidden="1" customHeight="1" x14ac:dyDescent="0.3">
      <c r="A94" s="34" t="s">
        <v>1164</v>
      </c>
      <c r="B94" s="36">
        <v>47</v>
      </c>
      <c r="C94" s="29" t="s">
        <v>1227</v>
      </c>
      <c r="D94" s="27" t="str">
        <f t="shared" si="52"/>
        <v>INCLUIDO</v>
      </c>
      <c r="E94" s="27" t="s">
        <v>1186</v>
      </c>
      <c r="F94" s="43">
        <v>0</v>
      </c>
      <c r="G94" s="21">
        <v>0</v>
      </c>
      <c r="H94" s="9">
        <f t="shared" si="72"/>
        <v>0</v>
      </c>
      <c r="I94" s="9" t="s">
        <v>1153</v>
      </c>
      <c r="J94" s="9">
        <f t="shared" si="64"/>
        <v>0</v>
      </c>
      <c r="K94" s="9">
        <f t="shared" si="65"/>
        <v>0</v>
      </c>
      <c r="L94" s="9">
        <f t="shared" si="66"/>
        <v>0</v>
      </c>
      <c r="M94" s="11">
        <f t="shared" si="71"/>
        <v>0.05</v>
      </c>
      <c r="N94" s="9">
        <f t="shared" si="67"/>
        <v>0</v>
      </c>
      <c r="O94" s="12">
        <f t="shared" si="68"/>
        <v>0</v>
      </c>
      <c r="P94" s="13" t="str">
        <f t="shared" si="69"/>
        <v>NO</v>
      </c>
      <c r="Q94">
        <f>IF(D94="INCLUIDO",IF(F94&lt;&gt;0,1,0),0)</f>
        <v>0</v>
      </c>
      <c r="R94">
        <f>IF(I94="%o Al Millar",1000,IF(I94="% Al Porciento",100,IF(I94="$ Prima",G94)))</f>
        <v>1000</v>
      </c>
      <c r="S94">
        <f t="shared" si="70"/>
        <v>0</v>
      </c>
    </row>
    <row r="95" spans="1:19" ht="15" customHeight="1" x14ac:dyDescent="0.3">
      <c r="A95" s="82">
        <v>904</v>
      </c>
      <c r="B95" s="33">
        <v>3</v>
      </c>
      <c r="C95" s="19" t="s">
        <v>1228</v>
      </c>
      <c r="D95" s="28" t="str">
        <f>$D$17</f>
        <v>INCLUIDO</v>
      </c>
      <c r="E95" s="28"/>
      <c r="F95" s="28"/>
      <c r="G95" s="28"/>
      <c r="H95" s="28"/>
      <c r="I95" s="28"/>
      <c r="J95" s="28"/>
      <c r="K95" s="28"/>
      <c r="L95" s="28"/>
      <c r="M95" s="68">
        <f>M64</f>
        <v>0.05</v>
      </c>
      <c r="N95" s="28"/>
      <c r="O95" s="83"/>
      <c r="P95" s="13" t="str">
        <f t="shared" si="69"/>
        <v>SI</v>
      </c>
      <c r="Q95" s="47">
        <f>IF(D95="INCLUIDO",IF(F96&lt;&gt;0,1,0),0)</f>
        <v>1</v>
      </c>
    </row>
    <row r="96" spans="1:19" ht="22.5" customHeight="1" x14ac:dyDescent="0.3">
      <c r="A96" s="34" t="s">
        <v>1168</v>
      </c>
      <c r="B96" s="36">
        <v>68</v>
      </c>
      <c r="C96" s="29" t="s">
        <v>1229</v>
      </c>
      <c r="D96" s="27" t="str">
        <f t="shared" si="52"/>
        <v>INCLUIDO</v>
      </c>
      <c r="E96" s="27" t="s">
        <v>1137</v>
      </c>
      <c r="F96" s="42">
        <f>-'COTIZACIÓN M.N.'!D44</f>
        <v>-324299019.92821944</v>
      </c>
      <c r="G96" s="10">
        <f>'COTIZACIÓN M.N.'!E44</f>
        <v>0.32000000000000006</v>
      </c>
      <c r="H96" s="9">
        <f t="shared" ref="H96:H97" si="73">(((IF(I96="$ Prima",G96,G96*F96/R96))*$U$9)/365)*$J$15</f>
        <v>-103775.68637703024</v>
      </c>
      <c r="I96" s="9" t="s">
        <v>1153</v>
      </c>
      <c r="J96" s="9">
        <f t="shared" ref="J96:J98" si="74">H96*$U$7</f>
        <v>0</v>
      </c>
      <c r="K96" s="9">
        <f t="shared" ref="K96:K98" si="75">(H96+J96)*$K$15</f>
        <v>-16604.10982032484</v>
      </c>
      <c r="L96" s="9">
        <f t="shared" ref="L96:L98" si="76">ROUND(H96+J96+K96,2)</f>
        <v>-120379.8</v>
      </c>
      <c r="M96" s="11">
        <f>$M$95</f>
        <v>0.05</v>
      </c>
      <c r="N96" s="9">
        <f t="shared" ref="N96:N98" si="77">H96*M96</f>
        <v>-5188.7843188515126</v>
      </c>
      <c r="O96" s="12">
        <f t="shared" ref="O96:O98" si="78">N96</f>
        <v>-5188.7843188515126</v>
      </c>
      <c r="P96" s="13" t="str">
        <f t="shared" si="69"/>
        <v>SI</v>
      </c>
      <c r="Q96">
        <f>IF(D96="INCLUIDO",IF(F96&lt;&gt;0,1,0),0)</f>
        <v>1</v>
      </c>
      <c r="R96">
        <f>IF(I96="%o Al Millar",1000,IF(I96="% Al Porciento",100,IF(I96="$ Prima",G96)))</f>
        <v>1000</v>
      </c>
      <c r="S96">
        <f t="shared" ref="S96:S98" si="79">IF(E96="Excluido",0,IF(D96="NO APLICA",0,1))</f>
        <v>1</v>
      </c>
    </row>
    <row r="97" spans="1:19" ht="22.5" customHeight="1" x14ac:dyDescent="0.3">
      <c r="A97" s="34" t="s">
        <v>1168</v>
      </c>
      <c r="B97" s="36">
        <v>67</v>
      </c>
      <c r="C97" s="29" t="s">
        <v>1230</v>
      </c>
      <c r="D97" s="27" t="str">
        <f t="shared" si="52"/>
        <v>INCLUIDO</v>
      </c>
      <c r="E97" s="27" t="s">
        <v>1137</v>
      </c>
      <c r="F97" s="43">
        <f>-'COTIZACIÓN M.N.'!D60</f>
        <v>-86937199.982531995</v>
      </c>
      <c r="G97" s="10">
        <f>'COTIZACIÓN M.N.'!E60</f>
        <v>7.304439852819071E-2</v>
      </c>
      <c r="H97" s="9">
        <f t="shared" si="73"/>
        <v>-6350.2754824490821</v>
      </c>
      <c r="I97" s="9" t="s">
        <v>1153</v>
      </c>
      <c r="J97" s="9">
        <f t="shared" si="74"/>
        <v>0</v>
      </c>
      <c r="K97" s="9">
        <f t="shared" si="75"/>
        <v>-1016.0440771918531</v>
      </c>
      <c r="L97" s="9">
        <f t="shared" si="76"/>
        <v>-7366.32</v>
      </c>
      <c r="M97" s="11">
        <f t="shared" ref="M97:M98" si="80">$M$95</f>
        <v>0.05</v>
      </c>
      <c r="N97" s="9">
        <f t="shared" si="77"/>
        <v>-317.51377412245415</v>
      </c>
      <c r="O97" s="12">
        <f t="shared" si="78"/>
        <v>-317.51377412245415</v>
      </c>
      <c r="P97" s="13" t="str">
        <f t="shared" si="69"/>
        <v>SI</v>
      </c>
      <c r="Q97">
        <f>IF(D97="INCLUIDO",IF(F97&lt;&gt;0,1,0),0)</f>
        <v>1</v>
      </c>
      <c r="R97">
        <f>IF(I97="%o Al Millar",1000,IF(I97="% Al Porciento",100,IF(I97="$ Prima",G97)))</f>
        <v>1000</v>
      </c>
      <c r="S97">
        <f t="shared" si="79"/>
        <v>1</v>
      </c>
    </row>
    <row r="98" spans="1:19" ht="22.5" hidden="1" customHeight="1" x14ac:dyDescent="0.3">
      <c r="A98" s="34" t="s">
        <v>1168</v>
      </c>
      <c r="B98" s="36">
        <v>65</v>
      </c>
      <c r="C98" s="29" t="s">
        <v>1231</v>
      </c>
      <c r="D98" s="27" t="str">
        <f t="shared" si="52"/>
        <v>INCLUIDO</v>
      </c>
      <c r="E98" s="27" t="s">
        <v>1186</v>
      </c>
      <c r="F98" s="43">
        <v>0</v>
      </c>
      <c r="G98" s="21">
        <v>0</v>
      </c>
      <c r="H98" s="9">
        <f t="shared" ref="H98" si="81">(IF(I98="$ Prima",G98,G98*F98/R98))*$U$9</f>
        <v>0</v>
      </c>
      <c r="I98" s="9" t="s">
        <v>1153</v>
      </c>
      <c r="J98" s="9">
        <f t="shared" si="74"/>
        <v>0</v>
      </c>
      <c r="K98" s="9">
        <f t="shared" si="75"/>
        <v>0</v>
      </c>
      <c r="L98" s="9">
        <f t="shared" si="76"/>
        <v>0</v>
      </c>
      <c r="M98" s="11">
        <f t="shared" si="80"/>
        <v>0.05</v>
      </c>
      <c r="N98" s="9">
        <f t="shared" si="77"/>
        <v>0</v>
      </c>
      <c r="O98" s="12">
        <f t="shared" si="78"/>
        <v>0</v>
      </c>
      <c r="P98" s="13" t="str">
        <f t="shared" si="69"/>
        <v>NO</v>
      </c>
      <c r="Q98">
        <f>IF(D98="INCLUIDO",IF(F98&lt;&gt;0,1,0),0)</f>
        <v>0</v>
      </c>
      <c r="R98">
        <f>IF(I98="%o Al Millar",1000,IF(I98="% Al Porciento",100,IF(I98="$ Prima",G98)))</f>
        <v>1000</v>
      </c>
      <c r="S98">
        <f t="shared" si="79"/>
        <v>0</v>
      </c>
    </row>
    <row r="99" spans="1:19" s="18" customFormat="1" ht="15" customHeight="1" x14ac:dyDescent="0.3">
      <c r="A99" s="24"/>
      <c r="B99" s="26"/>
      <c r="C99" s="15" t="s">
        <v>1177</v>
      </c>
      <c r="D99" s="38" t="str">
        <f>D98</f>
        <v>INCLUIDO</v>
      </c>
      <c r="E99" s="38"/>
      <c r="F99" s="16">
        <f>SUMIF(E79:E98,"Adicional",F79:F98)</f>
        <v>0</v>
      </c>
      <c r="G99" s="17"/>
      <c r="H99" s="16">
        <f>SUM(H79:H98)</f>
        <v>-272553.36165749189</v>
      </c>
      <c r="I99" s="16"/>
      <c r="J99" s="16">
        <f>SUM(J79:J98)</f>
        <v>0</v>
      </c>
      <c r="K99" s="16">
        <f>SUM(K79:K98)</f>
        <v>-43608.53786519869</v>
      </c>
      <c r="L99" s="16">
        <f>SUM(L79:L98)</f>
        <v>-316161.90000000002</v>
      </c>
      <c r="M99" s="16" t="s">
        <v>1178</v>
      </c>
      <c r="N99" s="16">
        <f>SUM(N79:N98)</f>
        <v>-31553.902374779158</v>
      </c>
      <c r="O99" s="84">
        <f>SUM(O79:O98)</f>
        <v>-31553.902374779158</v>
      </c>
      <c r="P99" s="13" t="str">
        <f t="shared" si="69"/>
        <v>SI</v>
      </c>
      <c r="Q99">
        <f>IF(D99="INCLUIDO",IF(H99&lt;&gt;0,1,0),0)</f>
        <v>1</v>
      </c>
    </row>
    <row r="100" spans="1:19" ht="15" hidden="1" customHeight="1" x14ac:dyDescent="0.3">
      <c r="A100" s="82">
        <v>905</v>
      </c>
      <c r="B100" s="33">
        <v>1</v>
      </c>
      <c r="C100" s="19" t="s">
        <v>1232</v>
      </c>
      <c r="D100" s="23" t="str">
        <f>'Ramo Comercial'!C130</f>
        <v>INCLUIDO</v>
      </c>
      <c r="E100" s="91"/>
      <c r="F100" s="43">
        <f>'COTIZACIÓN M.N.'!D86</f>
        <v>13000</v>
      </c>
      <c r="G100" s="43">
        <f>'COTIZACIÓN M.N.'!E86</f>
        <v>5</v>
      </c>
      <c r="H100" s="28"/>
      <c r="I100" s="28"/>
      <c r="J100" s="28"/>
      <c r="K100" s="28"/>
      <c r="L100" s="28"/>
      <c r="M100" s="68">
        <v>5.8000000000000003E-2</v>
      </c>
      <c r="N100" s="28"/>
      <c r="O100" s="83"/>
      <c r="P100" s="13" t="str">
        <f t="shared" si="69"/>
        <v>SI</v>
      </c>
      <c r="Q100" s="48">
        <f>IF(D100="INCLUIDO",IF(F100&lt;&gt;0,1,0),0)</f>
        <v>1</v>
      </c>
      <c r="S100">
        <f t="shared" ref="S100:S102" si="82">IF(E100="Excluido",0,IF(D100="NO APLICA",0,1))</f>
        <v>1</v>
      </c>
    </row>
    <row r="101" spans="1:19" ht="15" hidden="1" customHeight="1" x14ac:dyDescent="0.3">
      <c r="A101" s="34" t="s">
        <v>1233</v>
      </c>
      <c r="B101" s="36">
        <v>71</v>
      </c>
      <c r="C101" s="29" t="s">
        <v>1234</v>
      </c>
      <c r="D101" s="29" t="str">
        <f>$D$100</f>
        <v>INCLUIDO</v>
      </c>
      <c r="E101" s="27" t="s">
        <v>1152</v>
      </c>
      <c r="F101" s="20">
        <f>F100*S101</f>
        <v>13000</v>
      </c>
      <c r="G101" s="21">
        <f>G100</f>
        <v>5</v>
      </c>
      <c r="H101" s="9">
        <f t="shared" ref="H101" si="83">(((IF(I101="$ Prima",G101,G101*F101/R101))*$U$9)/365)*$J$15</f>
        <v>650</v>
      </c>
      <c r="I101" s="9" t="s">
        <v>1235</v>
      </c>
      <c r="J101" s="9">
        <f t="shared" ref="J101:J102" si="84">H101*$U$7</f>
        <v>0</v>
      </c>
      <c r="K101" s="9">
        <f t="shared" ref="K101:K102" si="85">(H101+J101)*$K$15</f>
        <v>104</v>
      </c>
      <c r="L101" s="9">
        <f t="shared" ref="L101:L102" si="86">ROUND(H101+J101+K101,2)</f>
        <v>754</v>
      </c>
      <c r="M101" s="11">
        <f>$M$100</f>
        <v>5.8000000000000003E-2</v>
      </c>
      <c r="N101" s="9">
        <f t="shared" ref="N101:N102" si="87">H101*M101</f>
        <v>37.700000000000003</v>
      </c>
      <c r="O101" s="12">
        <f t="shared" ref="O101:O102" si="88">N101</f>
        <v>37.700000000000003</v>
      </c>
      <c r="P101" s="13" t="str">
        <f t="shared" si="69"/>
        <v>SI</v>
      </c>
      <c r="Q101">
        <f>IF(D101="INCLUIDO",IF(F101&lt;&gt;0,1,0),0)</f>
        <v>1</v>
      </c>
      <c r="R101">
        <f>IF(I101="%o Al Millar",1000,IF(I101="% Al Porciento",100,IF(I101="$ Prima",G101)))</f>
        <v>100</v>
      </c>
      <c r="S101">
        <f t="shared" si="82"/>
        <v>1</v>
      </c>
    </row>
    <row r="102" spans="1:19" ht="15" hidden="1" customHeight="1" x14ac:dyDescent="0.3">
      <c r="A102" s="34" t="s">
        <v>1233</v>
      </c>
      <c r="B102" s="36"/>
      <c r="C102" s="81">
        <f>$O$12</f>
        <v>0</v>
      </c>
      <c r="D102" s="29" t="str">
        <f>$D$100</f>
        <v>INCLUIDO</v>
      </c>
      <c r="E102" s="27" t="s">
        <v>1186</v>
      </c>
      <c r="F102" s="9">
        <f>(F101*$O$12)*S102</f>
        <v>0</v>
      </c>
      <c r="G102" s="10">
        <f>G101*0.35</f>
        <v>1.75</v>
      </c>
      <c r="H102" s="9">
        <f t="shared" ref="H102" si="89">(IF(I102="$ Prima",G102,G102*F102/R102))*$U$9</f>
        <v>0</v>
      </c>
      <c r="I102" s="9" t="s">
        <v>1235</v>
      </c>
      <c r="J102" s="9">
        <f t="shared" si="84"/>
        <v>0</v>
      </c>
      <c r="K102" s="9">
        <f t="shared" si="85"/>
        <v>0</v>
      </c>
      <c r="L102" s="9">
        <f t="shared" si="86"/>
        <v>0</v>
      </c>
      <c r="M102" s="11">
        <f>$M$100</f>
        <v>5.8000000000000003E-2</v>
      </c>
      <c r="N102" s="9">
        <f t="shared" si="87"/>
        <v>0</v>
      </c>
      <c r="O102" s="12">
        <f t="shared" si="88"/>
        <v>0</v>
      </c>
      <c r="P102" s="13" t="str">
        <f t="shared" si="69"/>
        <v>NO</v>
      </c>
      <c r="Q102">
        <f>IF(D102="INCLUIDO",IF(F102&lt;&gt;0,1,0),0)</f>
        <v>0</v>
      </c>
      <c r="R102">
        <f>IF(I102="%o Al Millar",1000,IF(I102="% Al Porciento",100,IF(I102="$ Prima",G102)))</f>
        <v>100</v>
      </c>
      <c r="S102">
        <f t="shared" si="82"/>
        <v>0</v>
      </c>
    </row>
    <row r="103" spans="1:19" s="18" customFormat="1" ht="15" hidden="1" customHeight="1" thickBot="1" x14ac:dyDescent="0.35">
      <c r="A103" s="24"/>
      <c r="B103" s="26"/>
      <c r="C103" s="15" t="s">
        <v>1177</v>
      </c>
      <c r="D103" s="38" t="str">
        <f>D102</f>
        <v>INCLUIDO</v>
      </c>
      <c r="E103" s="38"/>
      <c r="F103" s="16">
        <f>SUMIF(E101:E102,"Adicional",F101:F102)</f>
        <v>13000</v>
      </c>
      <c r="G103" s="17"/>
      <c r="H103" s="16">
        <f>SUM(H101:H102)</f>
        <v>650</v>
      </c>
      <c r="I103" s="16"/>
      <c r="J103" s="16">
        <f t="shared" ref="J103:L103" si="90">SUM(J101:J102)</f>
        <v>0</v>
      </c>
      <c r="K103" s="16">
        <f t="shared" si="90"/>
        <v>104</v>
      </c>
      <c r="L103" s="16">
        <f t="shared" si="90"/>
        <v>754</v>
      </c>
      <c r="M103" s="16" t="s">
        <v>1178</v>
      </c>
      <c r="N103" s="16">
        <f t="shared" ref="N103:O103" si="91">SUM(N101:N102)</f>
        <v>37.700000000000003</v>
      </c>
      <c r="O103" s="84">
        <f t="shared" si="91"/>
        <v>37.700000000000003</v>
      </c>
      <c r="P103" s="13" t="str">
        <f t="shared" si="69"/>
        <v>SI</v>
      </c>
      <c r="Q103">
        <f>IF(D103="INCLUIDO",IF(H103&lt;&gt;0,1,0),0)</f>
        <v>1</v>
      </c>
    </row>
    <row r="104" spans="1:19" ht="15" hidden="1" customHeight="1" x14ac:dyDescent="0.3">
      <c r="A104" s="82">
        <v>905</v>
      </c>
      <c r="B104" s="33">
        <v>2</v>
      </c>
      <c r="C104" s="19" t="s">
        <v>1236</v>
      </c>
      <c r="D104" s="23" t="str">
        <f>$D$100</f>
        <v>INCLUIDO</v>
      </c>
      <c r="E104" s="91"/>
      <c r="F104" s="43">
        <v>0</v>
      </c>
      <c r="G104" s="43">
        <v>0</v>
      </c>
      <c r="H104" s="28"/>
      <c r="I104" s="28"/>
      <c r="J104" s="28"/>
      <c r="K104" s="28"/>
      <c r="L104" s="28"/>
      <c r="M104" s="68">
        <v>0</v>
      </c>
      <c r="N104" s="28"/>
      <c r="O104" s="83"/>
      <c r="P104" s="13" t="str">
        <f t="shared" si="69"/>
        <v>NO</v>
      </c>
      <c r="Q104" s="48">
        <f>IF(D104="INCLUIDO",IF(F104&lt;&gt;0,1,0),0)</f>
        <v>0</v>
      </c>
    </row>
    <row r="105" spans="1:19" ht="15" hidden="1" customHeight="1" x14ac:dyDescent="0.3">
      <c r="A105" s="34" t="s">
        <v>1233</v>
      </c>
      <c r="B105" s="36">
        <v>73</v>
      </c>
      <c r="C105" s="29" t="s">
        <v>1234</v>
      </c>
      <c r="D105" s="29" t="str">
        <f>$D$100</f>
        <v>INCLUIDO</v>
      </c>
      <c r="E105" s="27" t="s">
        <v>1186</v>
      </c>
      <c r="F105" s="20">
        <f>F104*S105</f>
        <v>0</v>
      </c>
      <c r="G105" s="21">
        <v>0</v>
      </c>
      <c r="H105" s="9">
        <f t="shared" ref="H105:H106" si="92">(IF(I105="$ Prima",G105,G105*F105/R105))*$U$9</f>
        <v>0</v>
      </c>
      <c r="I105" s="9" t="s">
        <v>1235</v>
      </c>
      <c r="J105" s="9">
        <f t="shared" ref="J105:J106" si="93">H105*$U$7</f>
        <v>0</v>
      </c>
      <c r="K105" s="9">
        <f t="shared" ref="K105:K106" si="94">(H105+J105)*$K$15</f>
        <v>0</v>
      </c>
      <c r="L105" s="9">
        <f t="shared" ref="L105:L106" si="95">ROUND(H105+J105+K105,2)</f>
        <v>0</v>
      </c>
      <c r="M105" s="11">
        <v>0</v>
      </c>
      <c r="N105" s="9">
        <f t="shared" ref="N105:N106" si="96">H105*M105</f>
        <v>0</v>
      </c>
      <c r="O105" s="12">
        <f t="shared" ref="O105:O106" si="97">N105</f>
        <v>0</v>
      </c>
      <c r="P105" s="13" t="str">
        <f t="shared" si="69"/>
        <v>NO</v>
      </c>
      <c r="Q105">
        <f>IF(D105="INCLUIDO",IF(F105&lt;&gt;0,1,0),0)</f>
        <v>0</v>
      </c>
      <c r="R105">
        <f>IF(I105="%o Al Millar",1000,IF(I105="% Al Porciento",100,IF(I105="$ Prima",G105)))</f>
        <v>100</v>
      </c>
      <c r="S105">
        <f t="shared" ref="S105:S106" si="98">IF(E105="Excluido",0,IF(D105="NO APLICA",0,1))</f>
        <v>0</v>
      </c>
    </row>
    <row r="106" spans="1:19" ht="15" hidden="1" customHeight="1" x14ac:dyDescent="0.3">
      <c r="A106" s="34" t="s">
        <v>1233</v>
      </c>
      <c r="B106" s="36"/>
      <c r="C106" s="81">
        <f>$O$12</f>
        <v>0</v>
      </c>
      <c r="D106" s="29" t="str">
        <f>$D$100</f>
        <v>INCLUIDO</v>
      </c>
      <c r="E106" s="27" t="str">
        <f>E105</f>
        <v>Excluido</v>
      </c>
      <c r="F106" s="9">
        <f>(F105*$O$12)*S106</f>
        <v>0</v>
      </c>
      <c r="G106" s="10">
        <f>G105*0.35</f>
        <v>0</v>
      </c>
      <c r="H106" s="9">
        <f t="shared" si="92"/>
        <v>0</v>
      </c>
      <c r="I106" s="9" t="s">
        <v>1235</v>
      </c>
      <c r="J106" s="9">
        <f t="shared" si="93"/>
        <v>0</v>
      </c>
      <c r="K106" s="9">
        <f t="shared" si="94"/>
        <v>0</v>
      </c>
      <c r="L106" s="9">
        <f t="shared" si="95"/>
        <v>0</v>
      </c>
      <c r="M106" s="11">
        <v>0</v>
      </c>
      <c r="N106" s="9">
        <f t="shared" si="96"/>
        <v>0</v>
      </c>
      <c r="O106" s="12">
        <f t="shared" si="97"/>
        <v>0</v>
      </c>
      <c r="P106" s="13" t="str">
        <f t="shared" si="69"/>
        <v>NO</v>
      </c>
      <c r="Q106">
        <f>IF(D106="INCLUIDO",IF(F106&lt;&gt;0,1,0),0)</f>
        <v>0</v>
      </c>
      <c r="R106">
        <f>IF(I106="%o Al Millar",1000,IF(I106="% Al Porciento",100,IF(I106="$ Prima",G106)))</f>
        <v>100</v>
      </c>
      <c r="S106">
        <f t="shared" si="98"/>
        <v>0</v>
      </c>
    </row>
    <row r="107" spans="1:19" s="18" customFormat="1" ht="15" hidden="1" customHeight="1" x14ac:dyDescent="0.3">
      <c r="A107" s="24"/>
      <c r="B107" s="26"/>
      <c r="C107" s="15" t="s">
        <v>1177</v>
      </c>
      <c r="D107" s="38" t="str">
        <f>D106</f>
        <v>INCLUIDO</v>
      </c>
      <c r="E107" s="38"/>
      <c r="F107" s="16">
        <f>SUMIF(E105:E106,"Adicional",F105:F106)</f>
        <v>0</v>
      </c>
      <c r="G107" s="17"/>
      <c r="H107" s="16">
        <f>SUM(H105:H106)</f>
        <v>0</v>
      </c>
      <c r="I107" s="16"/>
      <c r="J107" s="16">
        <f t="shared" ref="J107:L107" si="99">SUM(J105:J106)</f>
        <v>0</v>
      </c>
      <c r="K107" s="16">
        <f t="shared" si="99"/>
        <v>0</v>
      </c>
      <c r="L107" s="16">
        <f t="shared" si="99"/>
        <v>0</v>
      </c>
      <c r="M107" s="16" t="s">
        <v>1178</v>
      </c>
      <c r="N107" s="16">
        <f t="shared" ref="N107:O107" si="100">SUM(N105:N106)</f>
        <v>0</v>
      </c>
      <c r="O107" s="84">
        <f t="shared" si="100"/>
        <v>0</v>
      </c>
      <c r="P107" s="13" t="str">
        <f t="shared" si="69"/>
        <v>NO</v>
      </c>
      <c r="Q107">
        <f>IF(D107="INCLUIDO",IF(H107&lt;&gt;0,1,0),0)</f>
        <v>0</v>
      </c>
    </row>
    <row r="108" spans="1:19" ht="15" hidden="1" customHeight="1" x14ac:dyDescent="0.3">
      <c r="A108" s="82">
        <v>905</v>
      </c>
      <c r="B108" s="33">
        <v>3</v>
      </c>
      <c r="C108" s="19" t="s">
        <v>1237</v>
      </c>
      <c r="D108" s="23" t="str">
        <f>$D$100</f>
        <v>INCLUIDO</v>
      </c>
      <c r="E108" s="91"/>
      <c r="F108" s="43">
        <v>0</v>
      </c>
      <c r="G108" s="43">
        <v>0</v>
      </c>
      <c r="H108" s="28"/>
      <c r="I108" s="28"/>
      <c r="J108" s="28"/>
      <c r="K108" s="28"/>
      <c r="L108" s="28"/>
      <c r="M108" s="68">
        <v>0</v>
      </c>
      <c r="N108" s="28"/>
      <c r="O108" s="83"/>
      <c r="P108" s="13" t="str">
        <f t="shared" si="69"/>
        <v>NO</v>
      </c>
      <c r="Q108" s="48">
        <f>IF(D108="INCLUIDO",IF(F108&lt;&gt;0,1,0),0)</f>
        <v>0</v>
      </c>
    </row>
    <row r="109" spans="1:19" ht="15" hidden="1" customHeight="1" x14ac:dyDescent="0.3">
      <c r="A109" s="34" t="s">
        <v>1233</v>
      </c>
      <c r="B109" s="36">
        <v>74</v>
      </c>
      <c r="C109" s="29" t="s">
        <v>1237</v>
      </c>
      <c r="D109" s="29" t="str">
        <f>$D$100</f>
        <v>INCLUIDO</v>
      </c>
      <c r="E109" s="27" t="s">
        <v>1186</v>
      </c>
      <c r="F109" s="20">
        <f>F108*S109</f>
        <v>0</v>
      </c>
      <c r="G109" s="21">
        <v>0</v>
      </c>
      <c r="H109" s="9">
        <f t="shared" ref="H109:H110" si="101">(IF(I109="$ Prima",G109,G109*F109/R109))*$U$9</f>
        <v>0</v>
      </c>
      <c r="I109" s="9" t="s">
        <v>1235</v>
      </c>
      <c r="J109" s="9">
        <f t="shared" ref="J109:J110" si="102">H109*$U$7</f>
        <v>0</v>
      </c>
      <c r="K109" s="9">
        <f t="shared" ref="K109:K110" si="103">(H109+J109)*$K$15</f>
        <v>0</v>
      </c>
      <c r="L109" s="9">
        <f t="shared" ref="L109:L110" si="104">ROUND(H109+J109+K109,2)</f>
        <v>0</v>
      </c>
      <c r="M109" s="11">
        <f>$M$108</f>
        <v>0</v>
      </c>
      <c r="N109" s="9">
        <f t="shared" ref="N109:N110" si="105">H109*M109</f>
        <v>0</v>
      </c>
      <c r="O109" s="12">
        <f t="shared" ref="O109:O110" si="106">N109</f>
        <v>0</v>
      </c>
      <c r="P109" s="13" t="str">
        <f t="shared" si="69"/>
        <v>NO</v>
      </c>
      <c r="Q109">
        <f>IF(D109="INCLUIDO",IF(F109&lt;&gt;0,1,0),0)</f>
        <v>0</v>
      </c>
      <c r="R109">
        <f>IF(I109="%o Al Millar",1000,IF(I109="% Al Porciento",100,IF(I109="$ Prima",G109)))</f>
        <v>100</v>
      </c>
      <c r="S109">
        <f t="shared" ref="S109:S110" si="107">IF(E109="Excluido",0,IF(D109="NO APLICA",0,1))</f>
        <v>0</v>
      </c>
    </row>
    <row r="110" spans="1:19" ht="15" hidden="1" customHeight="1" x14ac:dyDescent="0.3">
      <c r="A110" s="34" t="s">
        <v>1233</v>
      </c>
      <c r="B110" s="36"/>
      <c r="C110" s="81">
        <f>$O$12</f>
        <v>0</v>
      </c>
      <c r="D110" s="29" t="str">
        <f>$D$100</f>
        <v>INCLUIDO</v>
      </c>
      <c r="E110" s="27" t="str">
        <f>E109</f>
        <v>Excluido</v>
      </c>
      <c r="F110" s="9">
        <f>(F109*$O$12)*S110</f>
        <v>0</v>
      </c>
      <c r="G110" s="10">
        <f>G109*0.35</f>
        <v>0</v>
      </c>
      <c r="H110" s="9">
        <f t="shared" si="101"/>
        <v>0</v>
      </c>
      <c r="I110" s="9" t="s">
        <v>1235</v>
      </c>
      <c r="J110" s="9">
        <f t="shared" si="102"/>
        <v>0</v>
      </c>
      <c r="K110" s="9">
        <f t="shared" si="103"/>
        <v>0</v>
      </c>
      <c r="L110" s="9">
        <f t="shared" si="104"/>
        <v>0</v>
      </c>
      <c r="M110" s="11">
        <f>$M$108</f>
        <v>0</v>
      </c>
      <c r="N110" s="9">
        <f t="shared" si="105"/>
        <v>0</v>
      </c>
      <c r="O110" s="12">
        <f t="shared" si="106"/>
        <v>0</v>
      </c>
      <c r="P110" s="13" t="str">
        <f t="shared" si="69"/>
        <v>NO</v>
      </c>
      <c r="Q110">
        <f>IF(D110="INCLUIDO",IF(F110&lt;&gt;0,1,0),0)</f>
        <v>0</v>
      </c>
      <c r="R110">
        <f>IF(I110="%o Al Millar",1000,IF(I110="% Al Porciento",100,IF(I110="$ Prima",G110)))</f>
        <v>100</v>
      </c>
      <c r="S110">
        <f t="shared" si="107"/>
        <v>0</v>
      </c>
    </row>
    <row r="111" spans="1:19" s="18" customFormat="1" ht="15" hidden="1" customHeight="1" x14ac:dyDescent="0.3">
      <c r="A111" s="24"/>
      <c r="B111" s="26"/>
      <c r="C111" s="15" t="s">
        <v>1177</v>
      </c>
      <c r="D111" s="38" t="str">
        <f>D110</f>
        <v>INCLUIDO</v>
      </c>
      <c r="E111" s="38"/>
      <c r="F111" s="16">
        <f>SUMIF(E109:E110,"Adicional",F109:F110)</f>
        <v>0</v>
      </c>
      <c r="G111" s="17"/>
      <c r="H111" s="16">
        <f>SUM(H109:H110)</f>
        <v>0</v>
      </c>
      <c r="I111" s="16"/>
      <c r="J111" s="16">
        <f t="shared" ref="J111:L111" si="108">SUM(J109:J110)</f>
        <v>0</v>
      </c>
      <c r="K111" s="16">
        <f t="shared" si="108"/>
        <v>0</v>
      </c>
      <c r="L111" s="16">
        <f t="shared" si="108"/>
        <v>0</v>
      </c>
      <c r="M111" s="16" t="s">
        <v>1178</v>
      </c>
      <c r="N111" s="16">
        <f t="shared" ref="N111:O111" si="109">SUM(N109:N110)</f>
        <v>0</v>
      </c>
      <c r="O111" s="84">
        <f t="shared" si="109"/>
        <v>0</v>
      </c>
      <c r="P111" s="13" t="str">
        <f t="shared" si="69"/>
        <v>NO</v>
      </c>
      <c r="Q111">
        <f>IF(D111="INCLUIDO",IF(H111&lt;&gt;0,1,0),0)</f>
        <v>0</v>
      </c>
    </row>
    <row r="112" spans="1:19" ht="15" hidden="1" customHeight="1" x14ac:dyDescent="0.3">
      <c r="A112" s="82">
        <v>905</v>
      </c>
      <c r="B112" s="33">
        <v>4</v>
      </c>
      <c r="C112" s="19" t="s">
        <v>1238</v>
      </c>
      <c r="D112" s="23" t="str">
        <f>$D$100</f>
        <v>INCLUIDO</v>
      </c>
      <c r="E112" s="91"/>
      <c r="F112" s="43">
        <v>0</v>
      </c>
      <c r="G112" s="43">
        <v>0</v>
      </c>
      <c r="H112" s="28"/>
      <c r="I112" s="28"/>
      <c r="J112" s="28"/>
      <c r="K112" s="28"/>
      <c r="L112" s="28"/>
      <c r="M112" s="68">
        <v>0</v>
      </c>
      <c r="N112" s="28"/>
      <c r="O112" s="83"/>
      <c r="P112" s="13" t="str">
        <f t="shared" si="69"/>
        <v>NO</v>
      </c>
      <c r="Q112" s="48">
        <f>IF(D112="INCLUIDO",IF(F112&lt;&gt;0,1,0),0)</f>
        <v>0</v>
      </c>
    </row>
    <row r="113" spans="1:22" ht="15" hidden="1" customHeight="1" x14ac:dyDescent="0.3">
      <c r="A113" s="34" t="s">
        <v>1233</v>
      </c>
      <c r="B113" s="36">
        <v>76</v>
      </c>
      <c r="C113" s="29" t="s">
        <v>1237</v>
      </c>
      <c r="D113" s="29" t="str">
        <f>$D$100</f>
        <v>INCLUIDO</v>
      </c>
      <c r="E113" s="27" t="s">
        <v>1186</v>
      </c>
      <c r="F113" s="20">
        <f>F112*S113</f>
        <v>0</v>
      </c>
      <c r="G113" s="21">
        <v>0</v>
      </c>
      <c r="H113" s="9">
        <f t="shared" ref="H113:H114" si="110">(IF(I113="$ Prima",G113,G113*F113/R113))*$U$9</f>
        <v>0</v>
      </c>
      <c r="I113" s="9" t="s">
        <v>1235</v>
      </c>
      <c r="J113" s="9">
        <f t="shared" ref="J113:J114" si="111">H113*$U$7</f>
        <v>0</v>
      </c>
      <c r="K113" s="9">
        <f t="shared" ref="K113:K114" si="112">(H113+J113)*$K$15</f>
        <v>0</v>
      </c>
      <c r="L113" s="9">
        <f t="shared" ref="L113:L114" si="113">ROUND(H113+J113+K113,2)</f>
        <v>0</v>
      </c>
      <c r="M113" s="11">
        <f>$M$112</f>
        <v>0</v>
      </c>
      <c r="N113" s="9">
        <f t="shared" ref="N113:N114" si="114">H113*M113</f>
        <v>0</v>
      </c>
      <c r="O113" s="12">
        <f t="shared" ref="O113:O114" si="115">N113</f>
        <v>0</v>
      </c>
      <c r="P113" s="13" t="str">
        <f t="shared" si="69"/>
        <v>NO</v>
      </c>
      <c r="Q113">
        <f>IF(D113="INCLUIDO",IF(F113&lt;&gt;0,1,0),0)</f>
        <v>0</v>
      </c>
      <c r="R113">
        <f>IF(I113="%o Al Millar",1000,IF(I113="% Al Porciento",100,IF(I113="$ Prima",G113)))</f>
        <v>100</v>
      </c>
      <c r="S113">
        <f t="shared" ref="S113:S114" si="116">IF(E113="Excluido",0,IF(D113="NO APLICA",0,1))</f>
        <v>0</v>
      </c>
    </row>
    <row r="114" spans="1:22" ht="15" hidden="1" customHeight="1" x14ac:dyDescent="0.3">
      <c r="A114" s="34" t="s">
        <v>1233</v>
      </c>
      <c r="B114" s="36"/>
      <c r="C114" s="81">
        <f>$O$12</f>
        <v>0</v>
      </c>
      <c r="D114" s="29" t="str">
        <f>$D$100</f>
        <v>INCLUIDO</v>
      </c>
      <c r="E114" s="27" t="str">
        <f>E113</f>
        <v>Excluido</v>
      </c>
      <c r="F114" s="9">
        <f>(F113*$O$12)*S114</f>
        <v>0</v>
      </c>
      <c r="G114" s="10">
        <f>G113*0.35</f>
        <v>0</v>
      </c>
      <c r="H114" s="9">
        <f t="shared" si="110"/>
        <v>0</v>
      </c>
      <c r="I114" s="9" t="s">
        <v>1235</v>
      </c>
      <c r="J114" s="9">
        <f t="shared" si="111"/>
        <v>0</v>
      </c>
      <c r="K114" s="9">
        <f t="shared" si="112"/>
        <v>0</v>
      </c>
      <c r="L114" s="9">
        <f t="shared" si="113"/>
        <v>0</v>
      </c>
      <c r="M114" s="11">
        <f>$M$112</f>
        <v>0</v>
      </c>
      <c r="N114" s="9">
        <f t="shared" si="114"/>
        <v>0</v>
      </c>
      <c r="O114" s="12">
        <f t="shared" si="115"/>
        <v>0</v>
      </c>
      <c r="P114" s="13" t="str">
        <f t="shared" si="69"/>
        <v>NO</v>
      </c>
      <c r="Q114">
        <f>IF(D114="INCLUIDO",IF(F114&lt;&gt;0,1,0),0)</f>
        <v>0</v>
      </c>
      <c r="R114">
        <f>IF(I114="%o Al Millar",1000,IF(I114="% Al Porciento",100,IF(I114="$ Prima",G114)))</f>
        <v>100</v>
      </c>
      <c r="S114">
        <f t="shared" si="116"/>
        <v>0</v>
      </c>
    </row>
    <row r="115" spans="1:22" s="18" customFormat="1" ht="15" hidden="1" customHeight="1" thickBot="1" x14ac:dyDescent="0.35">
      <c r="A115" s="24"/>
      <c r="B115" s="26"/>
      <c r="C115" s="15" t="s">
        <v>1177</v>
      </c>
      <c r="D115" s="38" t="str">
        <f>D114</f>
        <v>INCLUIDO</v>
      </c>
      <c r="E115" s="38"/>
      <c r="F115" s="16">
        <f>SUMIF(E113:E114,"Adicional",F113:F114)</f>
        <v>0</v>
      </c>
      <c r="G115" s="17"/>
      <c r="H115" s="16">
        <f>SUM(H113:H114)</f>
        <v>0</v>
      </c>
      <c r="I115" s="16"/>
      <c r="J115" s="16">
        <f t="shared" ref="J115:L115" si="117">SUM(J113:J114)</f>
        <v>0</v>
      </c>
      <c r="K115" s="16">
        <f t="shared" si="117"/>
        <v>0</v>
      </c>
      <c r="L115" s="16">
        <f t="shared" si="117"/>
        <v>0</v>
      </c>
      <c r="M115" s="16" t="s">
        <v>1178</v>
      </c>
      <c r="N115" s="16">
        <f t="shared" ref="N115:O115" si="118">SUM(N113:N114)</f>
        <v>0</v>
      </c>
      <c r="O115" s="84">
        <f t="shared" si="118"/>
        <v>0</v>
      </c>
      <c r="P115" s="13" t="str">
        <f t="shared" si="69"/>
        <v>NO</v>
      </c>
      <c r="Q115">
        <f>IF(D115="INCLUIDO",IF(H115&lt;&gt;0,1,0),0)</f>
        <v>0</v>
      </c>
    </row>
    <row r="116" spans="1:22" ht="15" hidden="1" thickBot="1" x14ac:dyDescent="0.35">
      <c r="A116" s="82">
        <v>905</v>
      </c>
      <c r="B116" s="33">
        <v>5</v>
      </c>
      <c r="C116" s="19" t="s">
        <v>1239</v>
      </c>
      <c r="D116" s="23" t="str">
        <f>$D$100</f>
        <v>INCLUIDO</v>
      </c>
      <c r="E116" s="91"/>
      <c r="F116" s="132">
        <f>'COTIZACIÓN M.N.'!D85</f>
        <v>270000</v>
      </c>
      <c r="G116" s="132">
        <f>'COTIZACIÓN M.N.'!E85</f>
        <v>2.3275999999999999</v>
      </c>
      <c r="H116" s="28"/>
      <c r="I116" s="28"/>
      <c r="J116" s="28"/>
      <c r="K116" s="28"/>
      <c r="L116" s="28"/>
      <c r="M116" s="68">
        <v>5.8000000000000003E-2</v>
      </c>
      <c r="N116" s="28"/>
      <c r="O116" s="83"/>
      <c r="P116" s="13" t="str">
        <f t="shared" si="69"/>
        <v>SI</v>
      </c>
      <c r="Q116" s="48">
        <f t="shared" ref="Q116:Q121" si="119">IF(D116="INCLUIDO",IF(F116&lt;&gt;0,1,0),0)</f>
        <v>1</v>
      </c>
      <c r="T116" s="142">
        <f>G116</f>
        <v>2.3275999999999999</v>
      </c>
    </row>
    <row r="117" spans="1:22" hidden="1" x14ac:dyDescent="0.3">
      <c r="A117" s="34" t="s">
        <v>1233</v>
      </c>
      <c r="B117" s="36">
        <v>82</v>
      </c>
      <c r="C117" s="29" t="s">
        <v>1240</v>
      </c>
      <c r="D117" s="29" t="str">
        <f>$D$100</f>
        <v>INCLUIDO</v>
      </c>
      <c r="E117" s="27" t="s">
        <v>1152</v>
      </c>
      <c r="F117" s="20">
        <f>$F$116*S117</f>
        <v>270000</v>
      </c>
      <c r="G117" s="21">
        <f>V117</f>
        <v>0.93104000000000009</v>
      </c>
      <c r="H117" s="9">
        <f t="shared" ref="H117:H119" si="120">(((IF(I117="$ Prima",G117,G117*F117/R117))*$U$9)/365)*$J$15</f>
        <v>2513.808</v>
      </c>
      <c r="I117" s="9" t="s">
        <v>1235</v>
      </c>
      <c r="J117" s="9">
        <f t="shared" ref="J117:J121" si="121">H117*$U$7</f>
        <v>0</v>
      </c>
      <c r="K117" s="9">
        <f t="shared" ref="K117:K121" si="122">(H117+J117)*$K$15</f>
        <v>402.20928000000004</v>
      </c>
      <c r="L117" s="9">
        <f t="shared" ref="L117:L121" si="123">ROUND(H117+J117+K117,2)</f>
        <v>2916.02</v>
      </c>
      <c r="M117" s="11">
        <f>$M$116</f>
        <v>5.8000000000000003E-2</v>
      </c>
      <c r="N117" s="9">
        <f t="shared" ref="N117:N121" si="124">H117*M117</f>
        <v>145.80086400000002</v>
      </c>
      <c r="O117" s="12">
        <f t="shared" ref="O117:O121" si="125">N117</f>
        <v>145.80086400000002</v>
      </c>
      <c r="P117" s="13" t="str">
        <f t="shared" si="69"/>
        <v>SI</v>
      </c>
      <c r="Q117">
        <f t="shared" si="119"/>
        <v>1</v>
      </c>
      <c r="R117">
        <f>IF(I117="%o Al Millar",1000,IF(I117="% Al Porciento",100,IF(I117="$ Prima",G117)))</f>
        <v>100</v>
      </c>
      <c r="S117">
        <f t="shared" ref="S117:S121" si="126">IF(E117="Excluido",0,IF(D117="NO APLICA",0,1))</f>
        <v>1</v>
      </c>
      <c r="T117" s="110">
        <v>0.4</v>
      </c>
      <c r="U117" s="111">
        <f>IF(E117="Excluido",0,$T$116*T117)</f>
        <v>0.93103999999999998</v>
      </c>
      <c r="V117" s="111">
        <f>IF(F116=0,0,(U120-U118-U119)+(T116-U120))</f>
        <v>0.93104000000000009</v>
      </c>
    </row>
    <row r="118" spans="1:22" hidden="1" x14ac:dyDescent="0.3">
      <c r="A118" s="34" t="s">
        <v>1233</v>
      </c>
      <c r="B118" s="36">
        <v>83</v>
      </c>
      <c r="C118" s="29" t="s">
        <v>1241</v>
      </c>
      <c r="D118" s="29" t="str">
        <f>$D$100</f>
        <v>INCLUIDO</v>
      </c>
      <c r="E118" s="27" t="s">
        <v>1137</v>
      </c>
      <c r="F118" s="20">
        <f>$F$117*S118</f>
        <v>270000</v>
      </c>
      <c r="G118" s="21">
        <f t="shared" ref="G118:G119" si="127">V118</f>
        <v>0.93103999999999998</v>
      </c>
      <c r="H118" s="9">
        <f t="shared" si="120"/>
        <v>2513.808</v>
      </c>
      <c r="I118" s="9" t="str">
        <f>I117</f>
        <v>% Al Porciento</v>
      </c>
      <c r="J118" s="9">
        <f t="shared" si="121"/>
        <v>0</v>
      </c>
      <c r="K118" s="9">
        <f t="shared" si="122"/>
        <v>402.20928000000004</v>
      </c>
      <c r="L118" s="9">
        <f t="shared" si="123"/>
        <v>2916.02</v>
      </c>
      <c r="M118" s="11">
        <f t="shared" ref="M118:M121" si="128">$M$116</f>
        <v>5.8000000000000003E-2</v>
      </c>
      <c r="N118" s="9">
        <f t="shared" si="124"/>
        <v>145.80086400000002</v>
      </c>
      <c r="O118" s="12">
        <f t="shared" si="125"/>
        <v>145.80086400000002</v>
      </c>
      <c r="P118" s="13" t="str">
        <f t="shared" si="69"/>
        <v>SI</v>
      </c>
      <c r="Q118">
        <f t="shared" si="119"/>
        <v>1</v>
      </c>
      <c r="R118">
        <f>IF(I118="%o Al Millar",1000,IF(I118="% Al Porciento",100,IF(I118="$ Prima",G118)))</f>
        <v>100</v>
      </c>
      <c r="S118">
        <f t="shared" si="126"/>
        <v>1</v>
      </c>
      <c r="T118" s="110">
        <v>0.4</v>
      </c>
      <c r="U118" s="111">
        <f t="shared" ref="U118:U119" si="129">IF(E118="Excluido",0,$T$116*T118)</f>
        <v>0.93103999999999998</v>
      </c>
      <c r="V118" s="111">
        <f>IF($F$116=0,0,U118)</f>
        <v>0.93103999999999998</v>
      </c>
    </row>
    <row r="119" spans="1:22" hidden="1" x14ac:dyDescent="0.3">
      <c r="A119" s="34" t="s">
        <v>1233</v>
      </c>
      <c r="B119" s="36">
        <v>79</v>
      </c>
      <c r="C119" s="29" t="s">
        <v>1242</v>
      </c>
      <c r="D119" s="29" t="str">
        <f t="shared" ref="D119:D121" si="130">$D$100</f>
        <v>INCLUIDO</v>
      </c>
      <c r="E119" s="27" t="s">
        <v>1137</v>
      </c>
      <c r="F119" s="20">
        <f>$F$117*S119</f>
        <v>270000</v>
      </c>
      <c r="G119" s="21">
        <f t="shared" si="127"/>
        <v>0.46551999999999999</v>
      </c>
      <c r="H119" s="9">
        <f t="shared" si="120"/>
        <v>1256.904</v>
      </c>
      <c r="I119" s="9" t="str">
        <f>I117</f>
        <v>% Al Porciento</v>
      </c>
      <c r="J119" s="9">
        <f t="shared" si="121"/>
        <v>0</v>
      </c>
      <c r="K119" s="9">
        <f t="shared" si="122"/>
        <v>201.10464000000002</v>
      </c>
      <c r="L119" s="9">
        <f t="shared" si="123"/>
        <v>1458.01</v>
      </c>
      <c r="M119" s="11">
        <f t="shared" si="128"/>
        <v>5.8000000000000003E-2</v>
      </c>
      <c r="N119" s="9">
        <f t="shared" si="124"/>
        <v>72.900432000000009</v>
      </c>
      <c r="O119" s="12">
        <f t="shared" si="125"/>
        <v>72.900432000000009</v>
      </c>
      <c r="P119" s="13" t="str">
        <f t="shared" si="69"/>
        <v>SI</v>
      </c>
      <c r="Q119">
        <f t="shared" si="119"/>
        <v>1</v>
      </c>
      <c r="R119">
        <f>IF(I119="%o Al Millar",1000,IF(I119="% Al Porciento",100,IF(I119="$ Prima",G119)))</f>
        <v>100</v>
      </c>
      <c r="S119">
        <f t="shared" si="126"/>
        <v>1</v>
      </c>
      <c r="T119" s="110">
        <v>0.2</v>
      </c>
      <c r="U119" s="111">
        <f t="shared" si="129"/>
        <v>0.46551999999999999</v>
      </c>
      <c r="V119" s="111">
        <f>IF($F$116=0,0,U119)</f>
        <v>0.46551999999999999</v>
      </c>
    </row>
    <row r="120" spans="1:22" ht="15" hidden="1" customHeight="1" thickBot="1" x14ac:dyDescent="0.35">
      <c r="A120" s="34" t="s">
        <v>1233</v>
      </c>
      <c r="B120" s="36">
        <v>80</v>
      </c>
      <c r="C120" s="29" t="s">
        <v>1243</v>
      </c>
      <c r="D120" s="29" t="str">
        <f t="shared" si="130"/>
        <v>INCLUIDO</v>
      </c>
      <c r="E120" s="27" t="s">
        <v>1186</v>
      </c>
      <c r="F120" s="43">
        <v>0</v>
      </c>
      <c r="G120" s="42">
        <v>0</v>
      </c>
      <c r="H120" s="9">
        <f t="shared" ref="H120:H121" si="131">(IF(I120="$ Prima",G120,G120*F120/R120))*$U$9</f>
        <v>0</v>
      </c>
      <c r="I120" s="9" t="s">
        <v>1235</v>
      </c>
      <c r="J120" s="9">
        <f t="shared" si="121"/>
        <v>0</v>
      </c>
      <c r="K120" s="9">
        <f t="shared" si="122"/>
        <v>0</v>
      </c>
      <c r="L120" s="9">
        <f t="shared" si="123"/>
        <v>0</v>
      </c>
      <c r="M120" s="11">
        <f t="shared" si="128"/>
        <v>5.8000000000000003E-2</v>
      </c>
      <c r="N120" s="9">
        <f t="shared" si="124"/>
        <v>0</v>
      </c>
      <c r="O120" s="12">
        <f t="shared" si="125"/>
        <v>0</v>
      </c>
      <c r="P120" s="13" t="str">
        <f t="shared" si="69"/>
        <v>NO</v>
      </c>
      <c r="Q120" s="48">
        <f t="shared" si="119"/>
        <v>0</v>
      </c>
      <c r="R120">
        <f>IF(I120="%o Al Millar",1000,IF(I120="% Al Porciento",100,IF(I120="$ Prima",G120)))</f>
        <v>100</v>
      </c>
      <c r="S120">
        <f t="shared" si="126"/>
        <v>0</v>
      </c>
      <c r="T120" s="143">
        <f>SUM(T117:T119)</f>
        <v>1</v>
      </c>
      <c r="U120" s="144">
        <f>SUM(U117:U119)</f>
        <v>2.3275999999999999</v>
      </c>
      <c r="V120" s="145">
        <f>SUM(V117:V119)</f>
        <v>2.3276000000000003</v>
      </c>
    </row>
    <row r="121" spans="1:22" ht="15" hidden="1" customHeight="1" x14ac:dyDescent="0.3">
      <c r="A121" s="34" t="s">
        <v>1233</v>
      </c>
      <c r="B121" s="36">
        <v>78</v>
      </c>
      <c r="C121" s="29" t="s">
        <v>1244</v>
      </c>
      <c r="D121" s="29" t="str">
        <f t="shared" si="130"/>
        <v>INCLUIDO</v>
      </c>
      <c r="E121" s="27" t="s">
        <v>1186</v>
      </c>
      <c r="F121" s="43">
        <v>0</v>
      </c>
      <c r="G121" s="42">
        <v>0</v>
      </c>
      <c r="H121" s="9">
        <f t="shared" si="131"/>
        <v>0</v>
      </c>
      <c r="I121" s="9" t="s">
        <v>1235</v>
      </c>
      <c r="J121" s="9">
        <f t="shared" si="121"/>
        <v>0</v>
      </c>
      <c r="K121" s="9">
        <f t="shared" si="122"/>
        <v>0</v>
      </c>
      <c r="L121" s="9">
        <f t="shared" si="123"/>
        <v>0</v>
      </c>
      <c r="M121" s="11">
        <f t="shared" si="128"/>
        <v>5.8000000000000003E-2</v>
      </c>
      <c r="N121" s="9">
        <f t="shared" si="124"/>
        <v>0</v>
      </c>
      <c r="O121" s="12">
        <f t="shared" si="125"/>
        <v>0</v>
      </c>
      <c r="P121" s="13" t="str">
        <f t="shared" si="69"/>
        <v>NO</v>
      </c>
      <c r="Q121" s="48">
        <f t="shared" si="119"/>
        <v>0</v>
      </c>
      <c r="R121">
        <f>IF(I121="%o Al Millar",1000,IF(I121="% Al Porciento",100,IF(I121="$ Prima",G121)))</f>
        <v>100</v>
      </c>
      <c r="S121">
        <f t="shared" si="126"/>
        <v>0</v>
      </c>
    </row>
    <row r="122" spans="1:22" s="18" customFormat="1" hidden="1" x14ac:dyDescent="0.3">
      <c r="A122" s="24"/>
      <c r="B122" s="26"/>
      <c r="C122" s="15" t="s">
        <v>1177</v>
      </c>
      <c r="D122" s="38" t="str">
        <f>D121</f>
        <v>INCLUIDO</v>
      </c>
      <c r="E122" s="38"/>
      <c r="F122" s="16">
        <f>SUMIF(E117:E121,"Adicional",F117:F121)</f>
        <v>270000</v>
      </c>
      <c r="G122" s="17"/>
      <c r="H122" s="16">
        <f>SUM(H117:H121)</f>
        <v>6284.52</v>
      </c>
      <c r="I122" s="16"/>
      <c r="J122" s="16">
        <f t="shared" ref="J122:L122" si="132">SUM(J117:J121)</f>
        <v>0</v>
      </c>
      <c r="K122" s="16">
        <f t="shared" si="132"/>
        <v>1005.5232000000001</v>
      </c>
      <c r="L122" s="16">
        <f t="shared" si="132"/>
        <v>7290.05</v>
      </c>
      <c r="M122" s="16" t="s">
        <v>1178</v>
      </c>
      <c r="N122" s="16">
        <f t="shared" ref="N122:O122" si="133">SUM(N117:N121)</f>
        <v>364.50216000000006</v>
      </c>
      <c r="O122" s="84">
        <f t="shared" si="133"/>
        <v>364.50216000000006</v>
      </c>
      <c r="P122" s="13" t="str">
        <f t="shared" si="69"/>
        <v>SI</v>
      </c>
      <c r="Q122">
        <f>IF(D122="INCLUIDO",IF(H122&lt;&gt;0,1,0),0)</f>
        <v>1</v>
      </c>
    </row>
    <row r="123" spans="1:22" ht="15" hidden="1" thickBot="1" x14ac:dyDescent="0.35">
      <c r="A123" s="82">
        <v>905</v>
      </c>
      <c r="B123" s="33">
        <v>6</v>
      </c>
      <c r="C123" s="19" t="s">
        <v>1245</v>
      </c>
      <c r="D123" s="23" t="str">
        <f>$D$100</f>
        <v>INCLUIDO</v>
      </c>
      <c r="E123" s="91"/>
      <c r="F123" s="132">
        <v>0</v>
      </c>
      <c r="G123" s="132">
        <v>0</v>
      </c>
      <c r="H123" s="28"/>
      <c r="I123" s="28"/>
      <c r="J123" s="28"/>
      <c r="K123" s="28"/>
      <c r="L123" s="28"/>
      <c r="M123" s="68">
        <v>0</v>
      </c>
      <c r="N123" s="28"/>
      <c r="O123" s="83"/>
      <c r="P123" s="13" t="str">
        <f t="shared" si="69"/>
        <v>NO</v>
      </c>
      <c r="Q123" s="48">
        <f t="shared" ref="Q123:Q128" si="134">IF(D123="INCLUIDO",IF(F123&lt;&gt;0,1,0),0)</f>
        <v>0</v>
      </c>
      <c r="S123">
        <f t="shared" ref="S123:S128" si="135">IF(E123="Excluido",0,IF(D123="NO APLICA",0,1))</f>
        <v>1</v>
      </c>
      <c r="T123" s="142">
        <f>G123</f>
        <v>0</v>
      </c>
    </row>
    <row r="124" spans="1:22" ht="15" hidden="1" customHeight="1" x14ac:dyDescent="0.3">
      <c r="A124" s="34" t="s">
        <v>1233</v>
      </c>
      <c r="B124" s="36">
        <v>88</v>
      </c>
      <c r="C124" s="29" t="s">
        <v>1240</v>
      </c>
      <c r="D124" s="29" t="str">
        <f>$D$100</f>
        <v>INCLUIDO</v>
      </c>
      <c r="E124" s="27" t="s">
        <v>1186</v>
      </c>
      <c r="F124" s="20">
        <f>$F$123*S124</f>
        <v>0</v>
      </c>
      <c r="G124" s="21">
        <f>V124</f>
        <v>0</v>
      </c>
      <c r="H124" s="9">
        <f t="shared" ref="H124:H128" si="136">(IF(I124="$ Prima",G124,G124*F124/R124))*$U$9</f>
        <v>0</v>
      </c>
      <c r="I124" s="9" t="s">
        <v>1235</v>
      </c>
      <c r="J124" s="9">
        <f t="shared" ref="J124:J128" si="137">H124*$U$7</f>
        <v>0</v>
      </c>
      <c r="K124" s="9">
        <f t="shared" ref="K124:K128" si="138">(H124+J124)*$K$15</f>
        <v>0</v>
      </c>
      <c r="L124" s="9">
        <f t="shared" ref="L124:L128" si="139">ROUND(H124+J124+K124,2)</f>
        <v>0</v>
      </c>
      <c r="M124" s="11">
        <f>$M$123</f>
        <v>0</v>
      </c>
      <c r="N124" s="9">
        <f t="shared" ref="N124:N128" si="140">H124*M124</f>
        <v>0</v>
      </c>
      <c r="O124" s="12">
        <f t="shared" ref="O124:O128" si="141">N124</f>
        <v>0</v>
      </c>
      <c r="P124" s="13" t="str">
        <f t="shared" si="69"/>
        <v>NO</v>
      </c>
      <c r="Q124">
        <f t="shared" si="134"/>
        <v>0</v>
      </c>
      <c r="R124">
        <f>IF(I124="%o Al Millar",1000,IF(I124="% Al Porciento",100,IF(I124="$ Prima",G124)))</f>
        <v>100</v>
      </c>
      <c r="S124">
        <f t="shared" si="135"/>
        <v>0</v>
      </c>
      <c r="T124" s="110">
        <v>0.9</v>
      </c>
      <c r="U124" s="111">
        <f>IF(E124="Excluido",0,$T$123*T124)</f>
        <v>0</v>
      </c>
      <c r="V124" s="111">
        <f>IF(F123=0,0,(U127-U125-U126)+(T123-U127))</f>
        <v>0</v>
      </c>
    </row>
    <row r="125" spans="1:22" ht="15" hidden="1" customHeight="1" x14ac:dyDescent="0.3">
      <c r="A125" s="34" t="s">
        <v>1233</v>
      </c>
      <c r="B125" s="36">
        <v>89</v>
      </c>
      <c r="C125" s="29" t="s">
        <v>1241</v>
      </c>
      <c r="D125" s="29" t="str">
        <f>$D$100</f>
        <v>INCLUIDO</v>
      </c>
      <c r="E125" s="27" t="s">
        <v>1186</v>
      </c>
      <c r="F125" s="20">
        <f>$F$124*S125</f>
        <v>0</v>
      </c>
      <c r="G125" s="21">
        <f t="shared" ref="G125:G126" si="142">V125</f>
        <v>0</v>
      </c>
      <c r="H125" s="9">
        <f t="shared" si="136"/>
        <v>0</v>
      </c>
      <c r="I125" s="9" t="s">
        <v>1235</v>
      </c>
      <c r="J125" s="9">
        <f t="shared" si="137"/>
        <v>0</v>
      </c>
      <c r="K125" s="9">
        <f t="shared" si="138"/>
        <v>0</v>
      </c>
      <c r="L125" s="9">
        <f t="shared" si="139"/>
        <v>0</v>
      </c>
      <c r="M125" s="11">
        <f t="shared" ref="M125:M128" si="143">$M$123</f>
        <v>0</v>
      </c>
      <c r="N125" s="9">
        <f t="shared" si="140"/>
        <v>0</v>
      </c>
      <c r="O125" s="12">
        <f t="shared" si="141"/>
        <v>0</v>
      </c>
      <c r="P125" s="13" t="str">
        <f t="shared" si="69"/>
        <v>NO</v>
      </c>
      <c r="Q125">
        <f t="shared" si="134"/>
        <v>0</v>
      </c>
      <c r="R125">
        <f>IF(I125="%o Al Millar",1000,IF(I125="% Al Porciento",100,IF(I125="$ Prima",G125)))</f>
        <v>100</v>
      </c>
      <c r="S125">
        <f t="shared" si="135"/>
        <v>0</v>
      </c>
      <c r="T125" s="110">
        <v>0.05</v>
      </c>
      <c r="U125" s="111">
        <f t="shared" ref="U125:U126" si="144">IF(E125="Excluido",0,$T$123*T125)</f>
        <v>0</v>
      </c>
      <c r="V125" s="111">
        <f>IF($F$123=0,0,U125)</f>
        <v>0</v>
      </c>
    </row>
    <row r="126" spans="1:22" ht="15" hidden="1" customHeight="1" thickBot="1" x14ac:dyDescent="0.35">
      <c r="A126" s="34" t="s">
        <v>1233</v>
      </c>
      <c r="B126" s="36">
        <v>85</v>
      </c>
      <c r="C126" s="29" t="s">
        <v>1242</v>
      </c>
      <c r="D126" s="29" t="str">
        <f t="shared" ref="D126:D128" si="145">$D$100</f>
        <v>INCLUIDO</v>
      </c>
      <c r="E126" s="27" t="s">
        <v>1186</v>
      </c>
      <c r="F126" s="20">
        <f>$F$124*S126</f>
        <v>0</v>
      </c>
      <c r="G126" s="21">
        <f t="shared" si="142"/>
        <v>0</v>
      </c>
      <c r="H126" s="9">
        <f t="shared" si="136"/>
        <v>0</v>
      </c>
      <c r="I126" s="9" t="s">
        <v>1235</v>
      </c>
      <c r="J126" s="9">
        <f t="shared" si="137"/>
        <v>0</v>
      </c>
      <c r="K126" s="9">
        <f t="shared" si="138"/>
        <v>0</v>
      </c>
      <c r="L126" s="9">
        <f t="shared" si="139"/>
        <v>0</v>
      </c>
      <c r="M126" s="11">
        <f t="shared" si="143"/>
        <v>0</v>
      </c>
      <c r="N126" s="9">
        <f t="shared" si="140"/>
        <v>0</v>
      </c>
      <c r="O126" s="12">
        <f t="shared" si="141"/>
        <v>0</v>
      </c>
      <c r="P126" s="13" t="str">
        <f t="shared" si="69"/>
        <v>NO</v>
      </c>
      <c r="Q126">
        <f t="shared" si="134"/>
        <v>0</v>
      </c>
      <c r="R126">
        <f>IF(I126="%o Al Millar",1000,IF(I126="% Al Porciento",100,IF(I126="$ Prima",G126)))</f>
        <v>100</v>
      </c>
      <c r="S126">
        <f t="shared" si="135"/>
        <v>0</v>
      </c>
      <c r="T126" s="110">
        <v>0.05</v>
      </c>
      <c r="U126" s="111">
        <f t="shared" si="144"/>
        <v>0</v>
      </c>
      <c r="V126" s="111">
        <f>IF($F$123=0,0,U126)</f>
        <v>0</v>
      </c>
    </row>
    <row r="127" spans="1:22" ht="15" hidden="1" customHeight="1" thickBot="1" x14ac:dyDescent="0.35">
      <c r="A127" s="34" t="s">
        <v>1233</v>
      </c>
      <c r="B127" s="36">
        <v>86</v>
      </c>
      <c r="C127" s="29" t="s">
        <v>1243</v>
      </c>
      <c r="D127" s="29" t="str">
        <f t="shared" si="145"/>
        <v>INCLUIDO</v>
      </c>
      <c r="E127" s="27" t="s">
        <v>1186</v>
      </c>
      <c r="F127" s="43">
        <v>0</v>
      </c>
      <c r="G127" s="113">
        <v>0</v>
      </c>
      <c r="H127" s="9">
        <f t="shared" si="136"/>
        <v>0</v>
      </c>
      <c r="I127" s="9" t="s">
        <v>1235</v>
      </c>
      <c r="J127" s="9">
        <f t="shared" si="137"/>
        <v>0</v>
      </c>
      <c r="K127" s="9">
        <f t="shared" si="138"/>
        <v>0</v>
      </c>
      <c r="L127" s="9">
        <f t="shared" si="139"/>
        <v>0</v>
      </c>
      <c r="M127" s="11">
        <f t="shared" si="143"/>
        <v>0</v>
      </c>
      <c r="N127" s="9">
        <f t="shared" si="140"/>
        <v>0</v>
      </c>
      <c r="O127" s="12">
        <f t="shared" si="141"/>
        <v>0</v>
      </c>
      <c r="P127" s="13" t="str">
        <f t="shared" si="69"/>
        <v>NO</v>
      </c>
      <c r="Q127" s="48">
        <f t="shared" si="134"/>
        <v>0</v>
      </c>
      <c r="R127">
        <f>IF(I127="%o Al Millar",1000,IF(I127="% Al Porciento",100,IF(I127="$ Prima",G127)))</f>
        <v>100</v>
      </c>
      <c r="S127">
        <f t="shared" si="135"/>
        <v>0</v>
      </c>
      <c r="T127" s="143">
        <f>SUM(T124:T126)</f>
        <v>1</v>
      </c>
      <c r="U127" s="144">
        <f>SUM(U124:U126)</f>
        <v>0</v>
      </c>
      <c r="V127" s="145">
        <f>SUM(V124:V126)</f>
        <v>0</v>
      </c>
    </row>
    <row r="128" spans="1:22" ht="15" hidden="1" customHeight="1" x14ac:dyDescent="0.3">
      <c r="A128" s="34" t="s">
        <v>1233</v>
      </c>
      <c r="B128" s="36">
        <v>84</v>
      </c>
      <c r="C128" s="29" t="s">
        <v>1244</v>
      </c>
      <c r="D128" s="29" t="str">
        <f t="shared" si="145"/>
        <v>INCLUIDO</v>
      </c>
      <c r="E128" s="27" t="s">
        <v>1186</v>
      </c>
      <c r="F128" s="43">
        <v>0</v>
      </c>
      <c r="G128" s="113">
        <v>0</v>
      </c>
      <c r="H128" s="9">
        <f t="shared" si="136"/>
        <v>0</v>
      </c>
      <c r="I128" s="9" t="s">
        <v>1235</v>
      </c>
      <c r="J128" s="9">
        <f t="shared" si="137"/>
        <v>0</v>
      </c>
      <c r="K128" s="9">
        <f t="shared" si="138"/>
        <v>0</v>
      </c>
      <c r="L128" s="9">
        <f t="shared" si="139"/>
        <v>0</v>
      </c>
      <c r="M128" s="11">
        <f t="shared" si="143"/>
        <v>0</v>
      </c>
      <c r="N128" s="9">
        <f t="shared" si="140"/>
        <v>0</v>
      </c>
      <c r="O128" s="12">
        <f t="shared" si="141"/>
        <v>0</v>
      </c>
      <c r="P128" s="13" t="str">
        <f t="shared" si="69"/>
        <v>NO</v>
      </c>
      <c r="Q128" s="48">
        <f t="shared" si="134"/>
        <v>0</v>
      </c>
      <c r="R128">
        <f>IF(I128="%o Al Millar",1000,IF(I128="% Al Porciento",100,IF(I128="$ Prima",G128)))</f>
        <v>100</v>
      </c>
      <c r="S128">
        <f t="shared" si="135"/>
        <v>0</v>
      </c>
    </row>
    <row r="129" spans="1:19" s="18" customFormat="1" ht="15" hidden="1" customHeight="1" x14ac:dyDescent="0.3">
      <c r="A129" s="24"/>
      <c r="B129" s="26"/>
      <c r="C129" s="15" t="s">
        <v>1177</v>
      </c>
      <c r="D129" s="38" t="str">
        <f>D128</f>
        <v>INCLUIDO</v>
      </c>
      <c r="E129" s="38"/>
      <c r="F129" s="16">
        <f>SUMIF(E124:E128,"Adicional",F124:F128)</f>
        <v>0</v>
      </c>
      <c r="G129" s="17"/>
      <c r="H129" s="16">
        <f>SUM(H124:H128)</f>
        <v>0</v>
      </c>
      <c r="I129" s="16"/>
      <c r="J129" s="16">
        <f t="shared" ref="J129:L129" si="146">SUM(J124:J128)</f>
        <v>0</v>
      </c>
      <c r="K129" s="16">
        <f t="shared" si="146"/>
        <v>0</v>
      </c>
      <c r="L129" s="16">
        <f t="shared" si="146"/>
        <v>0</v>
      </c>
      <c r="M129" s="16" t="s">
        <v>1178</v>
      </c>
      <c r="N129" s="16">
        <f t="shared" ref="N129:O129" si="147">SUM(N124:N128)</f>
        <v>0</v>
      </c>
      <c r="O129" s="84">
        <f t="shared" si="147"/>
        <v>0</v>
      </c>
      <c r="P129" s="13" t="str">
        <f t="shared" si="69"/>
        <v>NO</v>
      </c>
      <c r="Q129">
        <f>IF(D129="INCLUIDO",IF(H129&lt;&gt;0,1,0),0)</f>
        <v>0</v>
      </c>
    </row>
    <row r="130" spans="1:19" hidden="1" x14ac:dyDescent="0.3">
      <c r="A130" s="82">
        <v>905</v>
      </c>
      <c r="B130" s="33">
        <v>7</v>
      </c>
      <c r="C130" s="19" t="s">
        <v>1246</v>
      </c>
      <c r="D130" s="23" t="str">
        <f>$D$100</f>
        <v>INCLUIDO</v>
      </c>
      <c r="E130" s="91"/>
      <c r="F130" s="208">
        <f>'COTIZACIÓN M.N.'!D88</f>
        <v>54000</v>
      </c>
      <c r="G130" s="28">
        <f>'COTIZACIÓN M.N.'!E88</f>
        <v>12</v>
      </c>
      <c r="H130" s="28"/>
      <c r="I130" s="28"/>
      <c r="J130" s="28"/>
      <c r="K130" s="28"/>
      <c r="L130" s="28"/>
      <c r="M130" s="68">
        <v>5.8000000000000003E-2</v>
      </c>
      <c r="N130" s="28"/>
      <c r="O130" s="83"/>
      <c r="P130" s="13" t="str">
        <f t="shared" si="69"/>
        <v>SI</v>
      </c>
      <c r="Q130" s="47">
        <f>IF(D130="INCLUIDO",IF(F131&lt;&gt;0,1,0),0)</f>
        <v>1</v>
      </c>
    </row>
    <row r="131" spans="1:19" hidden="1" x14ac:dyDescent="0.3">
      <c r="A131" s="34" t="s">
        <v>1233</v>
      </c>
      <c r="B131" s="36">
        <v>92</v>
      </c>
      <c r="C131" s="29" t="s">
        <v>1247</v>
      </c>
      <c r="D131" s="29" t="str">
        <f>$D$100</f>
        <v>INCLUIDO</v>
      </c>
      <c r="E131" s="27" t="s">
        <v>1152</v>
      </c>
      <c r="F131" s="43">
        <f>F130</f>
        <v>54000</v>
      </c>
      <c r="G131" s="43">
        <f>G130</f>
        <v>12</v>
      </c>
      <c r="H131" s="9">
        <f>(((IF(I131="$ Prima",G131,G131*F131/R131))*$U$9)/365)*$J$15</f>
        <v>6480</v>
      </c>
      <c r="I131" s="9" t="s">
        <v>1235</v>
      </c>
      <c r="J131" s="9">
        <f t="shared" ref="J131:J136" si="148">H131*$U$7</f>
        <v>0</v>
      </c>
      <c r="K131" s="9">
        <f t="shared" ref="K131:K136" si="149">(H131+J131)*$K$15</f>
        <v>1036.8</v>
      </c>
      <c r="L131" s="9">
        <f t="shared" ref="L131:L136" si="150">ROUND(H131+J131+K131,2)</f>
        <v>7516.8</v>
      </c>
      <c r="M131" s="11">
        <f>$M$130</f>
        <v>5.8000000000000003E-2</v>
      </c>
      <c r="N131" s="9">
        <f t="shared" ref="N131:N136" si="151">H131*M131</f>
        <v>375.84000000000003</v>
      </c>
      <c r="O131" s="12">
        <f t="shared" ref="O131:O136" si="152">N131</f>
        <v>375.84000000000003</v>
      </c>
      <c r="P131" s="13" t="str">
        <f t="shared" si="69"/>
        <v>SI</v>
      </c>
      <c r="Q131" s="48">
        <f t="shared" ref="Q131:Q136" si="153">IF(D131="INCLUIDO",IF(F131&lt;&gt;0,1,0),0)</f>
        <v>1</v>
      </c>
      <c r="R131">
        <f t="shared" ref="R131:R136" si="154">IF(I131="%o Al Millar",1000,IF(I131="% Al Porciento",100,IF(I131="$ Prima",G131)))</f>
        <v>100</v>
      </c>
      <c r="S131">
        <f t="shared" ref="S131:S136" si="155">IF(E131="Excluido",0,IF(D131="NO APLICA",0,1))</f>
        <v>1</v>
      </c>
    </row>
    <row r="132" spans="1:19" ht="15" hidden="1" customHeight="1" x14ac:dyDescent="0.3">
      <c r="A132" s="34" t="s">
        <v>1233</v>
      </c>
      <c r="B132" s="36">
        <v>91</v>
      </c>
      <c r="C132" s="29" t="s">
        <v>1248</v>
      </c>
      <c r="D132" s="29" t="str">
        <f>$D$100</f>
        <v>INCLUIDO</v>
      </c>
      <c r="E132" s="27" t="s">
        <v>1186</v>
      </c>
      <c r="F132" s="43">
        <v>0</v>
      </c>
      <c r="G132" s="42">
        <v>0</v>
      </c>
      <c r="H132" s="9">
        <f t="shared" ref="H132:H136" si="156">(IF(I132="$ Prima",G132,G132*F132/R132))*$U$9</f>
        <v>0</v>
      </c>
      <c r="I132" s="9" t="s">
        <v>1235</v>
      </c>
      <c r="J132" s="9">
        <f t="shared" si="148"/>
        <v>0</v>
      </c>
      <c r="K132" s="9">
        <f t="shared" si="149"/>
        <v>0</v>
      </c>
      <c r="L132" s="9">
        <f t="shared" si="150"/>
        <v>0</v>
      </c>
      <c r="M132" s="11">
        <f t="shared" ref="M132:M136" si="157">$M$130</f>
        <v>5.8000000000000003E-2</v>
      </c>
      <c r="N132" s="9">
        <f t="shared" si="151"/>
        <v>0</v>
      </c>
      <c r="O132" s="12">
        <f t="shared" si="152"/>
        <v>0</v>
      </c>
      <c r="P132" s="13" t="str">
        <f t="shared" si="69"/>
        <v>NO</v>
      </c>
      <c r="Q132" s="48">
        <f t="shared" si="153"/>
        <v>0</v>
      </c>
      <c r="R132">
        <f t="shared" si="154"/>
        <v>100</v>
      </c>
      <c r="S132">
        <f t="shared" si="155"/>
        <v>0</v>
      </c>
    </row>
    <row r="133" spans="1:19" ht="15" hidden="1" customHeight="1" x14ac:dyDescent="0.3">
      <c r="A133" s="34" t="s">
        <v>1233</v>
      </c>
      <c r="B133" s="36">
        <v>96</v>
      </c>
      <c r="C133" s="29" t="s">
        <v>1249</v>
      </c>
      <c r="D133" s="29" t="str">
        <f t="shared" ref="D133:D136" si="158">$D$100</f>
        <v>INCLUIDO</v>
      </c>
      <c r="E133" s="27" t="s">
        <v>1186</v>
      </c>
      <c r="F133" s="43">
        <v>0</v>
      </c>
      <c r="G133" s="42">
        <v>0</v>
      </c>
      <c r="H133" s="9">
        <f t="shared" si="156"/>
        <v>0</v>
      </c>
      <c r="I133" s="9" t="s">
        <v>1235</v>
      </c>
      <c r="J133" s="9">
        <f t="shared" si="148"/>
        <v>0</v>
      </c>
      <c r="K133" s="9">
        <f t="shared" si="149"/>
        <v>0</v>
      </c>
      <c r="L133" s="9">
        <f t="shared" si="150"/>
        <v>0</v>
      </c>
      <c r="M133" s="11">
        <f t="shared" si="157"/>
        <v>5.8000000000000003E-2</v>
      </c>
      <c r="N133" s="9">
        <f t="shared" si="151"/>
        <v>0</v>
      </c>
      <c r="O133" s="12">
        <f t="shared" si="152"/>
        <v>0</v>
      </c>
      <c r="P133" s="13" t="str">
        <f t="shared" si="69"/>
        <v>NO</v>
      </c>
      <c r="Q133" s="48">
        <f t="shared" si="153"/>
        <v>0</v>
      </c>
      <c r="R133">
        <f t="shared" si="154"/>
        <v>100</v>
      </c>
      <c r="S133">
        <f t="shared" si="155"/>
        <v>0</v>
      </c>
    </row>
    <row r="134" spans="1:19" ht="22.5" hidden="1" customHeight="1" x14ac:dyDescent="0.3">
      <c r="A134" s="34" t="s">
        <v>1233</v>
      </c>
      <c r="B134" s="36">
        <v>94</v>
      </c>
      <c r="C134" s="29" t="s">
        <v>1250</v>
      </c>
      <c r="D134" s="29" t="str">
        <f t="shared" si="158"/>
        <v>INCLUIDO</v>
      </c>
      <c r="E134" s="27" t="s">
        <v>1186</v>
      </c>
      <c r="F134" s="43">
        <v>0</v>
      </c>
      <c r="G134" s="42">
        <v>0</v>
      </c>
      <c r="H134" s="9">
        <f t="shared" si="156"/>
        <v>0</v>
      </c>
      <c r="I134" s="9" t="s">
        <v>1235</v>
      </c>
      <c r="J134" s="9">
        <f t="shared" si="148"/>
        <v>0</v>
      </c>
      <c r="K134" s="9">
        <f t="shared" si="149"/>
        <v>0</v>
      </c>
      <c r="L134" s="9">
        <f t="shared" si="150"/>
        <v>0</v>
      </c>
      <c r="M134" s="11">
        <f t="shared" si="157"/>
        <v>5.8000000000000003E-2</v>
      </c>
      <c r="N134" s="9">
        <f t="shared" si="151"/>
        <v>0</v>
      </c>
      <c r="O134" s="12">
        <f t="shared" si="152"/>
        <v>0</v>
      </c>
      <c r="P134" s="13" t="str">
        <f t="shared" si="69"/>
        <v>NO</v>
      </c>
      <c r="Q134" s="48">
        <f t="shared" si="153"/>
        <v>0</v>
      </c>
      <c r="R134">
        <f t="shared" si="154"/>
        <v>100</v>
      </c>
      <c r="S134">
        <f t="shared" si="155"/>
        <v>0</v>
      </c>
    </row>
    <row r="135" spans="1:19" ht="15" hidden="1" customHeight="1" x14ac:dyDescent="0.3">
      <c r="A135" s="34" t="s">
        <v>1233</v>
      </c>
      <c r="B135" s="36">
        <v>93</v>
      </c>
      <c r="C135" s="29" t="s">
        <v>1251</v>
      </c>
      <c r="D135" s="29" t="str">
        <f t="shared" si="158"/>
        <v>INCLUIDO</v>
      </c>
      <c r="E135" s="27" t="s">
        <v>1186</v>
      </c>
      <c r="F135" s="43">
        <v>0</v>
      </c>
      <c r="G135" s="42">
        <v>0</v>
      </c>
      <c r="H135" s="9">
        <f t="shared" si="156"/>
        <v>0</v>
      </c>
      <c r="I135" s="9" t="s">
        <v>1235</v>
      </c>
      <c r="J135" s="9">
        <f t="shared" si="148"/>
        <v>0</v>
      </c>
      <c r="K135" s="9">
        <f t="shared" si="149"/>
        <v>0</v>
      </c>
      <c r="L135" s="9">
        <f t="shared" si="150"/>
        <v>0</v>
      </c>
      <c r="M135" s="11">
        <f t="shared" si="157"/>
        <v>5.8000000000000003E-2</v>
      </c>
      <c r="N135" s="9">
        <f t="shared" si="151"/>
        <v>0</v>
      </c>
      <c r="O135" s="12">
        <f t="shared" si="152"/>
        <v>0</v>
      </c>
      <c r="P135" s="13" t="str">
        <f t="shared" si="69"/>
        <v>NO</v>
      </c>
      <c r="Q135" s="48">
        <f t="shared" si="153"/>
        <v>0</v>
      </c>
      <c r="R135">
        <f t="shared" si="154"/>
        <v>100</v>
      </c>
      <c r="S135">
        <f t="shared" si="155"/>
        <v>0</v>
      </c>
    </row>
    <row r="136" spans="1:19" ht="15" hidden="1" customHeight="1" x14ac:dyDescent="0.3">
      <c r="A136" s="34" t="s">
        <v>1233</v>
      </c>
      <c r="B136" s="36">
        <v>95</v>
      </c>
      <c r="C136" s="29" t="s">
        <v>1252</v>
      </c>
      <c r="D136" s="29" t="str">
        <f t="shared" si="158"/>
        <v>INCLUIDO</v>
      </c>
      <c r="E136" s="27" t="s">
        <v>1186</v>
      </c>
      <c r="F136" s="43">
        <v>0</v>
      </c>
      <c r="G136" s="42">
        <v>0</v>
      </c>
      <c r="H136" s="9">
        <f t="shared" si="156"/>
        <v>0</v>
      </c>
      <c r="I136" s="9" t="s">
        <v>1235</v>
      </c>
      <c r="J136" s="9">
        <f t="shared" si="148"/>
        <v>0</v>
      </c>
      <c r="K136" s="9">
        <f t="shared" si="149"/>
        <v>0</v>
      </c>
      <c r="L136" s="9">
        <f t="shared" si="150"/>
        <v>0</v>
      </c>
      <c r="M136" s="11">
        <f t="shared" si="157"/>
        <v>5.8000000000000003E-2</v>
      </c>
      <c r="N136" s="9">
        <f t="shared" si="151"/>
        <v>0</v>
      </c>
      <c r="O136" s="12">
        <f t="shared" si="152"/>
        <v>0</v>
      </c>
      <c r="P136" s="13" t="str">
        <f t="shared" si="69"/>
        <v>NO</v>
      </c>
      <c r="Q136" s="48">
        <f t="shared" si="153"/>
        <v>0</v>
      </c>
      <c r="R136">
        <f t="shared" si="154"/>
        <v>100</v>
      </c>
      <c r="S136">
        <f t="shared" si="155"/>
        <v>0</v>
      </c>
    </row>
    <row r="137" spans="1:19" s="18" customFormat="1" hidden="1" x14ac:dyDescent="0.3">
      <c r="A137" s="24"/>
      <c r="B137" s="26"/>
      <c r="C137" s="15" t="s">
        <v>1177</v>
      </c>
      <c r="D137" s="38" t="str">
        <f>D136</f>
        <v>INCLUIDO</v>
      </c>
      <c r="E137" s="38"/>
      <c r="F137" s="16">
        <f>SUMIF(E131:E136,"Adicional",F131:F136)</f>
        <v>54000</v>
      </c>
      <c r="G137" s="17"/>
      <c r="H137" s="16">
        <f>SUM(H131:H136)</f>
        <v>6480</v>
      </c>
      <c r="I137" s="16"/>
      <c r="J137" s="16">
        <f t="shared" ref="J137:L137" si="159">SUM(J131:J136)</f>
        <v>0</v>
      </c>
      <c r="K137" s="16">
        <f t="shared" si="159"/>
        <v>1036.8</v>
      </c>
      <c r="L137" s="16">
        <f t="shared" si="159"/>
        <v>7516.8</v>
      </c>
      <c r="M137" s="16" t="s">
        <v>1178</v>
      </c>
      <c r="N137" s="16">
        <f t="shared" ref="N137:O137" si="160">SUM(N131:N136)</f>
        <v>375.84000000000003</v>
      </c>
      <c r="O137" s="84">
        <f t="shared" si="160"/>
        <v>375.84000000000003</v>
      </c>
      <c r="P137" s="13" t="str">
        <f t="shared" si="69"/>
        <v>SI</v>
      </c>
      <c r="Q137">
        <f>IF(D137="INCLUIDO",IF(H137&lt;&gt;0,1,0),0)</f>
        <v>1</v>
      </c>
    </row>
    <row r="138" spans="1:19" ht="15" hidden="1" customHeight="1" x14ac:dyDescent="0.3">
      <c r="A138" s="82">
        <v>905</v>
      </c>
      <c r="B138" s="33">
        <v>8</v>
      </c>
      <c r="C138" s="19" t="s">
        <v>1253</v>
      </c>
      <c r="D138" s="23" t="str">
        <f>$D$100</f>
        <v>INCLUIDO</v>
      </c>
      <c r="E138" s="91"/>
      <c r="F138" s="28"/>
      <c r="G138" s="28"/>
      <c r="H138" s="28"/>
      <c r="I138" s="28"/>
      <c r="J138" s="28"/>
      <c r="K138" s="28"/>
      <c r="L138" s="28"/>
      <c r="M138" s="68">
        <v>0</v>
      </c>
      <c r="N138" s="28"/>
      <c r="O138" s="83"/>
      <c r="P138" s="13" t="str">
        <f t="shared" si="69"/>
        <v>NO</v>
      </c>
      <c r="Q138" s="47">
        <f>IF(D138="INCLUIDO",IF(F139&lt;&gt;0,1,0),0)</f>
        <v>0</v>
      </c>
    </row>
    <row r="139" spans="1:19" ht="15" hidden="1" customHeight="1" x14ac:dyDescent="0.3">
      <c r="A139" s="34" t="s">
        <v>1233</v>
      </c>
      <c r="B139" s="36">
        <v>99</v>
      </c>
      <c r="C139" s="29" t="s">
        <v>1247</v>
      </c>
      <c r="D139" s="29" t="str">
        <f>$D$100</f>
        <v>INCLUIDO</v>
      </c>
      <c r="E139" s="27" t="s">
        <v>1186</v>
      </c>
      <c r="F139" s="43">
        <v>0</v>
      </c>
      <c r="G139" s="43">
        <v>0</v>
      </c>
      <c r="H139" s="9">
        <f t="shared" ref="H139:H144" si="161">(IF(I139="$ Prima",G139,G139*F139/R139))*$U$9</f>
        <v>0</v>
      </c>
      <c r="I139" s="9" t="s">
        <v>1235</v>
      </c>
      <c r="J139" s="9">
        <f t="shared" ref="J139:J144" si="162">H139*$U$7</f>
        <v>0</v>
      </c>
      <c r="K139" s="9">
        <f t="shared" ref="K139:K144" si="163">(H139+J139)*$K$15</f>
        <v>0</v>
      </c>
      <c r="L139" s="9">
        <f t="shared" ref="L139:L144" si="164">ROUND(H139+J139+K139,2)</f>
        <v>0</v>
      </c>
      <c r="M139" s="11">
        <f>$M$138</f>
        <v>0</v>
      </c>
      <c r="N139" s="9">
        <f t="shared" ref="N139:N144" si="165">H139*M139</f>
        <v>0</v>
      </c>
      <c r="O139" s="12">
        <f t="shared" ref="O139:O144" si="166">N139</f>
        <v>0</v>
      </c>
      <c r="P139" s="13" t="str">
        <f t="shared" si="69"/>
        <v>NO</v>
      </c>
      <c r="Q139" s="48">
        <f t="shared" ref="Q139:Q144" si="167">IF(D139="INCLUIDO",IF(F139&lt;&gt;0,1,0),0)</f>
        <v>0</v>
      </c>
      <c r="R139">
        <f t="shared" ref="R139:R144" si="168">IF(I139="%o Al Millar",1000,IF(I139="% Al Porciento",100,IF(I139="$ Prima",G139)))</f>
        <v>100</v>
      </c>
      <c r="S139">
        <f t="shared" ref="S139:S144" si="169">IF(E139="Excluido",0,IF(D139="NO APLICA",0,1))</f>
        <v>0</v>
      </c>
    </row>
    <row r="140" spans="1:19" ht="15" hidden="1" customHeight="1" x14ac:dyDescent="0.3">
      <c r="A140" s="34" t="s">
        <v>1233</v>
      </c>
      <c r="B140" s="36">
        <v>98</v>
      </c>
      <c r="C140" s="29" t="s">
        <v>1248</v>
      </c>
      <c r="D140" s="29" t="str">
        <f>$D$100</f>
        <v>INCLUIDO</v>
      </c>
      <c r="E140" s="27" t="s">
        <v>1186</v>
      </c>
      <c r="F140" s="43">
        <v>0</v>
      </c>
      <c r="G140" s="42">
        <v>0</v>
      </c>
      <c r="H140" s="9">
        <f t="shared" si="161"/>
        <v>0</v>
      </c>
      <c r="I140" s="9" t="s">
        <v>1235</v>
      </c>
      <c r="J140" s="9">
        <f t="shared" si="162"/>
        <v>0</v>
      </c>
      <c r="K140" s="9">
        <f t="shared" si="163"/>
        <v>0</v>
      </c>
      <c r="L140" s="9">
        <f t="shared" si="164"/>
        <v>0</v>
      </c>
      <c r="M140" s="11">
        <f t="shared" ref="M140:M144" si="170">$M$138</f>
        <v>0</v>
      </c>
      <c r="N140" s="9">
        <f t="shared" si="165"/>
        <v>0</v>
      </c>
      <c r="O140" s="12">
        <f t="shared" si="166"/>
        <v>0</v>
      </c>
      <c r="P140" s="13" t="str">
        <f t="shared" si="69"/>
        <v>NO</v>
      </c>
      <c r="Q140" s="48">
        <f t="shared" si="167"/>
        <v>0</v>
      </c>
      <c r="R140">
        <f t="shared" si="168"/>
        <v>100</v>
      </c>
      <c r="S140">
        <f t="shared" si="169"/>
        <v>0</v>
      </c>
    </row>
    <row r="141" spans="1:19" ht="15" hidden="1" customHeight="1" x14ac:dyDescent="0.3">
      <c r="A141" s="34" t="s">
        <v>1233</v>
      </c>
      <c r="B141" s="36">
        <v>103</v>
      </c>
      <c r="C141" s="29" t="s">
        <v>1249</v>
      </c>
      <c r="D141" s="29" t="str">
        <f t="shared" ref="D141:D144" si="171">$D$100</f>
        <v>INCLUIDO</v>
      </c>
      <c r="E141" s="27" t="s">
        <v>1186</v>
      </c>
      <c r="F141" s="43">
        <v>0</v>
      </c>
      <c r="G141" s="42">
        <v>0</v>
      </c>
      <c r="H141" s="9">
        <f t="shared" si="161"/>
        <v>0</v>
      </c>
      <c r="I141" s="9" t="s">
        <v>1235</v>
      </c>
      <c r="J141" s="9">
        <f t="shared" si="162"/>
        <v>0</v>
      </c>
      <c r="K141" s="9">
        <f t="shared" si="163"/>
        <v>0</v>
      </c>
      <c r="L141" s="9">
        <f t="shared" si="164"/>
        <v>0</v>
      </c>
      <c r="M141" s="11">
        <f t="shared" si="170"/>
        <v>0</v>
      </c>
      <c r="N141" s="9">
        <f t="shared" si="165"/>
        <v>0</v>
      </c>
      <c r="O141" s="12">
        <f t="shared" si="166"/>
        <v>0</v>
      </c>
      <c r="P141" s="13" t="str">
        <f t="shared" si="69"/>
        <v>NO</v>
      </c>
      <c r="Q141" s="48">
        <f t="shared" si="167"/>
        <v>0</v>
      </c>
      <c r="R141">
        <f t="shared" si="168"/>
        <v>100</v>
      </c>
      <c r="S141">
        <f t="shared" si="169"/>
        <v>0</v>
      </c>
    </row>
    <row r="142" spans="1:19" ht="22.5" hidden="1" customHeight="1" x14ac:dyDescent="0.3">
      <c r="A142" s="34" t="s">
        <v>1233</v>
      </c>
      <c r="B142" s="36">
        <v>101</v>
      </c>
      <c r="C142" s="29" t="s">
        <v>1250</v>
      </c>
      <c r="D142" s="29" t="str">
        <f t="shared" si="171"/>
        <v>INCLUIDO</v>
      </c>
      <c r="E142" s="27" t="s">
        <v>1186</v>
      </c>
      <c r="F142" s="43">
        <v>0</v>
      </c>
      <c r="G142" s="42">
        <v>0</v>
      </c>
      <c r="H142" s="9">
        <f t="shared" si="161"/>
        <v>0</v>
      </c>
      <c r="I142" s="9" t="s">
        <v>1235</v>
      </c>
      <c r="J142" s="9">
        <f t="shared" si="162"/>
        <v>0</v>
      </c>
      <c r="K142" s="9">
        <f t="shared" si="163"/>
        <v>0</v>
      </c>
      <c r="L142" s="9">
        <f t="shared" si="164"/>
        <v>0</v>
      </c>
      <c r="M142" s="11">
        <f t="shared" si="170"/>
        <v>0</v>
      </c>
      <c r="N142" s="9">
        <f t="shared" si="165"/>
        <v>0</v>
      </c>
      <c r="O142" s="12">
        <f t="shared" si="166"/>
        <v>0</v>
      </c>
      <c r="P142" s="13" t="str">
        <f t="shared" si="69"/>
        <v>NO</v>
      </c>
      <c r="Q142" s="48">
        <f t="shared" si="167"/>
        <v>0</v>
      </c>
      <c r="R142">
        <f t="shared" si="168"/>
        <v>100</v>
      </c>
      <c r="S142">
        <f t="shared" si="169"/>
        <v>0</v>
      </c>
    </row>
    <row r="143" spans="1:19" ht="15" hidden="1" customHeight="1" x14ac:dyDescent="0.3">
      <c r="A143" s="34" t="s">
        <v>1233</v>
      </c>
      <c r="B143" s="36">
        <v>102</v>
      </c>
      <c r="C143" s="29" t="s">
        <v>1252</v>
      </c>
      <c r="D143" s="29" t="str">
        <f t="shared" si="171"/>
        <v>INCLUIDO</v>
      </c>
      <c r="E143" s="27" t="s">
        <v>1186</v>
      </c>
      <c r="F143" s="43">
        <v>0</v>
      </c>
      <c r="G143" s="42">
        <v>0</v>
      </c>
      <c r="H143" s="9">
        <f t="shared" si="161"/>
        <v>0</v>
      </c>
      <c r="I143" s="9" t="s">
        <v>1235</v>
      </c>
      <c r="J143" s="9">
        <f t="shared" si="162"/>
        <v>0</v>
      </c>
      <c r="K143" s="9">
        <f t="shared" si="163"/>
        <v>0</v>
      </c>
      <c r="L143" s="9">
        <f t="shared" si="164"/>
        <v>0</v>
      </c>
      <c r="M143" s="11">
        <f t="shared" si="170"/>
        <v>0</v>
      </c>
      <c r="N143" s="9">
        <f t="shared" si="165"/>
        <v>0</v>
      </c>
      <c r="O143" s="12">
        <f t="shared" si="166"/>
        <v>0</v>
      </c>
      <c r="P143" s="13" t="str">
        <f t="shared" si="69"/>
        <v>NO</v>
      </c>
      <c r="Q143" s="48">
        <f t="shared" si="167"/>
        <v>0</v>
      </c>
      <c r="R143">
        <f t="shared" si="168"/>
        <v>100</v>
      </c>
      <c r="S143">
        <f t="shared" si="169"/>
        <v>0</v>
      </c>
    </row>
    <row r="144" spans="1:19" ht="15" hidden="1" customHeight="1" x14ac:dyDescent="0.3">
      <c r="A144" s="34" t="s">
        <v>1233</v>
      </c>
      <c r="B144" s="36">
        <v>100</v>
      </c>
      <c r="C144" s="29" t="s">
        <v>1251</v>
      </c>
      <c r="D144" s="29" t="str">
        <f t="shared" si="171"/>
        <v>INCLUIDO</v>
      </c>
      <c r="E144" s="27" t="s">
        <v>1186</v>
      </c>
      <c r="F144" s="43">
        <v>0</v>
      </c>
      <c r="G144" s="42">
        <v>0</v>
      </c>
      <c r="H144" s="9">
        <f t="shared" si="161"/>
        <v>0</v>
      </c>
      <c r="I144" s="9" t="s">
        <v>1235</v>
      </c>
      <c r="J144" s="9">
        <f t="shared" si="162"/>
        <v>0</v>
      </c>
      <c r="K144" s="9">
        <f t="shared" si="163"/>
        <v>0</v>
      </c>
      <c r="L144" s="9">
        <f t="shared" si="164"/>
        <v>0</v>
      </c>
      <c r="M144" s="11">
        <f t="shared" si="170"/>
        <v>0</v>
      </c>
      <c r="N144" s="9">
        <f t="shared" si="165"/>
        <v>0</v>
      </c>
      <c r="O144" s="12">
        <f t="shared" si="166"/>
        <v>0</v>
      </c>
      <c r="P144" s="13" t="str">
        <f t="shared" si="69"/>
        <v>NO</v>
      </c>
      <c r="Q144" s="48">
        <f t="shared" si="167"/>
        <v>0</v>
      </c>
      <c r="R144">
        <f t="shared" si="168"/>
        <v>100</v>
      </c>
      <c r="S144">
        <f t="shared" si="169"/>
        <v>0</v>
      </c>
    </row>
    <row r="145" spans="1:19" s="18" customFormat="1" ht="15" hidden="1" customHeight="1" x14ac:dyDescent="0.3">
      <c r="A145" s="24"/>
      <c r="B145" s="26"/>
      <c r="C145" s="15" t="s">
        <v>1177</v>
      </c>
      <c r="D145" s="38" t="str">
        <f>'Ramo Comercial'!C174</f>
        <v>INCLUIDO</v>
      </c>
      <c r="E145" s="38"/>
      <c r="F145" s="16">
        <f>SUMIF(E139:E144,"Adicional",F139:F144)</f>
        <v>0</v>
      </c>
      <c r="G145" s="17"/>
      <c r="H145" s="16">
        <f>SUM(H139:H144)</f>
        <v>0</v>
      </c>
      <c r="I145" s="16"/>
      <c r="J145" s="16">
        <f t="shared" ref="J145:L145" si="172">SUM(J139:J144)</f>
        <v>0</v>
      </c>
      <c r="K145" s="16">
        <f t="shared" si="172"/>
        <v>0</v>
      </c>
      <c r="L145" s="16">
        <f t="shared" si="172"/>
        <v>0</v>
      </c>
      <c r="M145" s="16" t="s">
        <v>1178</v>
      </c>
      <c r="N145" s="16">
        <f t="shared" ref="N145:O145" si="173">SUM(N139:N144)</f>
        <v>0</v>
      </c>
      <c r="O145" s="84">
        <f t="shared" si="173"/>
        <v>0</v>
      </c>
      <c r="P145" s="13" t="str">
        <f t="shared" si="69"/>
        <v>NO</v>
      </c>
      <c r="Q145">
        <f>IF(D145="INCLUIDO",IF(H145&lt;&gt;0,1,0),0)</f>
        <v>0</v>
      </c>
    </row>
    <row r="146" spans="1:19" ht="15" hidden="1" customHeight="1" x14ac:dyDescent="0.3">
      <c r="A146" s="82">
        <v>905</v>
      </c>
      <c r="B146" s="33">
        <v>9</v>
      </c>
      <c r="C146" s="19" t="s">
        <v>1254</v>
      </c>
      <c r="D146" s="23" t="str">
        <f>$D$100</f>
        <v>INCLUIDO</v>
      </c>
      <c r="E146" s="91"/>
      <c r="F146" s="42">
        <v>0</v>
      </c>
      <c r="G146" s="28"/>
      <c r="H146" s="28"/>
      <c r="I146" s="28"/>
      <c r="J146" s="28"/>
      <c r="K146" s="28"/>
      <c r="L146" s="28"/>
      <c r="M146" s="68">
        <v>0</v>
      </c>
      <c r="N146" s="28"/>
      <c r="O146" s="83"/>
      <c r="P146" s="13" t="str">
        <f t="shared" si="69"/>
        <v>NO</v>
      </c>
      <c r="Q146" s="48">
        <f>IF(D146="INCLUIDO",IF(F146&lt;&gt;0,1,0),0)</f>
        <v>0</v>
      </c>
    </row>
    <row r="147" spans="1:19" ht="15" hidden="1" customHeight="1" x14ac:dyDescent="0.3">
      <c r="A147" s="34" t="s">
        <v>1233</v>
      </c>
      <c r="B147" s="36">
        <v>104</v>
      </c>
      <c r="C147" s="29" t="s">
        <v>1255</v>
      </c>
      <c r="D147" s="29" t="str">
        <f>D146</f>
        <v>INCLUIDO</v>
      </c>
      <c r="E147" s="27" t="s">
        <v>1186</v>
      </c>
      <c r="F147" s="20">
        <v>0</v>
      </c>
      <c r="G147" s="21">
        <v>0</v>
      </c>
      <c r="H147" s="9">
        <f>(IF(I147="$ Prima",G147,G147*F147/R147))*$U$9</f>
        <v>0</v>
      </c>
      <c r="I147" s="9" t="s">
        <v>1235</v>
      </c>
      <c r="J147" s="9">
        <f>H147*$U$7</f>
        <v>0</v>
      </c>
      <c r="K147" s="9">
        <f>(H147+J147)*$K$15</f>
        <v>0</v>
      </c>
      <c r="L147" s="9">
        <f>ROUND(H147+J147+K147,2)</f>
        <v>0</v>
      </c>
      <c r="M147" s="11">
        <f>M146</f>
        <v>0</v>
      </c>
      <c r="N147" s="9">
        <f>H147*M147</f>
        <v>0</v>
      </c>
      <c r="O147" s="12">
        <f>N147</f>
        <v>0</v>
      </c>
      <c r="P147" s="13" t="str">
        <f t="shared" si="69"/>
        <v>NO</v>
      </c>
      <c r="Q147">
        <f>IF(D147="INCLUIDO",IF(F147&lt;&gt;0,1,0),0)</f>
        <v>0</v>
      </c>
      <c r="R147">
        <f>IF(I147="%o Al Millar",1000,IF(I147="% Al Porciento",100,IF(I147="$ Prima",G147)))</f>
        <v>100</v>
      </c>
      <c r="S147">
        <f t="shared" ref="S147" si="174">IF(E147="Excluido",0,IF(D147="NO APLICA",0,1))</f>
        <v>0</v>
      </c>
    </row>
    <row r="148" spans="1:19" s="18" customFormat="1" ht="15" hidden="1" customHeight="1" x14ac:dyDescent="0.3">
      <c r="A148" s="24"/>
      <c r="B148" s="26"/>
      <c r="C148" s="15" t="s">
        <v>1177</v>
      </c>
      <c r="D148" s="38" t="str">
        <f>D147</f>
        <v>INCLUIDO</v>
      </c>
      <c r="E148" s="38"/>
      <c r="F148" s="16">
        <f>F147</f>
        <v>0</v>
      </c>
      <c r="G148" s="17"/>
      <c r="H148" s="16">
        <f>SUM(H147)</f>
        <v>0</v>
      </c>
      <c r="I148" s="16"/>
      <c r="J148" s="16">
        <f t="shared" ref="J148:L148" si="175">SUM(J147)</f>
        <v>0</v>
      </c>
      <c r="K148" s="16">
        <f t="shared" si="175"/>
        <v>0</v>
      </c>
      <c r="L148" s="16">
        <f t="shared" si="175"/>
        <v>0</v>
      </c>
      <c r="M148" s="16" t="s">
        <v>1178</v>
      </c>
      <c r="N148" s="16">
        <f t="shared" ref="N148:O148" si="176">SUM(N147)</f>
        <v>0</v>
      </c>
      <c r="O148" s="84">
        <f t="shared" si="176"/>
        <v>0</v>
      </c>
      <c r="P148" s="13" t="str">
        <f t="shared" si="69"/>
        <v>NO</v>
      </c>
      <c r="Q148">
        <f>IF(D148="INCLUIDO",IF(H148&lt;&gt;0,1,0),0)</f>
        <v>0</v>
      </c>
    </row>
    <row r="149" spans="1:19" ht="22.5" hidden="1" customHeight="1" x14ac:dyDescent="0.3">
      <c r="A149" s="82">
        <v>905</v>
      </c>
      <c r="B149" s="33">
        <v>10</v>
      </c>
      <c r="C149" s="19" t="s">
        <v>1256</v>
      </c>
      <c r="D149" s="23" t="str">
        <f>'Ramo Comercial'!C176</f>
        <v>NO APLICA</v>
      </c>
      <c r="E149" s="91"/>
      <c r="F149" s="28"/>
      <c r="G149" s="28"/>
      <c r="H149" s="28"/>
      <c r="I149" s="28"/>
      <c r="J149" s="28"/>
      <c r="K149" s="28"/>
      <c r="L149" s="28"/>
      <c r="M149" s="68">
        <v>0</v>
      </c>
      <c r="N149" s="28"/>
      <c r="O149" s="83"/>
      <c r="P149" s="13" t="str">
        <f t="shared" si="69"/>
        <v>NO</v>
      </c>
      <c r="Q149" s="47">
        <f>IF(D149="INCLUIDO",IF(F150&lt;&gt;0,1,0),0)</f>
        <v>0</v>
      </c>
    </row>
    <row r="150" spans="1:19" ht="15" hidden="1" customHeight="1" x14ac:dyDescent="0.3">
      <c r="A150" s="34" t="s">
        <v>1233</v>
      </c>
      <c r="B150" s="36">
        <v>105</v>
      </c>
      <c r="C150" s="29" t="s">
        <v>1256</v>
      </c>
      <c r="D150" s="29" t="str">
        <f>D149</f>
        <v>NO APLICA</v>
      </c>
      <c r="E150" s="27" t="s">
        <v>1152</v>
      </c>
      <c r="F150" s="20">
        <v>0</v>
      </c>
      <c r="G150" s="21">
        <v>0</v>
      </c>
      <c r="H150" s="9">
        <f>(IF(I150="$ Prima",G150,G150*F150/R150))*$U$9</f>
        <v>0</v>
      </c>
      <c r="I150" s="9" t="s">
        <v>1153</v>
      </c>
      <c r="J150" s="9">
        <f>H150*$U$7</f>
        <v>0</v>
      </c>
      <c r="K150" s="9">
        <f>(H150+J150)*$K$15</f>
        <v>0</v>
      </c>
      <c r="L150" s="9">
        <f>ROUND(H150+J150+K150,2)</f>
        <v>0</v>
      </c>
      <c r="M150" s="11">
        <f>M149</f>
        <v>0</v>
      </c>
      <c r="N150" s="9">
        <f>H150*M150</f>
        <v>0</v>
      </c>
      <c r="O150" s="12">
        <f>N150</f>
        <v>0</v>
      </c>
      <c r="P150" s="13" t="str">
        <f t="shared" si="69"/>
        <v>NO</v>
      </c>
      <c r="Q150">
        <f>IF(D150="INCLUIDO",IF(F150&lt;&gt;0,1,0),0)</f>
        <v>0</v>
      </c>
      <c r="R150">
        <f>IF(I150="%o Al Millar",1000,IF(I150="% Al Porciento",100,IF(I150="$ Prima",G150)))</f>
        <v>1000</v>
      </c>
      <c r="S150">
        <f t="shared" ref="S150" si="177">IF(E150="Excluido",0,IF(D150="NO APLICA",0,1))</f>
        <v>0</v>
      </c>
    </row>
    <row r="151" spans="1:19" s="18" customFormat="1" ht="15" hidden="1" customHeight="1" x14ac:dyDescent="0.3">
      <c r="A151" s="24"/>
      <c r="B151" s="26"/>
      <c r="C151" s="15" t="s">
        <v>1177</v>
      </c>
      <c r="D151" s="38" t="str">
        <f>D150</f>
        <v>NO APLICA</v>
      </c>
      <c r="E151" s="38"/>
      <c r="F151" s="16">
        <f>F150</f>
        <v>0</v>
      </c>
      <c r="G151" s="17"/>
      <c r="H151" s="16">
        <f>SUM(H150)</f>
        <v>0</v>
      </c>
      <c r="I151" s="16"/>
      <c r="J151" s="16">
        <f t="shared" ref="J151:L151" si="178">SUM(J150)</f>
        <v>0</v>
      </c>
      <c r="K151" s="16">
        <f t="shared" si="178"/>
        <v>0</v>
      </c>
      <c r="L151" s="16">
        <f t="shared" si="178"/>
        <v>0</v>
      </c>
      <c r="M151" s="16" t="s">
        <v>1178</v>
      </c>
      <c r="N151" s="16">
        <f t="shared" ref="N151:O151" si="179">SUM(N150)</f>
        <v>0</v>
      </c>
      <c r="O151" s="84">
        <f t="shared" si="179"/>
        <v>0</v>
      </c>
      <c r="P151" s="13" t="str">
        <f t="shared" si="69"/>
        <v>NO</v>
      </c>
      <c r="Q151">
        <f>IF(D151="INCLUIDO",IF(H151&lt;&gt;0,1,0),0)</f>
        <v>0</v>
      </c>
    </row>
    <row r="152" spans="1:19" ht="15" hidden="1" customHeight="1" x14ac:dyDescent="0.3">
      <c r="A152" s="82">
        <v>905</v>
      </c>
      <c r="B152" s="33">
        <v>11</v>
      </c>
      <c r="C152" s="19" t="s">
        <v>1257</v>
      </c>
      <c r="D152" s="23" t="str">
        <f>'Ramo Comercial'!C177</f>
        <v>NO APLICA</v>
      </c>
      <c r="E152" s="91"/>
      <c r="F152" s="42">
        <v>0</v>
      </c>
      <c r="G152" s="28"/>
      <c r="H152" s="28"/>
      <c r="I152" s="28"/>
      <c r="J152" s="28"/>
      <c r="K152" s="28"/>
      <c r="L152" s="28"/>
      <c r="M152" s="68">
        <v>0</v>
      </c>
      <c r="N152" s="28"/>
      <c r="O152" s="83"/>
      <c r="P152" s="13" t="str">
        <f t="shared" si="69"/>
        <v>NO</v>
      </c>
      <c r="Q152" s="48">
        <f>IF(D152="INCLUIDO",IF(F152&lt;&gt;0,1,0),0)</f>
        <v>0</v>
      </c>
    </row>
    <row r="153" spans="1:19" ht="15" hidden="1" customHeight="1" x14ac:dyDescent="0.3">
      <c r="A153" s="34" t="s">
        <v>1233</v>
      </c>
      <c r="B153" s="36">
        <v>224</v>
      </c>
      <c r="C153" s="29" t="s">
        <v>1257</v>
      </c>
      <c r="D153" s="29" t="str">
        <f>D152</f>
        <v>NO APLICA</v>
      </c>
      <c r="E153" s="27" t="s">
        <v>1152</v>
      </c>
      <c r="F153" s="20">
        <f>F152</f>
        <v>0</v>
      </c>
      <c r="G153" s="21">
        <v>0</v>
      </c>
      <c r="H153" s="9">
        <f>(IF(I153="$ Prima",G153,G153*F153/R153))*$U$9</f>
        <v>0</v>
      </c>
      <c r="I153" s="9" t="s">
        <v>1235</v>
      </c>
      <c r="J153" s="9">
        <f>H153*$U$7</f>
        <v>0</v>
      </c>
      <c r="K153" s="9">
        <f>(H153+J153)*$K$15</f>
        <v>0</v>
      </c>
      <c r="L153" s="9">
        <f>ROUND(H153+J153+K153,2)</f>
        <v>0</v>
      </c>
      <c r="M153" s="11">
        <f>M152</f>
        <v>0</v>
      </c>
      <c r="N153" s="9">
        <f>H153*M153</f>
        <v>0</v>
      </c>
      <c r="O153" s="12">
        <f>N153</f>
        <v>0</v>
      </c>
      <c r="P153" s="13" t="str">
        <f t="shared" si="69"/>
        <v>NO</v>
      </c>
      <c r="Q153">
        <f>IF(D153="INCLUIDO",IF(F153&lt;&gt;0,1,0),0)</f>
        <v>0</v>
      </c>
      <c r="R153">
        <f>IF(I153="%o Al Millar",1000,IF(I153="% Al Porciento",100,IF(I153="$ Prima",G153)))</f>
        <v>100</v>
      </c>
      <c r="S153">
        <f t="shared" ref="S153" si="180">IF(E153="Excluido",0,IF(D153="NO APLICA",0,1))</f>
        <v>0</v>
      </c>
    </row>
    <row r="154" spans="1:19" s="18" customFormat="1" ht="15" hidden="1" customHeight="1" x14ac:dyDescent="0.3">
      <c r="A154" s="24"/>
      <c r="B154" s="26"/>
      <c r="C154" s="15" t="s">
        <v>1177</v>
      </c>
      <c r="D154" s="38" t="str">
        <f>D153</f>
        <v>NO APLICA</v>
      </c>
      <c r="E154" s="38"/>
      <c r="F154" s="16">
        <f>F153</f>
        <v>0</v>
      </c>
      <c r="G154" s="17"/>
      <c r="H154" s="16">
        <f>SUM(H153)</f>
        <v>0</v>
      </c>
      <c r="I154" s="16"/>
      <c r="J154" s="16">
        <f t="shared" ref="J154:L154" si="181">SUM(J153)</f>
        <v>0</v>
      </c>
      <c r="K154" s="16">
        <f t="shared" si="181"/>
        <v>0</v>
      </c>
      <c r="L154" s="16">
        <f t="shared" si="181"/>
        <v>0</v>
      </c>
      <c r="M154" s="16" t="s">
        <v>1178</v>
      </c>
      <c r="N154" s="16">
        <f t="shared" ref="N154:O154" si="182">SUM(N153)</f>
        <v>0</v>
      </c>
      <c r="O154" s="84">
        <f t="shared" si="182"/>
        <v>0</v>
      </c>
      <c r="P154" s="13" t="str">
        <f t="shared" si="69"/>
        <v>NO</v>
      </c>
      <c r="Q154">
        <f>IF(D154="INCLUIDO",IF(H154&lt;&gt;0,1,0),0)</f>
        <v>0</v>
      </c>
    </row>
    <row r="155" spans="1:19" ht="15" hidden="1" customHeight="1" x14ac:dyDescent="0.3">
      <c r="A155" s="82">
        <v>905</v>
      </c>
      <c r="B155" s="33">
        <v>12</v>
      </c>
      <c r="C155" s="19" t="s">
        <v>1258</v>
      </c>
      <c r="D155" s="23" t="str">
        <f>'Ramo Comercial'!C181</f>
        <v>NO APLICA</v>
      </c>
      <c r="E155" s="91"/>
      <c r="F155" s="97">
        <f>F154</f>
        <v>0</v>
      </c>
      <c r="G155" s="28"/>
      <c r="H155" s="28"/>
      <c r="I155" s="28"/>
      <c r="J155" s="28"/>
      <c r="K155" s="28"/>
      <c r="L155" s="28"/>
      <c r="M155" s="68">
        <v>0</v>
      </c>
      <c r="N155" s="28"/>
      <c r="O155" s="83"/>
      <c r="P155" s="13" t="str">
        <f t="shared" ref="P155:P218" si="183">IF(Q155=1,"SI","NO")</f>
        <v>NO</v>
      </c>
      <c r="Q155" s="47">
        <f>IF(D155="INCLUIDO",IF(F156&lt;&gt;0,1,0),0)</f>
        <v>0</v>
      </c>
    </row>
    <row r="156" spans="1:19" ht="15" hidden="1" customHeight="1" x14ac:dyDescent="0.3">
      <c r="A156" s="34" t="s">
        <v>1233</v>
      </c>
      <c r="B156" s="36">
        <v>259</v>
      </c>
      <c r="C156" s="29" t="s">
        <v>1258</v>
      </c>
      <c r="D156" s="29" t="str">
        <f>D155</f>
        <v>NO APLICA</v>
      </c>
      <c r="E156" s="27" t="s">
        <v>1152</v>
      </c>
      <c r="F156" s="20">
        <v>0</v>
      </c>
      <c r="G156" s="21">
        <v>0</v>
      </c>
      <c r="H156" s="9">
        <f>(IF(I156="$ Prima",G156,G156*F156/R156))*$U$9</f>
        <v>0</v>
      </c>
      <c r="I156" s="9" t="s">
        <v>1235</v>
      </c>
      <c r="J156" s="9">
        <f>H156*$U$7</f>
        <v>0</v>
      </c>
      <c r="K156" s="9">
        <f>(H156+J156)*$K$15</f>
        <v>0</v>
      </c>
      <c r="L156" s="9">
        <f>ROUND(H156+J156+K156,2)</f>
        <v>0</v>
      </c>
      <c r="M156" s="11">
        <f>M155</f>
        <v>0</v>
      </c>
      <c r="N156" s="9">
        <f>H156*M156</f>
        <v>0</v>
      </c>
      <c r="O156" s="12">
        <f>N156</f>
        <v>0</v>
      </c>
      <c r="P156" s="13" t="str">
        <f t="shared" si="183"/>
        <v>NO</v>
      </c>
      <c r="Q156">
        <f>IF(D156="INCLUIDO",IF(F156&lt;&gt;0,1,0),0)</f>
        <v>0</v>
      </c>
      <c r="R156">
        <f>IF(I156="%o Al Millar",1000,IF(I156="% Al Porciento",100,IF(I156="$ Prima",G156)))</f>
        <v>100</v>
      </c>
      <c r="S156">
        <f t="shared" ref="S156" si="184">IF(E156="Excluido",0,IF(D156="NO APLICA",0,1))</f>
        <v>0</v>
      </c>
    </row>
    <row r="157" spans="1:19" s="18" customFormat="1" ht="15" hidden="1" customHeight="1" x14ac:dyDescent="0.3">
      <c r="A157" s="24"/>
      <c r="B157" s="26"/>
      <c r="C157" s="15" t="s">
        <v>1177</v>
      </c>
      <c r="D157" s="38" t="str">
        <f>D156</f>
        <v>NO APLICA</v>
      </c>
      <c r="E157" s="38"/>
      <c r="F157" s="16">
        <f>F156</f>
        <v>0</v>
      </c>
      <c r="G157" s="17"/>
      <c r="H157" s="16">
        <f>SUM(H156)</f>
        <v>0</v>
      </c>
      <c r="I157" s="16"/>
      <c r="J157" s="16">
        <f t="shared" ref="J157:L157" si="185">SUM(J156)</f>
        <v>0</v>
      </c>
      <c r="K157" s="16">
        <f t="shared" si="185"/>
        <v>0</v>
      </c>
      <c r="L157" s="16">
        <f t="shared" si="185"/>
        <v>0</v>
      </c>
      <c r="M157" s="16" t="s">
        <v>1178</v>
      </c>
      <c r="N157" s="16">
        <f t="shared" ref="N157:O157" si="186">SUM(N156)</f>
        <v>0</v>
      </c>
      <c r="O157" s="84">
        <f t="shared" si="186"/>
        <v>0</v>
      </c>
      <c r="P157" s="13" t="str">
        <f t="shared" si="183"/>
        <v>NO</v>
      </c>
      <c r="Q157">
        <f>IF(D157="INCLUIDO",IF(H157&lt;&gt;0,1,0),0)</f>
        <v>0</v>
      </c>
    </row>
    <row r="158" spans="1:19" ht="15" hidden="1" customHeight="1" x14ac:dyDescent="0.3">
      <c r="A158" s="82">
        <v>905</v>
      </c>
      <c r="B158" s="33">
        <v>13</v>
      </c>
      <c r="C158" s="19" t="s">
        <v>1259</v>
      </c>
      <c r="D158" s="23" t="str">
        <f>'Ramo Comercial'!C180</f>
        <v>INCLUIDO</v>
      </c>
      <c r="E158" s="91"/>
      <c r="F158" s="42">
        <v>0</v>
      </c>
      <c r="G158" s="28"/>
      <c r="H158" s="28"/>
      <c r="I158" s="28"/>
      <c r="J158" s="28"/>
      <c r="K158" s="28"/>
      <c r="L158" s="28"/>
      <c r="M158" s="68">
        <v>0</v>
      </c>
      <c r="N158" s="28"/>
      <c r="O158" s="83"/>
      <c r="P158" s="13" t="str">
        <f t="shared" si="183"/>
        <v>NO</v>
      </c>
      <c r="Q158" s="48">
        <f>IF(D158="INCLUIDO",IF(F158&lt;&gt;0,1,0),0)</f>
        <v>0</v>
      </c>
    </row>
    <row r="159" spans="1:19" ht="15" hidden="1" customHeight="1" x14ac:dyDescent="0.3">
      <c r="A159" s="34" t="s">
        <v>1233</v>
      </c>
      <c r="B159" s="36">
        <v>260</v>
      </c>
      <c r="C159" s="29" t="s">
        <v>1259</v>
      </c>
      <c r="D159" s="29" t="str">
        <f>D158</f>
        <v>INCLUIDO</v>
      </c>
      <c r="E159" s="27" t="s">
        <v>1186</v>
      </c>
      <c r="F159" s="20">
        <f>F158</f>
        <v>0</v>
      </c>
      <c r="G159" s="21">
        <v>0</v>
      </c>
      <c r="H159" s="9">
        <f>(IF(I159="$ Prima",G159,G159*F159/R159))*$U$9</f>
        <v>0</v>
      </c>
      <c r="I159" s="9" t="s">
        <v>1235</v>
      </c>
      <c r="J159" s="9">
        <f>H159*$U$7</f>
        <v>0</v>
      </c>
      <c r="K159" s="9">
        <f>(H159+J159)*$K$15</f>
        <v>0</v>
      </c>
      <c r="L159" s="9">
        <f>ROUND(H159+J159+K159,2)</f>
        <v>0</v>
      </c>
      <c r="M159" s="11">
        <f>M158</f>
        <v>0</v>
      </c>
      <c r="N159" s="9">
        <f>H159*M159</f>
        <v>0</v>
      </c>
      <c r="O159" s="12">
        <f>N159</f>
        <v>0</v>
      </c>
      <c r="P159" s="13" t="str">
        <f t="shared" si="183"/>
        <v>NO</v>
      </c>
      <c r="Q159">
        <f>IF(D159="INCLUIDO",IF(F159&lt;&gt;0,1,0),0)</f>
        <v>0</v>
      </c>
      <c r="R159">
        <f>IF(I159="%o Al Millar",1000,IF(I159="% Al Porciento",100,IF(I159="$ Prima",G159)))</f>
        <v>100</v>
      </c>
      <c r="S159">
        <f t="shared" ref="S159" si="187">IF(E159="Excluido",0,IF(D159="NO APLICA",0,1))</f>
        <v>0</v>
      </c>
    </row>
    <row r="160" spans="1:19" s="18" customFormat="1" ht="15" hidden="1" customHeight="1" thickBot="1" x14ac:dyDescent="0.35">
      <c r="A160" s="24"/>
      <c r="B160" s="26"/>
      <c r="C160" s="15" t="s">
        <v>1177</v>
      </c>
      <c r="D160" s="38" t="str">
        <f>D159</f>
        <v>INCLUIDO</v>
      </c>
      <c r="E160" s="38"/>
      <c r="F160" s="16">
        <f>F159</f>
        <v>0</v>
      </c>
      <c r="G160" s="17"/>
      <c r="H160" s="16">
        <f>SUM(H159)</f>
        <v>0</v>
      </c>
      <c r="I160" s="16"/>
      <c r="J160" s="16">
        <f t="shared" ref="J160:L160" si="188">SUM(J159)</f>
        <v>0</v>
      </c>
      <c r="K160" s="16">
        <f t="shared" si="188"/>
        <v>0</v>
      </c>
      <c r="L160" s="16">
        <f t="shared" si="188"/>
        <v>0</v>
      </c>
      <c r="M160" s="16" t="s">
        <v>1178</v>
      </c>
      <c r="N160" s="16">
        <f t="shared" ref="N160:O160" si="189">SUM(N159)</f>
        <v>0</v>
      </c>
      <c r="O160" s="84">
        <f t="shared" si="189"/>
        <v>0</v>
      </c>
      <c r="P160" s="13" t="str">
        <f t="shared" si="183"/>
        <v>NO</v>
      </c>
      <c r="Q160">
        <f>IF(D160="INCLUIDO",IF(H160&lt;&gt;0,1,0),0)</f>
        <v>0</v>
      </c>
    </row>
    <row r="161" spans="1:22" ht="21" hidden="1" customHeight="1" thickBot="1" x14ac:dyDescent="0.35">
      <c r="A161" s="82">
        <v>906</v>
      </c>
      <c r="B161" s="33">
        <v>1</v>
      </c>
      <c r="C161" s="19" t="s">
        <v>1260</v>
      </c>
      <c r="D161" s="23" t="str">
        <f>'Ramo Comercial'!C138</f>
        <v>INCLUIDO</v>
      </c>
      <c r="E161" s="91"/>
      <c r="F161" s="132">
        <f>'COTIZACIÓN M.N.'!D75</f>
        <v>0</v>
      </c>
      <c r="G161" s="132">
        <f>'COTIZACIÓN M.N.'!E75</f>
        <v>1.6</v>
      </c>
      <c r="H161" s="28"/>
      <c r="I161" s="28"/>
      <c r="J161" s="28"/>
      <c r="K161" s="28"/>
      <c r="L161" s="28"/>
      <c r="M161" s="68">
        <v>5.8000000000000003E-2</v>
      </c>
      <c r="N161" s="28"/>
      <c r="O161" s="83"/>
      <c r="P161" s="13" t="str">
        <f t="shared" si="183"/>
        <v>NO</v>
      </c>
      <c r="Q161" s="48">
        <f>IF(D161="INCLUIDO",IF(F161&lt;&gt;0,1,0),0)</f>
        <v>0</v>
      </c>
      <c r="T161" s="155">
        <f>G161</f>
        <v>1.6</v>
      </c>
    </row>
    <row r="162" spans="1:22" ht="15" hidden="1" customHeight="1" x14ac:dyDescent="0.3">
      <c r="A162" s="34" t="s">
        <v>1261</v>
      </c>
      <c r="B162" s="36">
        <v>107</v>
      </c>
      <c r="C162" s="29" t="s">
        <v>1151</v>
      </c>
      <c r="D162" s="29" t="str">
        <f>D161</f>
        <v>INCLUIDO</v>
      </c>
      <c r="E162" s="27" t="s">
        <v>1152</v>
      </c>
      <c r="F162" s="20">
        <f>$F$161*S162</f>
        <v>0</v>
      </c>
      <c r="G162" s="21">
        <f>V162</f>
        <v>1.1200000000000001</v>
      </c>
      <c r="H162" s="9">
        <f t="shared" ref="H162:H165" si="190">(IF(I162="$ Prima",G162,G162*F162/R162))*$U$9</f>
        <v>0</v>
      </c>
      <c r="I162" s="9" t="s">
        <v>1153</v>
      </c>
      <c r="J162" s="9">
        <f t="shared" ref="J162:J165" si="191">H162*$U$7</f>
        <v>0</v>
      </c>
      <c r="K162" s="9">
        <f t="shared" ref="K162:K165" si="192">(H162+J162)*$K$15</f>
        <v>0</v>
      </c>
      <c r="L162" s="9">
        <f t="shared" ref="L162:L165" si="193">ROUND(H162+J162+K162,2)</f>
        <v>0</v>
      </c>
      <c r="M162" s="11">
        <f>$M$161</f>
        <v>5.8000000000000003E-2</v>
      </c>
      <c r="N162" s="9">
        <f t="shared" ref="N162:N165" si="194">H162*M162</f>
        <v>0</v>
      </c>
      <c r="O162" s="12">
        <f t="shared" ref="O162:O165" si="195">N162</f>
        <v>0</v>
      </c>
      <c r="P162" s="13" t="str">
        <f t="shared" si="183"/>
        <v>NO</v>
      </c>
      <c r="Q162">
        <f>IF(D162="INCLUIDO",IF(F162&lt;&gt;0,1,0),0)</f>
        <v>0</v>
      </c>
      <c r="R162">
        <f>IF(I162="%o Al Millar",1000,IF(I162="% Al Porciento",100,IF(I162="$ Prima",G162)))</f>
        <v>1000</v>
      </c>
      <c r="S162">
        <f t="shared" ref="S162:S165" si="196">IF(E162="Excluido",0,IF(D162="NO APLICA",0,1))</f>
        <v>1</v>
      </c>
      <c r="T162" s="156">
        <v>0.7</v>
      </c>
      <c r="U162" s="157">
        <f>IF(E162="Excluido",0,T161*T162)</f>
        <v>1.1199999999999999</v>
      </c>
      <c r="V162" s="158">
        <f>IF(D161="NO APLICA",0,(U166-U164)+(T161-U166))</f>
        <v>1.1200000000000001</v>
      </c>
    </row>
    <row r="163" spans="1:22" ht="15" hidden="1" customHeight="1" x14ac:dyDescent="0.3">
      <c r="A163" s="34" t="s">
        <v>1261</v>
      </c>
      <c r="B163" s="36"/>
      <c r="C163" s="81">
        <f>$O$12</f>
        <v>0</v>
      </c>
      <c r="D163" s="29" t="str">
        <f t="shared" ref="D163:D175" si="197">$D$161</f>
        <v>INCLUIDO</v>
      </c>
      <c r="E163" s="27" t="s">
        <v>1186</v>
      </c>
      <c r="F163" s="9">
        <f>(F162*$O$12)*S163</f>
        <v>0</v>
      </c>
      <c r="G163" s="10">
        <f>G162*0.35</f>
        <v>0.39200000000000002</v>
      </c>
      <c r="H163" s="9">
        <f t="shared" si="190"/>
        <v>0</v>
      </c>
      <c r="I163" s="9" t="s">
        <v>1153</v>
      </c>
      <c r="J163" s="9">
        <f t="shared" si="191"/>
        <v>0</v>
      </c>
      <c r="K163" s="9">
        <f t="shared" si="192"/>
        <v>0</v>
      </c>
      <c r="L163" s="9">
        <f t="shared" si="193"/>
        <v>0</v>
      </c>
      <c r="M163" s="11">
        <f t="shared" ref="M163:M165" si="198">$M$161</f>
        <v>5.8000000000000003E-2</v>
      </c>
      <c r="N163" s="9">
        <f t="shared" si="194"/>
        <v>0</v>
      </c>
      <c r="O163" s="12">
        <f t="shared" si="195"/>
        <v>0</v>
      </c>
      <c r="P163" s="13" t="str">
        <f t="shared" si="183"/>
        <v>NO</v>
      </c>
      <c r="Q163">
        <f>IF(D163="INCLUIDO",IF(F163&lt;&gt;0,1,0),0)</f>
        <v>0</v>
      </c>
      <c r="R163">
        <f>IF(I163="%o Al Millar",1000,IF(I163="% Al Porciento",100,IF(I163="$ Prima",G163)))</f>
        <v>1000</v>
      </c>
      <c r="S163">
        <f t="shared" si="196"/>
        <v>0</v>
      </c>
      <c r="T163" s="152"/>
      <c r="U163" s="159"/>
      <c r="V163" s="160"/>
    </row>
    <row r="164" spans="1:22" ht="15" hidden="1" customHeight="1" thickBot="1" x14ac:dyDescent="0.35">
      <c r="A164" s="34" t="s">
        <v>1261</v>
      </c>
      <c r="B164" s="36">
        <v>106</v>
      </c>
      <c r="C164" s="29" t="s">
        <v>1262</v>
      </c>
      <c r="D164" s="29" t="str">
        <f t="shared" si="197"/>
        <v>INCLUIDO</v>
      </c>
      <c r="E164" s="27" t="s">
        <v>1137</v>
      </c>
      <c r="F164" s="20">
        <f>$F$161*S164</f>
        <v>0</v>
      </c>
      <c r="G164" s="21">
        <f>V164</f>
        <v>0</v>
      </c>
      <c r="H164" s="9">
        <f t="shared" si="190"/>
        <v>0</v>
      </c>
      <c r="I164" s="9" t="s">
        <v>1153</v>
      </c>
      <c r="J164" s="9">
        <f t="shared" si="191"/>
        <v>0</v>
      </c>
      <c r="K164" s="9">
        <f t="shared" si="192"/>
        <v>0</v>
      </c>
      <c r="L164" s="9">
        <f t="shared" si="193"/>
        <v>0</v>
      </c>
      <c r="M164" s="11">
        <f t="shared" si="198"/>
        <v>5.8000000000000003E-2</v>
      </c>
      <c r="N164" s="9">
        <f t="shared" si="194"/>
        <v>0</v>
      </c>
      <c r="O164" s="12">
        <f t="shared" si="195"/>
        <v>0</v>
      </c>
      <c r="P164" s="13" t="str">
        <f t="shared" si="183"/>
        <v>NO</v>
      </c>
      <c r="Q164">
        <f>IF(D164="INCLUIDO",IF(F164&lt;&gt;0,1,0),0)</f>
        <v>0</v>
      </c>
      <c r="R164">
        <f>IF(I164="%o Al Millar",1000,IF(I164="% Al Porciento",100,IF(I164="$ Prima",G164)))</f>
        <v>1000</v>
      </c>
      <c r="S164">
        <f t="shared" si="196"/>
        <v>1</v>
      </c>
      <c r="T164" s="152">
        <v>0.3</v>
      </c>
      <c r="U164" s="159">
        <f>IF(E164="Excluido",0,$T$161*T164)</f>
        <v>0.48</v>
      </c>
      <c r="V164" s="160">
        <f>IF($F164=0,0,U164)</f>
        <v>0</v>
      </c>
    </row>
    <row r="165" spans="1:22" ht="15" hidden="1" customHeight="1" thickBot="1" x14ac:dyDescent="0.35">
      <c r="A165" s="34" t="s">
        <v>1261</v>
      </c>
      <c r="B165" s="36"/>
      <c r="C165" s="81">
        <f>$O$12</f>
        <v>0</v>
      </c>
      <c r="D165" s="29" t="str">
        <f t="shared" si="197"/>
        <v>INCLUIDO</v>
      </c>
      <c r="E165" s="27" t="s">
        <v>1186</v>
      </c>
      <c r="F165" s="9">
        <f>(F164*$O$12)*S165</f>
        <v>0</v>
      </c>
      <c r="G165" s="10">
        <f>G164*0.35</f>
        <v>0</v>
      </c>
      <c r="H165" s="9">
        <f t="shared" si="190"/>
        <v>0</v>
      </c>
      <c r="I165" s="9" t="s">
        <v>1153</v>
      </c>
      <c r="J165" s="9">
        <f t="shared" si="191"/>
        <v>0</v>
      </c>
      <c r="K165" s="9">
        <f t="shared" si="192"/>
        <v>0</v>
      </c>
      <c r="L165" s="9">
        <f t="shared" si="193"/>
        <v>0</v>
      </c>
      <c r="M165" s="11">
        <f t="shared" si="198"/>
        <v>5.8000000000000003E-2</v>
      </c>
      <c r="N165" s="9">
        <f t="shared" si="194"/>
        <v>0</v>
      </c>
      <c r="O165" s="12">
        <f t="shared" si="195"/>
        <v>0</v>
      </c>
      <c r="P165" s="13" t="str">
        <f t="shared" si="183"/>
        <v>NO</v>
      </c>
      <c r="Q165">
        <f>IF(D165="INCLUIDO",IF(F165&lt;&gt;0,1,0),0)</f>
        <v>0</v>
      </c>
      <c r="R165">
        <f>IF(I165="%o Al Millar",1000,IF(I165="% Al Porciento",100,IF(I165="$ Prima",G165)))</f>
        <v>1000</v>
      </c>
      <c r="S165">
        <f t="shared" si="196"/>
        <v>0</v>
      </c>
      <c r="T165" s="154"/>
      <c r="V165" s="153"/>
    </row>
    <row r="166" spans="1:22" s="18" customFormat="1" ht="15" hidden="1" customHeight="1" thickBot="1" x14ac:dyDescent="0.35">
      <c r="A166" s="24"/>
      <c r="B166" s="26"/>
      <c r="C166" s="15" t="s">
        <v>1177</v>
      </c>
      <c r="D166" s="38" t="str">
        <f>D165</f>
        <v>INCLUIDO</v>
      </c>
      <c r="E166" s="38"/>
      <c r="F166" s="16">
        <f>SUMIF(E162:E165,"Adicional",F162:F165)</f>
        <v>0</v>
      </c>
      <c r="G166" s="17"/>
      <c r="H166" s="16">
        <f>SUM(H162:H165)</f>
        <v>0</v>
      </c>
      <c r="I166" s="16"/>
      <c r="J166" s="16">
        <f t="shared" ref="J166:L166" si="199">SUM(J162:J165)</f>
        <v>0</v>
      </c>
      <c r="K166" s="16">
        <f t="shared" si="199"/>
        <v>0</v>
      </c>
      <c r="L166" s="16">
        <f t="shared" si="199"/>
        <v>0</v>
      </c>
      <c r="M166" s="16" t="s">
        <v>1178</v>
      </c>
      <c r="N166" s="16">
        <f t="shared" ref="N166:O166" si="200">SUM(N162:N165)</f>
        <v>0</v>
      </c>
      <c r="O166" s="84">
        <f t="shared" si="200"/>
        <v>0</v>
      </c>
      <c r="P166" s="13" t="str">
        <f t="shared" si="183"/>
        <v>NO</v>
      </c>
      <c r="Q166">
        <f>IF(D166="INCLUIDO",IF(H166&lt;&gt;0,1,0),0)</f>
        <v>0</v>
      </c>
      <c r="T166" s="161">
        <f>SUM(T162:T165)</f>
        <v>1</v>
      </c>
      <c r="U166" s="162">
        <f>SUM(U162:U164)</f>
        <v>1.5999999999999999</v>
      </c>
      <c r="V166" s="163">
        <f>SUM(V162:V164)</f>
        <v>1.1200000000000001</v>
      </c>
    </row>
    <row r="167" spans="1:22" ht="15" hidden="1" thickBot="1" x14ac:dyDescent="0.35">
      <c r="A167" s="82">
        <v>906</v>
      </c>
      <c r="B167" s="33">
        <v>2</v>
      </c>
      <c r="C167" s="19" t="s">
        <v>1263</v>
      </c>
      <c r="D167" s="23" t="str">
        <f>'Ramo Comercial'!C139</f>
        <v>INCLUIDO</v>
      </c>
      <c r="E167" s="91"/>
      <c r="F167" s="132">
        <f>'COTIZACIÓN M.N.'!D73</f>
        <v>250000</v>
      </c>
      <c r="G167" s="132">
        <f>'COTIZACIÓN M.N.'!E73</f>
        <v>5</v>
      </c>
      <c r="H167" s="28"/>
      <c r="I167" s="28"/>
      <c r="J167" s="28"/>
      <c r="K167" s="28"/>
      <c r="L167" s="28"/>
      <c r="M167" s="68">
        <v>5.8000000000000003E-2</v>
      </c>
      <c r="N167" s="28"/>
      <c r="O167" s="83"/>
      <c r="P167" s="13" t="str">
        <f t="shared" si="183"/>
        <v>SI</v>
      </c>
      <c r="Q167" s="48">
        <f>IF(D167="INCLUIDO",IF(F167&lt;&gt;0,1,0),0)</f>
        <v>1</v>
      </c>
      <c r="T167" s="142">
        <f>G167</f>
        <v>5</v>
      </c>
      <c r="U167" s="150"/>
      <c r="V167" s="151"/>
    </row>
    <row r="168" spans="1:22" hidden="1" x14ac:dyDescent="0.3">
      <c r="A168" s="34" t="s">
        <v>1261</v>
      </c>
      <c r="B168" s="36">
        <v>110</v>
      </c>
      <c r="C168" s="29" t="s">
        <v>1151</v>
      </c>
      <c r="D168" s="29" t="str">
        <f>D167</f>
        <v>INCLUIDO</v>
      </c>
      <c r="E168" s="27" t="s">
        <v>1152</v>
      </c>
      <c r="F168" s="20">
        <f>$F$167*S168</f>
        <v>250000</v>
      </c>
      <c r="G168" s="21">
        <f>V168</f>
        <v>3.5</v>
      </c>
      <c r="H168" s="9">
        <f t="shared" ref="H168:H171" si="201">(IF(I168="$ Prima",G168,G168*F168/R168))*$U$9</f>
        <v>875</v>
      </c>
      <c r="I168" s="9" t="s">
        <v>1153</v>
      </c>
      <c r="J168" s="9">
        <f t="shared" ref="J168:J171" si="202">H168*$U$7</f>
        <v>0</v>
      </c>
      <c r="K168" s="9">
        <f t="shared" ref="K168:K171" si="203">(H168+J168)*$K$15</f>
        <v>140</v>
      </c>
      <c r="L168" s="9">
        <f t="shared" ref="L168:L171" si="204">ROUND(H168+J168+K168,2)</f>
        <v>1015</v>
      </c>
      <c r="M168" s="11">
        <f>$M$167</f>
        <v>5.8000000000000003E-2</v>
      </c>
      <c r="N168" s="9">
        <f t="shared" ref="N168:N171" si="205">H168*M168</f>
        <v>50.75</v>
      </c>
      <c r="O168" s="12">
        <f t="shared" ref="O168:O171" si="206">N168</f>
        <v>50.75</v>
      </c>
      <c r="P168" s="13" t="str">
        <f t="shared" si="183"/>
        <v>SI</v>
      </c>
      <c r="Q168">
        <f>IF(D168="INCLUIDO",IF(F168&lt;&gt;0,1,0),0)</f>
        <v>1</v>
      </c>
      <c r="R168">
        <f>IF(I168="%o Al Millar",1000,IF(I168="% Al Porciento",100,IF(I168="$ Prima",G168)))</f>
        <v>1000</v>
      </c>
      <c r="S168">
        <f t="shared" ref="S168:S171" si="207">IF(E168="Excluido",0,IF(D168="NO APLICA",0,1))</f>
        <v>1</v>
      </c>
      <c r="T168" s="152">
        <v>0.7</v>
      </c>
      <c r="U168" s="159">
        <f>IF(E168="Excluido",0,T167*T168)</f>
        <v>3.5</v>
      </c>
      <c r="V168" s="160">
        <f>IF(D167="NO APLICA",0,(U172-U170)+(T167-U172))</f>
        <v>3.5</v>
      </c>
    </row>
    <row r="169" spans="1:22" hidden="1" x14ac:dyDescent="0.3">
      <c r="A169" s="34" t="s">
        <v>1261</v>
      </c>
      <c r="B169" s="36"/>
      <c r="C169" s="81">
        <f>$O$12</f>
        <v>0</v>
      </c>
      <c r="D169" s="29" t="str">
        <f t="shared" si="197"/>
        <v>INCLUIDO</v>
      </c>
      <c r="E169" s="27" t="s">
        <v>1186</v>
      </c>
      <c r="F169" s="9">
        <f>(F168*$O$12)*S169</f>
        <v>0</v>
      </c>
      <c r="G169" s="10">
        <f>G168*0.35</f>
        <v>1.2249999999999999</v>
      </c>
      <c r="H169" s="9">
        <f t="shared" si="201"/>
        <v>0</v>
      </c>
      <c r="I169" s="9" t="s">
        <v>1153</v>
      </c>
      <c r="J169" s="9">
        <f t="shared" si="202"/>
        <v>0</v>
      </c>
      <c r="K169" s="9">
        <f t="shared" si="203"/>
        <v>0</v>
      </c>
      <c r="L169" s="9">
        <f t="shared" si="204"/>
        <v>0</v>
      </c>
      <c r="M169" s="11">
        <f>M168</f>
        <v>5.8000000000000003E-2</v>
      </c>
      <c r="N169" s="9">
        <f t="shared" si="205"/>
        <v>0</v>
      </c>
      <c r="O169" s="12">
        <f t="shared" si="206"/>
        <v>0</v>
      </c>
      <c r="P169" s="13" t="str">
        <f t="shared" si="183"/>
        <v>NO</v>
      </c>
      <c r="Q169">
        <f>IF(D169="INCLUIDO",IF(F169&lt;&gt;0,1,0),0)</f>
        <v>0</v>
      </c>
      <c r="R169">
        <f>IF(I169="%o Al Millar",1000,IF(I169="% Al Porciento",100,IF(I169="$ Prima",G169)))</f>
        <v>1000</v>
      </c>
      <c r="S169">
        <f t="shared" si="207"/>
        <v>0</v>
      </c>
      <c r="T169" s="152"/>
      <c r="U169" s="159"/>
      <c r="V169" s="160"/>
    </row>
    <row r="170" spans="1:22" ht="15" hidden="1" customHeight="1" thickBot="1" x14ac:dyDescent="0.35">
      <c r="A170" s="34" t="s">
        <v>1261</v>
      </c>
      <c r="B170" s="36">
        <v>109</v>
      </c>
      <c r="C170" s="29" t="s">
        <v>1262</v>
      </c>
      <c r="D170" s="29" t="str">
        <f>D167</f>
        <v>INCLUIDO</v>
      </c>
      <c r="E170" s="27" t="s">
        <v>1137</v>
      </c>
      <c r="F170" s="20">
        <f>$F$167*S170</f>
        <v>250000</v>
      </c>
      <c r="G170" s="21">
        <f>V170</f>
        <v>1.5</v>
      </c>
      <c r="H170" s="9">
        <f t="shared" si="201"/>
        <v>375</v>
      </c>
      <c r="I170" s="9" t="s">
        <v>1153</v>
      </c>
      <c r="J170" s="9">
        <f t="shared" si="202"/>
        <v>0</v>
      </c>
      <c r="K170" s="9">
        <f t="shared" si="203"/>
        <v>60</v>
      </c>
      <c r="L170" s="9">
        <f t="shared" si="204"/>
        <v>435</v>
      </c>
      <c r="M170" s="11">
        <f t="shared" ref="M170:M171" si="208">$M$167</f>
        <v>5.8000000000000003E-2</v>
      </c>
      <c r="N170" s="9">
        <f t="shared" si="205"/>
        <v>21.75</v>
      </c>
      <c r="O170" s="12">
        <f t="shared" si="206"/>
        <v>21.75</v>
      </c>
      <c r="P170" s="13" t="str">
        <f t="shared" si="183"/>
        <v>SI</v>
      </c>
      <c r="Q170">
        <f>IF(D170="INCLUIDO",IF(F170&lt;&gt;0,1,0),0)</f>
        <v>1</v>
      </c>
      <c r="R170">
        <f>IF(I170="%o Al Millar",1000,IF(I170="% Al Porciento",100,IF(I170="$ Prima",G170)))</f>
        <v>1000</v>
      </c>
      <c r="S170">
        <f t="shared" si="207"/>
        <v>1</v>
      </c>
      <c r="T170" s="152">
        <v>0.3</v>
      </c>
      <c r="U170" s="159">
        <f>IF(E170="Excluido",0,$T$167*T170)</f>
        <v>1.5</v>
      </c>
      <c r="V170" s="160">
        <f>IF($F170=0,0,U170)</f>
        <v>1.5</v>
      </c>
    </row>
    <row r="171" spans="1:22" ht="15" hidden="1" customHeight="1" thickBot="1" x14ac:dyDescent="0.35">
      <c r="A171" s="34" t="s">
        <v>1261</v>
      </c>
      <c r="B171" s="36"/>
      <c r="C171" s="81">
        <f>$O$12</f>
        <v>0</v>
      </c>
      <c r="D171" s="29" t="str">
        <f>D167</f>
        <v>INCLUIDO</v>
      </c>
      <c r="E171" s="27" t="s">
        <v>1186</v>
      </c>
      <c r="F171" s="9">
        <f>(F170*$O$12)*S171</f>
        <v>0</v>
      </c>
      <c r="G171" s="10">
        <f>G170*0.35</f>
        <v>0.52499999999999991</v>
      </c>
      <c r="H171" s="9">
        <f t="shared" si="201"/>
        <v>0</v>
      </c>
      <c r="I171" s="9" t="s">
        <v>1153</v>
      </c>
      <c r="J171" s="9">
        <f t="shared" si="202"/>
        <v>0</v>
      </c>
      <c r="K171" s="9">
        <f t="shared" si="203"/>
        <v>0</v>
      </c>
      <c r="L171" s="9">
        <f t="shared" si="204"/>
        <v>0</v>
      </c>
      <c r="M171" s="11">
        <f t="shared" si="208"/>
        <v>5.8000000000000003E-2</v>
      </c>
      <c r="N171" s="9">
        <f t="shared" si="205"/>
        <v>0</v>
      </c>
      <c r="O171" s="12">
        <f t="shared" si="206"/>
        <v>0</v>
      </c>
      <c r="P171" s="13" t="str">
        <f t="shared" si="183"/>
        <v>NO</v>
      </c>
      <c r="Q171">
        <f>IF(D171="INCLUIDO",IF(F171&lt;&gt;0,1,0),0)</f>
        <v>0</v>
      </c>
      <c r="R171">
        <f>IF(I171="%o Al Millar",1000,IF(I171="% Al Porciento",100,IF(I171="$ Prima",G171)))</f>
        <v>1000</v>
      </c>
      <c r="S171">
        <f t="shared" si="207"/>
        <v>0</v>
      </c>
      <c r="T171" s="164"/>
      <c r="U171" s="165"/>
      <c r="V171" s="166"/>
    </row>
    <row r="172" spans="1:22" s="18" customFormat="1" ht="15" hidden="1" thickBot="1" x14ac:dyDescent="0.35">
      <c r="A172" s="24"/>
      <c r="B172" s="26"/>
      <c r="C172" s="15" t="s">
        <v>1177</v>
      </c>
      <c r="D172" s="38" t="str">
        <f>D171</f>
        <v>INCLUIDO</v>
      </c>
      <c r="E172" s="38"/>
      <c r="F172" s="16">
        <f>SUMIF(E168:E171,"Adicional",F168:F171)</f>
        <v>250000</v>
      </c>
      <c r="G172" s="17"/>
      <c r="H172" s="16">
        <f>SUM(H168:H171)</f>
        <v>1250</v>
      </c>
      <c r="I172" s="16"/>
      <c r="J172" s="16">
        <f t="shared" ref="J172:L172" si="209">SUM(J168:J171)</f>
        <v>0</v>
      </c>
      <c r="K172" s="16">
        <f t="shared" si="209"/>
        <v>200</v>
      </c>
      <c r="L172" s="16">
        <f t="shared" si="209"/>
        <v>1450</v>
      </c>
      <c r="M172" s="16" t="s">
        <v>1178</v>
      </c>
      <c r="N172" s="16">
        <f t="shared" ref="N172:O172" si="210">SUM(N168:N171)</f>
        <v>72.5</v>
      </c>
      <c r="O172" s="84">
        <f t="shared" si="210"/>
        <v>72.5</v>
      </c>
      <c r="P172" s="13" t="str">
        <f t="shared" si="183"/>
        <v>SI</v>
      </c>
      <c r="Q172">
        <f>IF(D172="INCLUIDO",IF(H172&lt;&gt;0,1,0),0)</f>
        <v>1</v>
      </c>
      <c r="T172" s="143">
        <f>SUM(T168:T171)</f>
        <v>1</v>
      </c>
      <c r="U172" s="144">
        <f>SUM(U168:U170)</f>
        <v>5</v>
      </c>
      <c r="V172" s="145">
        <f>SUM(V168:V170)</f>
        <v>5</v>
      </c>
    </row>
    <row r="173" spans="1:22" ht="15" hidden="1" customHeight="1" thickBot="1" x14ac:dyDescent="0.35">
      <c r="A173" s="82">
        <v>906</v>
      </c>
      <c r="B173" s="33">
        <v>3</v>
      </c>
      <c r="C173" s="19" t="s">
        <v>1264</v>
      </c>
      <c r="D173" s="23" t="str">
        <f>'Ramo Comercial'!C140</f>
        <v>INCLUIDO</v>
      </c>
      <c r="E173" s="91"/>
      <c r="F173" s="132">
        <v>0</v>
      </c>
      <c r="G173" s="132">
        <v>1</v>
      </c>
      <c r="H173" s="28"/>
      <c r="I173" s="28"/>
      <c r="J173" s="28"/>
      <c r="K173" s="28"/>
      <c r="L173" s="28"/>
      <c r="M173" s="68">
        <v>0</v>
      </c>
      <c r="N173" s="28"/>
      <c r="O173" s="83"/>
      <c r="P173" s="13" t="str">
        <f t="shared" si="183"/>
        <v>NO</v>
      </c>
      <c r="Q173" s="48">
        <f>IF(D173="INCLUIDO",IF(F173&lt;&gt;0,1,0),0)</f>
        <v>0</v>
      </c>
      <c r="T173" s="142">
        <f>G173</f>
        <v>1</v>
      </c>
      <c r="V173" s="153"/>
    </row>
    <row r="174" spans="1:22" ht="15" hidden="1" customHeight="1" x14ac:dyDescent="0.3">
      <c r="A174" s="34" t="s">
        <v>1261</v>
      </c>
      <c r="B174" s="36">
        <v>114</v>
      </c>
      <c r="C174" s="29" t="s">
        <v>1151</v>
      </c>
      <c r="D174" s="29" t="str">
        <f>D173</f>
        <v>INCLUIDO</v>
      </c>
      <c r="E174" s="27" t="s">
        <v>1186</v>
      </c>
      <c r="F174" s="20">
        <f>$F$173*S174</f>
        <v>0</v>
      </c>
      <c r="G174" s="21">
        <f>V174</f>
        <v>1</v>
      </c>
      <c r="H174" s="9">
        <f t="shared" ref="H174:H177" si="211">(IF(I174="$ Prima",G174,G174*F174/R174))*$U$9</f>
        <v>0</v>
      </c>
      <c r="I174" s="9" t="s">
        <v>1235</v>
      </c>
      <c r="J174" s="9">
        <f t="shared" ref="J174:J177" si="212">H174*$U$7</f>
        <v>0</v>
      </c>
      <c r="K174" s="9">
        <f t="shared" ref="K174:K177" si="213">(H174+J174)*$K$15</f>
        <v>0</v>
      </c>
      <c r="L174" s="9">
        <f t="shared" ref="L174:L177" si="214">ROUND(H174+J174+K174,2)</f>
        <v>0</v>
      </c>
      <c r="M174" s="11">
        <f>$M$173</f>
        <v>0</v>
      </c>
      <c r="N174" s="9">
        <f t="shared" ref="N174:N177" si="215">H174*M174</f>
        <v>0</v>
      </c>
      <c r="O174" s="12">
        <f t="shared" ref="O174:O177" si="216">N174</f>
        <v>0</v>
      </c>
      <c r="P174" s="13" t="str">
        <f t="shared" si="183"/>
        <v>NO</v>
      </c>
      <c r="Q174">
        <f>IF(D174="INCLUIDO",IF(F174&lt;&gt;0,1,0),0)</f>
        <v>0</v>
      </c>
      <c r="R174">
        <f>IF(I174="%o Al Millar",1000,IF(I174="% Al Porciento",100,IF(I174="$ Prima",G174)))</f>
        <v>100</v>
      </c>
      <c r="S174">
        <f t="shared" ref="S174:S177" si="217">IF(E174="Excluido",0,IF(D174="NO APLICA",0,1))</f>
        <v>0</v>
      </c>
      <c r="T174" s="152">
        <v>0.4</v>
      </c>
      <c r="U174" s="159">
        <f>IF(E174="Excluido",0,T173*T174)</f>
        <v>0</v>
      </c>
      <c r="V174" s="160">
        <f>IF(D173="NO APLICA",0,(U186-U176-U180-U184)+(T173-U186))</f>
        <v>1</v>
      </c>
    </row>
    <row r="175" spans="1:22" ht="15" hidden="1" customHeight="1" x14ac:dyDescent="0.3">
      <c r="A175" s="34" t="s">
        <v>1261</v>
      </c>
      <c r="B175" s="36"/>
      <c r="C175" s="81">
        <f>$O$12</f>
        <v>0</v>
      </c>
      <c r="D175" s="29" t="str">
        <f t="shared" si="197"/>
        <v>INCLUIDO</v>
      </c>
      <c r="E175" s="27" t="str">
        <f>E174</f>
        <v>Excluido</v>
      </c>
      <c r="F175" s="9">
        <f>(F174*$O$12)*S175</f>
        <v>0</v>
      </c>
      <c r="G175" s="10">
        <f>G174*0.35</f>
        <v>0.35</v>
      </c>
      <c r="H175" s="9">
        <f t="shared" si="211"/>
        <v>0</v>
      </c>
      <c r="I175" s="9" t="s">
        <v>1235</v>
      </c>
      <c r="J175" s="9">
        <f t="shared" si="212"/>
        <v>0</v>
      </c>
      <c r="K175" s="9">
        <f t="shared" si="213"/>
        <v>0</v>
      </c>
      <c r="L175" s="9">
        <f t="shared" si="214"/>
        <v>0</v>
      </c>
      <c r="M175" s="11">
        <f t="shared" ref="M175" si="218">$M$161</f>
        <v>5.8000000000000003E-2</v>
      </c>
      <c r="N175" s="9">
        <f t="shared" si="215"/>
        <v>0</v>
      </c>
      <c r="O175" s="12">
        <f t="shared" si="216"/>
        <v>0</v>
      </c>
      <c r="P175" s="13" t="str">
        <f t="shared" si="183"/>
        <v>NO</v>
      </c>
      <c r="Q175">
        <f>IF(D175="INCLUIDO",IF(F175&lt;&gt;0,1,0),0)</f>
        <v>0</v>
      </c>
      <c r="R175">
        <f>IF(I175="%o Al Millar",1000,IF(I175="% Al Porciento",100,IF(I175="$ Prima",G175)))</f>
        <v>100</v>
      </c>
      <c r="S175">
        <f t="shared" si="217"/>
        <v>0</v>
      </c>
      <c r="T175" s="152"/>
      <c r="U175" s="159"/>
      <c r="V175" s="160"/>
    </row>
    <row r="176" spans="1:22" ht="15" hidden="1" customHeight="1" x14ac:dyDescent="0.3">
      <c r="A176" s="34" t="s">
        <v>1261</v>
      </c>
      <c r="B176" s="36">
        <v>113</v>
      </c>
      <c r="C176" s="29" t="s">
        <v>1262</v>
      </c>
      <c r="D176" s="29" t="str">
        <f>D173</f>
        <v>INCLUIDO</v>
      </c>
      <c r="E176" s="27" t="s">
        <v>1186</v>
      </c>
      <c r="F176" s="20">
        <f>$F$173*S176</f>
        <v>0</v>
      </c>
      <c r="G176" s="21">
        <f>V176</f>
        <v>0</v>
      </c>
      <c r="H176" s="9">
        <f t="shared" si="211"/>
        <v>0</v>
      </c>
      <c r="I176" s="9" t="s">
        <v>1235</v>
      </c>
      <c r="J176" s="9">
        <f t="shared" si="212"/>
        <v>0</v>
      </c>
      <c r="K176" s="9">
        <f t="shared" si="213"/>
        <v>0</v>
      </c>
      <c r="L176" s="9">
        <f t="shared" si="214"/>
        <v>0</v>
      </c>
      <c r="M176" s="11">
        <f t="shared" ref="M176:M177" si="219">$M$173</f>
        <v>0</v>
      </c>
      <c r="N176" s="9">
        <f t="shared" si="215"/>
        <v>0</v>
      </c>
      <c r="O176" s="12">
        <f t="shared" si="216"/>
        <v>0</v>
      </c>
      <c r="P176" s="13" t="str">
        <f t="shared" si="183"/>
        <v>NO</v>
      </c>
      <c r="Q176">
        <f>IF(D176="INCLUIDO",IF(F176&lt;&gt;0,1,0),0)</f>
        <v>0</v>
      </c>
      <c r="R176">
        <f>IF(I176="%o Al Millar",1000,IF(I176="% Al Porciento",100,IF(I176="$ Prima",G176)))</f>
        <v>100</v>
      </c>
      <c r="S176">
        <f t="shared" si="217"/>
        <v>0</v>
      </c>
      <c r="T176" s="152">
        <v>0.1</v>
      </c>
      <c r="U176" s="159">
        <f>IF(E176="Excluido",0,$T$173*T176)</f>
        <v>0</v>
      </c>
      <c r="V176" s="160">
        <f>IF($F176=0,0,U176)</f>
        <v>0</v>
      </c>
    </row>
    <row r="177" spans="1:22" ht="15" hidden="1" customHeight="1" x14ac:dyDescent="0.3">
      <c r="A177" s="34" t="s">
        <v>1261</v>
      </c>
      <c r="B177" s="36"/>
      <c r="C177" s="81">
        <f>$O$12</f>
        <v>0</v>
      </c>
      <c r="D177" s="29" t="str">
        <f>D173</f>
        <v>INCLUIDO</v>
      </c>
      <c r="E177" s="27" t="str">
        <f>E176</f>
        <v>Excluido</v>
      </c>
      <c r="F177" s="9">
        <f>(F176*$O$12)*S177</f>
        <v>0</v>
      </c>
      <c r="G177" s="21">
        <v>0</v>
      </c>
      <c r="H177" s="9">
        <f t="shared" si="211"/>
        <v>0</v>
      </c>
      <c r="I177" s="9" t="s">
        <v>1235</v>
      </c>
      <c r="J177" s="9">
        <f t="shared" si="212"/>
        <v>0</v>
      </c>
      <c r="K177" s="9">
        <f t="shared" si="213"/>
        <v>0</v>
      </c>
      <c r="L177" s="9">
        <f t="shared" si="214"/>
        <v>0</v>
      </c>
      <c r="M177" s="11">
        <f t="shared" si="219"/>
        <v>0</v>
      </c>
      <c r="N177" s="9">
        <f t="shared" si="215"/>
        <v>0</v>
      </c>
      <c r="O177" s="12">
        <f t="shared" si="216"/>
        <v>0</v>
      </c>
      <c r="P177" s="13" t="str">
        <f t="shared" si="183"/>
        <v>NO</v>
      </c>
      <c r="Q177">
        <f>IF(D177="INCLUIDO",IF(F177&lt;&gt;0,1,0),0)</f>
        <v>0</v>
      </c>
      <c r="R177">
        <f>IF(I177="%o Al Millar",1000,IF(I177="% Al Porciento",100,IF(I177="$ Prima",G177)))</f>
        <v>100</v>
      </c>
      <c r="S177">
        <f t="shared" si="217"/>
        <v>0</v>
      </c>
      <c r="T177" s="154"/>
      <c r="V177" s="153"/>
    </row>
    <row r="178" spans="1:22" s="18" customFormat="1" ht="15" hidden="1" customHeight="1" x14ac:dyDescent="0.3">
      <c r="A178" s="24"/>
      <c r="B178" s="26"/>
      <c r="C178" s="15" t="s">
        <v>1177</v>
      </c>
      <c r="D178" s="38" t="str">
        <f>D177</f>
        <v>INCLUIDO</v>
      </c>
      <c r="E178" s="38"/>
      <c r="F178" s="16"/>
      <c r="G178" s="17"/>
      <c r="H178" s="16">
        <f>SUM(H174:H177)</f>
        <v>0</v>
      </c>
      <c r="I178" s="16"/>
      <c r="J178" s="16">
        <f t="shared" ref="J178:L178" si="220">SUM(J174:J177)</f>
        <v>0</v>
      </c>
      <c r="K178" s="16">
        <f t="shared" si="220"/>
        <v>0</v>
      </c>
      <c r="L178" s="16">
        <f t="shared" si="220"/>
        <v>0</v>
      </c>
      <c r="M178" s="16" t="s">
        <v>1178</v>
      </c>
      <c r="N178" s="16">
        <f t="shared" ref="N178:O178" si="221">SUM(N174:N177)</f>
        <v>0</v>
      </c>
      <c r="O178" s="84">
        <f t="shared" si="221"/>
        <v>0</v>
      </c>
      <c r="P178" s="13" t="str">
        <f t="shared" si="183"/>
        <v>NO</v>
      </c>
      <c r="Q178">
        <f>IF(D178="INCLUIDO",IF(H178&lt;&gt;0,1,0),0)</f>
        <v>0</v>
      </c>
      <c r="T178" s="167"/>
      <c r="V178" s="168"/>
    </row>
    <row r="179" spans="1:22" ht="15" hidden="1" customHeight="1" x14ac:dyDescent="0.3">
      <c r="A179" s="82">
        <v>906</v>
      </c>
      <c r="B179" s="33">
        <v>4</v>
      </c>
      <c r="C179" s="19" t="s">
        <v>1265</v>
      </c>
      <c r="D179" s="23" t="str">
        <f>D173</f>
        <v>INCLUIDO</v>
      </c>
      <c r="E179" s="91"/>
      <c r="F179" s="113">
        <v>0</v>
      </c>
      <c r="G179" s="132"/>
      <c r="H179" s="28"/>
      <c r="I179" s="28"/>
      <c r="J179" s="28"/>
      <c r="K179" s="28"/>
      <c r="L179" s="28"/>
      <c r="M179" s="68">
        <v>0</v>
      </c>
      <c r="N179" s="28"/>
      <c r="O179" s="83"/>
      <c r="P179" s="13" t="str">
        <f t="shared" si="183"/>
        <v>NO</v>
      </c>
      <c r="Q179" s="48">
        <f>IF(D179="INCLUIDO",IF(F179&lt;&gt;0,1,0),0)</f>
        <v>0</v>
      </c>
      <c r="T179" s="154"/>
      <c r="V179" s="153"/>
    </row>
    <row r="180" spans="1:22" ht="15" hidden="1" customHeight="1" x14ac:dyDescent="0.3">
      <c r="A180" s="34" t="s">
        <v>1261</v>
      </c>
      <c r="B180" s="36">
        <v>115</v>
      </c>
      <c r="C180" s="29" t="s">
        <v>1170</v>
      </c>
      <c r="D180" s="29" t="str">
        <f>D173</f>
        <v>INCLUIDO</v>
      </c>
      <c r="E180" s="27" t="s">
        <v>1186</v>
      </c>
      <c r="F180" s="20">
        <f>F179*S180</f>
        <v>0</v>
      </c>
      <c r="G180" s="21">
        <f>V180</f>
        <v>0</v>
      </c>
      <c r="H180" s="9">
        <f t="shared" ref="H180:H181" si="222">(IF(I180="$ Prima",G180,G180*F180/R180))*$U$9</f>
        <v>0</v>
      </c>
      <c r="I180" s="9" t="s">
        <v>1235</v>
      </c>
      <c r="J180" s="9">
        <f t="shared" ref="J180:J181" si="223">H180*$U$7</f>
        <v>0</v>
      </c>
      <c r="K180" s="9">
        <f t="shared" ref="K180:K181" si="224">(H180+J180)*$K$15</f>
        <v>0</v>
      </c>
      <c r="L180" s="9">
        <f t="shared" ref="L180:L181" si="225">ROUND(H180+J180+K180,2)</f>
        <v>0</v>
      </c>
      <c r="M180" s="11">
        <f>$M$179</f>
        <v>0</v>
      </c>
      <c r="N180" s="9">
        <f t="shared" ref="N180:N181" si="226">H180*M180</f>
        <v>0</v>
      </c>
      <c r="O180" s="12">
        <f t="shared" ref="O180:O181" si="227">N180</f>
        <v>0</v>
      </c>
      <c r="P180" s="13" t="str">
        <f t="shared" si="183"/>
        <v>NO</v>
      </c>
      <c r="Q180">
        <f>IF(D180="INCLUIDO",IF(F180&lt;&gt;0,1,0),0)</f>
        <v>0</v>
      </c>
      <c r="R180">
        <f>IF(I180="%o Al Millar",1000,IF(I180="% Al Porciento",100,IF(I180="$ Prima",G180)))</f>
        <v>100</v>
      </c>
      <c r="S180">
        <f t="shared" ref="S180:S181" si="228">IF(E180="Excluido",0,IF(D180="NO APLICA",0,1))</f>
        <v>0</v>
      </c>
      <c r="T180" s="152">
        <v>0.25</v>
      </c>
      <c r="U180" s="159">
        <f>IF(E180="Excluido",0,$T$173*T180)</f>
        <v>0</v>
      </c>
      <c r="V180" s="160">
        <f>IF($F180=0,0,U180)</f>
        <v>0</v>
      </c>
    </row>
    <row r="181" spans="1:22" ht="15" hidden="1" customHeight="1" x14ac:dyDescent="0.3">
      <c r="A181" s="34" t="s">
        <v>1261</v>
      </c>
      <c r="B181" s="36"/>
      <c r="C181" s="81">
        <f>$O$12</f>
        <v>0</v>
      </c>
      <c r="D181" s="29" t="str">
        <f>D173</f>
        <v>INCLUIDO</v>
      </c>
      <c r="E181" s="27" t="str">
        <f>E180</f>
        <v>Excluido</v>
      </c>
      <c r="F181" s="9">
        <f>(F180*$O$12)*S181</f>
        <v>0</v>
      </c>
      <c r="G181" s="21">
        <v>0</v>
      </c>
      <c r="H181" s="9">
        <f t="shared" si="222"/>
        <v>0</v>
      </c>
      <c r="I181" s="9" t="s">
        <v>1235</v>
      </c>
      <c r="J181" s="9">
        <f t="shared" si="223"/>
        <v>0</v>
      </c>
      <c r="K181" s="9">
        <f t="shared" si="224"/>
        <v>0</v>
      </c>
      <c r="L181" s="9">
        <f t="shared" si="225"/>
        <v>0</v>
      </c>
      <c r="M181" s="11">
        <f>$M$179</f>
        <v>0</v>
      </c>
      <c r="N181" s="9">
        <f t="shared" si="226"/>
        <v>0</v>
      </c>
      <c r="O181" s="12">
        <f t="shared" si="227"/>
        <v>0</v>
      </c>
      <c r="P181" s="13" t="str">
        <f t="shared" si="183"/>
        <v>NO</v>
      </c>
      <c r="Q181">
        <f>IF(D181="INCLUIDO",IF(F181&lt;&gt;0,1,0),0)</f>
        <v>0</v>
      </c>
      <c r="R181">
        <f>IF(I181="%o Al Millar",1000,IF(I181="% Al Porciento",100,IF(I181="$ Prima",G181)))</f>
        <v>100</v>
      </c>
      <c r="S181">
        <f t="shared" si="228"/>
        <v>0</v>
      </c>
      <c r="T181" s="154"/>
      <c r="V181" s="153"/>
    </row>
    <row r="182" spans="1:22" s="18" customFormat="1" ht="15" hidden="1" customHeight="1" x14ac:dyDescent="0.3">
      <c r="A182" s="24"/>
      <c r="B182" s="26"/>
      <c r="C182" s="15" t="s">
        <v>1177</v>
      </c>
      <c r="D182" s="38" t="str">
        <f>D181</f>
        <v>INCLUIDO</v>
      </c>
      <c r="E182" s="38"/>
      <c r="F182" s="16"/>
      <c r="G182" s="17"/>
      <c r="H182" s="16">
        <f>SUM(H180:H181)</f>
        <v>0</v>
      </c>
      <c r="I182" s="16"/>
      <c r="J182" s="16">
        <f t="shared" ref="J182:L182" si="229">SUM(J180:J181)</f>
        <v>0</v>
      </c>
      <c r="K182" s="16">
        <f t="shared" si="229"/>
        <v>0</v>
      </c>
      <c r="L182" s="16">
        <f t="shared" si="229"/>
        <v>0</v>
      </c>
      <c r="M182" s="16" t="s">
        <v>1178</v>
      </c>
      <c r="N182" s="16">
        <f t="shared" ref="N182:O182" si="230">SUM(N180:N181)</f>
        <v>0</v>
      </c>
      <c r="O182" s="84">
        <f t="shared" si="230"/>
        <v>0</v>
      </c>
      <c r="P182" s="13" t="str">
        <f t="shared" si="183"/>
        <v>NO</v>
      </c>
      <c r="Q182">
        <f>IF(D182="INCLUIDO",IF(H182&lt;&gt;0,1,0),0)</f>
        <v>0</v>
      </c>
      <c r="T182" s="167"/>
      <c r="V182" s="168"/>
    </row>
    <row r="183" spans="1:22" ht="15" hidden="1" customHeight="1" x14ac:dyDescent="0.3">
      <c r="A183" s="82">
        <v>906</v>
      </c>
      <c r="B183" s="33">
        <v>5</v>
      </c>
      <c r="C183" s="19" t="s">
        <v>1266</v>
      </c>
      <c r="D183" s="23" t="str">
        <f>D173</f>
        <v>INCLUIDO</v>
      </c>
      <c r="E183" s="91"/>
      <c r="F183" s="42">
        <v>0</v>
      </c>
      <c r="G183" s="43"/>
      <c r="H183" s="28"/>
      <c r="I183" s="28"/>
      <c r="J183" s="28"/>
      <c r="K183" s="28"/>
      <c r="L183" s="28"/>
      <c r="M183" s="68">
        <v>0</v>
      </c>
      <c r="N183" s="28"/>
      <c r="O183" s="83"/>
      <c r="P183" s="13" t="str">
        <f t="shared" si="183"/>
        <v>NO</v>
      </c>
      <c r="Q183" s="48">
        <f>IF(D183="INCLUIDO",IF(F183&lt;&gt;0,1,0),0)</f>
        <v>0</v>
      </c>
      <c r="T183" s="154"/>
      <c r="V183" s="153"/>
    </row>
    <row r="184" spans="1:22" ht="15" hidden="1" customHeight="1" x14ac:dyDescent="0.3">
      <c r="A184" s="34" t="s">
        <v>1261</v>
      </c>
      <c r="B184" s="36">
        <v>116</v>
      </c>
      <c r="C184" s="29" t="s">
        <v>1267</v>
      </c>
      <c r="D184" s="29" t="str">
        <f>D173</f>
        <v>INCLUIDO</v>
      </c>
      <c r="E184" s="27" t="s">
        <v>1186</v>
      </c>
      <c r="F184" s="20">
        <f>F183*S184</f>
        <v>0</v>
      </c>
      <c r="G184" s="21">
        <f>V184</f>
        <v>0</v>
      </c>
      <c r="H184" s="9">
        <f t="shared" ref="H184:H185" si="231">(IF(I184="$ Prima",G184,G184*F184/R184))*$U$9</f>
        <v>0</v>
      </c>
      <c r="I184" s="9" t="s">
        <v>1235</v>
      </c>
      <c r="J184" s="9">
        <f t="shared" ref="J184:J185" si="232">H184*$U$7</f>
        <v>0</v>
      </c>
      <c r="K184" s="9">
        <f t="shared" ref="K184:K185" si="233">(H184+J184)*$K$15</f>
        <v>0</v>
      </c>
      <c r="L184" s="9">
        <f t="shared" ref="L184:L185" si="234">ROUND(H184+J184+K184,2)</f>
        <v>0</v>
      </c>
      <c r="M184" s="11">
        <f>$M$183</f>
        <v>0</v>
      </c>
      <c r="N184" s="9">
        <f t="shared" ref="N184:N185" si="235">H184*M184</f>
        <v>0</v>
      </c>
      <c r="O184" s="12">
        <f t="shared" ref="O184:O185" si="236">N184</f>
        <v>0</v>
      </c>
      <c r="P184" s="13" t="str">
        <f t="shared" si="183"/>
        <v>NO</v>
      </c>
      <c r="Q184">
        <f>IF(D184="INCLUIDO",IF(F184&lt;&gt;0,1,0),0)</f>
        <v>0</v>
      </c>
      <c r="R184">
        <f>IF(I184="%o Al Millar",1000,IF(I184="% Al Porciento",100,IF(I184="$ Prima",G184)))</f>
        <v>100</v>
      </c>
      <c r="S184">
        <f t="shared" ref="S184:S185" si="237">IF(E184="Excluido",0,IF(D184="NO APLICA",0,1))</f>
        <v>0</v>
      </c>
      <c r="T184" s="152">
        <v>0.25</v>
      </c>
      <c r="U184" s="159">
        <f>IF(E184="Excluido",0,$T$173*T184)</f>
        <v>0</v>
      </c>
      <c r="V184" s="160">
        <f>IF($F184=0,0,U184)</f>
        <v>0</v>
      </c>
    </row>
    <row r="185" spans="1:22" ht="15" hidden="1" customHeight="1" thickBot="1" x14ac:dyDescent="0.35">
      <c r="A185" s="34" t="s">
        <v>1261</v>
      </c>
      <c r="B185" s="36"/>
      <c r="C185" s="81">
        <f>$O$12</f>
        <v>0</v>
      </c>
      <c r="D185" s="29" t="str">
        <f>D173</f>
        <v>INCLUIDO</v>
      </c>
      <c r="E185" s="27" t="str">
        <f>E184</f>
        <v>Excluido</v>
      </c>
      <c r="F185" s="9">
        <f>(F184*$O$12)*S185</f>
        <v>0</v>
      </c>
      <c r="G185" s="21">
        <v>0</v>
      </c>
      <c r="H185" s="9">
        <f t="shared" si="231"/>
        <v>0</v>
      </c>
      <c r="I185" s="9" t="s">
        <v>1235</v>
      </c>
      <c r="J185" s="9">
        <f t="shared" si="232"/>
        <v>0</v>
      </c>
      <c r="K185" s="9">
        <f t="shared" si="233"/>
        <v>0</v>
      </c>
      <c r="L185" s="9">
        <f t="shared" si="234"/>
        <v>0</v>
      </c>
      <c r="M185" s="11">
        <f>$M$183</f>
        <v>0</v>
      </c>
      <c r="N185" s="9">
        <f t="shared" si="235"/>
        <v>0</v>
      </c>
      <c r="O185" s="12">
        <f t="shared" si="236"/>
        <v>0</v>
      </c>
      <c r="P185" s="13" t="str">
        <f t="shared" si="183"/>
        <v>NO</v>
      </c>
      <c r="Q185">
        <f>IF(D185="INCLUIDO",IF(F185&lt;&gt;0,1,0),0)</f>
        <v>0</v>
      </c>
      <c r="R185">
        <f>IF(I185="%o Al Millar",1000,IF(I185="% Al Porciento",100,IF(I185="$ Prima",G185)))</f>
        <v>100</v>
      </c>
      <c r="S185">
        <f t="shared" si="237"/>
        <v>0</v>
      </c>
      <c r="T185" s="154"/>
      <c r="V185" s="153"/>
    </row>
    <row r="186" spans="1:22" s="18" customFormat="1" ht="15" hidden="1" customHeight="1" thickBot="1" x14ac:dyDescent="0.35">
      <c r="A186" s="24"/>
      <c r="B186" s="26"/>
      <c r="C186" s="15" t="s">
        <v>1177</v>
      </c>
      <c r="D186" s="38" t="str">
        <f>D185</f>
        <v>INCLUIDO</v>
      </c>
      <c r="E186" s="38"/>
      <c r="F186" s="16">
        <f>SUMIF(E174:E185,"Adicional",F174:F185)</f>
        <v>0</v>
      </c>
      <c r="G186" s="17"/>
      <c r="H186" s="16">
        <f>SUM(H184:H185)</f>
        <v>0</v>
      </c>
      <c r="I186" s="16"/>
      <c r="J186" s="16">
        <f t="shared" ref="J186:L186" si="238">SUM(J184:J185)</f>
        <v>0</v>
      </c>
      <c r="K186" s="16">
        <f t="shared" si="238"/>
        <v>0</v>
      </c>
      <c r="L186" s="16">
        <f t="shared" si="238"/>
        <v>0</v>
      </c>
      <c r="M186" s="16" t="s">
        <v>1178</v>
      </c>
      <c r="N186" s="16">
        <f t="shared" ref="N186:O186" si="239">SUM(N184:N185)</f>
        <v>0</v>
      </c>
      <c r="O186" s="84">
        <f t="shared" si="239"/>
        <v>0</v>
      </c>
      <c r="P186" s="13" t="str">
        <f t="shared" si="183"/>
        <v>NO</v>
      </c>
      <c r="Q186">
        <f>IF(D186="INCLUIDO",IF(H186&lt;&gt;0,1,0),0)</f>
        <v>0</v>
      </c>
      <c r="T186" s="143">
        <f>SUM(T174:T185)</f>
        <v>1</v>
      </c>
      <c r="U186" s="144">
        <f t="shared" ref="U186:V186" si="240">SUM(U174:U185)</f>
        <v>0</v>
      </c>
      <c r="V186" s="145">
        <f t="shared" si="240"/>
        <v>1</v>
      </c>
    </row>
    <row r="187" spans="1:22" ht="15" hidden="1" thickBot="1" x14ac:dyDescent="0.35">
      <c r="A187" s="82">
        <v>906</v>
      </c>
      <c r="B187" s="33">
        <v>6</v>
      </c>
      <c r="C187" s="19" t="s">
        <v>1268</v>
      </c>
      <c r="D187" s="23" t="str">
        <f>'Ramo Comercial'!C145</f>
        <v>INCLUIDO</v>
      </c>
      <c r="E187" s="91"/>
      <c r="F187" s="43">
        <f>'COTIZACIÓN M.N.'!D80</f>
        <v>6500000</v>
      </c>
      <c r="G187" s="211">
        <f>'COTIZACIÓN M.N.'!E80</f>
        <v>18</v>
      </c>
      <c r="H187" s="28"/>
      <c r="I187" s="28"/>
      <c r="J187" s="28"/>
      <c r="K187" s="28"/>
      <c r="L187" s="28"/>
      <c r="M187" s="68">
        <v>5.8000000000000003E-2</v>
      </c>
      <c r="N187" s="28"/>
      <c r="O187" s="83"/>
      <c r="P187" s="13" t="str">
        <f t="shared" si="183"/>
        <v>SI</v>
      </c>
      <c r="Q187" s="47">
        <f>IF(D187="INCLUIDO",IF(F188&lt;&gt;0,1,0),0)</f>
        <v>1</v>
      </c>
      <c r="T187" s="142">
        <f>G187</f>
        <v>18</v>
      </c>
      <c r="U187" s="150"/>
      <c r="V187" s="151"/>
    </row>
    <row r="188" spans="1:22" hidden="1" x14ac:dyDescent="0.3">
      <c r="A188" s="34" t="s">
        <v>1261</v>
      </c>
      <c r="B188" s="36">
        <v>256</v>
      </c>
      <c r="C188" s="29" t="s">
        <v>1269</v>
      </c>
      <c r="D188" s="29" t="str">
        <f>$D$187</f>
        <v>INCLUIDO</v>
      </c>
      <c r="E188" s="27" t="s">
        <v>1152</v>
      </c>
      <c r="F188" s="9">
        <f>F187*S188</f>
        <v>6500000</v>
      </c>
      <c r="G188" s="21">
        <f>V188</f>
        <v>13.139999999999999</v>
      </c>
      <c r="H188" s="9">
        <f>(((IF(I188="$ Prima",G188,G188*F188/R188))*$U$9)/365)*$J$15</f>
        <v>85409.999999999985</v>
      </c>
      <c r="I188" s="9" t="s">
        <v>1153</v>
      </c>
      <c r="J188" s="9">
        <f t="shared" ref="J188:J201" si="241">H188*$U$7</f>
        <v>0</v>
      </c>
      <c r="K188" s="9">
        <f t="shared" ref="K188:K201" si="242">(H188+J188)*$K$15</f>
        <v>13665.599999999999</v>
      </c>
      <c r="L188" s="9">
        <f t="shared" ref="L188:L201" si="243">ROUND(H188+J188+K188,2)</f>
        <v>99075.6</v>
      </c>
      <c r="M188" s="11">
        <f>$M$187</f>
        <v>5.8000000000000003E-2</v>
      </c>
      <c r="N188" s="9">
        <f t="shared" ref="N188:N201" si="244">H188*M188</f>
        <v>4953.78</v>
      </c>
      <c r="O188" s="12">
        <f t="shared" ref="O188:O201" si="245">N188</f>
        <v>4953.78</v>
      </c>
      <c r="P188" s="13" t="str">
        <f t="shared" si="183"/>
        <v>SI</v>
      </c>
      <c r="Q188">
        <f t="shared" ref="Q188:Q201" si="246">IF(D188="INCLUIDO",IF(F188&lt;&gt;0,1,0),0)</f>
        <v>1</v>
      </c>
      <c r="R188">
        <f t="shared" ref="R188:R201" si="247">IF(I188="%o Al Millar",1000,IF(I188="% Al Porciento",100,IF(I188="$ Prima",G188)))</f>
        <v>1000</v>
      </c>
      <c r="S188">
        <f t="shared" ref="S188:S201" si="248">IF(E188="Excluido",0,IF(D188="NO APLICA",0,1))</f>
        <v>1</v>
      </c>
      <c r="T188" s="152">
        <v>0.73</v>
      </c>
      <c r="U188" s="159">
        <f>IF(E188="Excluido",0,$T$187*T188)</f>
        <v>13.14</v>
      </c>
      <c r="V188" s="160">
        <f>IF(D187="NO APLICA",0,(U210-U192-U194-U196-U198-U204-U208)+(T187-U210))</f>
        <v>13.139999999999999</v>
      </c>
    </row>
    <row r="189" spans="1:22" hidden="1" x14ac:dyDescent="0.3">
      <c r="A189" s="34" t="s">
        <v>1261</v>
      </c>
      <c r="B189" s="36"/>
      <c r="C189" s="81">
        <f>$O$12</f>
        <v>0</v>
      </c>
      <c r="D189" s="29" t="str">
        <f t="shared" ref="D189:D201" si="249">$D$187</f>
        <v>INCLUIDO</v>
      </c>
      <c r="E189" s="27" t="s">
        <v>1186</v>
      </c>
      <c r="F189" s="9">
        <f>(F188*$O$12)*S189</f>
        <v>0</v>
      </c>
      <c r="G189" s="21">
        <f>(G188*0.35)*S189</f>
        <v>0</v>
      </c>
      <c r="H189" s="9">
        <f t="shared" ref="H189:H201" si="250">(IF(I189="$ Prima",G189,G189*F189/R189))*$U$9</f>
        <v>0</v>
      </c>
      <c r="I189" s="9" t="s">
        <v>1153</v>
      </c>
      <c r="J189" s="9">
        <f t="shared" si="241"/>
        <v>0</v>
      </c>
      <c r="K189" s="9">
        <f t="shared" si="242"/>
        <v>0</v>
      </c>
      <c r="L189" s="9">
        <f t="shared" si="243"/>
        <v>0</v>
      </c>
      <c r="M189" s="11">
        <f>M188</f>
        <v>5.8000000000000003E-2</v>
      </c>
      <c r="N189" s="9">
        <f t="shared" si="244"/>
        <v>0</v>
      </c>
      <c r="O189" s="12">
        <f t="shared" si="245"/>
        <v>0</v>
      </c>
      <c r="P189" s="13" t="str">
        <f t="shared" si="183"/>
        <v>NO</v>
      </c>
      <c r="Q189">
        <f>IF(D189="INCLUIDO",IF(F189&lt;&gt;0,1,0),0)</f>
        <v>0</v>
      </c>
      <c r="R189">
        <f>IF(I189="%o Al Millar",1000,IF(I189="% Al Porciento",100,IF(I189="$ Prima",G189)))</f>
        <v>1000</v>
      </c>
      <c r="S189">
        <f t="shared" si="248"/>
        <v>0</v>
      </c>
      <c r="T189" s="152"/>
      <c r="U189" s="159"/>
      <c r="V189" s="160"/>
    </row>
    <row r="190" spans="1:22" ht="15" hidden="1" customHeight="1" x14ac:dyDescent="0.3">
      <c r="A190" s="34" t="s">
        <v>1261</v>
      </c>
      <c r="B190" s="36">
        <v>257</v>
      </c>
      <c r="C190" s="29" t="s">
        <v>1270</v>
      </c>
      <c r="D190" s="29" t="str">
        <f t="shared" si="249"/>
        <v>INCLUIDO</v>
      </c>
      <c r="E190" s="27" t="s">
        <v>1137</v>
      </c>
      <c r="F190" s="43">
        <f>'COTIZACIÓN M.N.'!D81</f>
        <v>785000</v>
      </c>
      <c r="G190" s="132">
        <f>'COTIZACIÓN M.N.'!E81</f>
        <v>10</v>
      </c>
      <c r="H190" s="9">
        <f t="shared" si="250"/>
        <v>7850</v>
      </c>
      <c r="I190" s="9" t="s">
        <v>1153</v>
      </c>
      <c r="J190" s="9">
        <f t="shared" si="241"/>
        <v>0</v>
      </c>
      <c r="K190" s="9">
        <f t="shared" si="242"/>
        <v>1256</v>
      </c>
      <c r="L190" s="9">
        <f t="shared" si="243"/>
        <v>9106</v>
      </c>
      <c r="M190" s="11">
        <f>$M$187</f>
        <v>5.8000000000000003E-2</v>
      </c>
      <c r="N190" s="9">
        <f t="shared" si="244"/>
        <v>455.3</v>
      </c>
      <c r="O190" s="12">
        <f t="shared" si="245"/>
        <v>455.3</v>
      </c>
      <c r="P190" s="13" t="str">
        <f t="shared" si="183"/>
        <v>SI</v>
      </c>
      <c r="Q190">
        <f t="shared" si="246"/>
        <v>1</v>
      </c>
      <c r="R190">
        <f t="shared" si="247"/>
        <v>1000</v>
      </c>
      <c r="S190">
        <f t="shared" si="248"/>
        <v>1</v>
      </c>
      <c r="T190" s="152"/>
      <c r="U190" s="159"/>
      <c r="V190" s="160"/>
    </row>
    <row r="191" spans="1:22" ht="15" hidden="1" customHeight="1" x14ac:dyDescent="0.3">
      <c r="A191" s="34" t="s">
        <v>1261</v>
      </c>
      <c r="B191" s="36"/>
      <c r="C191" s="81">
        <f>$O$12</f>
        <v>0</v>
      </c>
      <c r="D191" s="29" t="str">
        <f t="shared" si="249"/>
        <v>INCLUIDO</v>
      </c>
      <c r="E191" s="27" t="s">
        <v>1186</v>
      </c>
      <c r="F191" s="9">
        <f>(F190*$O$12)*S191</f>
        <v>0</v>
      </c>
      <c r="G191" s="21">
        <f>G190*0.35</f>
        <v>3.5</v>
      </c>
      <c r="H191" s="9">
        <f t="shared" si="250"/>
        <v>0</v>
      </c>
      <c r="I191" s="9" t="s">
        <v>1153</v>
      </c>
      <c r="J191" s="9">
        <f t="shared" si="241"/>
        <v>0</v>
      </c>
      <c r="K191" s="9">
        <f t="shared" si="242"/>
        <v>0</v>
      </c>
      <c r="L191" s="9">
        <f t="shared" si="243"/>
        <v>0</v>
      </c>
      <c r="M191" s="11">
        <f>$M$179</f>
        <v>0</v>
      </c>
      <c r="N191" s="9">
        <f t="shared" si="244"/>
        <v>0</v>
      </c>
      <c r="O191" s="12">
        <f t="shared" si="245"/>
        <v>0</v>
      </c>
      <c r="P191" s="13" t="str">
        <f t="shared" si="183"/>
        <v>NO</v>
      </c>
      <c r="Q191">
        <f>IF(D191="INCLUIDO",IF(F191&lt;&gt;0,1,0),0)</f>
        <v>0</v>
      </c>
      <c r="R191">
        <f>IF(I191="%o Al Millar",1000,IF(I191="% Al Porciento",100,IF(I191="$ Prima",G191)))</f>
        <v>1000</v>
      </c>
      <c r="S191">
        <f t="shared" si="248"/>
        <v>0</v>
      </c>
      <c r="T191" s="154"/>
      <c r="V191" s="153"/>
    </row>
    <row r="192" spans="1:22" hidden="1" x14ac:dyDescent="0.3">
      <c r="A192" s="34" t="s">
        <v>1261</v>
      </c>
      <c r="B192" s="36">
        <v>120</v>
      </c>
      <c r="C192" s="29" t="s">
        <v>1271</v>
      </c>
      <c r="D192" s="29" t="str">
        <f t="shared" si="249"/>
        <v>INCLUIDO</v>
      </c>
      <c r="E192" s="27" t="s">
        <v>1137</v>
      </c>
      <c r="F192" s="20">
        <f>(IF($E$190="Sublimite",$F$188,$F$188+$F$190))*S192</f>
        <v>6500000</v>
      </c>
      <c r="G192" s="21">
        <f>V192</f>
        <v>1.8</v>
      </c>
      <c r="H192" s="9">
        <f t="shared" si="250"/>
        <v>11700</v>
      </c>
      <c r="I192" s="9" t="s">
        <v>1153</v>
      </c>
      <c r="J192" s="9">
        <f t="shared" si="241"/>
        <v>0</v>
      </c>
      <c r="K192" s="9">
        <f t="shared" si="242"/>
        <v>1872</v>
      </c>
      <c r="L192" s="9">
        <f t="shared" si="243"/>
        <v>13572</v>
      </c>
      <c r="M192" s="11">
        <f>$M$187</f>
        <v>5.8000000000000003E-2</v>
      </c>
      <c r="N192" s="9">
        <f t="shared" si="244"/>
        <v>678.6</v>
      </c>
      <c r="O192" s="12">
        <f t="shared" si="245"/>
        <v>678.6</v>
      </c>
      <c r="P192" s="13" t="str">
        <f t="shared" si="183"/>
        <v>SI</v>
      </c>
      <c r="Q192">
        <f t="shared" si="246"/>
        <v>1</v>
      </c>
      <c r="R192">
        <f t="shared" si="247"/>
        <v>1000</v>
      </c>
      <c r="S192">
        <f t="shared" si="248"/>
        <v>1</v>
      </c>
      <c r="T192" s="152">
        <v>0.1</v>
      </c>
      <c r="U192" s="159">
        <f>IF(E192="Excluido",0,$T$187*T192)</f>
        <v>1.8</v>
      </c>
      <c r="V192" s="160">
        <f>IF($F$187=0,0,U192)</f>
        <v>1.8</v>
      </c>
    </row>
    <row r="193" spans="1:22" hidden="1" x14ac:dyDescent="0.3">
      <c r="A193" s="34" t="s">
        <v>1261</v>
      </c>
      <c r="B193" s="36"/>
      <c r="C193" s="81">
        <f>$O$12</f>
        <v>0</v>
      </c>
      <c r="D193" s="29" t="str">
        <f t="shared" si="249"/>
        <v>INCLUIDO</v>
      </c>
      <c r="E193" s="27" t="s">
        <v>1186</v>
      </c>
      <c r="F193" s="9">
        <f>(F192*$O$12)*S193</f>
        <v>0</v>
      </c>
      <c r="G193" s="21">
        <f>G192*0.35</f>
        <v>0.63</v>
      </c>
      <c r="H193" s="9">
        <f t="shared" si="250"/>
        <v>0</v>
      </c>
      <c r="I193" s="9" t="s">
        <v>1153</v>
      </c>
      <c r="J193" s="9">
        <f t="shared" si="241"/>
        <v>0</v>
      </c>
      <c r="K193" s="9">
        <f t="shared" si="242"/>
        <v>0</v>
      </c>
      <c r="L193" s="9">
        <f t="shared" si="243"/>
        <v>0</v>
      </c>
      <c r="M193" s="11">
        <f>M192</f>
        <v>5.8000000000000003E-2</v>
      </c>
      <c r="N193" s="9">
        <f t="shared" si="244"/>
        <v>0</v>
      </c>
      <c r="O193" s="12">
        <f t="shared" si="245"/>
        <v>0</v>
      </c>
      <c r="P193" s="13" t="str">
        <f>IF(Q193=1,"SI","NO")</f>
        <v>NO</v>
      </c>
      <c r="Q193">
        <f>IF(D193="INCLUIDO",IF(F193&lt;&gt;0,1,0),0)</f>
        <v>0</v>
      </c>
      <c r="R193">
        <f>IF(I193="%o Al Millar",1000,IF(I193="% Al Porciento",100,IF(I193="$ Prima",G193)))</f>
        <v>1000</v>
      </c>
      <c r="S193">
        <f t="shared" si="248"/>
        <v>0</v>
      </c>
      <c r="T193" s="154"/>
      <c r="V193" s="153"/>
    </row>
    <row r="194" spans="1:22" hidden="1" x14ac:dyDescent="0.3">
      <c r="A194" s="34" t="s">
        <v>1261</v>
      </c>
      <c r="B194" s="36">
        <v>121</v>
      </c>
      <c r="C194" s="29" t="s">
        <v>1272</v>
      </c>
      <c r="D194" s="29" t="str">
        <f t="shared" si="249"/>
        <v>INCLUIDO</v>
      </c>
      <c r="E194" s="27" t="s">
        <v>1137</v>
      </c>
      <c r="F194" s="20">
        <f>(IF($E$190="Sublimite",$F$188,$F$188+$F$190))*S194</f>
        <v>6500000</v>
      </c>
      <c r="G194" s="21">
        <f>V194</f>
        <v>0.9</v>
      </c>
      <c r="H194" s="9">
        <f t="shared" si="250"/>
        <v>5850</v>
      </c>
      <c r="I194" s="9" t="s">
        <v>1153</v>
      </c>
      <c r="J194" s="9">
        <f t="shared" si="241"/>
        <v>0</v>
      </c>
      <c r="K194" s="9">
        <f t="shared" si="242"/>
        <v>936</v>
      </c>
      <c r="L194" s="9">
        <f t="shared" si="243"/>
        <v>6786</v>
      </c>
      <c r="M194" s="11">
        <f>$M$187</f>
        <v>5.8000000000000003E-2</v>
      </c>
      <c r="N194" s="9">
        <f t="shared" si="244"/>
        <v>339.3</v>
      </c>
      <c r="O194" s="12">
        <f t="shared" si="245"/>
        <v>339.3</v>
      </c>
      <c r="P194" s="13" t="str">
        <f t="shared" si="183"/>
        <v>SI</v>
      </c>
      <c r="Q194">
        <f t="shared" si="246"/>
        <v>1</v>
      </c>
      <c r="R194">
        <f t="shared" si="247"/>
        <v>1000</v>
      </c>
      <c r="S194">
        <f t="shared" si="248"/>
        <v>1</v>
      </c>
      <c r="T194" s="152">
        <v>0.05</v>
      </c>
      <c r="U194" s="159">
        <f>IF(E194="Excluido",0,$T$187*T194)</f>
        <v>0.9</v>
      </c>
      <c r="V194" s="160">
        <f>IF($F$187=0,0,U194)</f>
        <v>0.9</v>
      </c>
    </row>
    <row r="195" spans="1:22" hidden="1" x14ac:dyDescent="0.3">
      <c r="A195" s="34" t="s">
        <v>1261</v>
      </c>
      <c r="B195" s="36"/>
      <c r="C195" s="81">
        <f>$O$12</f>
        <v>0</v>
      </c>
      <c r="D195" s="29" t="str">
        <f t="shared" si="249"/>
        <v>INCLUIDO</v>
      </c>
      <c r="E195" s="27" t="s">
        <v>1186</v>
      </c>
      <c r="F195" s="9">
        <f>(F194*$O$12)*S195</f>
        <v>0</v>
      </c>
      <c r="G195" s="21">
        <f>G194*0.35</f>
        <v>0.315</v>
      </c>
      <c r="H195" s="9">
        <f t="shared" si="250"/>
        <v>0</v>
      </c>
      <c r="I195" s="9" t="s">
        <v>1153</v>
      </c>
      <c r="J195" s="9">
        <f t="shared" si="241"/>
        <v>0</v>
      </c>
      <c r="K195" s="9">
        <f t="shared" si="242"/>
        <v>0</v>
      </c>
      <c r="L195" s="9">
        <f t="shared" si="243"/>
        <v>0</v>
      </c>
      <c r="M195" s="11">
        <f>M194</f>
        <v>5.8000000000000003E-2</v>
      </c>
      <c r="N195" s="9">
        <f t="shared" si="244"/>
        <v>0</v>
      </c>
      <c r="O195" s="12">
        <f t="shared" si="245"/>
        <v>0</v>
      </c>
      <c r="P195" s="13" t="str">
        <f>IF(Q195=1,"SI","NO")</f>
        <v>NO</v>
      </c>
      <c r="Q195">
        <f>IF(D195="INCLUIDO",IF(F195&lt;&gt;0,1,0),0)</f>
        <v>0</v>
      </c>
      <c r="R195">
        <f>IF(I195="%o Al Millar",1000,IF(I195="% Al Porciento",100,IF(I195="$ Prima",G195)))</f>
        <v>1000</v>
      </c>
      <c r="S195">
        <f t="shared" si="248"/>
        <v>0</v>
      </c>
      <c r="T195" s="154"/>
      <c r="V195" s="153"/>
    </row>
    <row r="196" spans="1:22" hidden="1" x14ac:dyDescent="0.3">
      <c r="A196" s="34" t="s">
        <v>1261</v>
      </c>
      <c r="B196" s="36">
        <v>122</v>
      </c>
      <c r="C196" s="29" t="s">
        <v>1273</v>
      </c>
      <c r="D196" s="29" t="str">
        <f t="shared" si="249"/>
        <v>INCLUIDO</v>
      </c>
      <c r="E196" s="27" t="s">
        <v>1137</v>
      </c>
      <c r="F196" s="20">
        <f>(IF($E$190="Sublimite",$F$188,$F$188+$F$190))*S196</f>
        <v>6500000</v>
      </c>
      <c r="G196" s="21">
        <f>V196</f>
        <v>0.9</v>
      </c>
      <c r="H196" s="9">
        <f t="shared" si="250"/>
        <v>5850</v>
      </c>
      <c r="I196" s="9" t="s">
        <v>1153</v>
      </c>
      <c r="J196" s="9">
        <f t="shared" si="241"/>
        <v>0</v>
      </c>
      <c r="K196" s="9">
        <f t="shared" si="242"/>
        <v>936</v>
      </c>
      <c r="L196" s="9">
        <f t="shared" si="243"/>
        <v>6786</v>
      </c>
      <c r="M196" s="11">
        <f>$M$187</f>
        <v>5.8000000000000003E-2</v>
      </c>
      <c r="N196" s="9">
        <f t="shared" si="244"/>
        <v>339.3</v>
      </c>
      <c r="O196" s="12">
        <f t="shared" si="245"/>
        <v>339.3</v>
      </c>
      <c r="P196" s="13" t="str">
        <f t="shared" si="183"/>
        <v>SI</v>
      </c>
      <c r="Q196">
        <f t="shared" si="246"/>
        <v>1</v>
      </c>
      <c r="R196">
        <f t="shared" si="247"/>
        <v>1000</v>
      </c>
      <c r="S196">
        <f t="shared" si="248"/>
        <v>1</v>
      </c>
      <c r="T196" s="152">
        <v>0.05</v>
      </c>
      <c r="U196" s="159">
        <f>IF(E196="Excluido",0,$T$187*T196)</f>
        <v>0.9</v>
      </c>
      <c r="V196" s="160">
        <f>IF($F$187=0,0,U196)</f>
        <v>0.9</v>
      </c>
    </row>
    <row r="197" spans="1:22" hidden="1" x14ac:dyDescent="0.3">
      <c r="A197" s="34" t="s">
        <v>1261</v>
      </c>
      <c r="B197" s="36"/>
      <c r="C197" s="81">
        <f>$O$12</f>
        <v>0</v>
      </c>
      <c r="D197" s="29" t="str">
        <f t="shared" si="249"/>
        <v>INCLUIDO</v>
      </c>
      <c r="E197" s="27" t="s">
        <v>1186</v>
      </c>
      <c r="F197" s="9">
        <f>(F196*$O$12)*S197</f>
        <v>0</v>
      </c>
      <c r="G197" s="21">
        <f>G196*0.35</f>
        <v>0.315</v>
      </c>
      <c r="H197" s="9">
        <f t="shared" si="250"/>
        <v>0</v>
      </c>
      <c r="I197" s="9" t="s">
        <v>1153</v>
      </c>
      <c r="J197" s="9">
        <f t="shared" si="241"/>
        <v>0</v>
      </c>
      <c r="K197" s="9">
        <f t="shared" si="242"/>
        <v>0</v>
      </c>
      <c r="L197" s="9">
        <f t="shared" si="243"/>
        <v>0</v>
      </c>
      <c r="M197" s="11">
        <f>M196</f>
        <v>5.8000000000000003E-2</v>
      </c>
      <c r="N197" s="9">
        <f t="shared" si="244"/>
        <v>0</v>
      </c>
      <c r="O197" s="12">
        <f t="shared" si="245"/>
        <v>0</v>
      </c>
      <c r="P197" s="13" t="str">
        <f>IF(Q197=1,"SI","NO")</f>
        <v>NO</v>
      </c>
      <c r="Q197">
        <f>IF(D197="INCLUIDO",IF(F197&lt;&gt;0,1,0),0)</f>
        <v>0</v>
      </c>
      <c r="R197">
        <f>IF(I197="%o Al Millar",1000,IF(I197="% Al Porciento",100,IF(I197="$ Prima",G197)))</f>
        <v>1000</v>
      </c>
      <c r="S197">
        <f t="shared" si="248"/>
        <v>0</v>
      </c>
      <c r="T197" s="154"/>
      <c r="V197" s="153"/>
    </row>
    <row r="198" spans="1:22" ht="20.399999999999999" hidden="1" x14ac:dyDescent="0.3">
      <c r="A198" s="34" t="s">
        <v>1261</v>
      </c>
      <c r="B198" s="36">
        <v>119</v>
      </c>
      <c r="C198" s="29" t="s">
        <v>1274</v>
      </c>
      <c r="D198" s="29" t="str">
        <f t="shared" si="249"/>
        <v>INCLUIDO</v>
      </c>
      <c r="E198" s="27" t="s">
        <v>1137</v>
      </c>
      <c r="F198" s="20">
        <f>(IF($E$190="Sublimite",$F$188,$F$188+$F$190))*S198</f>
        <v>6500000</v>
      </c>
      <c r="G198" s="21">
        <f>V198</f>
        <v>0.9</v>
      </c>
      <c r="H198" s="9">
        <f t="shared" si="250"/>
        <v>5850</v>
      </c>
      <c r="I198" s="9" t="s">
        <v>1153</v>
      </c>
      <c r="J198" s="9">
        <f t="shared" si="241"/>
        <v>0</v>
      </c>
      <c r="K198" s="9">
        <f t="shared" si="242"/>
        <v>936</v>
      </c>
      <c r="L198" s="9">
        <f t="shared" si="243"/>
        <v>6786</v>
      </c>
      <c r="M198" s="11">
        <f>$M$187</f>
        <v>5.8000000000000003E-2</v>
      </c>
      <c r="N198" s="9">
        <f t="shared" si="244"/>
        <v>339.3</v>
      </c>
      <c r="O198" s="12">
        <f t="shared" si="245"/>
        <v>339.3</v>
      </c>
      <c r="P198" s="13" t="str">
        <f t="shared" si="183"/>
        <v>SI</v>
      </c>
      <c r="Q198">
        <f t="shared" si="246"/>
        <v>1</v>
      </c>
      <c r="R198">
        <f t="shared" si="247"/>
        <v>1000</v>
      </c>
      <c r="S198">
        <f t="shared" si="248"/>
        <v>1</v>
      </c>
      <c r="T198" s="152">
        <v>0.05</v>
      </c>
      <c r="U198" s="159">
        <f>IF(E198="Excluido",0,$T$187*T198)</f>
        <v>0.9</v>
      </c>
      <c r="V198" s="160">
        <f>IF($F$187=0,0,U198)</f>
        <v>0.9</v>
      </c>
    </row>
    <row r="199" spans="1:22" hidden="1" x14ac:dyDescent="0.3">
      <c r="A199" s="34" t="s">
        <v>1261</v>
      </c>
      <c r="B199" s="36"/>
      <c r="C199" s="81">
        <f>$O$12</f>
        <v>0</v>
      </c>
      <c r="D199" s="29" t="str">
        <f t="shared" si="249"/>
        <v>INCLUIDO</v>
      </c>
      <c r="E199" s="27" t="s">
        <v>1186</v>
      </c>
      <c r="F199" s="9">
        <f>(F198*$O$12)*S199</f>
        <v>0</v>
      </c>
      <c r="G199" s="21">
        <f>G198*0.35</f>
        <v>0.315</v>
      </c>
      <c r="H199" s="9">
        <f t="shared" si="250"/>
        <v>0</v>
      </c>
      <c r="I199" s="9" t="s">
        <v>1153</v>
      </c>
      <c r="J199" s="9">
        <f t="shared" si="241"/>
        <v>0</v>
      </c>
      <c r="K199" s="9">
        <f t="shared" si="242"/>
        <v>0</v>
      </c>
      <c r="L199" s="9">
        <f t="shared" si="243"/>
        <v>0</v>
      </c>
      <c r="M199" s="11">
        <f>M198</f>
        <v>5.8000000000000003E-2</v>
      </c>
      <c r="N199" s="9">
        <f t="shared" si="244"/>
        <v>0</v>
      </c>
      <c r="O199" s="12">
        <f t="shared" si="245"/>
        <v>0</v>
      </c>
      <c r="P199" s="13" t="str">
        <f>IF(Q199=1,"SI","NO")</f>
        <v>NO</v>
      </c>
      <c r="Q199">
        <f>IF(D199="INCLUIDO",IF(F199&lt;&gt;0,1,0),0)</f>
        <v>0</v>
      </c>
      <c r="R199">
        <f>IF(I199="%o Al Millar",1000,IF(I199="% Al Porciento",100,IF(I199="$ Prima",G199)))</f>
        <v>1000</v>
      </c>
      <c r="S199">
        <f t="shared" si="248"/>
        <v>0</v>
      </c>
      <c r="T199" s="154"/>
      <c r="V199" s="153"/>
    </row>
    <row r="200" spans="1:22" ht="15" hidden="1" customHeight="1" x14ac:dyDescent="0.3">
      <c r="A200" s="34" t="s">
        <v>1261</v>
      </c>
      <c r="B200" s="36">
        <v>258</v>
      </c>
      <c r="C200" s="29" t="s">
        <v>1275</v>
      </c>
      <c r="D200" s="29" t="str">
        <f t="shared" si="249"/>
        <v>INCLUIDO</v>
      </c>
      <c r="E200" s="27" t="s">
        <v>1186</v>
      </c>
      <c r="F200" s="20">
        <v>0</v>
      </c>
      <c r="G200" s="43">
        <v>0</v>
      </c>
      <c r="H200" s="9">
        <f t="shared" si="250"/>
        <v>0</v>
      </c>
      <c r="I200" s="9" t="s">
        <v>1153</v>
      </c>
      <c r="J200" s="9">
        <f t="shared" si="241"/>
        <v>0</v>
      </c>
      <c r="K200" s="9">
        <f t="shared" si="242"/>
        <v>0</v>
      </c>
      <c r="L200" s="9">
        <f t="shared" si="243"/>
        <v>0</v>
      </c>
      <c r="M200" s="11">
        <f>$M$187</f>
        <v>5.8000000000000003E-2</v>
      </c>
      <c r="N200" s="9">
        <f t="shared" si="244"/>
        <v>0</v>
      </c>
      <c r="O200" s="12">
        <f t="shared" si="245"/>
        <v>0</v>
      </c>
      <c r="P200" s="13" t="str">
        <f t="shared" si="183"/>
        <v>NO</v>
      </c>
      <c r="Q200">
        <f t="shared" si="246"/>
        <v>0</v>
      </c>
      <c r="R200">
        <f t="shared" si="247"/>
        <v>1000</v>
      </c>
      <c r="S200">
        <f t="shared" si="248"/>
        <v>0</v>
      </c>
      <c r="T200" s="152"/>
      <c r="U200" s="159"/>
      <c r="V200" s="160"/>
    </row>
    <row r="201" spans="1:22" ht="15" hidden="1" customHeight="1" x14ac:dyDescent="0.3">
      <c r="A201" s="34" t="s">
        <v>1261</v>
      </c>
      <c r="B201" s="36"/>
      <c r="C201" s="81">
        <f>$O$12</f>
        <v>0</v>
      </c>
      <c r="D201" s="29" t="str">
        <f t="shared" si="249"/>
        <v>INCLUIDO</v>
      </c>
      <c r="E201" s="27" t="s">
        <v>1186</v>
      </c>
      <c r="F201" s="9">
        <f>(F200*$O$12)*S201</f>
        <v>0</v>
      </c>
      <c r="G201" s="21">
        <f>G200*0.35</f>
        <v>0</v>
      </c>
      <c r="H201" s="9">
        <f t="shared" si="250"/>
        <v>0</v>
      </c>
      <c r="I201" s="9" t="s">
        <v>1153</v>
      </c>
      <c r="J201" s="9">
        <f t="shared" si="241"/>
        <v>0</v>
      </c>
      <c r="K201" s="9">
        <f t="shared" si="242"/>
        <v>0</v>
      </c>
      <c r="L201" s="9">
        <f t="shared" si="243"/>
        <v>0</v>
      </c>
      <c r="M201" s="11">
        <f>$M$187</f>
        <v>5.8000000000000003E-2</v>
      </c>
      <c r="N201" s="9">
        <f t="shared" si="244"/>
        <v>0</v>
      </c>
      <c r="O201" s="12">
        <f t="shared" si="245"/>
        <v>0</v>
      </c>
      <c r="P201" s="13" t="str">
        <f t="shared" si="183"/>
        <v>NO</v>
      </c>
      <c r="Q201">
        <f t="shared" si="246"/>
        <v>0</v>
      </c>
      <c r="R201">
        <f t="shared" si="247"/>
        <v>1000</v>
      </c>
      <c r="S201">
        <f t="shared" si="248"/>
        <v>0</v>
      </c>
      <c r="T201" s="154"/>
      <c r="V201" s="153"/>
    </row>
    <row r="202" spans="1:22" s="18" customFormat="1" hidden="1" x14ac:dyDescent="0.3">
      <c r="A202" s="24"/>
      <c r="B202" s="26"/>
      <c r="C202" s="15" t="s">
        <v>1177</v>
      </c>
      <c r="D202" s="38" t="str">
        <f>D201</f>
        <v>INCLUIDO</v>
      </c>
      <c r="E202" s="38"/>
      <c r="F202" s="16">
        <v>0</v>
      </c>
      <c r="G202" s="17"/>
      <c r="H202" s="16">
        <f>SUM(H188:H201)</f>
        <v>122509.99999999999</v>
      </c>
      <c r="I202" s="16"/>
      <c r="J202" s="16">
        <f>SUM(J188:J201)</f>
        <v>0</v>
      </c>
      <c r="K202" s="16">
        <f>SUM(K188:K201)</f>
        <v>19601.599999999999</v>
      </c>
      <c r="L202" s="16">
        <f>SUM(L188:L201)</f>
        <v>142111.6</v>
      </c>
      <c r="M202" s="16" t="s">
        <v>1178</v>
      </c>
      <c r="N202" s="16">
        <f>SUM(N188:N201)</f>
        <v>7105.5800000000008</v>
      </c>
      <c r="O202" s="84">
        <f>SUM(O188:O201)</f>
        <v>7105.5800000000008</v>
      </c>
      <c r="P202" s="13" t="str">
        <f t="shared" si="183"/>
        <v>SI</v>
      </c>
      <c r="Q202">
        <f>IF(D202="INCLUIDO",IF(H202&lt;&gt;0,1,0),0)</f>
        <v>1</v>
      </c>
      <c r="T202" s="167"/>
      <c r="V202" s="168"/>
    </row>
    <row r="203" spans="1:22" hidden="1" x14ac:dyDescent="0.3">
      <c r="A203" s="82">
        <v>906</v>
      </c>
      <c r="B203" s="33">
        <v>7</v>
      </c>
      <c r="C203" s="19" t="s">
        <v>1276</v>
      </c>
      <c r="D203" s="23" t="str">
        <f>D187</f>
        <v>INCLUIDO</v>
      </c>
      <c r="E203" s="91"/>
      <c r="F203" s="28"/>
      <c r="G203" s="28"/>
      <c r="H203" s="28"/>
      <c r="I203" s="28"/>
      <c r="J203" s="28"/>
      <c r="K203" s="28"/>
      <c r="L203" s="28"/>
      <c r="M203" s="68">
        <v>5.8000000000000003E-2</v>
      </c>
      <c r="N203" s="28"/>
      <c r="O203" s="83"/>
      <c r="P203" s="13" t="str">
        <f t="shared" si="183"/>
        <v>SI</v>
      </c>
      <c r="Q203" s="47">
        <f>IF(D203="INCLUIDO",IF(F204&lt;&gt;0,1,0),0)</f>
        <v>1</v>
      </c>
      <c r="T203" s="154"/>
      <c r="V203" s="153"/>
    </row>
    <row r="204" spans="1:22" hidden="1" x14ac:dyDescent="0.3">
      <c r="A204" s="34" t="s">
        <v>1261</v>
      </c>
      <c r="B204" s="36">
        <v>126</v>
      </c>
      <c r="C204" s="29" t="s">
        <v>1170</v>
      </c>
      <c r="D204" s="29" t="str">
        <f t="shared" ref="D204:D205" si="251">$D$187</f>
        <v>INCLUIDO</v>
      </c>
      <c r="E204" s="27" t="s">
        <v>1137</v>
      </c>
      <c r="F204" s="20">
        <f>(IF($E$190="Sublimite",$F$188,$F$188+$F$190))*S204</f>
        <v>6500000</v>
      </c>
      <c r="G204" s="49">
        <f>G187*T204</f>
        <v>0.18</v>
      </c>
      <c r="H204" s="9">
        <f>(((IF(I204="$ Prima",G204,G204*F204/R204))*$U$9)/365)*$J$15</f>
        <v>1170</v>
      </c>
      <c r="I204" s="9" t="s">
        <v>1153</v>
      </c>
      <c r="J204" s="9">
        <f t="shared" ref="J204:J205" si="252">H204*$U$7</f>
        <v>0</v>
      </c>
      <c r="K204" s="9">
        <f t="shared" ref="K204:K205" si="253">(H204+J204)*$K$15</f>
        <v>187.20000000000002</v>
      </c>
      <c r="L204" s="9">
        <f t="shared" ref="L204:L205" si="254">ROUND(H204+J204+K204,2)</f>
        <v>1357.2</v>
      </c>
      <c r="M204" s="11">
        <f>$M$203</f>
        <v>5.8000000000000003E-2</v>
      </c>
      <c r="N204" s="9">
        <f t="shared" ref="N204:N205" si="255">H204*M204</f>
        <v>67.86</v>
      </c>
      <c r="O204" s="12">
        <f t="shared" ref="O204:O205" si="256">N204</f>
        <v>67.86</v>
      </c>
      <c r="P204" s="13" t="str">
        <f t="shared" si="183"/>
        <v>SI</v>
      </c>
      <c r="Q204">
        <f>IF(D204="INCLUIDO",IF(F204&lt;&gt;0,1,0),0)</f>
        <v>1</v>
      </c>
      <c r="R204">
        <f>IF(I204="%o Al Millar",1000,IF(I204="% Al Porciento",100,IF(I204="$ Prima",G204)))</f>
        <v>1000</v>
      </c>
      <c r="S204">
        <f t="shared" ref="S204:S205" si="257">IF(E204="Excluido",0,IF(D204="NO APLICA",0,1))</f>
        <v>1</v>
      </c>
      <c r="T204" s="152">
        <v>0.01</v>
      </c>
      <c r="U204" s="159">
        <f>IF(E204="Excluido",0,$T$187*T204)</f>
        <v>0.18</v>
      </c>
      <c r="V204" s="160">
        <f>IF($F$187=0,0,U204)</f>
        <v>0.18</v>
      </c>
    </row>
    <row r="205" spans="1:22" hidden="1" x14ac:dyDescent="0.3">
      <c r="A205" s="34" t="s">
        <v>1261</v>
      </c>
      <c r="B205" s="36"/>
      <c r="C205" s="81">
        <f>$O$12</f>
        <v>0</v>
      </c>
      <c r="D205" s="29" t="str">
        <f t="shared" si="251"/>
        <v>INCLUIDO</v>
      </c>
      <c r="E205" s="27" t="s">
        <v>1186</v>
      </c>
      <c r="F205" s="9">
        <f>(F204*$O$12)*S205</f>
        <v>0</v>
      </c>
      <c r="G205" s="21">
        <f>G204*0.35</f>
        <v>6.3E-2</v>
      </c>
      <c r="H205" s="9">
        <f t="shared" ref="H205" si="258">(IF(I205="$ Prima",G205,G205*F205/R205))*$U$9</f>
        <v>0</v>
      </c>
      <c r="I205" s="9" t="s">
        <v>1153</v>
      </c>
      <c r="J205" s="9">
        <f t="shared" si="252"/>
        <v>0</v>
      </c>
      <c r="K205" s="9">
        <f t="shared" si="253"/>
        <v>0</v>
      </c>
      <c r="L205" s="9">
        <f t="shared" si="254"/>
        <v>0</v>
      </c>
      <c r="M205" s="11">
        <f>$M$203</f>
        <v>5.8000000000000003E-2</v>
      </c>
      <c r="N205" s="9">
        <f t="shared" si="255"/>
        <v>0</v>
      </c>
      <c r="O205" s="12">
        <f t="shared" si="256"/>
        <v>0</v>
      </c>
      <c r="P205" s="13" t="str">
        <f t="shared" si="183"/>
        <v>NO</v>
      </c>
      <c r="Q205">
        <f>IF(D205="INCLUIDO",IF(F205&lt;&gt;0,1,0),0)</f>
        <v>0</v>
      </c>
      <c r="R205">
        <f>IF(I205="%o Al Millar",1000,IF(I205="% Al Porciento",100,IF(I205="$ Prima",G205)))</f>
        <v>1000</v>
      </c>
      <c r="S205">
        <f t="shared" si="257"/>
        <v>0</v>
      </c>
      <c r="T205" s="154"/>
      <c r="V205" s="153"/>
    </row>
    <row r="206" spans="1:22" s="18" customFormat="1" hidden="1" x14ac:dyDescent="0.3">
      <c r="A206" s="24"/>
      <c r="B206" s="26"/>
      <c r="C206" s="15" t="s">
        <v>1177</v>
      </c>
      <c r="D206" s="38" t="str">
        <f>D187</f>
        <v>INCLUIDO</v>
      </c>
      <c r="E206" s="38"/>
      <c r="F206" s="16">
        <f>SUMIF(E204:E205,"Adicional",F204:F205)</f>
        <v>0</v>
      </c>
      <c r="G206" s="17"/>
      <c r="H206" s="16">
        <f>SUM(H204:H205)</f>
        <v>1170</v>
      </c>
      <c r="I206" s="16"/>
      <c r="J206" s="16">
        <f t="shared" ref="J206:L206" si="259">SUM(J204:J205)</f>
        <v>0</v>
      </c>
      <c r="K206" s="16">
        <f t="shared" si="259"/>
        <v>187.20000000000002</v>
      </c>
      <c r="L206" s="16">
        <f t="shared" si="259"/>
        <v>1357.2</v>
      </c>
      <c r="M206" s="16" t="s">
        <v>1178</v>
      </c>
      <c r="N206" s="16">
        <f t="shared" ref="N206:O206" si="260">SUM(N204:N205)</f>
        <v>67.86</v>
      </c>
      <c r="O206" s="84">
        <f t="shared" si="260"/>
        <v>67.86</v>
      </c>
      <c r="P206" s="13" t="str">
        <f t="shared" si="183"/>
        <v>SI</v>
      </c>
      <c r="Q206">
        <f>IF(D206="INCLUIDO",IF(H206&lt;&gt;0,1,0),0)</f>
        <v>1</v>
      </c>
      <c r="T206" s="167"/>
      <c r="V206" s="168"/>
    </row>
    <row r="207" spans="1:22" hidden="1" x14ac:dyDescent="0.3">
      <c r="A207" s="82">
        <v>906</v>
      </c>
      <c r="B207" s="33">
        <v>8</v>
      </c>
      <c r="C207" s="19" t="s">
        <v>1277</v>
      </c>
      <c r="D207" s="23" t="str">
        <f>$D$187</f>
        <v>INCLUIDO</v>
      </c>
      <c r="E207" s="91"/>
      <c r="F207" s="28"/>
      <c r="G207" s="28"/>
      <c r="H207" s="28"/>
      <c r="I207" s="28"/>
      <c r="J207" s="28"/>
      <c r="K207" s="28"/>
      <c r="L207" s="28"/>
      <c r="M207" s="68">
        <v>5.8000000000000003E-2</v>
      </c>
      <c r="N207" s="28"/>
      <c r="O207" s="83"/>
      <c r="P207" s="13" t="str">
        <f t="shared" si="183"/>
        <v>SI</v>
      </c>
      <c r="Q207" s="47">
        <f>IF(D207="INCLUIDO",IF(F208&lt;&gt;0,1,0),0)</f>
        <v>1</v>
      </c>
      <c r="T207" s="154"/>
      <c r="V207" s="153"/>
    </row>
    <row r="208" spans="1:22" hidden="1" x14ac:dyDescent="0.3">
      <c r="A208" s="34" t="s">
        <v>1261</v>
      </c>
      <c r="B208" s="36">
        <v>127</v>
      </c>
      <c r="C208" s="29" t="s">
        <v>1267</v>
      </c>
      <c r="D208" s="29" t="str">
        <f t="shared" ref="D208:D209" si="261">$D$187</f>
        <v>INCLUIDO</v>
      </c>
      <c r="E208" s="27" t="s">
        <v>1137</v>
      </c>
      <c r="F208" s="20">
        <f>(IF($E$190="Sublimite",$F$188,$F$188+$F$190))*S208</f>
        <v>6500000</v>
      </c>
      <c r="G208" s="49">
        <f>G187*T208</f>
        <v>0.18</v>
      </c>
      <c r="H208" s="9">
        <f>(((IF(I208="$ Prima",G208,G208*F208/R208))*$U$9)/365)*$J$15</f>
        <v>1170</v>
      </c>
      <c r="I208" s="9" t="s">
        <v>1153</v>
      </c>
      <c r="J208" s="9">
        <f t="shared" ref="J208:J209" si="262">H208*$U$7</f>
        <v>0</v>
      </c>
      <c r="K208" s="9">
        <f t="shared" ref="K208:K209" si="263">(H208+J208)*$K$15</f>
        <v>187.20000000000002</v>
      </c>
      <c r="L208" s="9">
        <f t="shared" ref="L208:L209" si="264">ROUND(H208+J208+K208,2)</f>
        <v>1357.2</v>
      </c>
      <c r="M208" s="11">
        <f>$M$207</f>
        <v>5.8000000000000003E-2</v>
      </c>
      <c r="N208" s="9">
        <f t="shared" ref="N208:N209" si="265">H208*M208</f>
        <v>67.86</v>
      </c>
      <c r="O208" s="12">
        <f t="shared" ref="O208:O209" si="266">N208</f>
        <v>67.86</v>
      </c>
      <c r="P208" s="13" t="str">
        <f t="shared" si="183"/>
        <v>SI</v>
      </c>
      <c r="Q208">
        <f>IF(D208="INCLUIDO",IF(F208&lt;&gt;0,1,0),0)</f>
        <v>1</v>
      </c>
      <c r="R208">
        <f>IF(I208="%o Al Millar",1000,IF(I208="% Al Porciento",100,IF(I208="$ Prima",G208)))</f>
        <v>1000</v>
      </c>
      <c r="S208">
        <f t="shared" ref="S208:S209" si="267">IF(E208="Excluido",0,IF(D208="NO APLICA",0,1))</f>
        <v>1</v>
      </c>
      <c r="T208" s="152">
        <v>0.01</v>
      </c>
      <c r="U208" s="159">
        <f>IF(E208="Excluido",0,$T$187*T208)</f>
        <v>0.18</v>
      </c>
      <c r="V208" s="160">
        <f>IF($F$187=0,0,U208)</f>
        <v>0.18</v>
      </c>
    </row>
    <row r="209" spans="1:22" ht="15" hidden="1" thickBot="1" x14ac:dyDescent="0.35">
      <c r="A209" s="34" t="s">
        <v>1261</v>
      </c>
      <c r="B209" s="36"/>
      <c r="C209" s="81">
        <f>$O$12</f>
        <v>0</v>
      </c>
      <c r="D209" s="29" t="str">
        <f t="shared" si="261"/>
        <v>INCLUIDO</v>
      </c>
      <c r="E209" s="27" t="s">
        <v>1186</v>
      </c>
      <c r="F209" s="9">
        <f>(F208*$O$12)*S209</f>
        <v>0</v>
      </c>
      <c r="G209" s="21">
        <f>G208*0.35</f>
        <v>6.3E-2</v>
      </c>
      <c r="H209" s="9">
        <f t="shared" ref="H209" si="268">(IF(I209="$ Prima",G209,G209*F209/R209))*$U$9</f>
        <v>0</v>
      </c>
      <c r="I209" s="9" t="s">
        <v>1153</v>
      </c>
      <c r="J209" s="9">
        <f t="shared" si="262"/>
        <v>0</v>
      </c>
      <c r="K209" s="9">
        <f t="shared" si="263"/>
        <v>0</v>
      </c>
      <c r="L209" s="9">
        <f t="shared" si="264"/>
        <v>0</v>
      </c>
      <c r="M209" s="11">
        <f>$M$207</f>
        <v>5.8000000000000003E-2</v>
      </c>
      <c r="N209" s="9">
        <f t="shared" si="265"/>
        <v>0</v>
      </c>
      <c r="O209" s="12">
        <f t="shared" si="266"/>
        <v>0</v>
      </c>
      <c r="P209" s="13" t="str">
        <f t="shared" si="183"/>
        <v>NO</v>
      </c>
      <c r="Q209">
        <f>IF(D209="INCLUIDO",IF(F209&lt;&gt;0,1,0),0)</f>
        <v>0</v>
      </c>
      <c r="R209">
        <f>IF(I209="%o Al Millar",1000,IF(I209="% Al Porciento",100,IF(I209="$ Prima",G209)))</f>
        <v>1000</v>
      </c>
      <c r="S209">
        <f t="shared" si="267"/>
        <v>0</v>
      </c>
      <c r="T209" s="164"/>
      <c r="U209" s="165"/>
      <c r="V209" s="166"/>
    </row>
    <row r="210" spans="1:22" s="18" customFormat="1" ht="15" hidden="1" thickBot="1" x14ac:dyDescent="0.35">
      <c r="A210" s="24"/>
      <c r="B210" s="26"/>
      <c r="C210" s="15" t="s">
        <v>1177</v>
      </c>
      <c r="D210" s="38" t="str">
        <f>D209</f>
        <v>INCLUIDO</v>
      </c>
      <c r="E210" s="38"/>
      <c r="F210" s="16">
        <f>SUMIF(E208:E209,"Adicional",F208:F209)</f>
        <v>0</v>
      </c>
      <c r="G210" s="17"/>
      <c r="H210" s="16">
        <f>SUM(H208:H209)</f>
        <v>1170</v>
      </c>
      <c r="I210" s="16"/>
      <c r="J210" s="16">
        <f t="shared" ref="J210:L210" si="269">SUM(J208:J209)</f>
        <v>0</v>
      </c>
      <c r="K210" s="16">
        <f t="shared" si="269"/>
        <v>187.20000000000002</v>
      </c>
      <c r="L210" s="16">
        <f t="shared" si="269"/>
        <v>1357.2</v>
      </c>
      <c r="M210" s="16" t="s">
        <v>1178</v>
      </c>
      <c r="N210" s="16">
        <f t="shared" ref="N210:O210" si="270">SUM(N208:N209)</f>
        <v>67.86</v>
      </c>
      <c r="O210" s="84">
        <f t="shared" si="270"/>
        <v>67.86</v>
      </c>
      <c r="P210" s="13" t="str">
        <f t="shared" si="183"/>
        <v>SI</v>
      </c>
      <c r="Q210">
        <f>IF(D210="INCLUIDO",IF(H210&lt;&gt;0,1,0),0)</f>
        <v>1</v>
      </c>
      <c r="T210" s="143">
        <f>SUM(T188:T209)</f>
        <v>1</v>
      </c>
      <c r="U210" s="144">
        <f>SUM(U188:U209)</f>
        <v>18</v>
      </c>
      <c r="V210" s="145">
        <f>SUM(V188:V209)</f>
        <v>17.999999999999996</v>
      </c>
    </row>
    <row r="211" spans="1:22" ht="15" hidden="1" customHeight="1" x14ac:dyDescent="0.3">
      <c r="A211" s="82">
        <v>906</v>
      </c>
      <c r="B211" s="33">
        <v>9</v>
      </c>
      <c r="C211" s="19" t="s">
        <v>1278</v>
      </c>
      <c r="D211" s="23" t="str">
        <f>$D$187</f>
        <v>INCLUIDO</v>
      </c>
      <c r="E211" s="91"/>
      <c r="F211" s="43">
        <v>0</v>
      </c>
      <c r="G211" s="43">
        <v>0</v>
      </c>
      <c r="H211" s="28"/>
      <c r="I211" s="28"/>
      <c r="J211" s="28"/>
      <c r="K211" s="28"/>
      <c r="L211" s="28"/>
      <c r="M211" s="68">
        <v>0</v>
      </c>
      <c r="N211" s="28"/>
      <c r="O211" s="83"/>
      <c r="P211" s="13" t="str">
        <f t="shared" si="183"/>
        <v>NO</v>
      </c>
      <c r="Q211" s="48">
        <f>IF(D211="INCLUIDO",IF(F211&lt;&gt;0,1,0),0)</f>
        <v>0</v>
      </c>
    </row>
    <row r="212" spans="1:22" ht="15" hidden="1" customHeight="1" x14ac:dyDescent="0.3">
      <c r="A212" s="34" t="s">
        <v>1261</v>
      </c>
      <c r="B212" s="36">
        <v>128</v>
      </c>
      <c r="C212" s="29" t="s">
        <v>1279</v>
      </c>
      <c r="D212" s="29" t="str">
        <f>$D$187</f>
        <v>INCLUIDO</v>
      </c>
      <c r="E212" s="27" t="s">
        <v>1186</v>
      </c>
      <c r="F212" s="20">
        <f>F211*S212</f>
        <v>0</v>
      </c>
      <c r="G212" s="21">
        <v>0</v>
      </c>
      <c r="H212" s="9">
        <f>(IF(I212="$ Prima",G212,G212*F212/R212))*$U$9</f>
        <v>0</v>
      </c>
      <c r="I212" s="9" t="s">
        <v>1153</v>
      </c>
      <c r="J212" s="9">
        <f>H212*$U$7</f>
        <v>0</v>
      </c>
      <c r="K212" s="9">
        <f>(H212+J212)*$K$15</f>
        <v>0</v>
      </c>
      <c r="L212" s="9">
        <f>ROUND(H212+J212+K212,2)</f>
        <v>0</v>
      </c>
      <c r="M212" s="11">
        <f>M211</f>
        <v>0</v>
      </c>
      <c r="N212" s="9">
        <f>H212*M212</f>
        <v>0</v>
      </c>
      <c r="O212" s="12">
        <f>N212</f>
        <v>0</v>
      </c>
      <c r="P212" s="13" t="str">
        <f t="shared" si="183"/>
        <v>NO</v>
      </c>
      <c r="Q212">
        <f>IF(D212="INCLUIDO",IF(F212&lt;&gt;0,1,0),0)</f>
        <v>0</v>
      </c>
      <c r="R212">
        <f>IF(I212="%o Al Millar",1000,IF(I212="% Al Porciento",100,IF(I212="$ Prima",G212)))</f>
        <v>1000</v>
      </c>
      <c r="S212">
        <f t="shared" ref="S212" si="271">IF(E212="Excluido",0,IF(D212="NO APLICA",0,1))</f>
        <v>0</v>
      </c>
    </row>
    <row r="213" spans="1:22" s="18" customFormat="1" ht="15" hidden="1" customHeight="1" x14ac:dyDescent="0.3">
      <c r="A213" s="24"/>
      <c r="B213" s="26"/>
      <c r="C213" s="15" t="s">
        <v>1177</v>
      </c>
      <c r="D213" s="38" t="str">
        <f>D212</f>
        <v>INCLUIDO</v>
      </c>
      <c r="E213" s="38"/>
      <c r="F213" s="16">
        <f>SUMIF(E212,"Adicional",F212)</f>
        <v>0</v>
      </c>
      <c r="G213" s="17"/>
      <c r="H213" s="16">
        <f>SUM(H212)</f>
        <v>0</v>
      </c>
      <c r="I213" s="16"/>
      <c r="J213" s="16">
        <f t="shared" ref="J213:L213" si="272">SUM(J212)</f>
        <v>0</v>
      </c>
      <c r="K213" s="16">
        <f t="shared" si="272"/>
        <v>0</v>
      </c>
      <c r="L213" s="16">
        <f t="shared" si="272"/>
        <v>0</v>
      </c>
      <c r="M213" s="16" t="s">
        <v>1178</v>
      </c>
      <c r="N213" s="16">
        <f t="shared" ref="N213:O213" si="273">SUM(N212)</f>
        <v>0</v>
      </c>
      <c r="O213" s="84">
        <f t="shared" si="273"/>
        <v>0</v>
      </c>
      <c r="P213" s="13" t="str">
        <f t="shared" si="183"/>
        <v>NO</v>
      </c>
      <c r="Q213">
        <f>IF(D213="INCLUIDO",IF(H213&lt;&gt;0,1,0),0)</f>
        <v>0</v>
      </c>
    </row>
    <row r="214" spans="1:22" ht="15" hidden="1" customHeight="1" x14ac:dyDescent="0.3">
      <c r="A214" s="82">
        <v>906</v>
      </c>
      <c r="B214" s="33">
        <v>10</v>
      </c>
      <c r="C214" s="19" t="s">
        <v>1280</v>
      </c>
      <c r="D214" s="23" t="str">
        <f>$D$187</f>
        <v>INCLUIDO</v>
      </c>
      <c r="E214" s="91"/>
      <c r="F214" s="43">
        <v>0</v>
      </c>
      <c r="G214" s="43">
        <v>0</v>
      </c>
      <c r="H214" s="28"/>
      <c r="I214" s="28"/>
      <c r="J214" s="28"/>
      <c r="K214" s="28"/>
      <c r="L214" s="28"/>
      <c r="M214" s="68">
        <v>0</v>
      </c>
      <c r="N214" s="28"/>
      <c r="O214" s="83"/>
      <c r="P214" s="13" t="str">
        <f t="shared" si="183"/>
        <v>NO</v>
      </c>
      <c r="Q214" s="48">
        <f>IF(D214="INCLUIDO",IF(F214&lt;&gt;0,1,0),0)</f>
        <v>0</v>
      </c>
    </row>
    <row r="215" spans="1:22" ht="15" hidden="1" customHeight="1" x14ac:dyDescent="0.3">
      <c r="A215" s="34" t="s">
        <v>1281</v>
      </c>
      <c r="B215" s="36">
        <v>129</v>
      </c>
      <c r="C215" s="29" t="s">
        <v>1282</v>
      </c>
      <c r="D215" s="29" t="str">
        <f t="shared" ref="D215" si="274">$D$187</f>
        <v>INCLUIDO</v>
      </c>
      <c r="E215" s="27" t="s">
        <v>1186</v>
      </c>
      <c r="F215" s="20">
        <f>F214*S215</f>
        <v>0</v>
      </c>
      <c r="G215" s="21">
        <v>0</v>
      </c>
      <c r="H215" s="9">
        <f>(IF(I215="$ Prima",G215,G215*F215/R215))*$U$9</f>
        <v>0</v>
      </c>
      <c r="I215" s="9" t="s">
        <v>1153</v>
      </c>
      <c r="J215" s="9">
        <f>H215*$U$7</f>
        <v>0</v>
      </c>
      <c r="K215" s="9">
        <f>(H215+J215)*$K$15</f>
        <v>0</v>
      </c>
      <c r="L215" s="9">
        <f>ROUND(H215+J215+K215,2)</f>
        <v>0</v>
      </c>
      <c r="M215" s="11">
        <f>M214</f>
        <v>0</v>
      </c>
      <c r="N215" s="9">
        <f>H215*M215</f>
        <v>0</v>
      </c>
      <c r="O215" s="12">
        <f>N215</f>
        <v>0</v>
      </c>
      <c r="P215" s="13" t="str">
        <f t="shared" si="183"/>
        <v>NO</v>
      </c>
      <c r="Q215">
        <f>IF(D215="INCLUIDO",IF(F215&lt;&gt;0,1,0),0)</f>
        <v>0</v>
      </c>
      <c r="R215">
        <f>IF(I215="%o Al Millar",1000,IF(I215="% Al Porciento",100,IF(I215="$ Prima",G215)))</f>
        <v>1000</v>
      </c>
      <c r="S215">
        <f t="shared" ref="S215" si="275">IF(E215="Excluido",0,IF(D215="NO APLICA",0,1))</f>
        <v>0</v>
      </c>
    </row>
    <row r="216" spans="1:22" s="18" customFormat="1" ht="15" hidden="1" customHeight="1" x14ac:dyDescent="0.3">
      <c r="A216" s="24"/>
      <c r="B216" s="26"/>
      <c r="C216" s="15" t="s">
        <v>1177</v>
      </c>
      <c r="D216" s="38" t="str">
        <f>D215</f>
        <v>INCLUIDO</v>
      </c>
      <c r="E216" s="38"/>
      <c r="F216" s="16">
        <f>SUMIF(E188:E215,"Adicional",F188:F215)</f>
        <v>6500000</v>
      </c>
      <c r="G216" s="17"/>
      <c r="H216" s="16">
        <f>SUM(H215)</f>
        <v>0</v>
      </c>
      <c r="I216" s="16"/>
      <c r="J216" s="16">
        <f t="shared" ref="J216:L216" si="276">SUM(J215)</f>
        <v>0</v>
      </c>
      <c r="K216" s="16">
        <f t="shared" si="276"/>
        <v>0</v>
      </c>
      <c r="L216" s="16">
        <f t="shared" si="276"/>
        <v>0</v>
      </c>
      <c r="M216" s="16" t="s">
        <v>1178</v>
      </c>
      <c r="N216" s="16">
        <f t="shared" ref="N216:O216" si="277">SUM(N215)</f>
        <v>0</v>
      </c>
      <c r="O216" s="84">
        <f t="shared" si="277"/>
        <v>0</v>
      </c>
      <c r="P216" s="13" t="str">
        <f t="shared" si="183"/>
        <v>NO</v>
      </c>
      <c r="Q216">
        <f>IF(D216="INCLUIDO",IF(H216&lt;&gt;0,1,0),0)</f>
        <v>0</v>
      </c>
    </row>
    <row r="217" spans="1:22" ht="15" hidden="1" customHeight="1" thickBot="1" x14ac:dyDescent="0.35">
      <c r="A217" s="82">
        <v>906</v>
      </c>
      <c r="B217" s="33">
        <v>11</v>
      </c>
      <c r="C217" s="19" t="s">
        <v>1283</v>
      </c>
      <c r="D217" s="23" t="str">
        <f>'Ramo Comercial'!C152</f>
        <v>NO APLICA</v>
      </c>
      <c r="E217" s="91"/>
      <c r="F217" s="113">
        <v>0</v>
      </c>
      <c r="G217" s="113">
        <v>1.2</v>
      </c>
      <c r="H217" s="28"/>
      <c r="I217" s="28"/>
      <c r="J217" s="28"/>
      <c r="K217" s="28"/>
      <c r="L217" s="28"/>
      <c r="M217" s="68">
        <v>0</v>
      </c>
      <c r="N217" s="28"/>
      <c r="O217" s="83"/>
      <c r="P217" s="13" t="str">
        <f t="shared" si="183"/>
        <v>NO</v>
      </c>
      <c r="Q217">
        <f>IF(D217="INCLUIDO",IF(F217&lt;&gt;0,1,0),0)</f>
        <v>0</v>
      </c>
      <c r="T217" s="142">
        <f>G217</f>
        <v>1.2</v>
      </c>
      <c r="U217" s="150"/>
      <c r="V217" s="151"/>
    </row>
    <row r="218" spans="1:22" ht="15" hidden="1" customHeight="1" x14ac:dyDescent="0.3">
      <c r="A218" s="34" t="s">
        <v>1261</v>
      </c>
      <c r="B218" s="36">
        <v>131</v>
      </c>
      <c r="C218" s="29" t="s">
        <v>1151</v>
      </c>
      <c r="D218" s="29" t="str">
        <f>$D$217</f>
        <v>NO APLICA</v>
      </c>
      <c r="E218" s="27" t="s">
        <v>1152</v>
      </c>
      <c r="F218" s="20">
        <f>F217*S218</f>
        <v>0</v>
      </c>
      <c r="G218" s="21">
        <f>V218</f>
        <v>0</v>
      </c>
      <c r="H218" s="9">
        <f t="shared" ref="H218:H219" si="278">(IF(I218="$ Prima",G218,G218*F218/R218))*$U$9</f>
        <v>0</v>
      </c>
      <c r="I218" s="9" t="s">
        <v>1153</v>
      </c>
      <c r="J218" s="9">
        <f t="shared" ref="J218:J219" si="279">H218*$U$7</f>
        <v>0</v>
      </c>
      <c r="K218" s="9">
        <f t="shared" ref="K218:K219" si="280">(H218+J218)*$K$15</f>
        <v>0</v>
      </c>
      <c r="L218" s="9">
        <f t="shared" ref="L218:L219" si="281">ROUND(H218+J218+K218,2)</f>
        <v>0</v>
      </c>
      <c r="M218" s="11">
        <f>$M$217</f>
        <v>0</v>
      </c>
      <c r="N218" s="9">
        <f t="shared" ref="N218:N219" si="282">H218*M218</f>
        <v>0</v>
      </c>
      <c r="O218" s="12">
        <f t="shared" ref="O218:O219" si="283">N218</f>
        <v>0</v>
      </c>
      <c r="P218" s="13" t="str">
        <f t="shared" si="183"/>
        <v>NO</v>
      </c>
      <c r="Q218" s="48">
        <f>IF(D218="INCLUIDO",IF(F218&lt;&gt;0,1,0),0)</f>
        <v>0</v>
      </c>
      <c r="R218">
        <f>IF(I218="%o Al Millar",1000,IF(I218="% Al Porciento",100,IF(I218="$ Prima",G218)))</f>
        <v>1000</v>
      </c>
      <c r="S218">
        <f t="shared" ref="S218:S219" si="284">IF(E218="Excluido",0,IF(D218="NO APLICA",0,1))</f>
        <v>0</v>
      </c>
      <c r="T218" s="152">
        <v>0.7</v>
      </c>
      <c r="U218" s="159">
        <f>IF(E218="Excluido",0,T217*T218)</f>
        <v>0.84</v>
      </c>
      <c r="V218" s="160">
        <f>IF(D217="NO APLICA",0,(U220-U219)+(T217-U220))</f>
        <v>0</v>
      </c>
    </row>
    <row r="219" spans="1:22" ht="15" hidden="1" customHeight="1" thickBot="1" x14ac:dyDescent="0.35">
      <c r="A219" s="34" t="s">
        <v>1261</v>
      </c>
      <c r="B219" s="36">
        <v>130</v>
      </c>
      <c r="C219" s="29" t="s">
        <v>1262</v>
      </c>
      <c r="D219" s="29" t="str">
        <f>$D$217</f>
        <v>NO APLICA</v>
      </c>
      <c r="E219" s="27" t="s">
        <v>1137</v>
      </c>
      <c r="F219" s="20">
        <f>F218*S219</f>
        <v>0</v>
      </c>
      <c r="G219" s="21">
        <f>V219</f>
        <v>0</v>
      </c>
      <c r="H219" s="9">
        <f t="shared" si="278"/>
        <v>0</v>
      </c>
      <c r="I219" s="9" t="s">
        <v>1153</v>
      </c>
      <c r="J219" s="9">
        <f t="shared" si="279"/>
        <v>0</v>
      </c>
      <c r="K219" s="9">
        <f t="shared" si="280"/>
        <v>0</v>
      </c>
      <c r="L219" s="9">
        <f t="shared" si="281"/>
        <v>0</v>
      </c>
      <c r="M219" s="11">
        <f>$M$217</f>
        <v>0</v>
      </c>
      <c r="N219" s="9">
        <f t="shared" si="282"/>
        <v>0</v>
      </c>
      <c r="O219" s="12">
        <f t="shared" si="283"/>
        <v>0</v>
      </c>
      <c r="P219" s="13" t="str">
        <f t="shared" ref="P219:P289" si="285">IF(Q219=1,"SI","NO")</f>
        <v>NO</v>
      </c>
      <c r="Q219">
        <f>IF(D219="INCLUIDO",IF(F219&lt;&gt;0,1,0),0)</f>
        <v>0</v>
      </c>
      <c r="R219">
        <f>IF(I219="%o Al Millar",1000,IF(I219="% Al Porciento",100,IF(I219="$ Prima",G219)))</f>
        <v>1000</v>
      </c>
      <c r="S219">
        <f t="shared" si="284"/>
        <v>0</v>
      </c>
      <c r="T219" s="152">
        <v>0.3</v>
      </c>
      <c r="U219" s="159">
        <f>IF(E219="Excluido",0,T217*T219)</f>
        <v>0.36</v>
      </c>
      <c r="V219" s="160">
        <f>IF($F219=0,0,U219)</f>
        <v>0</v>
      </c>
    </row>
    <row r="220" spans="1:22" s="18" customFormat="1" ht="15" hidden="1" customHeight="1" thickBot="1" x14ac:dyDescent="0.35">
      <c r="A220" s="24"/>
      <c r="B220" s="26"/>
      <c r="C220" s="15" t="s">
        <v>1177</v>
      </c>
      <c r="D220" s="38" t="str">
        <f>D219</f>
        <v>NO APLICA</v>
      </c>
      <c r="E220" s="38"/>
      <c r="F220" s="16">
        <v>0</v>
      </c>
      <c r="G220" s="17"/>
      <c r="H220" s="16">
        <f>SUM(H218:H219)</f>
        <v>0</v>
      </c>
      <c r="I220" s="16"/>
      <c r="J220" s="16">
        <f t="shared" ref="J220:L220" si="286">SUM(J218:J219)</f>
        <v>0</v>
      </c>
      <c r="K220" s="16">
        <f t="shared" si="286"/>
        <v>0</v>
      </c>
      <c r="L220" s="16">
        <f t="shared" si="286"/>
        <v>0</v>
      </c>
      <c r="M220" s="16" t="s">
        <v>1178</v>
      </c>
      <c r="N220" s="16">
        <f t="shared" ref="N220:O220" si="287">SUM(N218:N219)</f>
        <v>0</v>
      </c>
      <c r="O220" s="84">
        <f t="shared" si="287"/>
        <v>0</v>
      </c>
      <c r="P220" s="13" t="str">
        <f t="shared" si="285"/>
        <v>NO</v>
      </c>
      <c r="Q220">
        <f>IF(D220="INCLUIDO",IF(H220&lt;&gt;0,1,0),0)</f>
        <v>0</v>
      </c>
      <c r="T220" s="143">
        <f>SUM(T218:T219)</f>
        <v>1</v>
      </c>
      <c r="U220" s="144">
        <f>SUM(U218:U219)</f>
        <v>1.2</v>
      </c>
      <c r="V220" s="145">
        <f>SUM(V218:V219)</f>
        <v>0</v>
      </c>
    </row>
    <row r="221" spans="1:22" ht="15" hidden="1" customHeight="1" x14ac:dyDescent="0.3">
      <c r="A221" s="82">
        <v>906</v>
      </c>
      <c r="B221" s="33">
        <v>12</v>
      </c>
      <c r="C221" s="19" t="s">
        <v>1284</v>
      </c>
      <c r="D221" s="23" t="str">
        <f>D217</f>
        <v>NO APLICA</v>
      </c>
      <c r="E221" s="91"/>
      <c r="F221" s="28"/>
      <c r="G221" s="28"/>
      <c r="H221" s="28"/>
      <c r="I221" s="28"/>
      <c r="J221" s="28"/>
      <c r="K221" s="28"/>
      <c r="L221" s="28"/>
      <c r="M221" s="68">
        <v>0</v>
      </c>
      <c r="N221" s="28"/>
      <c r="O221" s="83"/>
      <c r="P221" s="13" t="str">
        <f t="shared" si="285"/>
        <v>NO</v>
      </c>
      <c r="Q221" s="47">
        <f>IF(D221="INCLUIDO",IF(F222&lt;&gt;0,1,0),0)</f>
        <v>0</v>
      </c>
    </row>
    <row r="222" spans="1:22" ht="15" hidden="1" customHeight="1" x14ac:dyDescent="0.3">
      <c r="A222" s="34" t="s">
        <v>1261</v>
      </c>
      <c r="B222" s="36">
        <v>132</v>
      </c>
      <c r="C222" s="29" t="s">
        <v>1170</v>
      </c>
      <c r="D222" s="29" t="str">
        <f>$D$217</f>
        <v>NO APLICA</v>
      </c>
      <c r="E222" s="27" t="s">
        <v>1186</v>
      </c>
      <c r="F222" s="20">
        <f>F218*S222</f>
        <v>0</v>
      </c>
      <c r="G222" s="21">
        <v>0</v>
      </c>
      <c r="H222" s="9">
        <f>(IF(I222="$ Prima",G222,G222*F222/R222))*$U$9</f>
        <v>0</v>
      </c>
      <c r="I222" s="9" t="s">
        <v>1153</v>
      </c>
      <c r="J222" s="9">
        <f>H222*$U$7</f>
        <v>0</v>
      </c>
      <c r="K222" s="9">
        <f>(H222+J222)*$K$15</f>
        <v>0</v>
      </c>
      <c r="L222" s="9">
        <f>ROUND(H222+J222+K222,2)</f>
        <v>0</v>
      </c>
      <c r="M222" s="11">
        <f>M221</f>
        <v>0</v>
      </c>
      <c r="N222" s="9">
        <f>H222*M222</f>
        <v>0</v>
      </c>
      <c r="O222" s="12">
        <f>N222</f>
        <v>0</v>
      </c>
      <c r="P222" s="13" t="str">
        <f t="shared" si="285"/>
        <v>NO</v>
      </c>
      <c r="Q222">
        <f>IF(D222="INCLUIDO",IF(F222&lt;&gt;0,1,0),0)</f>
        <v>0</v>
      </c>
      <c r="R222">
        <f>IF(I222="%o Al Millar",1000,IF(I222="% Al Porciento",100,IF(I222="$ Prima",G222)))</f>
        <v>1000</v>
      </c>
      <c r="S222">
        <f t="shared" ref="S222" si="288">IF(E222="Excluido",0,IF(D222="NO APLICA",0,1))</f>
        <v>0</v>
      </c>
    </row>
    <row r="223" spans="1:22" s="18" customFormat="1" ht="15" hidden="1" customHeight="1" x14ac:dyDescent="0.3">
      <c r="A223" s="24"/>
      <c r="B223" s="26"/>
      <c r="C223" s="15" t="s">
        <v>1177</v>
      </c>
      <c r="D223" s="38" t="str">
        <f>D222</f>
        <v>NO APLICA</v>
      </c>
      <c r="E223" s="38"/>
      <c r="F223" s="16">
        <f>SUMIF(E222,"Adicional",F222)</f>
        <v>0</v>
      </c>
      <c r="G223" s="17"/>
      <c r="H223" s="16">
        <f>SUM(H222)</f>
        <v>0</v>
      </c>
      <c r="I223" s="16"/>
      <c r="J223" s="16">
        <f t="shared" ref="J223:L223" si="289">SUM(J222)</f>
        <v>0</v>
      </c>
      <c r="K223" s="16">
        <f t="shared" si="289"/>
        <v>0</v>
      </c>
      <c r="L223" s="16">
        <f t="shared" si="289"/>
        <v>0</v>
      </c>
      <c r="M223" s="16" t="s">
        <v>1178</v>
      </c>
      <c r="N223" s="16">
        <f t="shared" ref="N223:O223" si="290">SUM(N222)</f>
        <v>0</v>
      </c>
      <c r="O223" s="84">
        <f t="shared" si="290"/>
        <v>0</v>
      </c>
      <c r="P223" s="13" t="str">
        <f t="shared" si="285"/>
        <v>NO</v>
      </c>
      <c r="Q223">
        <f>IF(D223="INCLUIDO",IF(H223&lt;&gt;0,1,0),0)</f>
        <v>0</v>
      </c>
    </row>
    <row r="224" spans="1:22" ht="15" hidden="1" customHeight="1" x14ac:dyDescent="0.3">
      <c r="A224" s="82">
        <v>906</v>
      </c>
      <c r="B224" s="33">
        <v>13</v>
      </c>
      <c r="C224" s="19" t="s">
        <v>1285</v>
      </c>
      <c r="D224" s="23" t="str">
        <f>D217</f>
        <v>NO APLICA</v>
      </c>
      <c r="E224" s="91"/>
      <c r="F224" s="28"/>
      <c r="G224" s="28"/>
      <c r="H224" s="28"/>
      <c r="I224" s="28"/>
      <c r="J224" s="28"/>
      <c r="K224" s="28"/>
      <c r="L224" s="28"/>
      <c r="M224" s="68">
        <v>0</v>
      </c>
      <c r="N224" s="28"/>
      <c r="O224" s="83"/>
      <c r="P224" s="13" t="str">
        <f t="shared" si="285"/>
        <v>NO</v>
      </c>
      <c r="Q224" s="47">
        <f>IF(D224="INCLUIDO",IF(F225&lt;&gt;0,1,0),0)</f>
        <v>0</v>
      </c>
    </row>
    <row r="225" spans="1:22" ht="15" hidden="1" customHeight="1" x14ac:dyDescent="0.3">
      <c r="A225" s="34" t="s">
        <v>1261</v>
      </c>
      <c r="B225" s="36">
        <v>133</v>
      </c>
      <c r="C225" s="29" t="s">
        <v>1267</v>
      </c>
      <c r="D225" s="29" t="str">
        <f>$D$217</f>
        <v>NO APLICA</v>
      </c>
      <c r="E225" s="27" t="s">
        <v>1186</v>
      </c>
      <c r="F225" s="20">
        <f>F218*S225</f>
        <v>0</v>
      </c>
      <c r="G225" s="21">
        <v>0</v>
      </c>
      <c r="H225" s="9">
        <f>(IF(I225="$ Prima",G225,G225*F225/R225))*$U$9</f>
        <v>0</v>
      </c>
      <c r="I225" s="9" t="s">
        <v>1153</v>
      </c>
      <c r="J225" s="9">
        <f>H225*$U$7</f>
        <v>0</v>
      </c>
      <c r="K225" s="9">
        <f>(H225+J225)*$K$15</f>
        <v>0</v>
      </c>
      <c r="L225" s="9">
        <f>ROUND(H225+J225+K225,2)</f>
        <v>0</v>
      </c>
      <c r="M225" s="11">
        <f>M224</f>
        <v>0</v>
      </c>
      <c r="N225" s="9">
        <f>H225*M225</f>
        <v>0</v>
      </c>
      <c r="O225" s="12">
        <f>N225</f>
        <v>0</v>
      </c>
      <c r="P225" s="13" t="str">
        <f t="shared" si="285"/>
        <v>NO</v>
      </c>
      <c r="Q225">
        <f>IF(D225="INCLUIDO",IF(F225&lt;&gt;0,1,0),0)</f>
        <v>0</v>
      </c>
      <c r="R225">
        <f>IF(I225="%o Al Millar",1000,IF(I225="% Al Porciento",100,IF(I225="$ Prima",G225)))</f>
        <v>1000</v>
      </c>
      <c r="S225">
        <f t="shared" ref="S225" si="291">IF(E225="Excluido",0,IF(D225="NO APLICA",0,1))</f>
        <v>0</v>
      </c>
    </row>
    <row r="226" spans="1:22" s="18" customFormat="1" ht="15" hidden="1" customHeight="1" thickBot="1" x14ac:dyDescent="0.35">
      <c r="A226" s="24"/>
      <c r="B226" s="26"/>
      <c r="C226" s="15" t="s">
        <v>1177</v>
      </c>
      <c r="D226" s="38" t="str">
        <f>D225</f>
        <v>NO APLICA</v>
      </c>
      <c r="E226" s="38"/>
      <c r="F226" s="16">
        <f>SUMIF(E218:E225,"Adicional",F218:F225)</f>
        <v>0</v>
      </c>
      <c r="G226" s="17"/>
      <c r="H226" s="16">
        <f>SUM(H225)</f>
        <v>0</v>
      </c>
      <c r="I226" s="16"/>
      <c r="J226" s="16">
        <f t="shared" ref="J226:L226" si="292">SUM(J225)</f>
        <v>0</v>
      </c>
      <c r="K226" s="16">
        <f t="shared" si="292"/>
        <v>0</v>
      </c>
      <c r="L226" s="16">
        <f t="shared" si="292"/>
        <v>0</v>
      </c>
      <c r="M226" s="16" t="s">
        <v>1178</v>
      </c>
      <c r="N226" s="16">
        <f t="shared" ref="N226:O226" si="293">SUM(N225)</f>
        <v>0</v>
      </c>
      <c r="O226" s="84">
        <f t="shared" si="293"/>
        <v>0</v>
      </c>
      <c r="P226" s="13" t="str">
        <f t="shared" si="285"/>
        <v>NO</v>
      </c>
      <c r="Q226">
        <f>IF(D226="INCLUIDO",IF(H226&lt;&gt;0,1,0),0)</f>
        <v>0</v>
      </c>
    </row>
    <row r="227" spans="1:22" ht="15" hidden="1" customHeight="1" thickBot="1" x14ac:dyDescent="0.35">
      <c r="A227" s="82">
        <v>906</v>
      </c>
      <c r="B227" s="33">
        <v>14</v>
      </c>
      <c r="C227" s="19" t="s">
        <v>1286</v>
      </c>
      <c r="D227" s="23" t="str">
        <f>'Ramo Comercial'!C157</f>
        <v>NO APLICA</v>
      </c>
      <c r="E227" s="91"/>
      <c r="F227" s="113">
        <v>0</v>
      </c>
      <c r="G227" s="113">
        <v>1.2</v>
      </c>
      <c r="H227" s="28"/>
      <c r="I227" s="28"/>
      <c r="J227" s="28"/>
      <c r="K227" s="28"/>
      <c r="L227" s="28"/>
      <c r="M227" s="68">
        <v>0.15</v>
      </c>
      <c r="N227" s="28"/>
      <c r="O227" s="83"/>
      <c r="P227" s="13" t="str">
        <f t="shared" si="285"/>
        <v>NO</v>
      </c>
      <c r="Q227" s="48">
        <f>IF(D227="INCLUIDO",IF(F227&lt;&gt;0,1,0),0)</f>
        <v>0</v>
      </c>
      <c r="T227" s="142">
        <f>G227</f>
        <v>1.2</v>
      </c>
      <c r="U227" s="150"/>
      <c r="V227" s="151"/>
    </row>
    <row r="228" spans="1:22" ht="15" hidden="1" customHeight="1" x14ac:dyDescent="0.3">
      <c r="A228" s="34" t="s">
        <v>1261</v>
      </c>
      <c r="B228" s="36">
        <v>134</v>
      </c>
      <c r="C228" s="29" t="s">
        <v>1151</v>
      </c>
      <c r="D228" s="29" t="str">
        <f>$D$227</f>
        <v>NO APLICA</v>
      </c>
      <c r="E228" s="27" t="s">
        <v>1152</v>
      </c>
      <c r="F228" s="20">
        <f>F227*S228</f>
        <v>0</v>
      </c>
      <c r="G228" s="21">
        <f>V228</f>
        <v>0</v>
      </c>
      <c r="H228" s="9">
        <f>(IF(I228="$ Prima",G228,G228*F228/R228))*$U$9</f>
        <v>0</v>
      </c>
      <c r="I228" s="9" t="s">
        <v>1287</v>
      </c>
      <c r="J228" s="9">
        <f t="shared" ref="J228:J229" si="294">H228*$U$7</f>
        <v>0</v>
      </c>
      <c r="K228" s="9">
        <f t="shared" ref="K228:K229" si="295">(H228+J228)*$K$15</f>
        <v>0</v>
      </c>
      <c r="L228" s="9">
        <f t="shared" ref="L228:L229" si="296">ROUND(H228+J228+K228,2)</f>
        <v>0</v>
      </c>
      <c r="M228" s="11">
        <f>$M$227</f>
        <v>0.15</v>
      </c>
      <c r="N228" s="9">
        <f t="shared" ref="N228:N229" si="297">H228*M228</f>
        <v>0</v>
      </c>
      <c r="O228" s="12">
        <f t="shared" ref="O228:O229" si="298">N228</f>
        <v>0</v>
      </c>
      <c r="P228" s="13" t="str">
        <f t="shared" si="285"/>
        <v>NO</v>
      </c>
      <c r="Q228">
        <f>IF(D228="INCLUIDO",IF(F228&lt;&gt;0,1,0),0)</f>
        <v>0</v>
      </c>
      <c r="R228">
        <f>IF(I228="%o Al Millar",1000,IF(I228="% Al Porciento",100,IF(I228="$ Prima",G228)))</f>
        <v>0</v>
      </c>
      <c r="S228">
        <f t="shared" ref="S228:S229" si="299">IF(E228="Excluido",0,IF(D228="NO APLICA",0,1))</f>
        <v>0</v>
      </c>
      <c r="T228" s="152">
        <v>0.7</v>
      </c>
      <c r="U228" s="159">
        <f>IF(E228="Excluido",0,T227*T228)</f>
        <v>0.84</v>
      </c>
      <c r="V228" s="160">
        <f>IF(D227="NO APLICA",0,(U230-U229)+(T227-U230))</f>
        <v>0</v>
      </c>
    </row>
    <row r="229" spans="1:22" ht="15" hidden="1" customHeight="1" thickBot="1" x14ac:dyDescent="0.35">
      <c r="A229" s="34" t="s">
        <v>1261</v>
      </c>
      <c r="B229" s="36">
        <v>135</v>
      </c>
      <c r="C229" s="29" t="s">
        <v>1262</v>
      </c>
      <c r="D229" s="29" t="str">
        <f>$D$227</f>
        <v>NO APLICA</v>
      </c>
      <c r="E229" s="27" t="s">
        <v>1137</v>
      </c>
      <c r="F229" s="20">
        <f>F228*S229</f>
        <v>0</v>
      </c>
      <c r="G229" s="21">
        <f>V229</f>
        <v>0</v>
      </c>
      <c r="H229" s="9">
        <f>(IF(I229="$ Prima",G229,G229*F229/R229))*$U$9</f>
        <v>0</v>
      </c>
      <c r="I229" s="9" t="s">
        <v>1153</v>
      </c>
      <c r="J229" s="9">
        <f t="shared" si="294"/>
        <v>0</v>
      </c>
      <c r="K229" s="9">
        <f t="shared" si="295"/>
        <v>0</v>
      </c>
      <c r="L229" s="9">
        <f t="shared" si="296"/>
        <v>0</v>
      </c>
      <c r="M229" s="11">
        <f>$M$227</f>
        <v>0.15</v>
      </c>
      <c r="N229" s="9">
        <f t="shared" si="297"/>
        <v>0</v>
      </c>
      <c r="O229" s="12">
        <f t="shared" si="298"/>
        <v>0</v>
      </c>
      <c r="P229" s="13" t="str">
        <f t="shared" si="285"/>
        <v>NO</v>
      </c>
      <c r="Q229">
        <f>IF(D229="INCLUIDO",IF(F229&lt;&gt;0,1,0),0)</f>
        <v>0</v>
      </c>
      <c r="R229">
        <f>IF(I229="%o Al Millar",1000,IF(I229="% Al Porciento",100,IF(I229="$ Prima",G229)))</f>
        <v>1000</v>
      </c>
      <c r="S229">
        <f t="shared" si="299"/>
        <v>0</v>
      </c>
      <c r="T229" s="152">
        <v>0.3</v>
      </c>
      <c r="U229" s="159">
        <f>IF(E229="Excluido",0,T227*T229)</f>
        <v>0.36</v>
      </c>
      <c r="V229" s="160">
        <f>IF($F229=0,0,U229)</f>
        <v>0</v>
      </c>
    </row>
    <row r="230" spans="1:22" s="18" customFormat="1" ht="15" hidden="1" customHeight="1" thickBot="1" x14ac:dyDescent="0.35">
      <c r="A230" s="24"/>
      <c r="B230" s="26"/>
      <c r="C230" s="15" t="s">
        <v>1177</v>
      </c>
      <c r="D230" s="38" t="str">
        <f>D229</f>
        <v>NO APLICA</v>
      </c>
      <c r="E230" s="38"/>
      <c r="F230" s="16">
        <v>0</v>
      </c>
      <c r="G230" s="17"/>
      <c r="H230" s="16">
        <f>SUM(H228:H229)</f>
        <v>0</v>
      </c>
      <c r="I230" s="16"/>
      <c r="J230" s="16">
        <f t="shared" ref="J230:L230" si="300">SUM(J228:J229)</f>
        <v>0</v>
      </c>
      <c r="K230" s="16">
        <f t="shared" si="300"/>
        <v>0</v>
      </c>
      <c r="L230" s="16">
        <f t="shared" si="300"/>
        <v>0</v>
      </c>
      <c r="M230" s="16" t="s">
        <v>1178</v>
      </c>
      <c r="N230" s="16">
        <f t="shared" ref="N230:O230" si="301">SUM(N228:N229)</f>
        <v>0</v>
      </c>
      <c r="O230" s="84">
        <f t="shared" si="301"/>
        <v>0</v>
      </c>
      <c r="P230" s="13" t="str">
        <f t="shared" si="285"/>
        <v>NO</v>
      </c>
      <c r="Q230">
        <f>IF(D230="INCLUIDO",IF(H230&lt;&gt;0,1,0),0)</f>
        <v>0</v>
      </c>
      <c r="T230" s="143">
        <f>SUM(T228:T229)</f>
        <v>1</v>
      </c>
      <c r="U230" s="144">
        <f>SUM(U228:U229)</f>
        <v>1.2</v>
      </c>
      <c r="V230" s="145">
        <f>SUM(V228:V229)</f>
        <v>0</v>
      </c>
    </row>
    <row r="231" spans="1:22" ht="15" hidden="1" customHeight="1" x14ac:dyDescent="0.3">
      <c r="A231" s="82">
        <v>906</v>
      </c>
      <c r="B231" s="33">
        <v>15</v>
      </c>
      <c r="C231" s="19" t="s">
        <v>1288</v>
      </c>
      <c r="D231" s="23" t="str">
        <f>D227</f>
        <v>NO APLICA</v>
      </c>
      <c r="E231" s="91"/>
      <c r="F231" s="28"/>
      <c r="G231" s="28"/>
      <c r="H231" s="28"/>
      <c r="I231" s="28"/>
      <c r="J231" s="28"/>
      <c r="K231" s="28"/>
      <c r="L231" s="28"/>
      <c r="M231" s="68">
        <v>0.05</v>
      </c>
      <c r="N231" s="28"/>
      <c r="O231" s="83"/>
      <c r="P231" s="13" t="str">
        <f t="shared" si="285"/>
        <v>NO</v>
      </c>
      <c r="Q231" s="47">
        <f>IF(D231="INCLUIDO",IF(F232&lt;&gt;0,1,0),0)</f>
        <v>0</v>
      </c>
    </row>
    <row r="232" spans="1:22" ht="15" hidden="1" customHeight="1" x14ac:dyDescent="0.3">
      <c r="A232" s="34" t="s">
        <v>1261</v>
      </c>
      <c r="B232" s="36">
        <v>136</v>
      </c>
      <c r="C232" s="29" t="s">
        <v>1170</v>
      </c>
      <c r="D232" s="29" t="str">
        <f>$D$227</f>
        <v>NO APLICA</v>
      </c>
      <c r="E232" s="27" t="s">
        <v>1137</v>
      </c>
      <c r="F232" s="20">
        <f>F228*S232</f>
        <v>0</v>
      </c>
      <c r="G232" s="21">
        <v>0</v>
      </c>
      <c r="H232" s="9">
        <f>(IF(I232="$ Prima",G232,G232*F232/R232))*$U$9</f>
        <v>0</v>
      </c>
      <c r="I232" s="9" t="s">
        <v>1287</v>
      </c>
      <c r="J232" s="9">
        <f>H232*$U$7</f>
        <v>0</v>
      </c>
      <c r="K232" s="9">
        <f>(H232+J232)*$K$15</f>
        <v>0</v>
      </c>
      <c r="L232" s="9">
        <f>ROUND(H232+J232+K232,2)</f>
        <v>0</v>
      </c>
      <c r="M232" s="11">
        <f>M231</f>
        <v>0.05</v>
      </c>
      <c r="N232" s="9">
        <f>H232*M232</f>
        <v>0</v>
      </c>
      <c r="O232" s="12">
        <f>N232</f>
        <v>0</v>
      </c>
      <c r="P232" s="13" t="str">
        <f t="shared" si="285"/>
        <v>NO</v>
      </c>
      <c r="Q232">
        <f>IF(D232="INCLUIDO",IF(F232&lt;&gt;0,1,0),0)</f>
        <v>0</v>
      </c>
      <c r="R232">
        <f>IF(I232="%o Al Millar",1000,IF(I232="% Al Porciento",100,IF(I232="$ Prima",G232)))</f>
        <v>0</v>
      </c>
      <c r="S232">
        <f t="shared" ref="S232" si="302">IF(E232="Excluido",0,IF(D232="NO APLICA",0,1))</f>
        <v>0</v>
      </c>
    </row>
    <row r="233" spans="1:22" s="18" customFormat="1" ht="15" hidden="1" customHeight="1" x14ac:dyDescent="0.3">
      <c r="A233" s="24"/>
      <c r="B233" s="26"/>
      <c r="C233" s="15" t="s">
        <v>1177</v>
      </c>
      <c r="D233" s="38" t="str">
        <f>D232</f>
        <v>NO APLICA</v>
      </c>
      <c r="E233" s="38"/>
      <c r="F233" s="16">
        <f>SUMIF(E232,"Adicional",F232)</f>
        <v>0</v>
      </c>
      <c r="G233" s="17"/>
      <c r="H233" s="16">
        <f>SUM(H232)</f>
        <v>0</v>
      </c>
      <c r="I233" s="16"/>
      <c r="J233" s="16">
        <f t="shared" ref="J233:L233" si="303">SUM(J232)</f>
        <v>0</v>
      </c>
      <c r="K233" s="16">
        <f t="shared" si="303"/>
        <v>0</v>
      </c>
      <c r="L233" s="16">
        <f t="shared" si="303"/>
        <v>0</v>
      </c>
      <c r="M233" s="16" t="s">
        <v>1178</v>
      </c>
      <c r="N233" s="16">
        <f t="shared" ref="N233:O233" si="304">SUM(N232)</f>
        <v>0</v>
      </c>
      <c r="O233" s="84">
        <f t="shared" si="304"/>
        <v>0</v>
      </c>
      <c r="P233" s="13" t="str">
        <f t="shared" si="285"/>
        <v>NO</v>
      </c>
      <c r="Q233">
        <f>IF(D233="INCLUIDO",IF(H233&lt;&gt;0,1,0),0)</f>
        <v>0</v>
      </c>
    </row>
    <row r="234" spans="1:22" ht="15" hidden="1" customHeight="1" x14ac:dyDescent="0.3">
      <c r="A234" s="82">
        <v>906</v>
      </c>
      <c r="B234" s="33">
        <v>16</v>
      </c>
      <c r="C234" s="19" t="s">
        <v>1289</v>
      </c>
      <c r="D234" s="23" t="str">
        <f>D227</f>
        <v>NO APLICA</v>
      </c>
      <c r="E234" s="91"/>
      <c r="F234" s="28"/>
      <c r="G234" s="28"/>
      <c r="H234" s="28"/>
      <c r="I234" s="28"/>
      <c r="J234" s="28"/>
      <c r="K234" s="28"/>
      <c r="L234" s="28"/>
      <c r="M234" s="68">
        <v>0.05</v>
      </c>
      <c r="N234" s="28"/>
      <c r="O234" s="83"/>
      <c r="P234" s="13" t="str">
        <f t="shared" si="285"/>
        <v>NO</v>
      </c>
      <c r="Q234" s="47" t="b">
        <f>IF(D234="INCLUIDO",IF(F235&lt;&gt;0,1,0))</f>
        <v>0</v>
      </c>
    </row>
    <row r="235" spans="1:22" ht="15" hidden="1" customHeight="1" x14ac:dyDescent="0.3">
      <c r="A235" s="34" t="s">
        <v>1261</v>
      </c>
      <c r="B235" s="36">
        <v>137</v>
      </c>
      <c r="C235" s="29" t="s">
        <v>1267</v>
      </c>
      <c r="D235" s="29" t="str">
        <f>$D$227</f>
        <v>NO APLICA</v>
      </c>
      <c r="E235" s="27" t="s">
        <v>1137</v>
      </c>
      <c r="F235" s="20">
        <f>F228*S235</f>
        <v>0</v>
      </c>
      <c r="G235" s="21">
        <v>0</v>
      </c>
      <c r="H235" s="9">
        <f>(IF(I235="$ Prima",G235,G235*F235/R235))*$U$9</f>
        <v>0</v>
      </c>
      <c r="I235" s="9" t="s">
        <v>1287</v>
      </c>
      <c r="J235" s="9">
        <f>H235*$U$7</f>
        <v>0</v>
      </c>
      <c r="K235" s="9">
        <f>(H235+J235)*$K$15</f>
        <v>0</v>
      </c>
      <c r="L235" s="9">
        <f>ROUND(H235+J235+K235,2)</f>
        <v>0</v>
      </c>
      <c r="M235" s="11">
        <f>M234</f>
        <v>0.05</v>
      </c>
      <c r="N235" s="9">
        <f>H235*M235</f>
        <v>0</v>
      </c>
      <c r="O235" s="12">
        <f>N235</f>
        <v>0</v>
      </c>
      <c r="P235" s="13" t="str">
        <f t="shared" si="285"/>
        <v>NO</v>
      </c>
      <c r="Q235">
        <f>IF(D235="INCLUIDO",IF(F235&lt;&gt;0,1,0),0)</f>
        <v>0</v>
      </c>
      <c r="R235">
        <f>IF(I235="%o Al Millar",1000,IF(I235="% Al Porciento",100,IF(I235="$ Prima",G235)))</f>
        <v>0</v>
      </c>
      <c r="S235">
        <f t="shared" ref="S235" si="305">IF(E235="Excluido",0,IF(D235="NO APLICA",0,1))</f>
        <v>0</v>
      </c>
    </row>
    <row r="236" spans="1:22" s="18" customFormat="1" ht="15" hidden="1" customHeight="1" thickBot="1" x14ac:dyDescent="0.35">
      <c r="A236" s="24"/>
      <c r="B236" s="26"/>
      <c r="C236" s="15" t="s">
        <v>1177</v>
      </c>
      <c r="D236" s="38" t="str">
        <f>D235</f>
        <v>NO APLICA</v>
      </c>
      <c r="E236" s="38"/>
      <c r="F236" s="16">
        <f>SUMIF(E228:E235,"Adicional",F228:F235)</f>
        <v>0</v>
      </c>
      <c r="G236" s="17"/>
      <c r="H236" s="16">
        <f>SUM(H235)</f>
        <v>0</v>
      </c>
      <c r="I236" s="16"/>
      <c r="J236" s="16">
        <f t="shared" ref="J236:L236" si="306">SUM(J235)</f>
        <v>0</v>
      </c>
      <c r="K236" s="16">
        <f t="shared" si="306"/>
        <v>0</v>
      </c>
      <c r="L236" s="16">
        <f t="shared" si="306"/>
        <v>0</v>
      </c>
      <c r="M236" s="16" t="s">
        <v>1178</v>
      </c>
      <c r="N236" s="16">
        <f t="shared" ref="N236:O236" si="307">SUM(N235)</f>
        <v>0</v>
      </c>
      <c r="O236" s="84">
        <f t="shared" si="307"/>
        <v>0</v>
      </c>
      <c r="P236" s="13" t="str">
        <f t="shared" si="285"/>
        <v>NO</v>
      </c>
      <c r="Q236">
        <f>IF(D236="INCLUIDO",IF(H236&lt;&gt;0,1,0),0)</f>
        <v>0</v>
      </c>
    </row>
    <row r="237" spans="1:22" ht="15" hidden="1" customHeight="1" thickBot="1" x14ac:dyDescent="0.35">
      <c r="A237" s="82">
        <v>908</v>
      </c>
      <c r="B237" s="33">
        <v>1</v>
      </c>
      <c r="C237" s="19" t="s">
        <v>1290</v>
      </c>
      <c r="D237" s="23" t="str">
        <f>'Ramo Comercial'!C168</f>
        <v>NO APLICA</v>
      </c>
      <c r="E237" s="91"/>
      <c r="F237" s="113">
        <v>0</v>
      </c>
      <c r="G237" s="113">
        <v>1.2</v>
      </c>
      <c r="H237" s="28"/>
      <c r="I237" s="28"/>
      <c r="J237" s="28"/>
      <c r="K237" s="28"/>
      <c r="L237" s="28"/>
      <c r="M237" s="68">
        <v>0</v>
      </c>
      <c r="N237" s="28"/>
      <c r="O237" s="83"/>
      <c r="P237" s="13" t="str">
        <f t="shared" si="285"/>
        <v>NO</v>
      </c>
      <c r="Q237" s="48">
        <f>IF(D237="INCLUIDO",IF(F237&lt;&gt;0,1,0),0)</f>
        <v>0</v>
      </c>
      <c r="T237" s="142">
        <f>G237</f>
        <v>1.2</v>
      </c>
      <c r="U237" s="150"/>
      <c r="V237" s="151"/>
    </row>
    <row r="238" spans="1:22" ht="15" hidden="1" customHeight="1" x14ac:dyDescent="0.3">
      <c r="A238" s="34" t="s">
        <v>1291</v>
      </c>
      <c r="B238" s="36">
        <v>138</v>
      </c>
      <c r="C238" s="29" t="s">
        <v>1292</v>
      </c>
      <c r="D238" s="29" t="str">
        <f>D237</f>
        <v>NO APLICA</v>
      </c>
      <c r="E238" s="27" t="s">
        <v>1152</v>
      </c>
      <c r="F238" s="20">
        <f>F237*S238</f>
        <v>0</v>
      </c>
      <c r="G238" s="21">
        <f>V238</f>
        <v>0</v>
      </c>
      <c r="H238" s="9">
        <f t="shared" ref="H238:H239" si="308">(IF(I238="$ Prima",G238,G238*F238/R238))*$U$9</f>
        <v>0</v>
      </c>
      <c r="I238" s="9" t="s">
        <v>1287</v>
      </c>
      <c r="J238" s="9">
        <f t="shared" ref="J238:J239" si="309">H238*$U$7</f>
        <v>0</v>
      </c>
      <c r="K238" s="9">
        <f t="shared" ref="K238:K239" si="310">(H238+J238)*$K$15</f>
        <v>0</v>
      </c>
      <c r="L238" s="9">
        <f t="shared" ref="L238:L239" si="311">ROUND(H238+J238+K238,2)</f>
        <v>0</v>
      </c>
      <c r="M238" s="11">
        <f>$M$237</f>
        <v>0</v>
      </c>
      <c r="N238" s="9">
        <f t="shared" ref="N238:N239" si="312">H238*M238</f>
        <v>0</v>
      </c>
      <c r="O238" s="12">
        <f t="shared" ref="O238:O239" si="313">N238</f>
        <v>0</v>
      </c>
      <c r="P238" s="13" t="str">
        <f t="shared" si="285"/>
        <v>NO</v>
      </c>
      <c r="Q238">
        <f>IF(D238="INCLUIDO",IF(F238&lt;&gt;0,1,0),0)</f>
        <v>0</v>
      </c>
      <c r="R238">
        <f>IF(I238="%o Al Millar",1000,IF(I238="% Al Porciento",100,IF(I238="$ Prima",G238)))</f>
        <v>0</v>
      </c>
      <c r="S238">
        <f t="shared" ref="S238:S239" si="314">IF(E238="Excluido",0,IF(D238="NO APLICA",0,1))</f>
        <v>0</v>
      </c>
      <c r="T238" s="152">
        <v>0.7</v>
      </c>
      <c r="U238" s="159">
        <f>IF(E238="Excluido",0,T237*T238)</f>
        <v>0.84</v>
      </c>
      <c r="V238" s="160">
        <f>IF(D237="NO APLICA",0,(U240-U239)+(T237-U240))</f>
        <v>0</v>
      </c>
    </row>
    <row r="239" spans="1:22" ht="15" hidden="1" customHeight="1" thickBot="1" x14ac:dyDescent="0.35">
      <c r="A239" s="34" t="s">
        <v>1291</v>
      </c>
      <c r="B239" s="36">
        <v>254</v>
      </c>
      <c r="C239" s="29" t="s">
        <v>1293</v>
      </c>
      <c r="D239" s="29" t="str">
        <f>D237</f>
        <v>NO APLICA</v>
      </c>
      <c r="E239" s="27" t="s">
        <v>1152</v>
      </c>
      <c r="F239" s="20">
        <f>F238*S239</f>
        <v>0</v>
      </c>
      <c r="G239" s="21">
        <f>V239</f>
        <v>0</v>
      </c>
      <c r="H239" s="9">
        <f t="shared" si="308"/>
        <v>0</v>
      </c>
      <c r="I239" s="9" t="s">
        <v>1287</v>
      </c>
      <c r="J239" s="9">
        <f t="shared" si="309"/>
        <v>0</v>
      </c>
      <c r="K239" s="9">
        <f t="shared" si="310"/>
        <v>0</v>
      </c>
      <c r="L239" s="9">
        <f t="shared" si="311"/>
        <v>0</v>
      </c>
      <c r="M239" s="11">
        <f>$M$237</f>
        <v>0</v>
      </c>
      <c r="N239" s="9">
        <f t="shared" si="312"/>
        <v>0</v>
      </c>
      <c r="O239" s="12">
        <f t="shared" si="313"/>
        <v>0</v>
      </c>
      <c r="P239" s="13" t="str">
        <f t="shared" si="285"/>
        <v>NO</v>
      </c>
      <c r="Q239">
        <f>IF(D239="INCLUIDO",IF(F239&lt;&gt;0,1,0),0)</f>
        <v>0</v>
      </c>
      <c r="R239">
        <f>IF(I239="%o Al Millar",1000,IF(I239="% Al Porciento",100,IF(I239="$ Prima",G239)))</f>
        <v>0</v>
      </c>
      <c r="S239">
        <f t="shared" si="314"/>
        <v>0</v>
      </c>
      <c r="T239" s="152">
        <v>0.3</v>
      </c>
      <c r="U239" s="159">
        <f>IF(E239="Excluido",0,T237*T239)</f>
        <v>0.36</v>
      </c>
      <c r="V239" s="160">
        <f>IF($F239=0,0,U239)</f>
        <v>0</v>
      </c>
    </row>
    <row r="240" spans="1:22" s="18" customFormat="1" ht="15" hidden="1" customHeight="1" thickBot="1" x14ac:dyDescent="0.35">
      <c r="A240" s="24"/>
      <c r="B240" s="26"/>
      <c r="C240" s="15" t="s">
        <v>1177</v>
      </c>
      <c r="D240" s="38" t="str">
        <f>D239</f>
        <v>NO APLICA</v>
      </c>
      <c r="E240" s="38"/>
      <c r="F240" s="16">
        <f>SUMIF(E238:E239,"Adicional",F238:F239)</f>
        <v>0</v>
      </c>
      <c r="G240" s="17"/>
      <c r="H240" s="16">
        <f>SUM(H238:H239)</f>
        <v>0</v>
      </c>
      <c r="I240" s="16"/>
      <c r="J240" s="16">
        <f t="shared" ref="J240:L240" si="315">SUM(J238:J239)</f>
        <v>0</v>
      </c>
      <c r="K240" s="16">
        <f t="shared" si="315"/>
        <v>0</v>
      </c>
      <c r="L240" s="16">
        <f t="shared" si="315"/>
        <v>0</v>
      </c>
      <c r="M240" s="16" t="s">
        <v>1178</v>
      </c>
      <c r="N240" s="16">
        <f t="shared" ref="N240:O240" si="316">SUM(N238:N239)</f>
        <v>0</v>
      </c>
      <c r="O240" s="84">
        <f t="shared" si="316"/>
        <v>0</v>
      </c>
      <c r="P240" s="13" t="str">
        <f t="shared" si="285"/>
        <v>NO</v>
      </c>
      <c r="Q240">
        <f>IF(D240="INCLUIDO",IF(H240&lt;&gt;0,1,0),0)</f>
        <v>0</v>
      </c>
      <c r="T240" s="143">
        <f>SUM(T238:T239)</f>
        <v>1</v>
      </c>
      <c r="U240" s="144">
        <f>SUM(U238:U239)</f>
        <v>1.2</v>
      </c>
      <c r="V240" s="145">
        <f>SUM(V238:V239)</f>
        <v>0</v>
      </c>
    </row>
    <row r="241" spans="1:29" hidden="1" x14ac:dyDescent="0.3">
      <c r="A241" s="82">
        <v>909</v>
      </c>
      <c r="B241" s="33">
        <v>1</v>
      </c>
      <c r="C241" s="19" t="s">
        <v>1294</v>
      </c>
      <c r="D241" s="23" t="str">
        <f>'Ramo Comercial'!E162</f>
        <v>INCLUIDO</v>
      </c>
      <c r="E241" s="91"/>
      <c r="F241" s="132">
        <f>'COTIZACIÓN M.N.'!D91</f>
        <v>0</v>
      </c>
      <c r="G241" s="132">
        <f>'COTIZACIÓN M.N.'!F91</f>
        <v>0</v>
      </c>
      <c r="H241" s="28"/>
      <c r="I241" s="28"/>
      <c r="J241" s="28"/>
      <c r="K241" s="28"/>
      <c r="L241" s="28"/>
      <c r="M241" s="68">
        <f>'COTIZACIÓN M.N.'!G91</f>
        <v>0.1</v>
      </c>
      <c r="N241" s="28"/>
      <c r="O241" s="83"/>
      <c r="P241" s="13" t="str">
        <f t="shared" si="285"/>
        <v>NO</v>
      </c>
      <c r="Q241" s="47">
        <f>IF(D241="INCLUIDO",IF(F242&lt;&gt;0,1,0),0)</f>
        <v>0</v>
      </c>
      <c r="T241" s="112">
        <f>G241*T272</f>
        <v>0</v>
      </c>
    </row>
    <row r="242" spans="1:29" hidden="1" x14ac:dyDescent="0.3">
      <c r="A242" s="34" t="s">
        <v>1295</v>
      </c>
      <c r="B242" s="36">
        <v>139</v>
      </c>
      <c r="C242" s="29" t="s">
        <v>1296</v>
      </c>
      <c r="D242" s="29" t="str">
        <f>'Ramo Comercial'!C162</f>
        <v>INCLUIDO</v>
      </c>
      <c r="E242" s="27" t="s">
        <v>1137</v>
      </c>
      <c r="F242" s="43">
        <f>F$241*S242</f>
        <v>0</v>
      </c>
      <c r="G242" s="114">
        <f>V242</f>
        <v>0</v>
      </c>
      <c r="H242" s="9">
        <f t="shared" ref="H242:H271" si="317">(IF(I242="$ Prima",G242,G242*F242/R242))*$U$9</f>
        <v>0</v>
      </c>
      <c r="I242" s="9" t="s">
        <v>1287</v>
      </c>
      <c r="J242" s="9">
        <f t="shared" ref="J242:J271" si="318">H242*$U$7</f>
        <v>0</v>
      </c>
      <c r="K242" s="9">
        <f t="shared" ref="K242:K271" si="319">(H242+J242)*$K$15</f>
        <v>0</v>
      </c>
      <c r="L242" s="9">
        <f t="shared" ref="L242:L271" si="320">ROUND(H242+J242+K242,2)</f>
        <v>0</v>
      </c>
      <c r="M242" s="11">
        <f>$M$241</f>
        <v>0.1</v>
      </c>
      <c r="N242" s="9">
        <f t="shared" ref="N242:N271" si="321">H242*M242</f>
        <v>0</v>
      </c>
      <c r="O242" s="12">
        <f t="shared" ref="O242:O271" si="322">N242</f>
        <v>0</v>
      </c>
      <c r="P242" s="13" t="str">
        <f t="shared" si="285"/>
        <v>NO</v>
      </c>
      <c r="Q242">
        <f t="shared" ref="Q242:Q271" si="323">IF(D242="INCLUIDO",IF(F242&lt;&gt;0,1,0),0)</f>
        <v>0</v>
      </c>
      <c r="R242">
        <f t="shared" ref="R242:R271" si="324">IF(I242="%o Al Millar",1000,IF(I242="% Al Porciento",100,IF(I242="$ Prima",G242)))</f>
        <v>0</v>
      </c>
      <c r="S242">
        <f t="shared" ref="S242:S271" si="325">IF(E242="Excluido",0,IF(D242="NO APLICA",0,1))</f>
        <v>1</v>
      </c>
      <c r="T242" s="110">
        <f>VLOOKUP(B242,DesgloseRC!$E$48:$F$88,2,FALSE)</f>
        <v>0.25</v>
      </c>
      <c r="U242" s="111">
        <f>IF(E242="Excluido",0,T241*T242)</f>
        <v>0</v>
      </c>
      <c r="V242" s="160">
        <f>IF(D241="NO APLICA",0,(U272-(SUM(U243:U271))+(T241-U272)))</f>
        <v>0</v>
      </c>
      <c r="W242" s="110"/>
      <c r="X242" s="110"/>
      <c r="Y242" s="110"/>
      <c r="Z242" s="110"/>
      <c r="AA242" s="110"/>
      <c r="AB242" s="110"/>
      <c r="AC242" s="110"/>
    </row>
    <row r="243" spans="1:29" ht="15" hidden="1" customHeight="1" x14ac:dyDescent="0.3">
      <c r="A243" s="34" t="s">
        <v>1295</v>
      </c>
      <c r="B243" s="36">
        <v>140</v>
      </c>
      <c r="C243" s="29" t="s">
        <v>1297</v>
      </c>
      <c r="D243" s="29" t="str">
        <f>$D$242</f>
        <v>INCLUIDO</v>
      </c>
      <c r="E243" s="27" t="s">
        <v>1186</v>
      </c>
      <c r="F243" s="43">
        <f t="shared" ref="F243:F271" si="326">F$241*S243</f>
        <v>0</v>
      </c>
      <c r="G243" s="114">
        <f t="shared" ref="G243:G271" si="327">V243</f>
        <v>0</v>
      </c>
      <c r="H243" s="9">
        <f t="shared" si="317"/>
        <v>0</v>
      </c>
      <c r="I243" s="9" t="s">
        <v>1287</v>
      </c>
      <c r="J243" s="9">
        <f t="shared" si="318"/>
        <v>0</v>
      </c>
      <c r="K243" s="9">
        <f t="shared" si="319"/>
        <v>0</v>
      </c>
      <c r="L243" s="9">
        <f t="shared" si="320"/>
        <v>0</v>
      </c>
      <c r="M243" s="11">
        <f t="shared" ref="M243:M271" si="328">$M$241</f>
        <v>0.1</v>
      </c>
      <c r="N243" s="9">
        <f t="shared" si="321"/>
        <v>0</v>
      </c>
      <c r="O243" s="12">
        <f t="shared" si="322"/>
        <v>0</v>
      </c>
      <c r="P243" s="13" t="str">
        <f t="shared" si="285"/>
        <v>NO</v>
      </c>
      <c r="Q243">
        <f t="shared" si="323"/>
        <v>0</v>
      </c>
      <c r="R243">
        <f t="shared" si="324"/>
        <v>0</v>
      </c>
      <c r="S243">
        <f t="shared" si="325"/>
        <v>0</v>
      </c>
      <c r="T243" s="110">
        <f>VLOOKUP(B243,DesgloseRC!$E$48:$F$88,2,FALSE)</f>
        <v>0.05</v>
      </c>
      <c r="U243" s="111">
        <f>IF(E243="Excluido",0,$T$241*T243)</f>
        <v>0</v>
      </c>
      <c r="V243" s="111">
        <f>IF(F243=0,0,U243)</f>
        <v>0</v>
      </c>
      <c r="W243" s="110"/>
      <c r="X243" s="110"/>
      <c r="Y243" s="110"/>
      <c r="Z243" s="110"/>
      <c r="AA243" s="110"/>
      <c r="AB243" s="110"/>
      <c r="AC243" s="110"/>
    </row>
    <row r="244" spans="1:29" ht="15" hidden="1" customHeight="1" x14ac:dyDescent="0.3">
      <c r="A244" s="34" t="s">
        <v>1295</v>
      </c>
      <c r="B244" s="36">
        <v>153</v>
      </c>
      <c r="C244" s="29" t="s">
        <v>1298</v>
      </c>
      <c r="D244" s="29" t="str">
        <f t="shared" ref="D244:D269" si="329">$D$242</f>
        <v>INCLUIDO</v>
      </c>
      <c r="E244" s="27" t="s">
        <v>1186</v>
      </c>
      <c r="F244" s="43">
        <f t="shared" si="326"/>
        <v>0</v>
      </c>
      <c r="G244" s="114">
        <f t="shared" si="327"/>
        <v>0</v>
      </c>
      <c r="H244" s="9">
        <f t="shared" si="317"/>
        <v>0</v>
      </c>
      <c r="I244" s="9" t="s">
        <v>1287</v>
      </c>
      <c r="J244" s="9">
        <f t="shared" si="318"/>
        <v>0</v>
      </c>
      <c r="K244" s="9">
        <f t="shared" si="319"/>
        <v>0</v>
      </c>
      <c r="L244" s="9">
        <f t="shared" si="320"/>
        <v>0</v>
      </c>
      <c r="M244" s="11">
        <f t="shared" si="328"/>
        <v>0.1</v>
      </c>
      <c r="N244" s="9">
        <f t="shared" si="321"/>
        <v>0</v>
      </c>
      <c r="O244" s="12">
        <f t="shared" si="322"/>
        <v>0</v>
      </c>
      <c r="P244" s="13" t="str">
        <f t="shared" si="285"/>
        <v>NO</v>
      </c>
      <c r="Q244">
        <f t="shared" si="323"/>
        <v>0</v>
      </c>
      <c r="R244">
        <f t="shared" si="324"/>
        <v>0</v>
      </c>
      <c r="S244">
        <f t="shared" si="325"/>
        <v>0</v>
      </c>
      <c r="T244" s="110">
        <f>VLOOKUP(B244,DesgloseRC!$E$48:$F$88,2,FALSE)</f>
        <v>0</v>
      </c>
      <c r="U244" s="111">
        <f t="shared" ref="U244:U271" si="330">IF(E244="Excluido",0,$T$241*T244)</f>
        <v>0</v>
      </c>
      <c r="V244" s="111">
        <f t="shared" ref="V244:V271" si="331">IF(F244=0,0,U244)</f>
        <v>0</v>
      </c>
      <c r="AA244" s="110"/>
      <c r="AC244" s="110"/>
    </row>
    <row r="245" spans="1:29" ht="15" hidden="1" customHeight="1" x14ac:dyDescent="0.3">
      <c r="A245" s="34" t="s">
        <v>1295</v>
      </c>
      <c r="B245" s="36">
        <v>154</v>
      </c>
      <c r="C245" s="29" t="s">
        <v>1299</v>
      </c>
      <c r="D245" s="29" t="str">
        <f t="shared" si="329"/>
        <v>INCLUIDO</v>
      </c>
      <c r="E245" s="27" t="s">
        <v>1186</v>
      </c>
      <c r="F245" s="43">
        <f t="shared" si="326"/>
        <v>0</v>
      </c>
      <c r="G245" s="114">
        <f t="shared" si="327"/>
        <v>0</v>
      </c>
      <c r="H245" s="9">
        <f t="shared" si="317"/>
        <v>0</v>
      </c>
      <c r="I245" s="9" t="s">
        <v>1287</v>
      </c>
      <c r="J245" s="9">
        <f t="shared" si="318"/>
        <v>0</v>
      </c>
      <c r="K245" s="9">
        <f t="shared" si="319"/>
        <v>0</v>
      </c>
      <c r="L245" s="9">
        <f t="shared" si="320"/>
        <v>0</v>
      </c>
      <c r="M245" s="11">
        <f t="shared" si="328"/>
        <v>0.1</v>
      </c>
      <c r="N245" s="9">
        <f t="shared" si="321"/>
        <v>0</v>
      </c>
      <c r="O245" s="12">
        <f t="shared" si="322"/>
        <v>0</v>
      </c>
      <c r="P245" s="13" t="str">
        <f t="shared" si="285"/>
        <v>NO</v>
      </c>
      <c r="Q245">
        <f t="shared" si="323"/>
        <v>0</v>
      </c>
      <c r="R245">
        <f t="shared" si="324"/>
        <v>0</v>
      </c>
      <c r="S245">
        <f t="shared" si="325"/>
        <v>0</v>
      </c>
      <c r="T245" s="110">
        <f>VLOOKUP(B245,DesgloseRC!$E$48:$F$88,2,FALSE)</f>
        <v>0</v>
      </c>
      <c r="U245" s="111">
        <f t="shared" si="330"/>
        <v>0</v>
      </c>
      <c r="V245" s="111">
        <f t="shared" si="331"/>
        <v>0</v>
      </c>
      <c r="AA245" s="110"/>
      <c r="AC245" s="110"/>
    </row>
    <row r="246" spans="1:29" ht="22.5" hidden="1" customHeight="1" x14ac:dyDescent="0.3">
      <c r="A246" s="34" t="s">
        <v>1295</v>
      </c>
      <c r="B246" s="36">
        <v>152</v>
      </c>
      <c r="C246" s="29" t="s">
        <v>1300</v>
      </c>
      <c r="D246" s="29" t="str">
        <f t="shared" si="329"/>
        <v>INCLUIDO</v>
      </c>
      <c r="E246" s="27" t="s">
        <v>1186</v>
      </c>
      <c r="F246" s="43">
        <f t="shared" si="326"/>
        <v>0</v>
      </c>
      <c r="G246" s="114">
        <f t="shared" si="327"/>
        <v>0</v>
      </c>
      <c r="H246" s="9">
        <f t="shared" si="317"/>
        <v>0</v>
      </c>
      <c r="I246" s="9" t="s">
        <v>1287</v>
      </c>
      <c r="J246" s="9">
        <f t="shared" si="318"/>
        <v>0</v>
      </c>
      <c r="K246" s="9">
        <f t="shared" si="319"/>
        <v>0</v>
      </c>
      <c r="L246" s="9">
        <f t="shared" si="320"/>
        <v>0</v>
      </c>
      <c r="M246" s="11">
        <f t="shared" si="328"/>
        <v>0.1</v>
      </c>
      <c r="N246" s="9">
        <f t="shared" si="321"/>
        <v>0</v>
      </c>
      <c r="O246" s="12">
        <f t="shared" si="322"/>
        <v>0</v>
      </c>
      <c r="P246" s="13" t="str">
        <f t="shared" si="285"/>
        <v>NO</v>
      </c>
      <c r="Q246">
        <f t="shared" si="323"/>
        <v>0</v>
      </c>
      <c r="R246">
        <f t="shared" si="324"/>
        <v>0</v>
      </c>
      <c r="S246">
        <f t="shared" si="325"/>
        <v>0</v>
      </c>
      <c r="T246" s="110">
        <f>VLOOKUP(B246,DesgloseRC!$E$48:$F$88,2,FALSE)</f>
        <v>0</v>
      </c>
      <c r="U246" s="111">
        <f t="shared" si="330"/>
        <v>0</v>
      </c>
      <c r="V246" s="111">
        <f t="shared" si="331"/>
        <v>0</v>
      </c>
      <c r="AA246" s="110"/>
      <c r="AC246" s="110"/>
    </row>
    <row r="247" spans="1:29" ht="15" hidden="1" customHeight="1" x14ac:dyDescent="0.3">
      <c r="A247" s="34" t="s">
        <v>1295</v>
      </c>
      <c r="B247" s="36">
        <v>151</v>
      </c>
      <c r="C247" s="29" t="s">
        <v>1301</v>
      </c>
      <c r="D247" s="29" t="str">
        <f t="shared" si="329"/>
        <v>INCLUIDO</v>
      </c>
      <c r="E247" s="27" t="s">
        <v>1186</v>
      </c>
      <c r="F247" s="43">
        <f t="shared" si="326"/>
        <v>0</v>
      </c>
      <c r="G247" s="114">
        <f t="shared" si="327"/>
        <v>0</v>
      </c>
      <c r="H247" s="9">
        <f t="shared" si="317"/>
        <v>0</v>
      </c>
      <c r="I247" s="9" t="s">
        <v>1287</v>
      </c>
      <c r="J247" s="9">
        <f t="shared" si="318"/>
        <v>0</v>
      </c>
      <c r="K247" s="9">
        <f t="shared" si="319"/>
        <v>0</v>
      </c>
      <c r="L247" s="9">
        <f t="shared" si="320"/>
        <v>0</v>
      </c>
      <c r="M247" s="11">
        <f t="shared" si="328"/>
        <v>0.1</v>
      </c>
      <c r="N247" s="9">
        <f t="shared" si="321"/>
        <v>0</v>
      </c>
      <c r="O247" s="12">
        <f t="shared" si="322"/>
        <v>0</v>
      </c>
      <c r="P247" s="13" t="str">
        <f t="shared" si="285"/>
        <v>NO</v>
      </c>
      <c r="Q247">
        <f t="shared" si="323"/>
        <v>0</v>
      </c>
      <c r="R247">
        <f t="shared" si="324"/>
        <v>0</v>
      </c>
      <c r="S247">
        <f t="shared" si="325"/>
        <v>0</v>
      </c>
      <c r="T247" s="110">
        <f>VLOOKUP(B247,DesgloseRC!$E$48:$F$88,2,FALSE)</f>
        <v>0.1</v>
      </c>
      <c r="U247" s="111">
        <f t="shared" si="330"/>
        <v>0</v>
      </c>
      <c r="V247" s="111">
        <f t="shared" si="331"/>
        <v>0</v>
      </c>
      <c r="AC247" s="110"/>
    </row>
    <row r="248" spans="1:29" ht="15" hidden="1" customHeight="1" x14ac:dyDescent="0.3">
      <c r="A248" s="34" t="s">
        <v>1295</v>
      </c>
      <c r="B248" s="36">
        <v>141</v>
      </c>
      <c r="C248" s="29" t="s">
        <v>1302</v>
      </c>
      <c r="D248" s="29" t="str">
        <f t="shared" si="329"/>
        <v>INCLUIDO</v>
      </c>
      <c r="E248" s="27" t="s">
        <v>1186</v>
      </c>
      <c r="F248" s="43">
        <f t="shared" si="326"/>
        <v>0</v>
      </c>
      <c r="G248" s="114">
        <f t="shared" si="327"/>
        <v>0</v>
      </c>
      <c r="H248" s="9">
        <f t="shared" si="317"/>
        <v>0</v>
      </c>
      <c r="I248" s="9" t="s">
        <v>1287</v>
      </c>
      <c r="J248" s="9">
        <f t="shared" si="318"/>
        <v>0</v>
      </c>
      <c r="K248" s="9">
        <f t="shared" si="319"/>
        <v>0</v>
      </c>
      <c r="L248" s="9">
        <f t="shared" si="320"/>
        <v>0</v>
      </c>
      <c r="M248" s="11">
        <f t="shared" si="328"/>
        <v>0.1</v>
      </c>
      <c r="N248" s="9">
        <f t="shared" si="321"/>
        <v>0</v>
      </c>
      <c r="O248" s="12">
        <f t="shared" si="322"/>
        <v>0</v>
      </c>
      <c r="P248" s="13" t="str">
        <f t="shared" si="285"/>
        <v>NO</v>
      </c>
      <c r="Q248">
        <f t="shared" si="323"/>
        <v>0</v>
      </c>
      <c r="R248">
        <f t="shared" si="324"/>
        <v>0</v>
      </c>
      <c r="S248">
        <f t="shared" si="325"/>
        <v>0</v>
      </c>
      <c r="T248" s="110">
        <f>VLOOKUP(B248,DesgloseRC!$E$48:$F$88,2,FALSE)</f>
        <v>0.03</v>
      </c>
      <c r="U248" s="111">
        <f t="shared" si="330"/>
        <v>0</v>
      </c>
      <c r="V248" s="111">
        <f t="shared" si="331"/>
        <v>0</v>
      </c>
      <c r="Z248" s="110"/>
      <c r="AC248" s="110"/>
    </row>
    <row r="249" spans="1:29" ht="22.5" hidden="1" customHeight="1" x14ac:dyDescent="0.3">
      <c r="A249" s="34" t="s">
        <v>1295</v>
      </c>
      <c r="B249" s="36">
        <v>142</v>
      </c>
      <c r="C249" s="29" t="s">
        <v>1303</v>
      </c>
      <c r="D249" s="29" t="str">
        <f t="shared" si="329"/>
        <v>INCLUIDO</v>
      </c>
      <c r="E249" s="27" t="s">
        <v>1186</v>
      </c>
      <c r="F249" s="43">
        <f t="shared" si="326"/>
        <v>0</v>
      </c>
      <c r="G249" s="114">
        <f t="shared" si="327"/>
        <v>0</v>
      </c>
      <c r="H249" s="9">
        <f t="shared" si="317"/>
        <v>0</v>
      </c>
      <c r="I249" s="9" t="s">
        <v>1287</v>
      </c>
      <c r="J249" s="9">
        <f t="shared" si="318"/>
        <v>0</v>
      </c>
      <c r="K249" s="9">
        <f t="shared" si="319"/>
        <v>0</v>
      </c>
      <c r="L249" s="9">
        <f t="shared" si="320"/>
        <v>0</v>
      </c>
      <c r="M249" s="11">
        <f t="shared" si="328"/>
        <v>0.1</v>
      </c>
      <c r="N249" s="9">
        <f t="shared" si="321"/>
        <v>0</v>
      </c>
      <c r="O249" s="12">
        <f t="shared" si="322"/>
        <v>0</v>
      </c>
      <c r="P249" s="13" t="str">
        <f t="shared" si="285"/>
        <v>NO</v>
      </c>
      <c r="Q249">
        <f t="shared" si="323"/>
        <v>0</v>
      </c>
      <c r="R249">
        <f t="shared" si="324"/>
        <v>0</v>
      </c>
      <c r="S249">
        <f t="shared" si="325"/>
        <v>0</v>
      </c>
      <c r="T249" s="110">
        <f>VLOOKUP(B249,DesgloseRC!$E$48:$F$88,2,FALSE)</f>
        <v>0.03</v>
      </c>
      <c r="U249" s="111">
        <f t="shared" si="330"/>
        <v>0</v>
      </c>
      <c r="V249" s="111">
        <f t="shared" si="331"/>
        <v>0</v>
      </c>
      <c r="AC249" s="110"/>
    </row>
    <row r="250" spans="1:29" ht="15" hidden="1" customHeight="1" x14ac:dyDescent="0.3">
      <c r="A250" s="34" t="s">
        <v>1295</v>
      </c>
      <c r="B250" s="36">
        <v>143</v>
      </c>
      <c r="C250" s="29" t="s">
        <v>1304</v>
      </c>
      <c r="D250" s="29" t="str">
        <f t="shared" si="329"/>
        <v>INCLUIDO</v>
      </c>
      <c r="E250" s="27" t="s">
        <v>1186</v>
      </c>
      <c r="F250" s="43">
        <v>0</v>
      </c>
      <c r="G250" s="114">
        <f t="shared" si="327"/>
        <v>0</v>
      </c>
      <c r="H250" s="9">
        <f t="shared" si="317"/>
        <v>0</v>
      </c>
      <c r="I250" s="9" t="s">
        <v>1287</v>
      </c>
      <c r="J250" s="9">
        <f t="shared" si="318"/>
        <v>0</v>
      </c>
      <c r="K250" s="9">
        <f t="shared" si="319"/>
        <v>0</v>
      </c>
      <c r="L250" s="9">
        <f t="shared" si="320"/>
        <v>0</v>
      </c>
      <c r="M250" s="11">
        <f t="shared" si="328"/>
        <v>0.1</v>
      </c>
      <c r="N250" s="9">
        <f t="shared" si="321"/>
        <v>0</v>
      </c>
      <c r="O250" s="12">
        <f t="shared" si="322"/>
        <v>0</v>
      </c>
      <c r="P250" s="13" t="str">
        <f t="shared" si="285"/>
        <v>NO</v>
      </c>
      <c r="Q250">
        <f t="shared" si="323"/>
        <v>0</v>
      </c>
      <c r="R250">
        <f t="shared" si="324"/>
        <v>0</v>
      </c>
      <c r="S250">
        <f t="shared" si="325"/>
        <v>0</v>
      </c>
      <c r="T250" s="110">
        <f>VLOOKUP(B250,DesgloseRC!$E$48:$F$88,2,FALSE)</f>
        <v>0.03</v>
      </c>
      <c r="U250" s="111">
        <f t="shared" si="330"/>
        <v>0</v>
      </c>
      <c r="V250" s="111">
        <f t="shared" si="331"/>
        <v>0</v>
      </c>
      <c r="Z250" s="110"/>
      <c r="AB250" s="110"/>
      <c r="AC250" s="110"/>
    </row>
    <row r="251" spans="1:29" ht="22.5" hidden="1" customHeight="1" x14ac:dyDescent="0.3">
      <c r="A251" s="34" t="s">
        <v>1295</v>
      </c>
      <c r="B251" s="36">
        <v>144</v>
      </c>
      <c r="C251" s="29" t="s">
        <v>1305</v>
      </c>
      <c r="D251" s="29" t="str">
        <f t="shared" si="329"/>
        <v>INCLUIDO</v>
      </c>
      <c r="E251" s="27" t="s">
        <v>1186</v>
      </c>
      <c r="F251" s="43">
        <f t="shared" si="326"/>
        <v>0</v>
      </c>
      <c r="G251" s="114">
        <f t="shared" si="327"/>
        <v>0</v>
      </c>
      <c r="H251" s="9">
        <f t="shared" si="317"/>
        <v>0</v>
      </c>
      <c r="I251" s="9" t="s">
        <v>1287</v>
      </c>
      <c r="J251" s="9">
        <f t="shared" si="318"/>
        <v>0</v>
      </c>
      <c r="K251" s="9">
        <f t="shared" si="319"/>
        <v>0</v>
      </c>
      <c r="L251" s="9">
        <f t="shared" si="320"/>
        <v>0</v>
      </c>
      <c r="M251" s="11">
        <f t="shared" si="328"/>
        <v>0.1</v>
      </c>
      <c r="N251" s="9">
        <f t="shared" si="321"/>
        <v>0</v>
      </c>
      <c r="O251" s="12">
        <f t="shared" si="322"/>
        <v>0</v>
      </c>
      <c r="P251" s="13" t="str">
        <f t="shared" si="285"/>
        <v>NO</v>
      </c>
      <c r="Q251">
        <f t="shared" si="323"/>
        <v>0</v>
      </c>
      <c r="R251">
        <f t="shared" si="324"/>
        <v>0</v>
      </c>
      <c r="S251">
        <f t="shared" si="325"/>
        <v>0</v>
      </c>
      <c r="T251" s="110">
        <f>VLOOKUP(B251,DesgloseRC!$E$48:$F$88,2,FALSE)</f>
        <v>0.03</v>
      </c>
      <c r="U251" s="111">
        <f t="shared" si="330"/>
        <v>0</v>
      </c>
      <c r="V251" s="111">
        <f t="shared" si="331"/>
        <v>0</v>
      </c>
      <c r="Z251" s="110"/>
      <c r="AC251" s="110"/>
    </row>
    <row r="252" spans="1:29" ht="15" hidden="1" customHeight="1" x14ac:dyDescent="0.3">
      <c r="A252" s="34" t="s">
        <v>1295</v>
      </c>
      <c r="B252" s="36">
        <v>145</v>
      </c>
      <c r="C252" s="29" t="s">
        <v>1306</v>
      </c>
      <c r="D252" s="29" t="str">
        <f t="shared" si="329"/>
        <v>INCLUIDO</v>
      </c>
      <c r="E252" s="27" t="s">
        <v>1186</v>
      </c>
      <c r="F252" s="43">
        <f t="shared" si="326"/>
        <v>0</v>
      </c>
      <c r="G252" s="114">
        <f t="shared" si="327"/>
        <v>0</v>
      </c>
      <c r="H252" s="9">
        <f t="shared" si="317"/>
        <v>0</v>
      </c>
      <c r="I252" s="9" t="s">
        <v>1287</v>
      </c>
      <c r="J252" s="9">
        <f t="shared" si="318"/>
        <v>0</v>
      </c>
      <c r="K252" s="9">
        <f t="shared" si="319"/>
        <v>0</v>
      </c>
      <c r="L252" s="9">
        <f t="shared" si="320"/>
        <v>0</v>
      </c>
      <c r="M252" s="11">
        <f t="shared" si="328"/>
        <v>0.1</v>
      </c>
      <c r="N252" s="9">
        <f t="shared" si="321"/>
        <v>0</v>
      </c>
      <c r="O252" s="12">
        <f t="shared" si="322"/>
        <v>0</v>
      </c>
      <c r="P252" s="13" t="str">
        <f t="shared" si="285"/>
        <v>NO</v>
      </c>
      <c r="Q252">
        <f t="shared" si="323"/>
        <v>0</v>
      </c>
      <c r="R252">
        <f t="shared" si="324"/>
        <v>0</v>
      </c>
      <c r="S252">
        <f t="shared" si="325"/>
        <v>0</v>
      </c>
      <c r="T252" s="110">
        <f>VLOOKUP(B252,DesgloseRC!$E$48:$F$88,2,FALSE)</f>
        <v>0.03</v>
      </c>
      <c r="U252" s="111">
        <f t="shared" si="330"/>
        <v>0</v>
      </c>
      <c r="V252" s="111">
        <f t="shared" si="331"/>
        <v>0</v>
      </c>
      <c r="Z252" s="110"/>
      <c r="AC252" s="110"/>
    </row>
    <row r="253" spans="1:29" ht="15" hidden="1" customHeight="1" x14ac:dyDescent="0.3">
      <c r="A253" s="34" t="s">
        <v>1295</v>
      </c>
      <c r="B253" s="36">
        <v>146</v>
      </c>
      <c r="C253" s="29" t="s">
        <v>1307</v>
      </c>
      <c r="D253" s="29" t="str">
        <f t="shared" si="329"/>
        <v>INCLUIDO</v>
      </c>
      <c r="E253" s="27" t="s">
        <v>1186</v>
      </c>
      <c r="F253" s="43">
        <f t="shared" si="326"/>
        <v>0</v>
      </c>
      <c r="G253" s="114">
        <f t="shared" si="327"/>
        <v>0</v>
      </c>
      <c r="H253" s="9">
        <f t="shared" si="317"/>
        <v>0</v>
      </c>
      <c r="I253" s="9" t="s">
        <v>1287</v>
      </c>
      <c r="J253" s="9">
        <f t="shared" si="318"/>
        <v>0</v>
      </c>
      <c r="K253" s="9">
        <f t="shared" si="319"/>
        <v>0</v>
      </c>
      <c r="L253" s="9">
        <f t="shared" si="320"/>
        <v>0</v>
      </c>
      <c r="M253" s="11">
        <f t="shared" si="328"/>
        <v>0.1</v>
      </c>
      <c r="N253" s="9">
        <f t="shared" si="321"/>
        <v>0</v>
      </c>
      <c r="O253" s="12">
        <f t="shared" si="322"/>
        <v>0</v>
      </c>
      <c r="P253" s="13" t="str">
        <f t="shared" si="285"/>
        <v>NO</v>
      </c>
      <c r="Q253">
        <f t="shared" si="323"/>
        <v>0</v>
      </c>
      <c r="R253">
        <f t="shared" si="324"/>
        <v>0</v>
      </c>
      <c r="S253">
        <f t="shared" si="325"/>
        <v>0</v>
      </c>
      <c r="T253" s="110">
        <f>VLOOKUP(B253,DesgloseRC!$E$48:$F$88,2,FALSE)</f>
        <v>0</v>
      </c>
      <c r="U253" s="111">
        <f t="shared" si="330"/>
        <v>0</v>
      </c>
      <c r="V253" s="111">
        <f t="shared" si="331"/>
        <v>0</v>
      </c>
    </row>
    <row r="254" spans="1:29" ht="15" hidden="1" customHeight="1" x14ac:dyDescent="0.3">
      <c r="A254" s="34" t="s">
        <v>1295</v>
      </c>
      <c r="B254" s="36">
        <v>147</v>
      </c>
      <c r="C254" s="29" t="s">
        <v>1308</v>
      </c>
      <c r="D254" s="29" t="str">
        <f t="shared" si="329"/>
        <v>INCLUIDO</v>
      </c>
      <c r="E254" s="27" t="s">
        <v>1186</v>
      </c>
      <c r="F254" s="43">
        <f t="shared" si="326"/>
        <v>0</v>
      </c>
      <c r="G254" s="114">
        <f t="shared" si="327"/>
        <v>0</v>
      </c>
      <c r="H254" s="9">
        <f t="shared" si="317"/>
        <v>0</v>
      </c>
      <c r="I254" s="9" t="s">
        <v>1287</v>
      </c>
      <c r="J254" s="9">
        <f t="shared" si="318"/>
        <v>0</v>
      </c>
      <c r="K254" s="9">
        <f t="shared" si="319"/>
        <v>0</v>
      </c>
      <c r="L254" s="9">
        <f t="shared" si="320"/>
        <v>0</v>
      </c>
      <c r="M254" s="11">
        <f t="shared" si="328"/>
        <v>0.1</v>
      </c>
      <c r="N254" s="9">
        <f t="shared" si="321"/>
        <v>0</v>
      </c>
      <c r="O254" s="12">
        <f t="shared" si="322"/>
        <v>0</v>
      </c>
      <c r="P254" s="13" t="str">
        <f t="shared" si="285"/>
        <v>NO</v>
      </c>
      <c r="Q254">
        <f t="shared" si="323"/>
        <v>0</v>
      </c>
      <c r="R254">
        <f t="shared" si="324"/>
        <v>0</v>
      </c>
      <c r="S254">
        <f t="shared" si="325"/>
        <v>0</v>
      </c>
      <c r="T254" s="110">
        <f>VLOOKUP(B254,DesgloseRC!$E$48:$F$88,2,FALSE)</f>
        <v>0</v>
      </c>
      <c r="U254" s="111">
        <f t="shared" si="330"/>
        <v>0</v>
      </c>
      <c r="V254" s="111">
        <f t="shared" si="331"/>
        <v>0</v>
      </c>
    </row>
    <row r="255" spans="1:29" ht="15" hidden="1" customHeight="1" x14ac:dyDescent="0.3">
      <c r="A255" s="34" t="s">
        <v>1295</v>
      </c>
      <c r="B255" s="36">
        <v>148</v>
      </c>
      <c r="C255" s="29" t="s">
        <v>1309</v>
      </c>
      <c r="D255" s="29" t="str">
        <f t="shared" si="329"/>
        <v>INCLUIDO</v>
      </c>
      <c r="E255" s="27" t="s">
        <v>1186</v>
      </c>
      <c r="F255" s="43">
        <f t="shared" si="326"/>
        <v>0</v>
      </c>
      <c r="G255" s="114">
        <f t="shared" si="327"/>
        <v>0</v>
      </c>
      <c r="H255" s="9">
        <f t="shared" si="317"/>
        <v>0</v>
      </c>
      <c r="I255" s="9" t="s">
        <v>1287</v>
      </c>
      <c r="J255" s="9">
        <f t="shared" si="318"/>
        <v>0</v>
      </c>
      <c r="K255" s="9">
        <f t="shared" si="319"/>
        <v>0</v>
      </c>
      <c r="L255" s="9">
        <f t="shared" si="320"/>
        <v>0</v>
      </c>
      <c r="M255" s="11">
        <f t="shared" si="328"/>
        <v>0.1</v>
      </c>
      <c r="N255" s="9">
        <f t="shared" si="321"/>
        <v>0</v>
      </c>
      <c r="O255" s="12">
        <f t="shared" si="322"/>
        <v>0</v>
      </c>
      <c r="P255" s="13" t="str">
        <f t="shared" si="285"/>
        <v>NO</v>
      </c>
      <c r="Q255">
        <f t="shared" si="323"/>
        <v>0</v>
      </c>
      <c r="R255">
        <f t="shared" si="324"/>
        <v>0</v>
      </c>
      <c r="S255">
        <f t="shared" si="325"/>
        <v>0</v>
      </c>
      <c r="T255" s="110">
        <f>VLOOKUP(B255,DesgloseRC!$E$48:$F$88,2,FALSE)</f>
        <v>0.1</v>
      </c>
      <c r="U255" s="111">
        <f t="shared" si="330"/>
        <v>0</v>
      </c>
      <c r="V255" s="111">
        <f t="shared" si="331"/>
        <v>0</v>
      </c>
      <c r="AC255" s="110"/>
    </row>
    <row r="256" spans="1:29" ht="15" hidden="1" customHeight="1" x14ac:dyDescent="0.3">
      <c r="A256" s="34" t="s">
        <v>1295</v>
      </c>
      <c r="B256" s="36">
        <v>156</v>
      </c>
      <c r="C256" s="29" t="s">
        <v>1310</v>
      </c>
      <c r="D256" s="29" t="str">
        <f t="shared" si="329"/>
        <v>INCLUIDO</v>
      </c>
      <c r="E256" s="27" t="s">
        <v>1186</v>
      </c>
      <c r="F256" s="43">
        <v>0</v>
      </c>
      <c r="G256" s="114">
        <f t="shared" si="327"/>
        <v>0</v>
      </c>
      <c r="H256" s="9">
        <f t="shared" si="317"/>
        <v>0</v>
      </c>
      <c r="I256" s="9" t="s">
        <v>1287</v>
      </c>
      <c r="J256" s="9">
        <f t="shared" si="318"/>
        <v>0</v>
      </c>
      <c r="K256" s="9">
        <f t="shared" si="319"/>
        <v>0</v>
      </c>
      <c r="L256" s="9">
        <f t="shared" si="320"/>
        <v>0</v>
      </c>
      <c r="M256" s="11">
        <f t="shared" si="328"/>
        <v>0.1</v>
      </c>
      <c r="N256" s="9">
        <f t="shared" si="321"/>
        <v>0</v>
      </c>
      <c r="O256" s="12">
        <f t="shared" si="322"/>
        <v>0</v>
      </c>
      <c r="P256" s="13" t="str">
        <f t="shared" si="285"/>
        <v>NO</v>
      </c>
      <c r="Q256">
        <f t="shared" si="323"/>
        <v>0</v>
      </c>
      <c r="R256">
        <f t="shared" si="324"/>
        <v>0</v>
      </c>
      <c r="S256">
        <f t="shared" si="325"/>
        <v>0</v>
      </c>
      <c r="T256" s="110">
        <f>VLOOKUP(B256,DesgloseRC!$E$48:$F$88,2,FALSE)</f>
        <v>0.05</v>
      </c>
      <c r="U256" s="111">
        <f t="shared" si="330"/>
        <v>0</v>
      </c>
      <c r="V256" s="111">
        <f t="shared" si="331"/>
        <v>0</v>
      </c>
    </row>
    <row r="257" spans="1:29" ht="22.5" hidden="1" customHeight="1" x14ac:dyDescent="0.3">
      <c r="A257" s="34" t="s">
        <v>1295</v>
      </c>
      <c r="B257" s="36">
        <v>225</v>
      </c>
      <c r="C257" s="29" t="s">
        <v>1311</v>
      </c>
      <c r="D257" s="29" t="str">
        <f t="shared" si="329"/>
        <v>INCLUIDO</v>
      </c>
      <c r="E257" s="27" t="s">
        <v>1186</v>
      </c>
      <c r="F257" s="43">
        <f t="shared" si="326"/>
        <v>0</v>
      </c>
      <c r="G257" s="114">
        <f t="shared" si="327"/>
        <v>0</v>
      </c>
      <c r="H257" s="9">
        <f t="shared" si="317"/>
        <v>0</v>
      </c>
      <c r="I257" s="9" t="s">
        <v>1287</v>
      </c>
      <c r="J257" s="9">
        <f t="shared" si="318"/>
        <v>0</v>
      </c>
      <c r="K257" s="9">
        <f t="shared" si="319"/>
        <v>0</v>
      </c>
      <c r="L257" s="9">
        <f t="shared" si="320"/>
        <v>0</v>
      </c>
      <c r="M257" s="11">
        <f t="shared" si="328"/>
        <v>0.1</v>
      </c>
      <c r="N257" s="9">
        <f t="shared" si="321"/>
        <v>0</v>
      </c>
      <c r="O257" s="12">
        <f t="shared" si="322"/>
        <v>0</v>
      </c>
      <c r="P257" s="13" t="str">
        <f t="shared" si="285"/>
        <v>NO</v>
      </c>
      <c r="Q257">
        <f t="shared" si="323"/>
        <v>0</v>
      </c>
      <c r="R257">
        <f t="shared" si="324"/>
        <v>0</v>
      </c>
      <c r="S257">
        <f t="shared" si="325"/>
        <v>0</v>
      </c>
      <c r="T257" s="110">
        <f>VLOOKUP(B257,DesgloseRC!$E$48:$F$88,2,FALSE)</f>
        <v>7.0000000000000007E-2</v>
      </c>
      <c r="U257" s="111">
        <f t="shared" si="330"/>
        <v>0</v>
      </c>
      <c r="V257" s="111">
        <f t="shared" si="331"/>
        <v>0</v>
      </c>
      <c r="AA257" s="110"/>
    </row>
    <row r="258" spans="1:29" ht="15" hidden="1" customHeight="1" x14ac:dyDescent="0.3">
      <c r="A258" s="34" t="s">
        <v>1295</v>
      </c>
      <c r="B258" s="36">
        <v>226</v>
      </c>
      <c r="C258" s="29" t="s">
        <v>1312</v>
      </c>
      <c r="D258" s="29" t="str">
        <f t="shared" si="329"/>
        <v>INCLUIDO</v>
      </c>
      <c r="E258" s="27" t="s">
        <v>1186</v>
      </c>
      <c r="F258" s="43">
        <f t="shared" si="326"/>
        <v>0</v>
      </c>
      <c r="G258" s="114">
        <f t="shared" si="327"/>
        <v>0</v>
      </c>
      <c r="H258" s="9">
        <f t="shared" si="317"/>
        <v>0</v>
      </c>
      <c r="I258" s="9" t="s">
        <v>1287</v>
      </c>
      <c r="J258" s="9">
        <f t="shared" si="318"/>
        <v>0</v>
      </c>
      <c r="K258" s="9">
        <f t="shared" si="319"/>
        <v>0</v>
      </c>
      <c r="L258" s="9">
        <f t="shared" si="320"/>
        <v>0</v>
      </c>
      <c r="M258" s="11">
        <f t="shared" si="328"/>
        <v>0.1</v>
      </c>
      <c r="N258" s="9">
        <f t="shared" si="321"/>
        <v>0</v>
      </c>
      <c r="O258" s="12">
        <f t="shared" si="322"/>
        <v>0</v>
      </c>
      <c r="P258" s="13" t="str">
        <f t="shared" si="285"/>
        <v>NO</v>
      </c>
      <c r="Q258">
        <f t="shared" si="323"/>
        <v>0</v>
      </c>
      <c r="R258">
        <f t="shared" si="324"/>
        <v>0</v>
      </c>
      <c r="S258">
        <f t="shared" si="325"/>
        <v>0</v>
      </c>
      <c r="T258" s="110">
        <f>VLOOKUP(B258,DesgloseRC!$E$48:$F$88,2,FALSE)</f>
        <v>0.1</v>
      </c>
      <c r="U258" s="111">
        <f t="shared" si="330"/>
        <v>0</v>
      </c>
      <c r="V258" s="111">
        <f t="shared" si="331"/>
        <v>0</v>
      </c>
      <c r="AA258" s="110"/>
    </row>
    <row r="259" spans="1:29" ht="15" hidden="1" customHeight="1" x14ac:dyDescent="0.3">
      <c r="A259" s="34" t="s">
        <v>1295</v>
      </c>
      <c r="B259" s="36">
        <v>228</v>
      </c>
      <c r="C259" s="29" t="s">
        <v>1313</v>
      </c>
      <c r="D259" s="29" t="str">
        <f t="shared" si="329"/>
        <v>INCLUIDO</v>
      </c>
      <c r="E259" s="27" t="s">
        <v>1186</v>
      </c>
      <c r="F259" s="43">
        <f t="shared" si="326"/>
        <v>0</v>
      </c>
      <c r="G259" s="114">
        <f t="shared" si="327"/>
        <v>0</v>
      </c>
      <c r="H259" s="9">
        <f t="shared" si="317"/>
        <v>0</v>
      </c>
      <c r="I259" s="9" t="s">
        <v>1287</v>
      </c>
      <c r="J259" s="9">
        <f t="shared" si="318"/>
        <v>0</v>
      </c>
      <c r="K259" s="9">
        <f t="shared" si="319"/>
        <v>0</v>
      </c>
      <c r="L259" s="9">
        <f t="shared" si="320"/>
        <v>0</v>
      </c>
      <c r="M259" s="11">
        <f t="shared" si="328"/>
        <v>0.1</v>
      </c>
      <c r="N259" s="9">
        <f t="shared" si="321"/>
        <v>0</v>
      </c>
      <c r="O259" s="12">
        <f t="shared" si="322"/>
        <v>0</v>
      </c>
      <c r="P259" s="13" t="str">
        <f t="shared" si="285"/>
        <v>NO</v>
      </c>
      <c r="Q259">
        <f t="shared" si="323"/>
        <v>0</v>
      </c>
      <c r="R259">
        <f t="shared" si="324"/>
        <v>0</v>
      </c>
      <c r="S259">
        <f t="shared" si="325"/>
        <v>0</v>
      </c>
      <c r="T259" s="110">
        <f>VLOOKUP(B259,DesgloseRC!$E$48:$F$88,2,FALSE)</f>
        <v>0.04</v>
      </c>
      <c r="U259" s="111">
        <f t="shared" si="330"/>
        <v>0</v>
      </c>
      <c r="V259" s="111">
        <f t="shared" si="331"/>
        <v>0</v>
      </c>
    </row>
    <row r="260" spans="1:29" ht="33.75" hidden="1" customHeight="1" x14ac:dyDescent="0.3">
      <c r="A260" s="34" t="s">
        <v>1295</v>
      </c>
      <c r="B260" s="36">
        <v>281</v>
      </c>
      <c r="C260" s="29" t="s">
        <v>1314</v>
      </c>
      <c r="D260" s="29" t="str">
        <f t="shared" si="329"/>
        <v>INCLUIDO</v>
      </c>
      <c r="E260" s="27" t="s">
        <v>1186</v>
      </c>
      <c r="F260" s="43">
        <f t="shared" si="326"/>
        <v>0</v>
      </c>
      <c r="G260" s="114">
        <f t="shared" si="327"/>
        <v>0</v>
      </c>
      <c r="H260" s="9">
        <f t="shared" si="317"/>
        <v>0</v>
      </c>
      <c r="I260" s="9" t="s">
        <v>1287</v>
      </c>
      <c r="J260" s="9">
        <f t="shared" si="318"/>
        <v>0</v>
      </c>
      <c r="K260" s="9">
        <f t="shared" si="319"/>
        <v>0</v>
      </c>
      <c r="L260" s="9">
        <f t="shared" si="320"/>
        <v>0</v>
      </c>
      <c r="M260" s="11">
        <f t="shared" si="328"/>
        <v>0.1</v>
      </c>
      <c r="N260" s="9">
        <f t="shared" si="321"/>
        <v>0</v>
      </c>
      <c r="O260" s="12">
        <f t="shared" si="322"/>
        <v>0</v>
      </c>
      <c r="P260" s="13" t="str">
        <f t="shared" si="285"/>
        <v>NO</v>
      </c>
      <c r="Q260">
        <f t="shared" si="323"/>
        <v>0</v>
      </c>
      <c r="R260">
        <f t="shared" si="324"/>
        <v>0</v>
      </c>
      <c r="S260">
        <f t="shared" si="325"/>
        <v>0</v>
      </c>
      <c r="T260" s="110">
        <f>VLOOKUP(B260,DesgloseRC!$E$48:$F$88,2,FALSE)</f>
        <v>0.04</v>
      </c>
      <c r="U260" s="111">
        <f t="shared" si="330"/>
        <v>0</v>
      </c>
      <c r="V260" s="111">
        <f t="shared" si="331"/>
        <v>0</v>
      </c>
      <c r="Z260" s="110"/>
      <c r="AC260" s="110"/>
    </row>
    <row r="261" spans="1:29" ht="33.75" hidden="1" customHeight="1" x14ac:dyDescent="0.3">
      <c r="A261" s="34" t="s">
        <v>1295</v>
      </c>
      <c r="B261" s="36">
        <v>282</v>
      </c>
      <c r="C261" s="29" t="s">
        <v>1315</v>
      </c>
      <c r="D261" s="29" t="str">
        <f t="shared" si="329"/>
        <v>INCLUIDO</v>
      </c>
      <c r="E261" s="27" t="s">
        <v>1186</v>
      </c>
      <c r="F261" s="43">
        <f t="shared" si="326"/>
        <v>0</v>
      </c>
      <c r="G261" s="114">
        <f t="shared" si="327"/>
        <v>0</v>
      </c>
      <c r="H261" s="9">
        <f t="shared" si="317"/>
        <v>0</v>
      </c>
      <c r="I261" s="9" t="s">
        <v>1287</v>
      </c>
      <c r="J261" s="9">
        <f t="shared" si="318"/>
        <v>0</v>
      </c>
      <c r="K261" s="9">
        <f t="shared" si="319"/>
        <v>0</v>
      </c>
      <c r="L261" s="9">
        <f t="shared" si="320"/>
        <v>0</v>
      </c>
      <c r="M261" s="11">
        <f t="shared" si="328"/>
        <v>0.1</v>
      </c>
      <c r="N261" s="9">
        <f t="shared" si="321"/>
        <v>0</v>
      </c>
      <c r="O261" s="12">
        <f t="shared" si="322"/>
        <v>0</v>
      </c>
      <c r="P261" s="13" t="str">
        <f t="shared" si="285"/>
        <v>NO</v>
      </c>
      <c r="Q261">
        <f t="shared" si="323"/>
        <v>0</v>
      </c>
      <c r="R261">
        <f t="shared" si="324"/>
        <v>0</v>
      </c>
      <c r="S261">
        <f t="shared" si="325"/>
        <v>0</v>
      </c>
      <c r="T261" s="110">
        <f>VLOOKUP(B261,DesgloseRC!$E$48:$F$88,2,FALSE)</f>
        <v>0</v>
      </c>
      <c r="U261" s="111">
        <f t="shared" si="330"/>
        <v>0</v>
      </c>
      <c r="V261" s="111">
        <f t="shared" si="331"/>
        <v>0</v>
      </c>
      <c r="AA261" s="110"/>
      <c r="AB261" s="110"/>
      <c r="AC261" s="110"/>
    </row>
    <row r="262" spans="1:29" ht="33.75" hidden="1" customHeight="1" x14ac:dyDescent="0.3">
      <c r="A262" s="34" t="s">
        <v>1295</v>
      </c>
      <c r="B262" s="36">
        <v>283</v>
      </c>
      <c r="C262" s="29" t="s">
        <v>1316</v>
      </c>
      <c r="D262" s="29" t="str">
        <f t="shared" si="329"/>
        <v>INCLUIDO</v>
      </c>
      <c r="E262" s="27" t="s">
        <v>1186</v>
      </c>
      <c r="F262" s="43">
        <f t="shared" si="326"/>
        <v>0</v>
      </c>
      <c r="G262" s="114">
        <f t="shared" si="327"/>
        <v>0</v>
      </c>
      <c r="H262" s="9">
        <f t="shared" si="317"/>
        <v>0</v>
      </c>
      <c r="I262" s="9" t="s">
        <v>1287</v>
      </c>
      <c r="J262" s="9">
        <f t="shared" si="318"/>
        <v>0</v>
      </c>
      <c r="K262" s="9">
        <f t="shared" si="319"/>
        <v>0</v>
      </c>
      <c r="L262" s="9">
        <f t="shared" si="320"/>
        <v>0</v>
      </c>
      <c r="M262" s="11">
        <f t="shared" si="328"/>
        <v>0.1</v>
      </c>
      <c r="N262" s="9">
        <f t="shared" si="321"/>
        <v>0</v>
      </c>
      <c r="O262" s="12">
        <f t="shared" si="322"/>
        <v>0</v>
      </c>
      <c r="P262" s="13" t="str">
        <f t="shared" si="285"/>
        <v>NO</v>
      </c>
      <c r="Q262">
        <f t="shared" si="323"/>
        <v>0</v>
      </c>
      <c r="R262">
        <f t="shared" si="324"/>
        <v>0</v>
      </c>
      <c r="S262">
        <f t="shared" si="325"/>
        <v>0</v>
      </c>
      <c r="T262" s="110">
        <f>VLOOKUP(B262,DesgloseRC!$E$48:$F$88,2,FALSE)</f>
        <v>0</v>
      </c>
      <c r="U262" s="111">
        <f t="shared" si="330"/>
        <v>0</v>
      </c>
      <c r="V262" s="111">
        <f t="shared" si="331"/>
        <v>0</v>
      </c>
    </row>
    <row r="263" spans="1:29" ht="15" hidden="1" customHeight="1" x14ac:dyDescent="0.3">
      <c r="A263" s="34" t="s">
        <v>1295</v>
      </c>
      <c r="B263" s="36">
        <v>284</v>
      </c>
      <c r="C263" s="29" t="s">
        <v>1317</v>
      </c>
      <c r="D263" s="29" t="str">
        <f t="shared" si="329"/>
        <v>INCLUIDO</v>
      </c>
      <c r="E263" s="27" t="s">
        <v>1186</v>
      </c>
      <c r="F263" s="43">
        <f t="shared" si="326"/>
        <v>0</v>
      </c>
      <c r="G263" s="114">
        <f t="shared" si="327"/>
        <v>0</v>
      </c>
      <c r="H263" s="9">
        <f t="shared" si="317"/>
        <v>0</v>
      </c>
      <c r="I263" s="9" t="s">
        <v>1287</v>
      </c>
      <c r="J263" s="9">
        <f t="shared" si="318"/>
        <v>0</v>
      </c>
      <c r="K263" s="9">
        <f t="shared" si="319"/>
        <v>0</v>
      </c>
      <c r="L263" s="9">
        <f t="shared" si="320"/>
        <v>0</v>
      </c>
      <c r="M263" s="11">
        <f t="shared" si="328"/>
        <v>0.1</v>
      </c>
      <c r="N263" s="9">
        <f t="shared" si="321"/>
        <v>0</v>
      </c>
      <c r="O263" s="12">
        <f t="shared" si="322"/>
        <v>0</v>
      </c>
      <c r="P263" s="13" t="str">
        <f t="shared" si="285"/>
        <v>NO</v>
      </c>
      <c r="Q263">
        <f t="shared" si="323"/>
        <v>0</v>
      </c>
      <c r="R263">
        <f t="shared" si="324"/>
        <v>0</v>
      </c>
      <c r="S263">
        <f t="shared" si="325"/>
        <v>0</v>
      </c>
      <c r="T263" s="110">
        <f>VLOOKUP(B263,DesgloseRC!$E$48:$F$88,2,FALSE)</f>
        <v>0</v>
      </c>
      <c r="U263" s="111">
        <f t="shared" si="330"/>
        <v>0</v>
      </c>
      <c r="V263" s="111">
        <f t="shared" si="331"/>
        <v>0</v>
      </c>
    </row>
    <row r="264" spans="1:29" ht="36.75" hidden="1" customHeight="1" x14ac:dyDescent="0.3">
      <c r="A264" s="34" t="s">
        <v>1295</v>
      </c>
      <c r="B264" s="36">
        <v>285</v>
      </c>
      <c r="C264" s="29" t="s">
        <v>1318</v>
      </c>
      <c r="D264" s="29" t="str">
        <f t="shared" si="329"/>
        <v>INCLUIDO</v>
      </c>
      <c r="E264" s="27" t="s">
        <v>1186</v>
      </c>
      <c r="F264" s="43">
        <f t="shared" si="326"/>
        <v>0</v>
      </c>
      <c r="G264" s="114">
        <f t="shared" si="327"/>
        <v>0</v>
      </c>
      <c r="H264" s="9">
        <f t="shared" si="317"/>
        <v>0</v>
      </c>
      <c r="I264" s="9" t="s">
        <v>1287</v>
      </c>
      <c r="J264" s="9">
        <f t="shared" si="318"/>
        <v>0</v>
      </c>
      <c r="K264" s="9">
        <f t="shared" si="319"/>
        <v>0</v>
      </c>
      <c r="L264" s="9">
        <f t="shared" si="320"/>
        <v>0</v>
      </c>
      <c r="M264" s="11">
        <f t="shared" si="328"/>
        <v>0.1</v>
      </c>
      <c r="N264" s="9">
        <f t="shared" si="321"/>
        <v>0</v>
      </c>
      <c r="O264" s="12">
        <f t="shared" si="322"/>
        <v>0</v>
      </c>
      <c r="P264" s="13" t="str">
        <f t="shared" si="285"/>
        <v>NO</v>
      </c>
      <c r="Q264">
        <f t="shared" si="323"/>
        <v>0</v>
      </c>
      <c r="R264">
        <f t="shared" si="324"/>
        <v>0</v>
      </c>
      <c r="S264">
        <f t="shared" si="325"/>
        <v>0</v>
      </c>
      <c r="T264" s="110">
        <f>VLOOKUP(B264,DesgloseRC!$E$48:$F$88,2,FALSE)</f>
        <v>0</v>
      </c>
      <c r="U264" s="111">
        <f t="shared" si="330"/>
        <v>0</v>
      </c>
      <c r="V264" s="111">
        <f t="shared" si="331"/>
        <v>0</v>
      </c>
      <c r="AB264" s="110"/>
      <c r="AC264" s="110"/>
    </row>
    <row r="265" spans="1:29" ht="33.75" hidden="1" customHeight="1" x14ac:dyDescent="0.3">
      <c r="A265" s="34" t="s">
        <v>1295</v>
      </c>
      <c r="B265" s="36">
        <v>286</v>
      </c>
      <c r="C265" s="29" t="s">
        <v>1319</v>
      </c>
      <c r="D265" s="29" t="str">
        <f t="shared" si="329"/>
        <v>INCLUIDO</v>
      </c>
      <c r="E265" s="27" t="s">
        <v>1186</v>
      </c>
      <c r="F265" s="43">
        <f t="shared" si="326"/>
        <v>0</v>
      </c>
      <c r="G265" s="114">
        <f t="shared" si="327"/>
        <v>0</v>
      </c>
      <c r="H265" s="9">
        <f t="shared" si="317"/>
        <v>0</v>
      </c>
      <c r="I265" s="9" t="s">
        <v>1287</v>
      </c>
      <c r="J265" s="9">
        <f t="shared" si="318"/>
        <v>0</v>
      </c>
      <c r="K265" s="9">
        <f t="shared" si="319"/>
        <v>0</v>
      </c>
      <c r="L265" s="9">
        <f t="shared" si="320"/>
        <v>0</v>
      </c>
      <c r="M265" s="11">
        <f t="shared" si="328"/>
        <v>0.1</v>
      </c>
      <c r="N265" s="9">
        <f t="shared" si="321"/>
        <v>0</v>
      </c>
      <c r="O265" s="12">
        <f t="shared" si="322"/>
        <v>0</v>
      </c>
      <c r="P265" s="13" t="str">
        <f t="shared" si="285"/>
        <v>NO</v>
      </c>
      <c r="Q265">
        <f t="shared" si="323"/>
        <v>0</v>
      </c>
      <c r="R265">
        <f t="shared" si="324"/>
        <v>0</v>
      </c>
      <c r="S265">
        <f t="shared" si="325"/>
        <v>0</v>
      </c>
      <c r="T265" s="110">
        <f>VLOOKUP(B265,DesgloseRC!$E$48:$F$88,2,FALSE)</f>
        <v>0</v>
      </c>
      <c r="U265" s="111">
        <f t="shared" si="330"/>
        <v>0</v>
      </c>
      <c r="V265" s="111">
        <f t="shared" si="331"/>
        <v>0</v>
      </c>
    </row>
    <row r="266" spans="1:29" ht="15" hidden="1" customHeight="1" x14ac:dyDescent="0.3">
      <c r="A266" s="34" t="s">
        <v>1295</v>
      </c>
      <c r="B266" s="36">
        <v>227</v>
      </c>
      <c r="C266" s="29" t="s">
        <v>1293</v>
      </c>
      <c r="D266" s="29" t="str">
        <f t="shared" si="329"/>
        <v>INCLUIDO</v>
      </c>
      <c r="E266" s="27" t="s">
        <v>1186</v>
      </c>
      <c r="F266" s="43">
        <f t="shared" si="326"/>
        <v>0</v>
      </c>
      <c r="G266" s="114">
        <f t="shared" si="327"/>
        <v>0</v>
      </c>
      <c r="H266" s="9">
        <f t="shared" si="317"/>
        <v>0</v>
      </c>
      <c r="I266" s="9" t="s">
        <v>1287</v>
      </c>
      <c r="J266" s="9">
        <f t="shared" si="318"/>
        <v>0</v>
      </c>
      <c r="K266" s="9">
        <f t="shared" si="319"/>
        <v>0</v>
      </c>
      <c r="L266" s="9">
        <f t="shared" si="320"/>
        <v>0</v>
      </c>
      <c r="M266" s="11">
        <f t="shared" si="328"/>
        <v>0.1</v>
      </c>
      <c r="N266" s="9">
        <f t="shared" si="321"/>
        <v>0</v>
      </c>
      <c r="O266" s="12">
        <f t="shared" si="322"/>
        <v>0</v>
      </c>
      <c r="P266" s="13" t="str">
        <f t="shared" si="285"/>
        <v>NO</v>
      </c>
      <c r="Q266">
        <f t="shared" si="323"/>
        <v>0</v>
      </c>
      <c r="R266">
        <f t="shared" si="324"/>
        <v>0</v>
      </c>
      <c r="S266">
        <f t="shared" si="325"/>
        <v>0</v>
      </c>
      <c r="T266" s="110">
        <f>VLOOKUP(B266,DesgloseRC!$E$48:$F$88,2,FALSE)</f>
        <v>0.05</v>
      </c>
      <c r="U266" s="111">
        <f t="shared" si="330"/>
        <v>0</v>
      </c>
      <c r="V266" s="111">
        <f t="shared" si="331"/>
        <v>0</v>
      </c>
      <c r="W266" s="110"/>
      <c r="X266" s="110"/>
      <c r="Y266" s="110"/>
      <c r="Z266" s="110"/>
      <c r="AA266" s="110"/>
      <c r="AB266" s="110"/>
    </row>
    <row r="267" spans="1:29" ht="21.75" hidden="1" customHeight="1" x14ac:dyDescent="0.3">
      <c r="A267" s="34" t="s">
        <v>1295</v>
      </c>
      <c r="B267" s="36">
        <v>303</v>
      </c>
      <c r="C267" s="29" t="s">
        <v>1320</v>
      </c>
      <c r="D267" s="29" t="str">
        <f t="shared" si="329"/>
        <v>INCLUIDO</v>
      </c>
      <c r="E267" s="27" t="s">
        <v>1186</v>
      </c>
      <c r="F267" s="43">
        <f t="shared" si="326"/>
        <v>0</v>
      </c>
      <c r="G267" s="21">
        <f t="shared" si="327"/>
        <v>0</v>
      </c>
      <c r="H267" s="9">
        <f t="shared" si="317"/>
        <v>0</v>
      </c>
      <c r="I267" s="9" t="s">
        <v>1287</v>
      </c>
      <c r="J267" s="9">
        <f t="shared" si="318"/>
        <v>0</v>
      </c>
      <c r="K267" s="9">
        <f t="shared" si="319"/>
        <v>0</v>
      </c>
      <c r="L267" s="9">
        <f t="shared" si="320"/>
        <v>0</v>
      </c>
      <c r="M267" s="11">
        <f t="shared" si="328"/>
        <v>0.1</v>
      </c>
      <c r="N267" s="9">
        <f t="shared" si="321"/>
        <v>0</v>
      </c>
      <c r="O267" s="12">
        <f t="shared" si="322"/>
        <v>0</v>
      </c>
      <c r="P267" s="13" t="str">
        <f t="shared" si="285"/>
        <v>NO</v>
      </c>
      <c r="Q267">
        <f t="shared" si="323"/>
        <v>0</v>
      </c>
      <c r="R267">
        <f t="shared" si="324"/>
        <v>0</v>
      </c>
      <c r="S267">
        <f t="shared" si="325"/>
        <v>0</v>
      </c>
      <c r="T267" s="110">
        <f>VLOOKUP(B267,DesgloseRC!$E$48:$F$88,2,FALSE)</f>
        <v>0</v>
      </c>
      <c r="U267" s="111">
        <f t="shared" si="330"/>
        <v>0</v>
      </c>
      <c r="V267" s="111">
        <f t="shared" si="331"/>
        <v>0</v>
      </c>
      <c r="W267" s="110"/>
      <c r="X267" s="110"/>
      <c r="Y267" s="110"/>
      <c r="Z267" s="110"/>
      <c r="AA267" s="110"/>
      <c r="AB267" s="110"/>
    </row>
    <row r="268" spans="1:29" ht="15" hidden="1" customHeight="1" x14ac:dyDescent="0.3">
      <c r="A268" s="34" t="s">
        <v>1295</v>
      </c>
      <c r="B268" s="36">
        <v>155</v>
      </c>
      <c r="C268" s="29" t="s">
        <v>1321</v>
      </c>
      <c r="D268" s="29" t="str">
        <f t="shared" si="329"/>
        <v>INCLUIDO</v>
      </c>
      <c r="E268" s="27" t="s">
        <v>1186</v>
      </c>
      <c r="F268" s="43">
        <f t="shared" si="326"/>
        <v>0</v>
      </c>
      <c r="G268" s="21">
        <f t="shared" si="327"/>
        <v>0</v>
      </c>
      <c r="H268" s="9">
        <f t="shared" si="317"/>
        <v>0</v>
      </c>
      <c r="I268" s="9" t="s">
        <v>1287</v>
      </c>
      <c r="J268" s="9">
        <f t="shared" si="318"/>
        <v>0</v>
      </c>
      <c r="K268" s="9">
        <f t="shared" si="319"/>
        <v>0</v>
      </c>
      <c r="L268" s="9">
        <f t="shared" si="320"/>
        <v>0</v>
      </c>
      <c r="M268" s="11">
        <f t="shared" si="328"/>
        <v>0.1</v>
      </c>
      <c r="N268" s="9">
        <f t="shared" si="321"/>
        <v>0</v>
      </c>
      <c r="O268" s="12">
        <f t="shared" si="322"/>
        <v>0</v>
      </c>
      <c r="P268" s="13" t="str">
        <f t="shared" si="285"/>
        <v>NO</v>
      </c>
      <c r="Q268">
        <f t="shared" si="323"/>
        <v>0</v>
      </c>
      <c r="R268">
        <f t="shared" si="324"/>
        <v>0</v>
      </c>
      <c r="S268">
        <f t="shared" si="325"/>
        <v>0</v>
      </c>
      <c r="T268" s="110">
        <f>VLOOKUP(B268,DesgloseRC!$E$48:$F$88,2,FALSE)</f>
        <v>0</v>
      </c>
      <c r="U268" s="111">
        <f t="shared" si="330"/>
        <v>0</v>
      </c>
      <c r="V268" s="111">
        <f t="shared" si="331"/>
        <v>0</v>
      </c>
    </row>
    <row r="269" spans="1:29" ht="15" hidden="1" customHeight="1" x14ac:dyDescent="0.3">
      <c r="A269" s="34" t="s">
        <v>1295</v>
      </c>
      <c r="B269" s="36">
        <v>149</v>
      </c>
      <c r="C269" s="29" t="s">
        <v>1322</v>
      </c>
      <c r="D269" s="29" t="str">
        <f t="shared" si="329"/>
        <v>INCLUIDO</v>
      </c>
      <c r="E269" s="27" t="s">
        <v>1186</v>
      </c>
      <c r="F269" s="43">
        <f t="shared" si="326"/>
        <v>0</v>
      </c>
      <c r="G269" s="21">
        <f t="shared" si="327"/>
        <v>0</v>
      </c>
      <c r="H269" s="9">
        <f t="shared" si="317"/>
        <v>0</v>
      </c>
      <c r="I269" s="9" t="s">
        <v>1287</v>
      </c>
      <c r="J269" s="9">
        <f t="shared" si="318"/>
        <v>0</v>
      </c>
      <c r="K269" s="9">
        <f t="shared" si="319"/>
        <v>0</v>
      </c>
      <c r="L269" s="9">
        <f t="shared" si="320"/>
        <v>0</v>
      </c>
      <c r="M269" s="11">
        <f t="shared" si="328"/>
        <v>0.1</v>
      </c>
      <c r="N269" s="9">
        <f t="shared" si="321"/>
        <v>0</v>
      </c>
      <c r="O269" s="12">
        <f t="shared" si="322"/>
        <v>0</v>
      </c>
      <c r="P269" s="13" t="str">
        <f t="shared" si="285"/>
        <v>NO</v>
      </c>
      <c r="Q269">
        <f t="shared" si="323"/>
        <v>0</v>
      </c>
      <c r="R269">
        <f t="shared" si="324"/>
        <v>0</v>
      </c>
      <c r="S269">
        <f t="shared" si="325"/>
        <v>0</v>
      </c>
      <c r="T269" s="110">
        <f>VLOOKUP(B269,DesgloseRC!$E$48:$F$88,2,FALSE)</f>
        <v>0</v>
      </c>
      <c r="U269" s="111">
        <f t="shared" si="330"/>
        <v>0</v>
      </c>
      <c r="V269" s="111">
        <f t="shared" si="331"/>
        <v>0</v>
      </c>
    </row>
    <row r="270" spans="1:29" ht="15" hidden="1" customHeight="1" x14ac:dyDescent="0.3">
      <c r="A270" s="34" t="s">
        <v>1295</v>
      </c>
      <c r="B270" s="36">
        <v>150</v>
      </c>
      <c r="C270" s="29" t="s">
        <v>1323</v>
      </c>
      <c r="D270" s="29" t="str">
        <f>D269</f>
        <v>INCLUIDO</v>
      </c>
      <c r="E270" s="27" t="str">
        <f>E269</f>
        <v>Excluido</v>
      </c>
      <c r="F270" s="43">
        <f t="shared" si="326"/>
        <v>0</v>
      </c>
      <c r="G270" s="21">
        <f t="shared" si="327"/>
        <v>0</v>
      </c>
      <c r="H270" s="9">
        <f t="shared" si="317"/>
        <v>0</v>
      </c>
      <c r="I270" s="9" t="s">
        <v>1287</v>
      </c>
      <c r="J270" s="9">
        <f t="shared" si="318"/>
        <v>0</v>
      </c>
      <c r="K270" s="9">
        <f t="shared" si="319"/>
        <v>0</v>
      </c>
      <c r="L270" s="9">
        <f t="shared" si="320"/>
        <v>0</v>
      </c>
      <c r="M270" s="11">
        <f t="shared" si="328"/>
        <v>0.1</v>
      </c>
      <c r="N270" s="9">
        <f t="shared" si="321"/>
        <v>0</v>
      </c>
      <c r="O270" s="12">
        <f t="shared" si="322"/>
        <v>0</v>
      </c>
      <c r="P270" s="13" t="str">
        <f t="shared" si="285"/>
        <v>NO</v>
      </c>
      <c r="Q270">
        <f t="shared" si="323"/>
        <v>0</v>
      </c>
      <c r="R270">
        <f t="shared" si="324"/>
        <v>0</v>
      </c>
      <c r="S270">
        <f t="shared" si="325"/>
        <v>0</v>
      </c>
      <c r="T270" s="110">
        <f>VLOOKUP(B270,DesgloseRC!$E$48:$F$88,2,FALSE)</f>
        <v>0</v>
      </c>
      <c r="U270" s="111">
        <f t="shared" si="330"/>
        <v>0</v>
      </c>
      <c r="V270" s="111">
        <f t="shared" si="331"/>
        <v>0</v>
      </c>
    </row>
    <row r="271" spans="1:29" ht="15" hidden="1" customHeight="1" x14ac:dyDescent="0.3">
      <c r="A271" s="34" t="s">
        <v>1295</v>
      </c>
      <c r="B271" s="36">
        <v>157</v>
      </c>
      <c r="C271" s="29" t="s">
        <v>1324</v>
      </c>
      <c r="D271" s="29" t="str">
        <f>D269</f>
        <v>INCLUIDO</v>
      </c>
      <c r="E271" s="27" t="str">
        <f>E269</f>
        <v>Excluido</v>
      </c>
      <c r="F271" s="43">
        <f t="shared" si="326"/>
        <v>0</v>
      </c>
      <c r="G271" s="21">
        <f t="shared" si="327"/>
        <v>0</v>
      </c>
      <c r="H271" s="9">
        <f t="shared" si="317"/>
        <v>0</v>
      </c>
      <c r="I271" s="9" t="s">
        <v>1287</v>
      </c>
      <c r="J271" s="9">
        <f t="shared" si="318"/>
        <v>0</v>
      </c>
      <c r="K271" s="9">
        <f t="shared" si="319"/>
        <v>0</v>
      </c>
      <c r="L271" s="9">
        <f t="shared" si="320"/>
        <v>0</v>
      </c>
      <c r="M271" s="11">
        <f t="shared" si="328"/>
        <v>0.1</v>
      </c>
      <c r="N271" s="9">
        <f t="shared" si="321"/>
        <v>0</v>
      </c>
      <c r="O271" s="12">
        <f t="shared" si="322"/>
        <v>0</v>
      </c>
      <c r="P271" s="13" t="str">
        <f t="shared" si="285"/>
        <v>NO</v>
      </c>
      <c r="Q271">
        <f t="shared" si="323"/>
        <v>0</v>
      </c>
      <c r="R271">
        <f t="shared" si="324"/>
        <v>0</v>
      </c>
      <c r="S271">
        <f t="shared" si="325"/>
        <v>0</v>
      </c>
      <c r="T271" s="110">
        <f>VLOOKUP(B271,DesgloseRC!$E$48:$F$88,2,FALSE)</f>
        <v>0</v>
      </c>
      <c r="U271" s="111">
        <f t="shared" si="330"/>
        <v>0</v>
      </c>
      <c r="V271" s="111">
        <f t="shared" si="331"/>
        <v>0</v>
      </c>
    </row>
    <row r="272" spans="1:29" s="18" customFormat="1" ht="15" hidden="1" customHeight="1" x14ac:dyDescent="0.3">
      <c r="A272" s="24"/>
      <c r="B272" s="26"/>
      <c r="C272" s="15" t="s">
        <v>1177</v>
      </c>
      <c r="D272" s="38" t="str">
        <f>D241</f>
        <v>INCLUIDO</v>
      </c>
      <c r="E272" s="38"/>
      <c r="F272" s="16">
        <f>SUMIF(E242:E271,"Adicional",F242:F271)</f>
        <v>0</v>
      </c>
      <c r="G272" s="17"/>
      <c r="H272" s="16">
        <f>SUM(H242:H271)</f>
        <v>0</v>
      </c>
      <c r="I272" s="16"/>
      <c r="J272" s="16">
        <f t="shared" ref="J272:L272" si="332">SUM(J242:J271)</f>
        <v>0</v>
      </c>
      <c r="K272" s="16">
        <f t="shared" si="332"/>
        <v>0</v>
      </c>
      <c r="L272" s="16">
        <f t="shared" si="332"/>
        <v>0</v>
      </c>
      <c r="M272" s="16" t="s">
        <v>1178</v>
      </c>
      <c r="N272" s="16">
        <f t="shared" ref="N272:O272" si="333">SUM(N242:N271)</f>
        <v>0</v>
      </c>
      <c r="O272" s="84">
        <f t="shared" si="333"/>
        <v>0</v>
      </c>
      <c r="P272" s="13" t="str">
        <f t="shared" si="285"/>
        <v>NO</v>
      </c>
      <c r="Q272">
        <f>IF(D272="INCLUIDO",IF(H272&lt;&gt;0,1,0),0)</f>
        <v>0</v>
      </c>
      <c r="T272" s="141">
        <f>SUM(T242:T271)</f>
        <v>1.0000000000000002</v>
      </c>
      <c r="U272" s="200">
        <f>SUM(U242:U271)</f>
        <v>0</v>
      </c>
      <c r="V272" s="112">
        <f>SUM(V242:V271)</f>
        <v>0</v>
      </c>
    </row>
    <row r="273" spans="1:23" ht="15" hidden="1" customHeight="1" thickBot="1" x14ac:dyDescent="0.35">
      <c r="A273" s="82">
        <v>911</v>
      </c>
      <c r="B273" s="33">
        <v>1</v>
      </c>
      <c r="C273" s="19" t="s">
        <v>1325</v>
      </c>
      <c r="D273" s="23" t="str">
        <f>'Ramo Comercial'!C163</f>
        <v>NO APLICA</v>
      </c>
      <c r="E273" s="91"/>
      <c r="F273" s="113">
        <f>F241</f>
        <v>0</v>
      </c>
      <c r="G273" s="28"/>
      <c r="H273" s="28"/>
      <c r="I273" s="28"/>
      <c r="J273" s="28"/>
      <c r="K273" s="28"/>
      <c r="L273" s="28"/>
      <c r="M273" s="68">
        <v>0</v>
      </c>
      <c r="N273" s="28"/>
      <c r="O273" s="83"/>
      <c r="P273" s="13" t="str">
        <f t="shared" si="285"/>
        <v>NO</v>
      </c>
      <c r="Q273" s="48">
        <f>IF(D273="INCLUIDO",IF(F273&lt;&gt;0,1,0),0)</f>
        <v>0</v>
      </c>
      <c r="T273" s="142">
        <f>G241*T276</f>
        <v>0</v>
      </c>
    </row>
    <row r="274" spans="1:23" ht="15" hidden="1" customHeight="1" x14ac:dyDescent="0.3">
      <c r="A274" s="34" t="s">
        <v>1326</v>
      </c>
      <c r="B274" s="36">
        <v>159</v>
      </c>
      <c r="C274" s="29" t="s">
        <v>1327</v>
      </c>
      <c r="D274" s="29" t="str">
        <f>$D$273</f>
        <v>NO APLICA</v>
      </c>
      <c r="E274" s="27" t="s">
        <v>1152</v>
      </c>
      <c r="F274" s="20">
        <f>F273*S274</f>
        <v>0</v>
      </c>
      <c r="G274" s="21">
        <f>V274</f>
        <v>0</v>
      </c>
      <c r="H274" s="9">
        <f t="shared" ref="H274:H275" si="334">(IF(I274="$ Prima",G274,G274*F274/R274))*$U$9</f>
        <v>0</v>
      </c>
      <c r="I274" s="9" t="s">
        <v>1287</v>
      </c>
      <c r="J274" s="9">
        <f t="shared" ref="J274:J275" si="335">H274*$U$7</f>
        <v>0</v>
      </c>
      <c r="K274" s="9">
        <f t="shared" ref="K274:K275" si="336">(H274+J274)*$K$15</f>
        <v>0</v>
      </c>
      <c r="L274" s="9">
        <f t="shared" ref="L274:L275" si="337">ROUND(H274+J274+K274,2)</f>
        <v>0</v>
      </c>
      <c r="M274" s="11">
        <f>$M$273</f>
        <v>0</v>
      </c>
      <c r="N274" s="9">
        <f t="shared" ref="N274:N275" si="338">H274*M274</f>
        <v>0</v>
      </c>
      <c r="O274" s="12">
        <f t="shared" ref="O274:O275" si="339">N274</f>
        <v>0</v>
      </c>
      <c r="P274" s="13" t="str">
        <f t="shared" si="285"/>
        <v>NO</v>
      </c>
      <c r="Q274">
        <f>IF(D274="INCLUIDO",IF(F274&lt;&gt;0,1,0),0)</f>
        <v>0</v>
      </c>
      <c r="R274">
        <f>IF(I274="%o Al Millar",1000,IF(I274="% Al Porciento",100,IF(I274="$ Prima",G274)))</f>
        <v>0</v>
      </c>
      <c r="S274">
        <f t="shared" ref="S274:S275" si="340">IF(E274="Excluido",0,IF(D274="NO APLICA",0,1))</f>
        <v>0</v>
      </c>
      <c r="T274" s="110">
        <f>VLOOKUP(B274,DesgloseRC!$E$48:$F$88,2,FALSE)</f>
        <v>0</v>
      </c>
      <c r="U274" s="159">
        <f t="shared" ref="U274:U275" si="341">IF(E274="Excluido",0,$T$241*T274)</f>
        <v>0</v>
      </c>
      <c r="V274" s="111">
        <f>IF(F274=0,0,(U276-U275)+T273-U276)</f>
        <v>0</v>
      </c>
      <c r="W274">
        <f>IF(T274=0%,0,1)</f>
        <v>0</v>
      </c>
    </row>
    <row r="275" spans="1:23" ht="22.5" hidden="1" customHeight="1" x14ac:dyDescent="0.3">
      <c r="A275" s="34" t="s">
        <v>1326</v>
      </c>
      <c r="B275" s="36">
        <v>158</v>
      </c>
      <c r="C275" s="29" t="s">
        <v>1328</v>
      </c>
      <c r="D275" s="29" t="str">
        <f>$D$273</f>
        <v>NO APLICA</v>
      </c>
      <c r="E275" s="27" t="s">
        <v>1137</v>
      </c>
      <c r="F275" s="20">
        <f>F274*S275</f>
        <v>0</v>
      </c>
      <c r="G275" s="21">
        <f>V275</f>
        <v>0</v>
      </c>
      <c r="H275" s="9">
        <f t="shared" si="334"/>
        <v>0</v>
      </c>
      <c r="I275" s="9" t="s">
        <v>1287</v>
      </c>
      <c r="J275" s="9">
        <f t="shared" si="335"/>
        <v>0</v>
      </c>
      <c r="K275" s="9">
        <f t="shared" si="336"/>
        <v>0</v>
      </c>
      <c r="L275" s="9">
        <f t="shared" si="337"/>
        <v>0</v>
      </c>
      <c r="M275" s="11">
        <f>$M$273</f>
        <v>0</v>
      </c>
      <c r="N275" s="9">
        <f t="shared" si="338"/>
        <v>0</v>
      </c>
      <c r="O275" s="12">
        <f t="shared" si="339"/>
        <v>0</v>
      </c>
      <c r="P275" s="13" t="str">
        <f t="shared" si="285"/>
        <v>NO</v>
      </c>
      <c r="Q275">
        <f>IF(D275="INCLUIDO",IF(F275&lt;&gt;0,1,0),0)</f>
        <v>0</v>
      </c>
      <c r="R275">
        <f>IF(I275="%o Al Millar",1000,IF(I275="% Al Porciento",100,IF(I275="$ Prima",G275)))</f>
        <v>0</v>
      </c>
      <c r="S275">
        <f t="shared" si="340"/>
        <v>0</v>
      </c>
      <c r="T275" s="110">
        <f>VLOOKUP(B275,DesgloseRC!$E$48:$F$88,2,FALSE)</f>
        <v>0</v>
      </c>
      <c r="U275" s="159">
        <f t="shared" si="341"/>
        <v>0</v>
      </c>
      <c r="V275" s="111">
        <f t="shared" ref="V275" si="342">IF(F275=0,0,U275)</f>
        <v>0</v>
      </c>
    </row>
    <row r="276" spans="1:23" s="18" customFormat="1" ht="15" hidden="1" customHeight="1" thickBot="1" x14ac:dyDescent="0.35">
      <c r="A276" s="24"/>
      <c r="B276" s="26"/>
      <c r="C276" s="15" t="s">
        <v>1177</v>
      </c>
      <c r="D276" s="38" t="str">
        <f>D275</f>
        <v>NO APLICA</v>
      </c>
      <c r="E276" s="38"/>
      <c r="F276" s="16">
        <f>SUMIF(E274:E275,"Adicional",F274:F275)</f>
        <v>0</v>
      </c>
      <c r="G276" s="17"/>
      <c r="H276" s="16">
        <f>SUM(H274:H275)</f>
        <v>0</v>
      </c>
      <c r="I276" s="16"/>
      <c r="J276" s="16">
        <f t="shared" ref="J276:L276" si="343">SUM(J274:J275)</f>
        <v>0</v>
      </c>
      <c r="K276" s="16">
        <f t="shared" si="343"/>
        <v>0</v>
      </c>
      <c r="L276" s="16">
        <f t="shared" si="343"/>
        <v>0</v>
      </c>
      <c r="M276" s="16" t="s">
        <v>1178</v>
      </c>
      <c r="N276" s="16">
        <f t="shared" ref="N276:O276" si="344">SUM(N274:N275)</f>
        <v>0</v>
      </c>
      <c r="O276" s="84">
        <f t="shared" si="344"/>
        <v>0</v>
      </c>
      <c r="P276" s="13" t="str">
        <f t="shared" si="285"/>
        <v>NO</v>
      </c>
      <c r="Q276">
        <f>IF(D276="INCLUIDO",IF(H276&lt;&gt;0,1,0),0)</f>
        <v>0</v>
      </c>
      <c r="T276" s="141">
        <f>SUM(T274:T275)</f>
        <v>0</v>
      </c>
      <c r="U276" s="200">
        <f>SUM(U274:U275)</f>
        <v>0</v>
      </c>
      <c r="V276" s="112">
        <f>SUM(V274:V275)</f>
        <v>0</v>
      </c>
    </row>
    <row r="277" spans="1:23" ht="22.5" hidden="1" customHeight="1" thickBot="1" x14ac:dyDescent="0.35">
      <c r="A277" s="82">
        <v>911</v>
      </c>
      <c r="B277" s="33">
        <v>2</v>
      </c>
      <c r="C277" s="19" t="s">
        <v>1329</v>
      </c>
      <c r="D277" s="23" t="str">
        <f>'Ramo Comercial'!C164</f>
        <v>NO APLICA</v>
      </c>
      <c r="E277" s="91"/>
      <c r="F277" s="113">
        <f>F241</f>
        <v>0</v>
      </c>
      <c r="G277" s="113">
        <v>1000</v>
      </c>
      <c r="H277" s="28"/>
      <c r="I277" s="28"/>
      <c r="J277" s="28"/>
      <c r="K277" s="28"/>
      <c r="L277" s="28"/>
      <c r="M277" s="68">
        <v>0</v>
      </c>
      <c r="N277" s="28"/>
      <c r="O277" s="83"/>
      <c r="P277" s="13" t="str">
        <f t="shared" si="285"/>
        <v>NO</v>
      </c>
      <c r="Q277" s="48">
        <f>IF(D277="INCLUIDO",IF(F277&lt;&gt;0,1,0),0)</f>
        <v>0</v>
      </c>
      <c r="T277" s="142">
        <f>G241*T282</f>
        <v>0</v>
      </c>
      <c r="V277" s="201"/>
    </row>
    <row r="278" spans="1:23" ht="15" hidden="1" customHeight="1" x14ac:dyDescent="0.3">
      <c r="A278" s="34" t="s">
        <v>1326</v>
      </c>
      <c r="B278" s="36">
        <v>162</v>
      </c>
      <c r="C278" s="29" t="s">
        <v>1330</v>
      </c>
      <c r="D278" s="29" t="str">
        <f>$D$277</f>
        <v>NO APLICA</v>
      </c>
      <c r="E278" s="27" t="s">
        <v>1152</v>
      </c>
      <c r="F278" s="20">
        <f>$F$277*S278</f>
        <v>0</v>
      </c>
      <c r="G278" s="114">
        <f>V278</f>
        <v>0</v>
      </c>
      <c r="H278" s="9">
        <f t="shared" ref="H278:H281" si="345">(IF(I278="$ Prima",G278,G278*F278/R278))*$U$9</f>
        <v>0</v>
      </c>
      <c r="I278" s="9" t="s">
        <v>1287</v>
      </c>
      <c r="J278" s="9">
        <f t="shared" ref="J278:J281" si="346">H278*$U$7</f>
        <v>0</v>
      </c>
      <c r="K278" s="9">
        <f t="shared" ref="K278:K281" si="347">(H278+J278)*$K$15</f>
        <v>0</v>
      </c>
      <c r="L278" s="9">
        <f t="shared" ref="L278:L281" si="348">ROUND(H278+J278+K278,2)</f>
        <v>0</v>
      </c>
      <c r="M278" s="11">
        <f>$M$277</f>
        <v>0</v>
      </c>
      <c r="N278" s="9">
        <f t="shared" ref="N278:N281" si="349">H278*M278</f>
        <v>0</v>
      </c>
      <c r="O278" s="12">
        <f t="shared" ref="O278:O281" si="350">N278</f>
        <v>0</v>
      </c>
      <c r="P278" s="13" t="str">
        <f t="shared" si="285"/>
        <v>NO</v>
      </c>
      <c r="Q278">
        <f>IF(D278="INCLUIDO",IF(F278&lt;&gt;0,1,0),0)</f>
        <v>0</v>
      </c>
      <c r="R278">
        <f>IF(I278="%o Al Millar",1000,IF(I278="% Al Porciento",100,IF(I278="$ Prima",G278)))</f>
        <v>0</v>
      </c>
      <c r="S278">
        <f t="shared" ref="S278:S281" si="351">IF(E278="Excluido",0,IF(D278="NO APLICA",0,1))</f>
        <v>0</v>
      </c>
      <c r="T278" s="110">
        <f>VLOOKUP(B278,DesgloseRC!$E$48:$F$85,2,FALSE)</f>
        <v>0</v>
      </c>
      <c r="U278" s="159">
        <f>IF(E278="Excluido",0,$T$241*T278)</f>
        <v>0</v>
      </c>
      <c r="V278" s="159">
        <f>IF(F278=0,0,(U282-U279-U280-U281)+(T277-U282))</f>
        <v>0</v>
      </c>
      <c r="W278">
        <f>IF(T278=0%,0,1)</f>
        <v>0</v>
      </c>
    </row>
    <row r="279" spans="1:23" ht="15" hidden="1" customHeight="1" x14ac:dyDescent="0.3">
      <c r="A279" s="34" t="s">
        <v>1326</v>
      </c>
      <c r="B279" s="36">
        <v>160</v>
      </c>
      <c r="C279" s="29" t="s">
        <v>1331</v>
      </c>
      <c r="D279" s="29" t="str">
        <f t="shared" ref="D279:D281" si="352">$D$277</f>
        <v>NO APLICA</v>
      </c>
      <c r="E279" s="27" t="s">
        <v>1137</v>
      </c>
      <c r="F279" s="20">
        <f>$F$278*S279</f>
        <v>0</v>
      </c>
      <c r="G279" s="114">
        <f t="shared" ref="G279:G281" si="353">V279</f>
        <v>0</v>
      </c>
      <c r="H279" s="9">
        <f t="shared" si="345"/>
        <v>0</v>
      </c>
      <c r="I279" s="9" t="s">
        <v>1287</v>
      </c>
      <c r="J279" s="9">
        <f t="shared" si="346"/>
        <v>0</v>
      </c>
      <c r="K279" s="9">
        <f t="shared" si="347"/>
        <v>0</v>
      </c>
      <c r="L279" s="9">
        <f t="shared" si="348"/>
        <v>0</v>
      </c>
      <c r="M279" s="11">
        <f t="shared" ref="M279:M281" si="354">$M$277</f>
        <v>0</v>
      </c>
      <c r="N279" s="9">
        <f t="shared" si="349"/>
        <v>0</v>
      </c>
      <c r="O279" s="12">
        <f t="shared" si="350"/>
        <v>0</v>
      </c>
      <c r="P279" s="13" t="str">
        <f t="shared" si="285"/>
        <v>NO</v>
      </c>
      <c r="Q279">
        <f>IF(D279="INCLUIDO",IF(F279&lt;&gt;0,1,0),0)</f>
        <v>0</v>
      </c>
      <c r="R279">
        <f>IF(I279="%o Al Millar",1000,IF(I279="% Al Porciento",100,IF(I279="$ Prima",G279)))</f>
        <v>0</v>
      </c>
      <c r="S279">
        <f t="shared" si="351"/>
        <v>0</v>
      </c>
      <c r="T279" s="110">
        <f>VLOOKUP(B279,DesgloseRC!$E$48:$F$85,2,FALSE)</f>
        <v>0</v>
      </c>
      <c r="U279" s="159">
        <f t="shared" ref="U279:U281" si="355">IF(E279="Excluido",0,$T$241*T279)</f>
        <v>0</v>
      </c>
      <c r="V279" s="159">
        <f>IF(F279=0,0,U279)</f>
        <v>0</v>
      </c>
    </row>
    <row r="280" spans="1:23" ht="15" hidden="1" customHeight="1" x14ac:dyDescent="0.3">
      <c r="A280" s="34" t="s">
        <v>1326</v>
      </c>
      <c r="B280" s="36">
        <v>161</v>
      </c>
      <c r="C280" s="29" t="s">
        <v>1332</v>
      </c>
      <c r="D280" s="29" t="str">
        <f t="shared" si="352"/>
        <v>NO APLICA</v>
      </c>
      <c r="E280" s="27" t="s">
        <v>1137</v>
      </c>
      <c r="F280" s="20">
        <f t="shared" ref="F280:F281" si="356">$F$278*S280</f>
        <v>0</v>
      </c>
      <c r="G280" s="114">
        <f t="shared" si="353"/>
        <v>0</v>
      </c>
      <c r="H280" s="9">
        <f t="shared" si="345"/>
        <v>0</v>
      </c>
      <c r="I280" s="9" t="s">
        <v>1287</v>
      </c>
      <c r="J280" s="9">
        <f t="shared" si="346"/>
        <v>0</v>
      </c>
      <c r="K280" s="9">
        <f t="shared" si="347"/>
        <v>0</v>
      </c>
      <c r="L280" s="9">
        <f t="shared" si="348"/>
        <v>0</v>
      </c>
      <c r="M280" s="11">
        <f t="shared" si="354"/>
        <v>0</v>
      </c>
      <c r="N280" s="9">
        <f t="shared" si="349"/>
        <v>0</v>
      </c>
      <c r="O280" s="12">
        <f t="shared" si="350"/>
        <v>0</v>
      </c>
      <c r="P280" s="13" t="str">
        <f t="shared" si="285"/>
        <v>NO</v>
      </c>
      <c r="Q280">
        <f>IF(D280="INCLUIDO",IF(F280&lt;&gt;0,1,0),0)</f>
        <v>0</v>
      </c>
      <c r="R280">
        <f>IF(I280="%o Al Millar",1000,IF(I280="% Al Porciento",100,IF(I280="$ Prima",G280)))</f>
        <v>0</v>
      </c>
      <c r="S280">
        <f t="shared" si="351"/>
        <v>0</v>
      </c>
      <c r="T280" s="110">
        <f>VLOOKUP(B280,DesgloseRC!$E$48:$F$85,2,FALSE)</f>
        <v>0</v>
      </c>
      <c r="U280" s="159">
        <f t="shared" si="355"/>
        <v>0</v>
      </c>
      <c r="V280" s="159">
        <f t="shared" ref="V280:V281" si="357">IF(F280=0,0,U280)</f>
        <v>0</v>
      </c>
    </row>
    <row r="281" spans="1:23" ht="15" hidden="1" customHeight="1" x14ac:dyDescent="0.3">
      <c r="A281" s="34" t="s">
        <v>1326</v>
      </c>
      <c r="B281" s="36">
        <v>243</v>
      </c>
      <c r="C281" s="29" t="s">
        <v>1293</v>
      </c>
      <c r="D281" s="29" t="str">
        <f t="shared" si="352"/>
        <v>NO APLICA</v>
      </c>
      <c r="E281" s="27" t="s">
        <v>1137</v>
      </c>
      <c r="F281" s="20">
        <f t="shared" si="356"/>
        <v>0</v>
      </c>
      <c r="G281" s="114">
        <f t="shared" si="353"/>
        <v>0</v>
      </c>
      <c r="H281" s="9">
        <f t="shared" si="345"/>
        <v>0</v>
      </c>
      <c r="I281" s="9" t="s">
        <v>1287</v>
      </c>
      <c r="J281" s="9">
        <f t="shared" si="346"/>
        <v>0</v>
      </c>
      <c r="K281" s="9">
        <f t="shared" si="347"/>
        <v>0</v>
      </c>
      <c r="L281" s="9">
        <f t="shared" si="348"/>
        <v>0</v>
      </c>
      <c r="M281" s="11">
        <f t="shared" si="354"/>
        <v>0</v>
      </c>
      <c r="N281" s="9">
        <f t="shared" si="349"/>
        <v>0</v>
      </c>
      <c r="O281" s="12">
        <f t="shared" si="350"/>
        <v>0</v>
      </c>
      <c r="P281" s="13" t="str">
        <f t="shared" si="285"/>
        <v>NO</v>
      </c>
      <c r="Q281">
        <f>IF(D281="INCLUIDO",IF(F281&lt;&gt;0,1,0),0)</f>
        <v>0</v>
      </c>
      <c r="R281">
        <f>IF(I281="%o Al Millar",1000,IF(I281="% Al Porciento",100,IF(I281="$ Prima",G281)))</f>
        <v>0</v>
      </c>
      <c r="S281">
        <f t="shared" si="351"/>
        <v>0</v>
      </c>
      <c r="T281" s="110">
        <f>VLOOKUP(B281,DesgloseRC!$E$48:$F$85,2,FALSE)</f>
        <v>0</v>
      </c>
      <c r="U281" s="159">
        <f t="shared" si="355"/>
        <v>0</v>
      </c>
      <c r="V281" s="159">
        <f t="shared" si="357"/>
        <v>0</v>
      </c>
    </row>
    <row r="282" spans="1:23" s="18" customFormat="1" ht="15" hidden="1" customHeight="1" thickBot="1" x14ac:dyDescent="0.35">
      <c r="A282" s="24"/>
      <c r="B282" s="26"/>
      <c r="C282" s="15" t="s">
        <v>1177</v>
      </c>
      <c r="D282" s="38" t="str">
        <f>D281</f>
        <v>NO APLICA</v>
      </c>
      <c r="E282" s="38"/>
      <c r="F282" s="16">
        <f>SUMIF(E278:E281,"Adicional",F278:F281)</f>
        <v>0</v>
      </c>
      <c r="G282" s="17"/>
      <c r="H282" s="16">
        <f>SUM(H278:H281)</f>
        <v>0</v>
      </c>
      <c r="I282" s="16"/>
      <c r="J282" s="16">
        <f t="shared" ref="J282:L282" si="358">SUM(J278:J281)</f>
        <v>0</v>
      </c>
      <c r="K282" s="16">
        <f t="shared" si="358"/>
        <v>0</v>
      </c>
      <c r="L282" s="16">
        <f t="shared" si="358"/>
        <v>0</v>
      </c>
      <c r="M282" s="16" t="s">
        <v>1178</v>
      </c>
      <c r="N282" s="16">
        <f t="shared" ref="N282:O282" si="359">SUM(N278:N281)</f>
        <v>0</v>
      </c>
      <c r="O282" s="84">
        <f t="shared" si="359"/>
        <v>0</v>
      </c>
      <c r="P282" s="13" t="str">
        <f t="shared" si="285"/>
        <v>NO</v>
      </c>
      <c r="Q282">
        <f>IF(D282="INCLUIDO",IF(H282&lt;&gt;0,1,0),0)</f>
        <v>0</v>
      </c>
      <c r="T282" s="141">
        <f>SUM(T278:T281)</f>
        <v>0</v>
      </c>
      <c r="U282" s="202">
        <f>SUM(U278:U281)</f>
        <v>0</v>
      </c>
      <c r="V282" s="112">
        <f>SUM(V278:V281)</f>
        <v>0</v>
      </c>
    </row>
    <row r="283" spans="1:23" ht="15" hidden="1" customHeight="1" thickBot="1" x14ac:dyDescent="0.35">
      <c r="A283" s="82">
        <v>911</v>
      </c>
      <c r="B283" s="33">
        <v>3</v>
      </c>
      <c r="C283" s="19" t="s">
        <v>1330</v>
      </c>
      <c r="D283" s="23" t="str">
        <f>'Ramo Comercial'!C165</f>
        <v>NO APLICA</v>
      </c>
      <c r="E283" s="91"/>
      <c r="F283" s="113">
        <f>F241</f>
        <v>0</v>
      </c>
      <c r="G283" s="113">
        <v>0</v>
      </c>
      <c r="H283" s="28"/>
      <c r="I283" s="28"/>
      <c r="J283" s="28"/>
      <c r="K283" s="28"/>
      <c r="L283" s="28"/>
      <c r="M283" s="68">
        <v>0</v>
      </c>
      <c r="N283" s="28"/>
      <c r="O283" s="83"/>
      <c r="P283" s="13" t="str">
        <f t="shared" si="285"/>
        <v>NO</v>
      </c>
      <c r="Q283" s="47">
        <f>IF(D283="INCLUIDO",IF(F284&lt;&gt;0,1,0),0)</f>
        <v>0</v>
      </c>
      <c r="T283" s="142">
        <f>G241*T328</f>
        <v>0</v>
      </c>
      <c r="U283" s="142">
        <f>G241</f>
        <v>0</v>
      </c>
    </row>
    <row r="284" spans="1:23" ht="15" hidden="1" customHeight="1" x14ac:dyDescent="0.3">
      <c r="A284" s="34" t="s">
        <v>1326</v>
      </c>
      <c r="B284" s="36">
        <v>163</v>
      </c>
      <c r="C284" s="29" t="s">
        <v>1333</v>
      </c>
      <c r="D284" s="29" t="str">
        <f>$D$283</f>
        <v>NO APLICA</v>
      </c>
      <c r="E284" s="27" t="s">
        <v>1137</v>
      </c>
      <c r="F284" s="43">
        <f>$F$283*S284</f>
        <v>0</v>
      </c>
      <c r="G284" s="21">
        <v>0</v>
      </c>
      <c r="H284" s="9">
        <f t="shared" ref="H284:H328" si="360">(IF(I284="$ Prima",G284,G284*F284/R284))*$U$9</f>
        <v>0</v>
      </c>
      <c r="I284" s="9" t="s">
        <v>1287</v>
      </c>
      <c r="J284" s="9">
        <f t="shared" ref="J284:J328" si="361">H284*$U$7</f>
        <v>0</v>
      </c>
      <c r="K284" s="9">
        <f t="shared" ref="K284:K328" si="362">(H284+J284)*$K$15</f>
        <v>0</v>
      </c>
      <c r="L284" s="9">
        <f t="shared" ref="L284:L328" si="363">ROUND(H284+J284+K284,2)</f>
        <v>0</v>
      </c>
      <c r="M284" s="11">
        <f>$M$283</f>
        <v>0</v>
      </c>
      <c r="N284" s="9">
        <f t="shared" ref="N284:N328" si="364">H284*M284</f>
        <v>0</v>
      </c>
      <c r="O284" s="12">
        <f t="shared" ref="O284:O328" si="365">N284</f>
        <v>0</v>
      </c>
      <c r="P284" s="13" t="str">
        <f t="shared" si="285"/>
        <v>NO</v>
      </c>
      <c r="Q284">
        <f t="shared" ref="Q284:Q328" si="366">IF(D284="INCLUIDO",IF(F284&lt;&gt;0,1,0),0)</f>
        <v>0</v>
      </c>
      <c r="R284">
        <f t="shared" ref="R284:R328" si="367">IF(I284="%o Al Millar",1000,IF(I284="% Al Porciento",100,IF(I284="$ Prima",G284)))</f>
        <v>0</v>
      </c>
      <c r="S284">
        <f t="shared" ref="S284:S328" si="368">IF(E284="Excluido",0,IF(D284="NO APLICA",0,1))</f>
        <v>0</v>
      </c>
    </row>
    <row r="285" spans="1:23" ht="15" hidden="1" customHeight="1" x14ac:dyDescent="0.3">
      <c r="A285" s="34" t="s">
        <v>1326</v>
      </c>
      <c r="B285" s="36">
        <v>164</v>
      </c>
      <c r="C285" s="29" t="s">
        <v>1334</v>
      </c>
      <c r="D285" s="29" t="str">
        <f t="shared" ref="D285:D328" si="369">$D$283</f>
        <v>NO APLICA</v>
      </c>
      <c r="E285" s="27" t="s">
        <v>1137</v>
      </c>
      <c r="F285" s="43">
        <f t="shared" ref="F285:F328" si="370">$F$283*S285</f>
        <v>0</v>
      </c>
      <c r="G285" s="21">
        <v>0</v>
      </c>
      <c r="H285" s="9">
        <f t="shared" si="360"/>
        <v>0</v>
      </c>
      <c r="I285" s="9" t="s">
        <v>1287</v>
      </c>
      <c r="J285" s="9">
        <f t="shared" si="361"/>
        <v>0</v>
      </c>
      <c r="K285" s="9">
        <f t="shared" si="362"/>
        <v>0</v>
      </c>
      <c r="L285" s="9">
        <f t="shared" si="363"/>
        <v>0</v>
      </c>
      <c r="M285" s="11">
        <f t="shared" ref="M285:M328" si="371">$M$283</f>
        <v>0</v>
      </c>
      <c r="N285" s="9">
        <f t="shared" si="364"/>
        <v>0</v>
      </c>
      <c r="O285" s="12">
        <f t="shared" si="365"/>
        <v>0</v>
      </c>
      <c r="P285" s="13" t="str">
        <f t="shared" si="285"/>
        <v>NO</v>
      </c>
      <c r="Q285">
        <f t="shared" si="366"/>
        <v>0</v>
      </c>
      <c r="R285">
        <f t="shared" si="367"/>
        <v>0</v>
      </c>
      <c r="S285">
        <f t="shared" si="368"/>
        <v>0</v>
      </c>
    </row>
    <row r="286" spans="1:23" ht="15" hidden="1" customHeight="1" x14ac:dyDescent="0.3">
      <c r="A286" s="34" t="s">
        <v>1326</v>
      </c>
      <c r="B286" s="36">
        <v>165</v>
      </c>
      <c r="C286" s="29" t="s">
        <v>1335</v>
      </c>
      <c r="D286" s="29" t="str">
        <f t="shared" si="369"/>
        <v>NO APLICA</v>
      </c>
      <c r="E286" s="27" t="s">
        <v>1137</v>
      </c>
      <c r="F286" s="43">
        <f t="shared" si="370"/>
        <v>0</v>
      </c>
      <c r="G286" s="21">
        <v>0</v>
      </c>
      <c r="H286" s="9">
        <f t="shared" si="360"/>
        <v>0</v>
      </c>
      <c r="I286" s="9" t="s">
        <v>1287</v>
      </c>
      <c r="J286" s="9">
        <f t="shared" si="361"/>
        <v>0</v>
      </c>
      <c r="K286" s="9">
        <f t="shared" si="362"/>
        <v>0</v>
      </c>
      <c r="L286" s="9">
        <f t="shared" si="363"/>
        <v>0</v>
      </c>
      <c r="M286" s="11">
        <f t="shared" si="371"/>
        <v>0</v>
      </c>
      <c r="N286" s="9">
        <f t="shared" si="364"/>
        <v>0</v>
      </c>
      <c r="O286" s="12">
        <f t="shared" si="365"/>
        <v>0</v>
      </c>
      <c r="P286" s="13" t="str">
        <f t="shared" si="285"/>
        <v>NO</v>
      </c>
      <c r="Q286">
        <f t="shared" si="366"/>
        <v>0</v>
      </c>
      <c r="R286">
        <f t="shared" si="367"/>
        <v>0</v>
      </c>
      <c r="S286">
        <f t="shared" si="368"/>
        <v>0</v>
      </c>
    </row>
    <row r="287" spans="1:23" ht="15" hidden="1" customHeight="1" x14ac:dyDescent="0.3">
      <c r="A287" s="34" t="s">
        <v>1326</v>
      </c>
      <c r="B287" s="36">
        <v>166</v>
      </c>
      <c r="C287" s="29" t="s">
        <v>1336</v>
      </c>
      <c r="D287" s="29" t="str">
        <f t="shared" si="369"/>
        <v>NO APLICA</v>
      </c>
      <c r="E287" s="27" t="s">
        <v>1137</v>
      </c>
      <c r="F287" s="43">
        <f t="shared" si="370"/>
        <v>0</v>
      </c>
      <c r="G287" s="21">
        <v>0</v>
      </c>
      <c r="H287" s="9">
        <f t="shared" si="360"/>
        <v>0</v>
      </c>
      <c r="I287" s="9" t="s">
        <v>1287</v>
      </c>
      <c r="J287" s="9">
        <f t="shared" si="361"/>
        <v>0</v>
      </c>
      <c r="K287" s="9">
        <f t="shared" si="362"/>
        <v>0</v>
      </c>
      <c r="L287" s="9">
        <f t="shared" si="363"/>
        <v>0</v>
      </c>
      <c r="M287" s="11">
        <f t="shared" si="371"/>
        <v>0</v>
      </c>
      <c r="N287" s="9">
        <f t="shared" si="364"/>
        <v>0</v>
      </c>
      <c r="O287" s="12">
        <f t="shared" si="365"/>
        <v>0</v>
      </c>
      <c r="P287" s="13" t="str">
        <f t="shared" si="285"/>
        <v>NO</v>
      </c>
      <c r="Q287">
        <f t="shared" si="366"/>
        <v>0</v>
      </c>
      <c r="R287">
        <f t="shared" si="367"/>
        <v>0</v>
      </c>
      <c r="S287">
        <f t="shared" si="368"/>
        <v>0</v>
      </c>
    </row>
    <row r="288" spans="1:23" ht="15" hidden="1" customHeight="1" x14ac:dyDescent="0.3">
      <c r="A288" s="34" t="s">
        <v>1326</v>
      </c>
      <c r="B288" s="36">
        <v>167</v>
      </c>
      <c r="C288" s="29" t="s">
        <v>1337</v>
      </c>
      <c r="D288" s="29" t="str">
        <f t="shared" si="369"/>
        <v>NO APLICA</v>
      </c>
      <c r="E288" s="27" t="s">
        <v>1137</v>
      </c>
      <c r="F288" s="43">
        <f t="shared" si="370"/>
        <v>0</v>
      </c>
      <c r="G288" s="21">
        <v>0</v>
      </c>
      <c r="H288" s="9">
        <f t="shared" si="360"/>
        <v>0</v>
      </c>
      <c r="I288" s="9" t="s">
        <v>1287</v>
      </c>
      <c r="J288" s="9">
        <f t="shared" si="361"/>
        <v>0</v>
      </c>
      <c r="K288" s="9">
        <f t="shared" si="362"/>
        <v>0</v>
      </c>
      <c r="L288" s="9">
        <f t="shared" si="363"/>
        <v>0</v>
      </c>
      <c r="M288" s="11">
        <f t="shared" si="371"/>
        <v>0</v>
      </c>
      <c r="N288" s="9">
        <f t="shared" si="364"/>
        <v>0</v>
      </c>
      <c r="O288" s="12">
        <f t="shared" si="365"/>
        <v>0</v>
      </c>
      <c r="P288" s="13" t="str">
        <f t="shared" si="285"/>
        <v>NO</v>
      </c>
      <c r="Q288">
        <f t="shared" si="366"/>
        <v>0</v>
      </c>
      <c r="R288">
        <f t="shared" si="367"/>
        <v>0</v>
      </c>
      <c r="S288">
        <f t="shared" si="368"/>
        <v>0</v>
      </c>
    </row>
    <row r="289" spans="1:23" ht="15" hidden="1" customHeight="1" x14ac:dyDescent="0.3">
      <c r="A289" s="34" t="s">
        <v>1326</v>
      </c>
      <c r="B289" s="36">
        <v>168</v>
      </c>
      <c r="C289" s="29" t="s">
        <v>1338</v>
      </c>
      <c r="D289" s="29" t="str">
        <f t="shared" si="369"/>
        <v>NO APLICA</v>
      </c>
      <c r="E289" s="27" t="s">
        <v>1137</v>
      </c>
      <c r="F289" s="43">
        <f t="shared" si="370"/>
        <v>0</v>
      </c>
      <c r="G289" s="21">
        <v>0</v>
      </c>
      <c r="H289" s="9">
        <f t="shared" si="360"/>
        <v>0</v>
      </c>
      <c r="I289" s="9" t="s">
        <v>1287</v>
      </c>
      <c r="J289" s="9">
        <f t="shared" si="361"/>
        <v>0</v>
      </c>
      <c r="K289" s="9">
        <f t="shared" si="362"/>
        <v>0</v>
      </c>
      <c r="L289" s="9">
        <f t="shared" si="363"/>
        <v>0</v>
      </c>
      <c r="M289" s="11">
        <f t="shared" si="371"/>
        <v>0</v>
      </c>
      <c r="N289" s="9">
        <f t="shared" si="364"/>
        <v>0</v>
      </c>
      <c r="O289" s="12">
        <f t="shared" si="365"/>
        <v>0</v>
      </c>
      <c r="P289" s="13" t="str">
        <f t="shared" si="285"/>
        <v>NO</v>
      </c>
      <c r="Q289">
        <f t="shared" si="366"/>
        <v>0</v>
      </c>
      <c r="R289">
        <f t="shared" si="367"/>
        <v>0</v>
      </c>
      <c r="S289">
        <f t="shared" si="368"/>
        <v>0</v>
      </c>
    </row>
    <row r="290" spans="1:23" ht="15" hidden="1" customHeight="1" x14ac:dyDescent="0.3">
      <c r="A290" s="34" t="s">
        <v>1326</v>
      </c>
      <c r="B290" s="36">
        <v>169</v>
      </c>
      <c r="C290" s="29" t="s">
        <v>1339</v>
      </c>
      <c r="D290" s="29" t="str">
        <f t="shared" si="369"/>
        <v>NO APLICA</v>
      </c>
      <c r="E290" s="27" t="s">
        <v>1137</v>
      </c>
      <c r="F290" s="43">
        <f t="shared" si="370"/>
        <v>0</v>
      </c>
      <c r="G290" s="21">
        <f>V290</f>
        <v>0</v>
      </c>
      <c r="H290" s="9">
        <f t="shared" si="360"/>
        <v>0</v>
      </c>
      <c r="I290" s="9" t="s">
        <v>1287</v>
      </c>
      <c r="J290" s="9">
        <f t="shared" si="361"/>
        <v>0</v>
      </c>
      <c r="K290" s="9">
        <f t="shared" si="362"/>
        <v>0</v>
      </c>
      <c r="L290" s="9">
        <f t="shared" si="363"/>
        <v>0</v>
      </c>
      <c r="M290" s="11">
        <f t="shared" si="371"/>
        <v>0</v>
      </c>
      <c r="N290" s="9">
        <f t="shared" si="364"/>
        <v>0</v>
      </c>
      <c r="O290" s="12">
        <f t="shared" si="365"/>
        <v>0</v>
      </c>
      <c r="P290" s="13" t="str">
        <f t="shared" ref="P290:P353" si="372">IF(Q290=1,"SI","NO")</f>
        <v>NO</v>
      </c>
      <c r="Q290">
        <f t="shared" si="366"/>
        <v>0</v>
      </c>
      <c r="R290">
        <f t="shared" si="367"/>
        <v>0</v>
      </c>
      <c r="S290">
        <f t="shared" si="368"/>
        <v>0</v>
      </c>
      <c r="T290" s="110">
        <f>VLOOKUP(B290,DesgloseRC!$E$48:$F$85,2,FALSE)</f>
        <v>0</v>
      </c>
      <c r="U290" s="159">
        <f>IF(E290="Excluido",0,$U$283*T290)</f>
        <v>0</v>
      </c>
      <c r="V290" s="159">
        <f>IF(F290=0,0,U290)</f>
        <v>0</v>
      </c>
      <c r="W290">
        <f>IF(T290=0%,0,1)</f>
        <v>0</v>
      </c>
    </row>
    <row r="291" spans="1:23" ht="15" hidden="1" customHeight="1" x14ac:dyDescent="0.3">
      <c r="A291" s="34" t="s">
        <v>1326</v>
      </c>
      <c r="B291" s="36">
        <v>170</v>
      </c>
      <c r="C291" s="29" t="s">
        <v>1340</v>
      </c>
      <c r="D291" s="29" t="str">
        <f t="shared" si="369"/>
        <v>NO APLICA</v>
      </c>
      <c r="E291" s="27" t="s">
        <v>1137</v>
      </c>
      <c r="F291" s="43">
        <f t="shared" si="370"/>
        <v>0</v>
      </c>
      <c r="G291" s="21">
        <v>0</v>
      </c>
      <c r="H291" s="9">
        <f t="shared" si="360"/>
        <v>0</v>
      </c>
      <c r="I291" s="9" t="s">
        <v>1287</v>
      </c>
      <c r="J291" s="9">
        <f t="shared" si="361"/>
        <v>0</v>
      </c>
      <c r="K291" s="9">
        <f t="shared" si="362"/>
        <v>0</v>
      </c>
      <c r="L291" s="9">
        <f t="shared" si="363"/>
        <v>0</v>
      </c>
      <c r="M291" s="11">
        <f t="shared" si="371"/>
        <v>0</v>
      </c>
      <c r="N291" s="9">
        <f t="shared" si="364"/>
        <v>0</v>
      </c>
      <c r="O291" s="12">
        <f t="shared" si="365"/>
        <v>0</v>
      </c>
      <c r="P291" s="13" t="str">
        <f t="shared" si="372"/>
        <v>NO</v>
      </c>
      <c r="Q291">
        <f t="shared" si="366"/>
        <v>0</v>
      </c>
      <c r="R291">
        <f t="shared" si="367"/>
        <v>0</v>
      </c>
      <c r="S291">
        <f t="shared" si="368"/>
        <v>0</v>
      </c>
    </row>
    <row r="292" spans="1:23" ht="15" hidden="1" customHeight="1" x14ac:dyDescent="0.3">
      <c r="A292" s="34" t="s">
        <v>1326</v>
      </c>
      <c r="B292" s="36">
        <v>171</v>
      </c>
      <c r="C292" s="29" t="s">
        <v>1341</v>
      </c>
      <c r="D292" s="29" t="str">
        <f t="shared" si="369"/>
        <v>NO APLICA</v>
      </c>
      <c r="E292" s="27" t="s">
        <v>1137</v>
      </c>
      <c r="F292" s="43">
        <f t="shared" si="370"/>
        <v>0</v>
      </c>
      <c r="G292" s="21">
        <v>0</v>
      </c>
      <c r="H292" s="9">
        <f t="shared" si="360"/>
        <v>0</v>
      </c>
      <c r="I292" s="9" t="s">
        <v>1287</v>
      </c>
      <c r="J292" s="9">
        <f t="shared" si="361"/>
        <v>0</v>
      </c>
      <c r="K292" s="9">
        <f t="shared" si="362"/>
        <v>0</v>
      </c>
      <c r="L292" s="9">
        <f t="shared" si="363"/>
        <v>0</v>
      </c>
      <c r="M292" s="11">
        <f t="shared" si="371"/>
        <v>0</v>
      </c>
      <c r="N292" s="9">
        <f t="shared" si="364"/>
        <v>0</v>
      </c>
      <c r="O292" s="12">
        <f t="shared" si="365"/>
        <v>0</v>
      </c>
      <c r="P292" s="13" t="str">
        <f t="shared" si="372"/>
        <v>NO</v>
      </c>
      <c r="Q292">
        <f t="shared" si="366"/>
        <v>0</v>
      </c>
      <c r="R292">
        <f t="shared" si="367"/>
        <v>0</v>
      </c>
      <c r="S292">
        <f t="shared" si="368"/>
        <v>0</v>
      </c>
    </row>
    <row r="293" spans="1:23" ht="15" hidden="1" customHeight="1" x14ac:dyDescent="0.3">
      <c r="A293" s="34" t="s">
        <v>1326</v>
      </c>
      <c r="B293" s="36">
        <v>172</v>
      </c>
      <c r="C293" s="29" t="s">
        <v>1342</v>
      </c>
      <c r="D293" s="29" t="str">
        <f t="shared" si="369"/>
        <v>NO APLICA</v>
      </c>
      <c r="E293" s="27" t="s">
        <v>1137</v>
      </c>
      <c r="F293" s="43">
        <f t="shared" si="370"/>
        <v>0</v>
      </c>
      <c r="G293" s="21">
        <v>0</v>
      </c>
      <c r="H293" s="9">
        <f t="shared" si="360"/>
        <v>0</v>
      </c>
      <c r="I293" s="9" t="s">
        <v>1287</v>
      </c>
      <c r="J293" s="9">
        <f t="shared" si="361"/>
        <v>0</v>
      </c>
      <c r="K293" s="9">
        <f t="shared" si="362"/>
        <v>0</v>
      </c>
      <c r="L293" s="9">
        <f t="shared" si="363"/>
        <v>0</v>
      </c>
      <c r="M293" s="11">
        <f t="shared" si="371"/>
        <v>0</v>
      </c>
      <c r="N293" s="9">
        <f t="shared" si="364"/>
        <v>0</v>
      </c>
      <c r="O293" s="12">
        <f t="shared" si="365"/>
        <v>0</v>
      </c>
      <c r="P293" s="13" t="str">
        <f t="shared" si="372"/>
        <v>NO</v>
      </c>
      <c r="Q293">
        <f t="shared" si="366"/>
        <v>0</v>
      </c>
      <c r="R293">
        <f t="shared" si="367"/>
        <v>0</v>
      </c>
      <c r="S293">
        <f t="shared" si="368"/>
        <v>0</v>
      </c>
    </row>
    <row r="294" spans="1:23" ht="15" hidden="1" customHeight="1" x14ac:dyDescent="0.3">
      <c r="A294" s="34" t="s">
        <v>1326</v>
      </c>
      <c r="B294" s="36">
        <v>173</v>
      </c>
      <c r="C294" s="29" t="s">
        <v>1343</v>
      </c>
      <c r="D294" s="29" t="str">
        <f t="shared" si="369"/>
        <v>NO APLICA</v>
      </c>
      <c r="E294" s="27" t="s">
        <v>1137</v>
      </c>
      <c r="F294" s="43">
        <f t="shared" si="370"/>
        <v>0</v>
      </c>
      <c r="G294" s="21">
        <v>0</v>
      </c>
      <c r="H294" s="9">
        <f t="shared" si="360"/>
        <v>0</v>
      </c>
      <c r="I294" s="9" t="s">
        <v>1287</v>
      </c>
      <c r="J294" s="9">
        <f t="shared" si="361"/>
        <v>0</v>
      </c>
      <c r="K294" s="9">
        <f t="shared" si="362"/>
        <v>0</v>
      </c>
      <c r="L294" s="9">
        <f t="shared" si="363"/>
        <v>0</v>
      </c>
      <c r="M294" s="11">
        <f t="shared" si="371"/>
        <v>0</v>
      </c>
      <c r="N294" s="9">
        <f t="shared" si="364"/>
        <v>0</v>
      </c>
      <c r="O294" s="12">
        <f t="shared" si="365"/>
        <v>0</v>
      </c>
      <c r="P294" s="13" t="str">
        <f t="shared" si="372"/>
        <v>NO</v>
      </c>
      <c r="Q294">
        <f t="shared" si="366"/>
        <v>0</v>
      </c>
      <c r="R294">
        <f t="shared" si="367"/>
        <v>0</v>
      </c>
      <c r="S294">
        <f t="shared" si="368"/>
        <v>0</v>
      </c>
    </row>
    <row r="295" spans="1:23" ht="15" hidden="1" customHeight="1" x14ac:dyDescent="0.3">
      <c r="A295" s="34" t="s">
        <v>1326</v>
      </c>
      <c r="B295" s="36">
        <v>174</v>
      </c>
      <c r="C295" s="29" t="s">
        <v>1344</v>
      </c>
      <c r="D295" s="29" t="str">
        <f t="shared" si="369"/>
        <v>NO APLICA</v>
      </c>
      <c r="E295" s="27" t="s">
        <v>1137</v>
      </c>
      <c r="F295" s="43">
        <f t="shared" si="370"/>
        <v>0</v>
      </c>
      <c r="G295" s="21">
        <v>0</v>
      </c>
      <c r="H295" s="9">
        <f t="shared" si="360"/>
        <v>0</v>
      </c>
      <c r="I295" s="9" t="s">
        <v>1287</v>
      </c>
      <c r="J295" s="9">
        <f t="shared" si="361"/>
        <v>0</v>
      </c>
      <c r="K295" s="9">
        <f t="shared" si="362"/>
        <v>0</v>
      </c>
      <c r="L295" s="9">
        <f t="shared" si="363"/>
        <v>0</v>
      </c>
      <c r="M295" s="11">
        <f t="shared" si="371"/>
        <v>0</v>
      </c>
      <c r="N295" s="9">
        <f t="shared" si="364"/>
        <v>0</v>
      </c>
      <c r="O295" s="12">
        <f t="shared" si="365"/>
        <v>0</v>
      </c>
      <c r="P295" s="13" t="str">
        <f t="shared" si="372"/>
        <v>NO</v>
      </c>
      <c r="Q295">
        <f t="shared" si="366"/>
        <v>0</v>
      </c>
      <c r="R295">
        <f t="shared" si="367"/>
        <v>0</v>
      </c>
      <c r="S295">
        <f t="shared" si="368"/>
        <v>0</v>
      </c>
    </row>
    <row r="296" spans="1:23" ht="15" hidden="1" customHeight="1" x14ac:dyDescent="0.3">
      <c r="A296" s="34" t="s">
        <v>1326</v>
      </c>
      <c r="B296" s="36">
        <v>175</v>
      </c>
      <c r="C296" s="29" t="s">
        <v>1345</v>
      </c>
      <c r="D296" s="29" t="str">
        <f t="shared" si="369"/>
        <v>NO APLICA</v>
      </c>
      <c r="E296" s="27" t="s">
        <v>1137</v>
      </c>
      <c r="F296" s="43">
        <f t="shared" si="370"/>
        <v>0</v>
      </c>
      <c r="G296" s="21">
        <v>0</v>
      </c>
      <c r="H296" s="9">
        <f t="shared" si="360"/>
        <v>0</v>
      </c>
      <c r="I296" s="9" t="s">
        <v>1287</v>
      </c>
      <c r="J296" s="9">
        <f t="shared" si="361"/>
        <v>0</v>
      </c>
      <c r="K296" s="9">
        <f t="shared" si="362"/>
        <v>0</v>
      </c>
      <c r="L296" s="9">
        <f t="shared" si="363"/>
        <v>0</v>
      </c>
      <c r="M296" s="11">
        <f t="shared" si="371"/>
        <v>0</v>
      </c>
      <c r="N296" s="9">
        <f t="shared" si="364"/>
        <v>0</v>
      </c>
      <c r="O296" s="12">
        <f t="shared" si="365"/>
        <v>0</v>
      </c>
      <c r="P296" s="13" t="str">
        <f t="shared" si="372"/>
        <v>NO</v>
      </c>
      <c r="Q296">
        <f t="shared" si="366"/>
        <v>0</v>
      </c>
      <c r="R296">
        <f t="shared" si="367"/>
        <v>0</v>
      </c>
      <c r="S296">
        <f t="shared" si="368"/>
        <v>0</v>
      </c>
    </row>
    <row r="297" spans="1:23" ht="15" hidden="1" customHeight="1" x14ac:dyDescent="0.3">
      <c r="A297" s="34" t="s">
        <v>1326</v>
      </c>
      <c r="B297" s="36">
        <v>176</v>
      </c>
      <c r="C297" s="29" t="s">
        <v>1346</v>
      </c>
      <c r="D297" s="29" t="str">
        <f t="shared" si="369"/>
        <v>NO APLICA</v>
      </c>
      <c r="E297" s="27" t="s">
        <v>1137</v>
      </c>
      <c r="F297" s="43">
        <f t="shared" si="370"/>
        <v>0</v>
      </c>
      <c r="G297" s="21">
        <v>0</v>
      </c>
      <c r="H297" s="9">
        <f t="shared" si="360"/>
        <v>0</v>
      </c>
      <c r="I297" s="9" t="s">
        <v>1287</v>
      </c>
      <c r="J297" s="9">
        <f t="shared" si="361"/>
        <v>0</v>
      </c>
      <c r="K297" s="9">
        <f t="shared" si="362"/>
        <v>0</v>
      </c>
      <c r="L297" s="9">
        <f t="shared" si="363"/>
        <v>0</v>
      </c>
      <c r="M297" s="11">
        <f t="shared" si="371"/>
        <v>0</v>
      </c>
      <c r="N297" s="9">
        <f t="shared" si="364"/>
        <v>0</v>
      </c>
      <c r="O297" s="12">
        <f t="shared" si="365"/>
        <v>0</v>
      </c>
      <c r="P297" s="13" t="str">
        <f t="shared" si="372"/>
        <v>NO</v>
      </c>
      <c r="Q297">
        <f t="shared" si="366"/>
        <v>0</v>
      </c>
      <c r="R297">
        <f t="shared" si="367"/>
        <v>0</v>
      </c>
      <c r="S297">
        <f t="shared" si="368"/>
        <v>0</v>
      </c>
    </row>
    <row r="298" spans="1:23" ht="15" hidden="1" customHeight="1" x14ac:dyDescent="0.3">
      <c r="A298" s="34" t="s">
        <v>1326</v>
      </c>
      <c r="B298" s="36">
        <v>177</v>
      </c>
      <c r="C298" s="29" t="s">
        <v>1347</v>
      </c>
      <c r="D298" s="29" t="str">
        <f t="shared" si="369"/>
        <v>NO APLICA</v>
      </c>
      <c r="E298" s="27" t="s">
        <v>1137</v>
      </c>
      <c r="F298" s="43">
        <f t="shared" si="370"/>
        <v>0</v>
      </c>
      <c r="G298" s="21">
        <f>V298</f>
        <v>0</v>
      </c>
      <c r="H298" s="9">
        <f t="shared" si="360"/>
        <v>0</v>
      </c>
      <c r="I298" s="9" t="s">
        <v>1287</v>
      </c>
      <c r="J298" s="9">
        <f t="shared" si="361"/>
        <v>0</v>
      </c>
      <c r="K298" s="9">
        <f t="shared" si="362"/>
        <v>0</v>
      </c>
      <c r="L298" s="9">
        <f t="shared" si="363"/>
        <v>0</v>
      </c>
      <c r="M298" s="11">
        <f t="shared" si="371"/>
        <v>0</v>
      </c>
      <c r="N298" s="9">
        <f t="shared" si="364"/>
        <v>0</v>
      </c>
      <c r="O298" s="12">
        <f t="shared" si="365"/>
        <v>0</v>
      </c>
      <c r="P298" s="13" t="str">
        <f t="shared" si="372"/>
        <v>NO</v>
      </c>
      <c r="Q298">
        <f t="shared" si="366"/>
        <v>0</v>
      </c>
      <c r="R298">
        <f t="shared" si="367"/>
        <v>0</v>
      </c>
      <c r="S298">
        <f t="shared" si="368"/>
        <v>0</v>
      </c>
      <c r="T298" s="110">
        <f>VLOOKUP(B298,DesgloseRC!$E$48:$F$85,2,FALSE)</f>
        <v>0</v>
      </c>
      <c r="U298" s="159">
        <f>IF(E298="Excluido",0,$U$283*T298)</f>
        <v>0</v>
      </c>
      <c r="V298" s="159">
        <f>IF(F298=0,0,U298)</f>
        <v>0</v>
      </c>
      <c r="W298">
        <f>IF(T298=0%,0,1)</f>
        <v>0</v>
      </c>
    </row>
    <row r="299" spans="1:23" ht="15" hidden="1" customHeight="1" x14ac:dyDescent="0.3">
      <c r="A299" s="34" t="s">
        <v>1326</v>
      </c>
      <c r="B299" s="36">
        <v>178</v>
      </c>
      <c r="C299" s="29" t="s">
        <v>1348</v>
      </c>
      <c r="D299" s="29" t="str">
        <f t="shared" si="369"/>
        <v>NO APLICA</v>
      </c>
      <c r="E299" s="27" t="s">
        <v>1137</v>
      </c>
      <c r="F299" s="43">
        <f t="shared" si="370"/>
        <v>0</v>
      </c>
      <c r="G299" s="21">
        <v>0</v>
      </c>
      <c r="H299" s="9">
        <f t="shared" si="360"/>
        <v>0</v>
      </c>
      <c r="I299" s="9" t="s">
        <v>1287</v>
      </c>
      <c r="J299" s="9">
        <f t="shared" si="361"/>
        <v>0</v>
      </c>
      <c r="K299" s="9">
        <f t="shared" si="362"/>
        <v>0</v>
      </c>
      <c r="L299" s="9">
        <f t="shared" si="363"/>
        <v>0</v>
      </c>
      <c r="M299" s="11">
        <f t="shared" si="371"/>
        <v>0</v>
      </c>
      <c r="N299" s="9">
        <f t="shared" si="364"/>
        <v>0</v>
      </c>
      <c r="O299" s="12">
        <f t="shared" si="365"/>
        <v>0</v>
      </c>
      <c r="P299" s="13" t="str">
        <f t="shared" si="372"/>
        <v>NO</v>
      </c>
      <c r="Q299">
        <f t="shared" si="366"/>
        <v>0</v>
      </c>
      <c r="R299">
        <f t="shared" si="367"/>
        <v>0</v>
      </c>
      <c r="S299">
        <f t="shared" si="368"/>
        <v>0</v>
      </c>
    </row>
    <row r="300" spans="1:23" ht="15" hidden="1" customHeight="1" x14ac:dyDescent="0.3">
      <c r="A300" s="34" t="s">
        <v>1326</v>
      </c>
      <c r="B300" s="36">
        <v>179</v>
      </c>
      <c r="C300" s="29" t="s">
        <v>1349</v>
      </c>
      <c r="D300" s="29" t="str">
        <f t="shared" si="369"/>
        <v>NO APLICA</v>
      </c>
      <c r="E300" s="27" t="s">
        <v>1137</v>
      </c>
      <c r="F300" s="43">
        <f t="shared" si="370"/>
        <v>0</v>
      </c>
      <c r="G300" s="21">
        <v>0</v>
      </c>
      <c r="H300" s="9">
        <f t="shared" si="360"/>
        <v>0</v>
      </c>
      <c r="I300" s="9" t="s">
        <v>1287</v>
      </c>
      <c r="J300" s="9">
        <f t="shared" si="361"/>
        <v>0</v>
      </c>
      <c r="K300" s="9">
        <f t="shared" si="362"/>
        <v>0</v>
      </c>
      <c r="L300" s="9">
        <f t="shared" si="363"/>
        <v>0</v>
      </c>
      <c r="M300" s="11">
        <f t="shared" si="371"/>
        <v>0</v>
      </c>
      <c r="N300" s="9">
        <f t="shared" si="364"/>
        <v>0</v>
      </c>
      <c r="O300" s="12">
        <f t="shared" si="365"/>
        <v>0</v>
      </c>
      <c r="P300" s="13" t="str">
        <f t="shared" si="372"/>
        <v>NO</v>
      </c>
      <c r="Q300">
        <f t="shared" si="366"/>
        <v>0</v>
      </c>
      <c r="R300">
        <f t="shared" si="367"/>
        <v>0</v>
      </c>
      <c r="S300">
        <f t="shared" si="368"/>
        <v>0</v>
      </c>
    </row>
    <row r="301" spans="1:23" ht="15" hidden="1" customHeight="1" x14ac:dyDescent="0.3">
      <c r="A301" s="34" t="s">
        <v>1326</v>
      </c>
      <c r="B301" s="36">
        <v>180</v>
      </c>
      <c r="C301" s="29" t="s">
        <v>1350</v>
      </c>
      <c r="D301" s="29" t="str">
        <f t="shared" si="369"/>
        <v>NO APLICA</v>
      </c>
      <c r="E301" s="27" t="s">
        <v>1137</v>
      </c>
      <c r="F301" s="43">
        <f t="shared" si="370"/>
        <v>0</v>
      </c>
      <c r="G301" s="21">
        <v>0</v>
      </c>
      <c r="H301" s="9">
        <f t="shared" si="360"/>
        <v>0</v>
      </c>
      <c r="I301" s="9" t="s">
        <v>1287</v>
      </c>
      <c r="J301" s="9">
        <f t="shared" si="361"/>
        <v>0</v>
      </c>
      <c r="K301" s="9">
        <f t="shared" si="362"/>
        <v>0</v>
      </c>
      <c r="L301" s="9">
        <f t="shared" si="363"/>
        <v>0</v>
      </c>
      <c r="M301" s="11">
        <f t="shared" si="371"/>
        <v>0</v>
      </c>
      <c r="N301" s="9">
        <f t="shared" si="364"/>
        <v>0</v>
      </c>
      <c r="O301" s="12">
        <f t="shared" si="365"/>
        <v>0</v>
      </c>
      <c r="P301" s="13" t="str">
        <f t="shared" si="372"/>
        <v>NO</v>
      </c>
      <c r="Q301">
        <f t="shared" si="366"/>
        <v>0</v>
      </c>
      <c r="R301">
        <f t="shared" si="367"/>
        <v>0</v>
      </c>
      <c r="S301">
        <f t="shared" si="368"/>
        <v>0</v>
      </c>
    </row>
    <row r="302" spans="1:23" ht="15" hidden="1" customHeight="1" x14ac:dyDescent="0.3">
      <c r="A302" s="34" t="s">
        <v>1326</v>
      </c>
      <c r="B302" s="36">
        <v>181</v>
      </c>
      <c r="C302" s="29" t="s">
        <v>1351</v>
      </c>
      <c r="D302" s="29" t="str">
        <f t="shared" si="369"/>
        <v>NO APLICA</v>
      </c>
      <c r="E302" s="27" t="s">
        <v>1137</v>
      </c>
      <c r="F302" s="43">
        <f t="shared" si="370"/>
        <v>0</v>
      </c>
      <c r="G302" s="21">
        <v>0</v>
      </c>
      <c r="H302" s="9">
        <f t="shared" si="360"/>
        <v>0</v>
      </c>
      <c r="I302" s="9" t="s">
        <v>1287</v>
      </c>
      <c r="J302" s="9">
        <f t="shared" si="361"/>
        <v>0</v>
      </c>
      <c r="K302" s="9">
        <f t="shared" si="362"/>
        <v>0</v>
      </c>
      <c r="L302" s="9">
        <f t="shared" si="363"/>
        <v>0</v>
      </c>
      <c r="M302" s="11">
        <f t="shared" si="371"/>
        <v>0</v>
      </c>
      <c r="N302" s="9">
        <f t="shared" si="364"/>
        <v>0</v>
      </c>
      <c r="O302" s="12">
        <f t="shared" si="365"/>
        <v>0</v>
      </c>
      <c r="P302" s="13" t="str">
        <f t="shared" si="372"/>
        <v>NO</v>
      </c>
      <c r="Q302">
        <f t="shared" si="366"/>
        <v>0</v>
      </c>
      <c r="R302">
        <f t="shared" si="367"/>
        <v>0</v>
      </c>
      <c r="S302">
        <f t="shared" si="368"/>
        <v>0</v>
      </c>
    </row>
    <row r="303" spans="1:23" ht="15" hidden="1" customHeight="1" x14ac:dyDescent="0.3">
      <c r="A303" s="34" t="s">
        <v>1326</v>
      </c>
      <c r="B303" s="36">
        <v>182</v>
      </c>
      <c r="C303" s="29" t="s">
        <v>1352</v>
      </c>
      <c r="D303" s="29" t="str">
        <f t="shared" si="369"/>
        <v>NO APLICA</v>
      </c>
      <c r="E303" s="27" t="s">
        <v>1137</v>
      </c>
      <c r="F303" s="43">
        <f t="shared" si="370"/>
        <v>0</v>
      </c>
      <c r="G303" s="21">
        <v>0</v>
      </c>
      <c r="H303" s="9">
        <f t="shared" si="360"/>
        <v>0</v>
      </c>
      <c r="I303" s="9" t="s">
        <v>1287</v>
      </c>
      <c r="J303" s="9">
        <f t="shared" si="361"/>
        <v>0</v>
      </c>
      <c r="K303" s="9">
        <f t="shared" si="362"/>
        <v>0</v>
      </c>
      <c r="L303" s="9">
        <f t="shared" si="363"/>
        <v>0</v>
      </c>
      <c r="M303" s="11">
        <f t="shared" si="371"/>
        <v>0</v>
      </c>
      <c r="N303" s="9">
        <f t="shared" si="364"/>
        <v>0</v>
      </c>
      <c r="O303" s="12">
        <f t="shared" si="365"/>
        <v>0</v>
      </c>
      <c r="P303" s="13" t="str">
        <f t="shared" si="372"/>
        <v>NO</v>
      </c>
      <c r="Q303">
        <f t="shared" si="366"/>
        <v>0</v>
      </c>
      <c r="R303">
        <f t="shared" si="367"/>
        <v>0</v>
      </c>
      <c r="S303">
        <f t="shared" si="368"/>
        <v>0</v>
      </c>
    </row>
    <row r="304" spans="1:23" ht="15" hidden="1" customHeight="1" x14ac:dyDescent="0.3">
      <c r="A304" s="34" t="s">
        <v>1326</v>
      </c>
      <c r="B304" s="36">
        <v>183</v>
      </c>
      <c r="C304" s="29" t="s">
        <v>1353</v>
      </c>
      <c r="D304" s="29" t="str">
        <f t="shared" si="369"/>
        <v>NO APLICA</v>
      </c>
      <c r="E304" s="27" t="s">
        <v>1137</v>
      </c>
      <c r="F304" s="43">
        <f t="shared" si="370"/>
        <v>0</v>
      </c>
      <c r="G304" s="21">
        <v>0</v>
      </c>
      <c r="H304" s="9">
        <f t="shared" si="360"/>
        <v>0</v>
      </c>
      <c r="I304" s="9" t="s">
        <v>1287</v>
      </c>
      <c r="J304" s="9">
        <f t="shared" si="361"/>
        <v>0</v>
      </c>
      <c r="K304" s="9">
        <f t="shared" si="362"/>
        <v>0</v>
      </c>
      <c r="L304" s="9">
        <f t="shared" si="363"/>
        <v>0</v>
      </c>
      <c r="M304" s="11">
        <f t="shared" si="371"/>
        <v>0</v>
      </c>
      <c r="N304" s="9">
        <f t="shared" si="364"/>
        <v>0</v>
      </c>
      <c r="O304" s="12">
        <f t="shared" si="365"/>
        <v>0</v>
      </c>
      <c r="P304" s="13" t="str">
        <f t="shared" si="372"/>
        <v>NO</v>
      </c>
      <c r="Q304">
        <f t="shared" si="366"/>
        <v>0</v>
      </c>
      <c r="R304">
        <f t="shared" si="367"/>
        <v>0</v>
      </c>
      <c r="S304">
        <f t="shared" si="368"/>
        <v>0</v>
      </c>
    </row>
    <row r="305" spans="1:29" ht="22.5" hidden="1" customHeight="1" x14ac:dyDescent="0.3">
      <c r="A305" s="34" t="s">
        <v>1326</v>
      </c>
      <c r="B305" s="36">
        <v>184</v>
      </c>
      <c r="C305" s="29" t="s">
        <v>1328</v>
      </c>
      <c r="D305" s="29" t="str">
        <f t="shared" si="369"/>
        <v>NO APLICA</v>
      </c>
      <c r="E305" s="27" t="s">
        <v>1137</v>
      </c>
      <c r="F305" s="43">
        <f t="shared" si="370"/>
        <v>0</v>
      </c>
      <c r="G305" s="21">
        <v>0</v>
      </c>
      <c r="H305" s="9">
        <f t="shared" si="360"/>
        <v>0</v>
      </c>
      <c r="I305" s="9" t="s">
        <v>1287</v>
      </c>
      <c r="J305" s="9">
        <f t="shared" si="361"/>
        <v>0</v>
      </c>
      <c r="K305" s="9">
        <f t="shared" si="362"/>
        <v>0</v>
      </c>
      <c r="L305" s="9">
        <f t="shared" si="363"/>
        <v>0</v>
      </c>
      <c r="M305" s="11">
        <f t="shared" si="371"/>
        <v>0</v>
      </c>
      <c r="N305" s="9">
        <f t="shared" si="364"/>
        <v>0</v>
      </c>
      <c r="O305" s="12">
        <f t="shared" si="365"/>
        <v>0</v>
      </c>
      <c r="P305" s="13" t="str">
        <f t="shared" si="372"/>
        <v>NO</v>
      </c>
      <c r="Q305">
        <f t="shared" si="366"/>
        <v>0</v>
      </c>
      <c r="R305">
        <f t="shared" si="367"/>
        <v>0</v>
      </c>
      <c r="S305">
        <f t="shared" si="368"/>
        <v>0</v>
      </c>
    </row>
    <row r="306" spans="1:29" ht="15" hidden="1" customHeight="1" x14ac:dyDescent="0.3">
      <c r="A306" s="34" t="s">
        <v>1326</v>
      </c>
      <c r="B306" s="36">
        <v>185</v>
      </c>
      <c r="C306" s="29" t="s">
        <v>1330</v>
      </c>
      <c r="D306" s="29" t="str">
        <f t="shared" si="369"/>
        <v>NO APLICA</v>
      </c>
      <c r="E306" s="27" t="s">
        <v>1152</v>
      </c>
      <c r="F306" s="43">
        <f t="shared" si="370"/>
        <v>0</v>
      </c>
      <c r="G306" s="21">
        <f>V306</f>
        <v>0</v>
      </c>
      <c r="H306" s="9">
        <f t="shared" si="360"/>
        <v>0</v>
      </c>
      <c r="I306" s="9" t="s">
        <v>1287</v>
      </c>
      <c r="J306" s="9">
        <f t="shared" si="361"/>
        <v>0</v>
      </c>
      <c r="K306" s="9">
        <f t="shared" si="362"/>
        <v>0</v>
      </c>
      <c r="L306" s="9">
        <f t="shared" si="363"/>
        <v>0</v>
      </c>
      <c r="M306" s="11">
        <f t="shared" si="371"/>
        <v>0</v>
      </c>
      <c r="N306" s="9">
        <f t="shared" si="364"/>
        <v>0</v>
      </c>
      <c r="O306" s="12">
        <f t="shared" si="365"/>
        <v>0</v>
      </c>
      <c r="P306" s="13" t="str">
        <f t="shared" si="372"/>
        <v>NO</v>
      </c>
      <c r="Q306">
        <f t="shared" si="366"/>
        <v>0</v>
      </c>
      <c r="R306">
        <f t="shared" si="367"/>
        <v>0</v>
      </c>
      <c r="S306">
        <f t="shared" si="368"/>
        <v>0</v>
      </c>
      <c r="T306" s="110">
        <f>VLOOKUP(B306,DesgloseRC!$E$48:$F$85,2,FALSE)</f>
        <v>0</v>
      </c>
      <c r="U306" s="159">
        <f>IF(E306="Excluido",0,$U$283*T306)</f>
        <v>0</v>
      </c>
      <c r="V306" s="159">
        <f>IF(F306=0,0,U306)</f>
        <v>0</v>
      </c>
      <c r="W306">
        <v>0</v>
      </c>
      <c r="X306" s="110"/>
      <c r="Y306" s="110"/>
    </row>
    <row r="307" spans="1:29" ht="15" hidden="1" customHeight="1" x14ac:dyDescent="0.3">
      <c r="A307" s="34" t="s">
        <v>1326</v>
      </c>
      <c r="B307" s="36">
        <v>186</v>
      </c>
      <c r="C307" s="29" t="s">
        <v>1327</v>
      </c>
      <c r="D307" s="29" t="str">
        <f t="shared" si="369"/>
        <v>NO APLICA</v>
      </c>
      <c r="E307" s="27" t="s">
        <v>1137</v>
      </c>
      <c r="F307" s="43">
        <f t="shared" si="370"/>
        <v>0</v>
      </c>
      <c r="G307" s="21">
        <v>0</v>
      </c>
      <c r="H307" s="9">
        <f t="shared" si="360"/>
        <v>0</v>
      </c>
      <c r="I307" s="9" t="s">
        <v>1287</v>
      </c>
      <c r="J307" s="9">
        <f t="shared" si="361"/>
        <v>0</v>
      </c>
      <c r="K307" s="9">
        <f t="shared" si="362"/>
        <v>0</v>
      </c>
      <c r="L307" s="9">
        <f t="shared" si="363"/>
        <v>0</v>
      </c>
      <c r="M307" s="11">
        <f t="shared" si="371"/>
        <v>0</v>
      </c>
      <c r="N307" s="9">
        <f t="shared" si="364"/>
        <v>0</v>
      </c>
      <c r="O307" s="12">
        <f t="shared" si="365"/>
        <v>0</v>
      </c>
      <c r="P307" s="13" t="str">
        <f t="shared" si="372"/>
        <v>NO</v>
      </c>
      <c r="Q307">
        <f t="shared" si="366"/>
        <v>0</v>
      </c>
      <c r="R307">
        <f t="shared" si="367"/>
        <v>0</v>
      </c>
      <c r="S307">
        <f t="shared" si="368"/>
        <v>0</v>
      </c>
    </row>
    <row r="308" spans="1:29" ht="22.5" hidden="1" customHeight="1" x14ac:dyDescent="0.3">
      <c r="A308" s="34" t="s">
        <v>1326</v>
      </c>
      <c r="B308" s="36">
        <v>187</v>
      </c>
      <c r="C308" s="29" t="s">
        <v>1354</v>
      </c>
      <c r="D308" s="29" t="str">
        <f t="shared" si="369"/>
        <v>NO APLICA</v>
      </c>
      <c r="E308" s="27" t="s">
        <v>1137</v>
      </c>
      <c r="F308" s="43">
        <f t="shared" si="370"/>
        <v>0</v>
      </c>
      <c r="G308" s="21">
        <f>V308</f>
        <v>0</v>
      </c>
      <c r="H308" s="9">
        <f t="shared" si="360"/>
        <v>0</v>
      </c>
      <c r="I308" s="9" t="s">
        <v>1287</v>
      </c>
      <c r="J308" s="9">
        <f t="shared" si="361"/>
        <v>0</v>
      </c>
      <c r="K308" s="9">
        <f t="shared" si="362"/>
        <v>0</v>
      </c>
      <c r="L308" s="9">
        <f t="shared" si="363"/>
        <v>0</v>
      </c>
      <c r="M308" s="11">
        <f t="shared" si="371"/>
        <v>0</v>
      </c>
      <c r="N308" s="9">
        <f t="shared" si="364"/>
        <v>0</v>
      </c>
      <c r="O308" s="12">
        <f t="shared" si="365"/>
        <v>0</v>
      </c>
      <c r="P308" s="13" t="str">
        <f t="shared" si="372"/>
        <v>NO</v>
      </c>
      <c r="Q308">
        <f t="shared" si="366"/>
        <v>0</v>
      </c>
      <c r="R308">
        <f t="shared" si="367"/>
        <v>0</v>
      </c>
      <c r="S308">
        <f t="shared" si="368"/>
        <v>0</v>
      </c>
      <c r="T308" s="110">
        <f>VLOOKUP(B308,DesgloseRC!$E$48:$F$85,2,FALSE)</f>
        <v>0</v>
      </c>
      <c r="U308" s="159">
        <f>IF(E308="Excluido",0,$U$283*T308)</f>
        <v>0</v>
      </c>
      <c r="V308" s="159">
        <f>IF(F308=0,0,U308)</f>
        <v>0</v>
      </c>
      <c r="W308">
        <f>IF(T308=0%,0,1)</f>
        <v>0</v>
      </c>
    </row>
    <row r="309" spans="1:29" ht="15" hidden="1" customHeight="1" x14ac:dyDescent="0.3">
      <c r="A309" s="34" t="s">
        <v>1326</v>
      </c>
      <c r="B309" s="36">
        <v>188</v>
      </c>
      <c r="C309" s="29" t="s">
        <v>1355</v>
      </c>
      <c r="D309" s="29" t="str">
        <f t="shared" si="369"/>
        <v>NO APLICA</v>
      </c>
      <c r="E309" s="27" t="s">
        <v>1137</v>
      </c>
      <c r="F309" s="43">
        <f t="shared" si="370"/>
        <v>0</v>
      </c>
      <c r="G309" s="21">
        <v>0</v>
      </c>
      <c r="H309" s="9">
        <f t="shared" si="360"/>
        <v>0</v>
      </c>
      <c r="I309" s="9" t="s">
        <v>1287</v>
      </c>
      <c r="J309" s="9">
        <f t="shared" si="361"/>
        <v>0</v>
      </c>
      <c r="K309" s="9">
        <f t="shared" si="362"/>
        <v>0</v>
      </c>
      <c r="L309" s="9">
        <f t="shared" si="363"/>
        <v>0</v>
      </c>
      <c r="M309" s="11">
        <f t="shared" si="371"/>
        <v>0</v>
      </c>
      <c r="N309" s="9">
        <f t="shared" si="364"/>
        <v>0</v>
      </c>
      <c r="O309" s="12">
        <f t="shared" si="365"/>
        <v>0</v>
      </c>
      <c r="P309" s="13" t="str">
        <f t="shared" si="372"/>
        <v>NO</v>
      </c>
      <c r="Q309">
        <f t="shared" si="366"/>
        <v>0</v>
      </c>
      <c r="R309">
        <f t="shared" si="367"/>
        <v>0</v>
      </c>
      <c r="S309">
        <f t="shared" si="368"/>
        <v>0</v>
      </c>
      <c r="X309" s="110"/>
      <c r="Y309" s="110"/>
    </row>
    <row r="310" spans="1:29" ht="15" hidden="1" customHeight="1" x14ac:dyDescent="0.3">
      <c r="A310" s="34" t="s">
        <v>1326</v>
      </c>
      <c r="B310" s="36">
        <v>244</v>
      </c>
      <c r="C310" s="29" t="s">
        <v>1293</v>
      </c>
      <c r="D310" s="29" t="str">
        <f t="shared" si="369"/>
        <v>NO APLICA</v>
      </c>
      <c r="E310" s="27" t="s">
        <v>1137</v>
      </c>
      <c r="F310" s="43">
        <f t="shared" si="370"/>
        <v>0</v>
      </c>
      <c r="G310" s="21">
        <f>V310</f>
        <v>0</v>
      </c>
      <c r="H310" s="9">
        <f t="shared" si="360"/>
        <v>0</v>
      </c>
      <c r="I310" s="9" t="s">
        <v>1287</v>
      </c>
      <c r="J310" s="9">
        <f t="shared" si="361"/>
        <v>0</v>
      </c>
      <c r="K310" s="9">
        <f t="shared" si="362"/>
        <v>0</v>
      </c>
      <c r="L310" s="9">
        <f t="shared" si="363"/>
        <v>0</v>
      </c>
      <c r="M310" s="11">
        <f t="shared" si="371"/>
        <v>0</v>
      </c>
      <c r="N310" s="9">
        <f t="shared" si="364"/>
        <v>0</v>
      </c>
      <c r="O310" s="12">
        <f t="shared" si="365"/>
        <v>0</v>
      </c>
      <c r="P310" s="13" t="str">
        <f t="shared" si="372"/>
        <v>NO</v>
      </c>
      <c r="Q310">
        <f t="shared" si="366"/>
        <v>0</v>
      </c>
      <c r="R310">
        <f t="shared" si="367"/>
        <v>0</v>
      </c>
      <c r="S310">
        <f t="shared" si="368"/>
        <v>0</v>
      </c>
      <c r="T310" s="110">
        <f>VLOOKUP(B310,DesgloseRC!$E$48:$F$85,2,FALSE)</f>
        <v>0</v>
      </c>
      <c r="U310" s="159">
        <f>IF(E310="Excluido",0,$U$283*T310)</f>
        <v>0</v>
      </c>
      <c r="V310" s="159">
        <f>IF(F310=0,0,U310)</f>
        <v>0</v>
      </c>
      <c r="W310">
        <v>0</v>
      </c>
      <c r="X310" s="110"/>
      <c r="Y310" s="110"/>
      <c r="Z310" s="110"/>
      <c r="AA310" s="110"/>
      <c r="AB310" s="110"/>
      <c r="AC310" s="110"/>
    </row>
    <row r="311" spans="1:29" ht="22.5" hidden="1" customHeight="1" x14ac:dyDescent="0.3">
      <c r="A311" s="34" t="s">
        <v>1326</v>
      </c>
      <c r="B311" s="36">
        <v>288</v>
      </c>
      <c r="C311" s="29" t="s">
        <v>1356</v>
      </c>
      <c r="D311" s="29" t="str">
        <f t="shared" si="369"/>
        <v>NO APLICA</v>
      </c>
      <c r="E311" s="27" t="s">
        <v>1137</v>
      </c>
      <c r="F311" s="43">
        <f t="shared" si="370"/>
        <v>0</v>
      </c>
      <c r="G311" s="21">
        <v>0</v>
      </c>
      <c r="H311" s="9">
        <f t="shared" si="360"/>
        <v>0</v>
      </c>
      <c r="I311" s="9" t="s">
        <v>1287</v>
      </c>
      <c r="J311" s="9">
        <f t="shared" si="361"/>
        <v>0</v>
      </c>
      <c r="K311" s="9">
        <f t="shared" si="362"/>
        <v>0</v>
      </c>
      <c r="L311" s="9">
        <f t="shared" si="363"/>
        <v>0</v>
      </c>
      <c r="M311" s="11">
        <f t="shared" si="371"/>
        <v>0</v>
      </c>
      <c r="N311" s="9">
        <f t="shared" si="364"/>
        <v>0</v>
      </c>
      <c r="O311" s="12">
        <f t="shared" si="365"/>
        <v>0</v>
      </c>
      <c r="P311" s="13" t="str">
        <f t="shared" si="372"/>
        <v>NO</v>
      </c>
      <c r="Q311">
        <f t="shared" si="366"/>
        <v>0</v>
      </c>
      <c r="R311">
        <f t="shared" si="367"/>
        <v>0</v>
      </c>
      <c r="S311">
        <f t="shared" si="368"/>
        <v>0</v>
      </c>
    </row>
    <row r="312" spans="1:29" ht="15" hidden="1" customHeight="1" x14ac:dyDescent="0.3">
      <c r="A312" s="34" t="s">
        <v>1326</v>
      </c>
      <c r="B312" s="36">
        <v>289</v>
      </c>
      <c r="C312" s="29" t="s">
        <v>1357</v>
      </c>
      <c r="D312" s="29" t="str">
        <f t="shared" si="369"/>
        <v>NO APLICA</v>
      </c>
      <c r="E312" s="27" t="s">
        <v>1137</v>
      </c>
      <c r="F312" s="43">
        <f t="shared" si="370"/>
        <v>0</v>
      </c>
      <c r="G312" s="21">
        <v>0</v>
      </c>
      <c r="H312" s="9">
        <f t="shared" si="360"/>
        <v>0</v>
      </c>
      <c r="I312" s="9" t="s">
        <v>1287</v>
      </c>
      <c r="J312" s="9">
        <f t="shared" si="361"/>
        <v>0</v>
      </c>
      <c r="K312" s="9">
        <f t="shared" si="362"/>
        <v>0</v>
      </c>
      <c r="L312" s="9">
        <f t="shared" si="363"/>
        <v>0</v>
      </c>
      <c r="M312" s="11">
        <f t="shared" si="371"/>
        <v>0</v>
      </c>
      <c r="N312" s="9">
        <f t="shared" si="364"/>
        <v>0</v>
      </c>
      <c r="O312" s="12">
        <f t="shared" si="365"/>
        <v>0</v>
      </c>
      <c r="P312" s="13" t="str">
        <f t="shared" si="372"/>
        <v>NO</v>
      </c>
      <c r="Q312">
        <f t="shared" si="366"/>
        <v>0</v>
      </c>
      <c r="R312">
        <f t="shared" si="367"/>
        <v>0</v>
      </c>
      <c r="S312">
        <f t="shared" si="368"/>
        <v>0</v>
      </c>
    </row>
    <row r="313" spans="1:29" ht="15" hidden="1" customHeight="1" x14ac:dyDescent="0.3">
      <c r="A313" s="34" t="s">
        <v>1326</v>
      </c>
      <c r="B313" s="36">
        <v>290</v>
      </c>
      <c r="C313" s="29" t="s">
        <v>1358</v>
      </c>
      <c r="D313" s="29" t="str">
        <f t="shared" si="369"/>
        <v>NO APLICA</v>
      </c>
      <c r="E313" s="27" t="s">
        <v>1137</v>
      </c>
      <c r="F313" s="43">
        <f t="shared" si="370"/>
        <v>0</v>
      </c>
      <c r="G313" s="21">
        <v>0</v>
      </c>
      <c r="H313" s="9">
        <f t="shared" si="360"/>
        <v>0</v>
      </c>
      <c r="I313" s="9" t="s">
        <v>1287</v>
      </c>
      <c r="J313" s="9">
        <f t="shared" si="361"/>
        <v>0</v>
      </c>
      <c r="K313" s="9">
        <f t="shared" si="362"/>
        <v>0</v>
      </c>
      <c r="L313" s="9">
        <f t="shared" si="363"/>
        <v>0</v>
      </c>
      <c r="M313" s="11">
        <f t="shared" si="371"/>
        <v>0</v>
      </c>
      <c r="N313" s="9">
        <f t="shared" si="364"/>
        <v>0</v>
      </c>
      <c r="O313" s="12">
        <f t="shared" si="365"/>
        <v>0</v>
      </c>
      <c r="P313" s="13" t="str">
        <f t="shared" si="372"/>
        <v>NO</v>
      </c>
      <c r="Q313">
        <f t="shared" si="366"/>
        <v>0</v>
      </c>
      <c r="R313">
        <f t="shared" si="367"/>
        <v>0</v>
      </c>
      <c r="S313">
        <f t="shared" si="368"/>
        <v>0</v>
      </c>
    </row>
    <row r="314" spans="1:29" ht="15" hidden="1" customHeight="1" x14ac:dyDescent="0.3">
      <c r="A314" s="34" t="s">
        <v>1326</v>
      </c>
      <c r="B314" s="36">
        <v>291</v>
      </c>
      <c r="C314" s="29" t="s">
        <v>1359</v>
      </c>
      <c r="D314" s="29" t="str">
        <f t="shared" si="369"/>
        <v>NO APLICA</v>
      </c>
      <c r="E314" s="27" t="s">
        <v>1137</v>
      </c>
      <c r="F314" s="43">
        <f t="shared" si="370"/>
        <v>0</v>
      </c>
      <c r="G314" s="21">
        <v>0</v>
      </c>
      <c r="H314" s="9">
        <f t="shared" si="360"/>
        <v>0</v>
      </c>
      <c r="I314" s="9" t="s">
        <v>1287</v>
      </c>
      <c r="J314" s="9">
        <f t="shared" si="361"/>
        <v>0</v>
      </c>
      <c r="K314" s="9">
        <f t="shared" si="362"/>
        <v>0</v>
      </c>
      <c r="L314" s="9">
        <f t="shared" si="363"/>
        <v>0</v>
      </c>
      <c r="M314" s="11">
        <f t="shared" si="371"/>
        <v>0</v>
      </c>
      <c r="N314" s="9">
        <f t="shared" si="364"/>
        <v>0</v>
      </c>
      <c r="O314" s="12">
        <f t="shared" si="365"/>
        <v>0</v>
      </c>
      <c r="P314" s="13" t="str">
        <f t="shared" si="372"/>
        <v>NO</v>
      </c>
      <c r="Q314">
        <f t="shared" si="366"/>
        <v>0</v>
      </c>
      <c r="R314">
        <f t="shared" si="367"/>
        <v>0</v>
      </c>
      <c r="S314">
        <f t="shared" si="368"/>
        <v>0</v>
      </c>
    </row>
    <row r="315" spans="1:29" ht="15" hidden="1" customHeight="1" x14ac:dyDescent="0.3">
      <c r="A315" s="34" t="s">
        <v>1326</v>
      </c>
      <c r="B315" s="36">
        <v>292</v>
      </c>
      <c r="C315" s="29" t="s">
        <v>1360</v>
      </c>
      <c r="D315" s="29" t="str">
        <f t="shared" si="369"/>
        <v>NO APLICA</v>
      </c>
      <c r="E315" s="27" t="s">
        <v>1137</v>
      </c>
      <c r="F315" s="43">
        <f t="shared" si="370"/>
        <v>0</v>
      </c>
      <c r="G315" s="21">
        <v>0</v>
      </c>
      <c r="H315" s="9">
        <f t="shared" si="360"/>
        <v>0</v>
      </c>
      <c r="I315" s="9" t="s">
        <v>1287</v>
      </c>
      <c r="J315" s="9">
        <f t="shared" si="361"/>
        <v>0</v>
      </c>
      <c r="K315" s="9">
        <f t="shared" si="362"/>
        <v>0</v>
      </c>
      <c r="L315" s="9">
        <f t="shared" si="363"/>
        <v>0</v>
      </c>
      <c r="M315" s="11">
        <f t="shared" si="371"/>
        <v>0</v>
      </c>
      <c r="N315" s="9">
        <f t="shared" si="364"/>
        <v>0</v>
      </c>
      <c r="O315" s="12">
        <f t="shared" si="365"/>
        <v>0</v>
      </c>
      <c r="P315" s="13" t="str">
        <f t="shared" si="372"/>
        <v>NO</v>
      </c>
      <c r="Q315">
        <f t="shared" si="366"/>
        <v>0</v>
      </c>
      <c r="R315">
        <f t="shared" si="367"/>
        <v>0</v>
      </c>
      <c r="S315">
        <f t="shared" si="368"/>
        <v>0</v>
      </c>
    </row>
    <row r="316" spans="1:29" ht="15" hidden="1" customHeight="1" x14ac:dyDescent="0.3">
      <c r="A316" s="34" t="s">
        <v>1326</v>
      </c>
      <c r="B316" s="36">
        <v>293</v>
      </c>
      <c r="C316" s="29" t="s">
        <v>1361</v>
      </c>
      <c r="D316" s="29" t="str">
        <f t="shared" si="369"/>
        <v>NO APLICA</v>
      </c>
      <c r="E316" s="27" t="s">
        <v>1137</v>
      </c>
      <c r="F316" s="43">
        <f t="shared" si="370"/>
        <v>0</v>
      </c>
      <c r="G316" s="21">
        <v>0</v>
      </c>
      <c r="H316" s="9">
        <f t="shared" si="360"/>
        <v>0</v>
      </c>
      <c r="I316" s="9" t="s">
        <v>1287</v>
      </c>
      <c r="J316" s="9">
        <f t="shared" si="361"/>
        <v>0</v>
      </c>
      <c r="K316" s="9">
        <f t="shared" si="362"/>
        <v>0</v>
      </c>
      <c r="L316" s="9">
        <f t="shared" si="363"/>
        <v>0</v>
      </c>
      <c r="M316" s="11">
        <f t="shared" si="371"/>
        <v>0</v>
      </c>
      <c r="N316" s="9">
        <f t="shared" si="364"/>
        <v>0</v>
      </c>
      <c r="O316" s="12">
        <f t="shared" si="365"/>
        <v>0</v>
      </c>
      <c r="P316" s="13" t="str">
        <f t="shared" si="372"/>
        <v>NO</v>
      </c>
      <c r="Q316">
        <f t="shared" si="366"/>
        <v>0</v>
      </c>
      <c r="R316">
        <f t="shared" si="367"/>
        <v>0</v>
      </c>
      <c r="S316">
        <f t="shared" si="368"/>
        <v>0</v>
      </c>
    </row>
    <row r="317" spans="1:29" ht="15" hidden="1" customHeight="1" x14ac:dyDescent="0.3">
      <c r="A317" s="34" t="s">
        <v>1326</v>
      </c>
      <c r="B317" s="36">
        <v>294</v>
      </c>
      <c r="C317" s="29" t="s">
        <v>1362</v>
      </c>
      <c r="D317" s="29" t="str">
        <f t="shared" si="369"/>
        <v>NO APLICA</v>
      </c>
      <c r="E317" s="27" t="s">
        <v>1137</v>
      </c>
      <c r="F317" s="43">
        <f t="shared" si="370"/>
        <v>0</v>
      </c>
      <c r="G317" s="21">
        <v>0</v>
      </c>
      <c r="H317" s="9">
        <f t="shared" si="360"/>
        <v>0</v>
      </c>
      <c r="I317" s="9" t="s">
        <v>1287</v>
      </c>
      <c r="J317" s="9">
        <f t="shared" si="361"/>
        <v>0</v>
      </c>
      <c r="K317" s="9">
        <f t="shared" si="362"/>
        <v>0</v>
      </c>
      <c r="L317" s="9">
        <f t="shared" si="363"/>
        <v>0</v>
      </c>
      <c r="M317" s="11">
        <f t="shared" si="371"/>
        <v>0</v>
      </c>
      <c r="N317" s="9">
        <f t="shared" si="364"/>
        <v>0</v>
      </c>
      <c r="O317" s="12">
        <f t="shared" si="365"/>
        <v>0</v>
      </c>
      <c r="P317" s="13" t="str">
        <f t="shared" si="372"/>
        <v>NO</v>
      </c>
      <c r="Q317">
        <f t="shared" si="366"/>
        <v>0</v>
      </c>
      <c r="R317">
        <f t="shared" si="367"/>
        <v>0</v>
      </c>
      <c r="S317">
        <f t="shared" si="368"/>
        <v>0</v>
      </c>
    </row>
    <row r="318" spans="1:29" ht="15" hidden="1" customHeight="1" x14ac:dyDescent="0.3">
      <c r="A318" s="34" t="s">
        <v>1326</v>
      </c>
      <c r="B318" s="36">
        <v>295</v>
      </c>
      <c r="C318" s="29" t="s">
        <v>1363</v>
      </c>
      <c r="D318" s="29" t="str">
        <f t="shared" si="369"/>
        <v>NO APLICA</v>
      </c>
      <c r="E318" s="27" t="s">
        <v>1137</v>
      </c>
      <c r="F318" s="43">
        <f t="shared" si="370"/>
        <v>0</v>
      </c>
      <c r="G318" s="21">
        <v>0</v>
      </c>
      <c r="H318" s="9">
        <f t="shared" si="360"/>
        <v>0</v>
      </c>
      <c r="I318" s="9" t="s">
        <v>1287</v>
      </c>
      <c r="J318" s="9">
        <f t="shared" si="361"/>
        <v>0</v>
      </c>
      <c r="K318" s="9">
        <f t="shared" si="362"/>
        <v>0</v>
      </c>
      <c r="L318" s="9">
        <f t="shared" si="363"/>
        <v>0</v>
      </c>
      <c r="M318" s="11">
        <f t="shared" si="371"/>
        <v>0</v>
      </c>
      <c r="N318" s="9">
        <f t="shared" si="364"/>
        <v>0</v>
      </c>
      <c r="O318" s="12">
        <f t="shared" si="365"/>
        <v>0</v>
      </c>
      <c r="P318" s="13" t="str">
        <f t="shared" si="372"/>
        <v>NO</v>
      </c>
      <c r="Q318">
        <f t="shared" si="366"/>
        <v>0</v>
      </c>
      <c r="R318">
        <f t="shared" si="367"/>
        <v>0</v>
      </c>
      <c r="S318">
        <f t="shared" si="368"/>
        <v>0</v>
      </c>
    </row>
    <row r="319" spans="1:29" ht="15" hidden="1" customHeight="1" x14ac:dyDescent="0.3">
      <c r="A319" s="34" t="s">
        <v>1326</v>
      </c>
      <c r="B319" s="36">
        <v>296</v>
      </c>
      <c r="C319" s="29" t="s">
        <v>1364</v>
      </c>
      <c r="D319" s="29" t="str">
        <f t="shared" si="369"/>
        <v>NO APLICA</v>
      </c>
      <c r="E319" s="27" t="s">
        <v>1137</v>
      </c>
      <c r="F319" s="43">
        <f t="shared" si="370"/>
        <v>0</v>
      </c>
      <c r="G319" s="21">
        <v>0</v>
      </c>
      <c r="H319" s="9">
        <f t="shared" si="360"/>
        <v>0</v>
      </c>
      <c r="I319" s="9" t="s">
        <v>1287</v>
      </c>
      <c r="J319" s="9">
        <f t="shared" si="361"/>
        <v>0</v>
      </c>
      <c r="K319" s="9">
        <f t="shared" si="362"/>
        <v>0</v>
      </c>
      <c r="L319" s="9">
        <f t="shared" si="363"/>
        <v>0</v>
      </c>
      <c r="M319" s="11">
        <f t="shared" si="371"/>
        <v>0</v>
      </c>
      <c r="N319" s="9">
        <f t="shared" si="364"/>
        <v>0</v>
      </c>
      <c r="O319" s="12">
        <f t="shared" si="365"/>
        <v>0</v>
      </c>
      <c r="P319" s="13" t="str">
        <f t="shared" si="372"/>
        <v>NO</v>
      </c>
      <c r="Q319">
        <f t="shared" si="366"/>
        <v>0</v>
      </c>
      <c r="R319">
        <f t="shared" si="367"/>
        <v>0</v>
      </c>
      <c r="S319">
        <f t="shared" si="368"/>
        <v>0</v>
      </c>
    </row>
    <row r="320" spans="1:29" ht="15" hidden="1" customHeight="1" x14ac:dyDescent="0.3">
      <c r="A320" s="34" t="s">
        <v>1326</v>
      </c>
      <c r="B320" s="36">
        <v>297</v>
      </c>
      <c r="C320" s="29" t="s">
        <v>1365</v>
      </c>
      <c r="D320" s="29" t="str">
        <f t="shared" si="369"/>
        <v>NO APLICA</v>
      </c>
      <c r="E320" s="27" t="s">
        <v>1137</v>
      </c>
      <c r="F320" s="43">
        <f t="shared" si="370"/>
        <v>0</v>
      </c>
      <c r="G320" s="21">
        <v>0</v>
      </c>
      <c r="H320" s="9">
        <f t="shared" si="360"/>
        <v>0</v>
      </c>
      <c r="I320" s="9" t="s">
        <v>1287</v>
      </c>
      <c r="J320" s="9">
        <f t="shared" si="361"/>
        <v>0</v>
      </c>
      <c r="K320" s="9">
        <f t="shared" si="362"/>
        <v>0</v>
      </c>
      <c r="L320" s="9">
        <f t="shared" si="363"/>
        <v>0</v>
      </c>
      <c r="M320" s="11">
        <f t="shared" si="371"/>
        <v>0</v>
      </c>
      <c r="N320" s="9">
        <f t="shared" si="364"/>
        <v>0</v>
      </c>
      <c r="O320" s="12">
        <f t="shared" si="365"/>
        <v>0</v>
      </c>
      <c r="P320" s="13" t="str">
        <f t="shared" si="372"/>
        <v>NO</v>
      </c>
      <c r="Q320">
        <f t="shared" si="366"/>
        <v>0</v>
      </c>
      <c r="R320">
        <f t="shared" si="367"/>
        <v>0</v>
      </c>
      <c r="S320">
        <f t="shared" si="368"/>
        <v>0</v>
      </c>
    </row>
    <row r="321" spans="1:22" ht="15" hidden="1" customHeight="1" x14ac:dyDescent="0.3">
      <c r="A321" s="34" t="s">
        <v>1326</v>
      </c>
      <c r="B321" s="36">
        <v>298</v>
      </c>
      <c r="C321" s="29" t="s">
        <v>1366</v>
      </c>
      <c r="D321" s="29" t="str">
        <f t="shared" si="369"/>
        <v>NO APLICA</v>
      </c>
      <c r="E321" s="27" t="s">
        <v>1137</v>
      </c>
      <c r="F321" s="43">
        <f t="shared" si="370"/>
        <v>0</v>
      </c>
      <c r="G321" s="21">
        <v>0</v>
      </c>
      <c r="H321" s="9">
        <f t="shared" si="360"/>
        <v>0</v>
      </c>
      <c r="I321" s="9" t="s">
        <v>1287</v>
      </c>
      <c r="J321" s="9">
        <f t="shared" si="361"/>
        <v>0</v>
      </c>
      <c r="K321" s="9">
        <f t="shared" si="362"/>
        <v>0</v>
      </c>
      <c r="L321" s="9">
        <f t="shared" si="363"/>
        <v>0</v>
      </c>
      <c r="M321" s="11">
        <f t="shared" si="371"/>
        <v>0</v>
      </c>
      <c r="N321" s="9">
        <f t="shared" si="364"/>
        <v>0</v>
      </c>
      <c r="O321" s="12">
        <f t="shared" si="365"/>
        <v>0</v>
      </c>
      <c r="P321" s="13" t="str">
        <f t="shared" si="372"/>
        <v>NO</v>
      </c>
      <c r="Q321">
        <f t="shared" si="366"/>
        <v>0</v>
      </c>
      <c r="R321">
        <f t="shared" si="367"/>
        <v>0</v>
      </c>
      <c r="S321">
        <f t="shared" si="368"/>
        <v>0</v>
      </c>
    </row>
    <row r="322" spans="1:22" ht="15" hidden="1" customHeight="1" x14ac:dyDescent="0.3">
      <c r="A322" s="34" t="s">
        <v>1326</v>
      </c>
      <c r="B322" s="36">
        <v>299</v>
      </c>
      <c r="C322" s="29" t="s">
        <v>1367</v>
      </c>
      <c r="D322" s="29" t="str">
        <f t="shared" si="369"/>
        <v>NO APLICA</v>
      </c>
      <c r="E322" s="27" t="s">
        <v>1137</v>
      </c>
      <c r="F322" s="43">
        <f t="shared" si="370"/>
        <v>0</v>
      </c>
      <c r="G322" s="21">
        <v>0</v>
      </c>
      <c r="H322" s="9">
        <f t="shared" si="360"/>
        <v>0</v>
      </c>
      <c r="I322" s="9" t="s">
        <v>1287</v>
      </c>
      <c r="J322" s="9">
        <f t="shared" si="361"/>
        <v>0</v>
      </c>
      <c r="K322" s="9">
        <f t="shared" si="362"/>
        <v>0</v>
      </c>
      <c r="L322" s="9">
        <f t="shared" si="363"/>
        <v>0</v>
      </c>
      <c r="M322" s="11">
        <f t="shared" si="371"/>
        <v>0</v>
      </c>
      <c r="N322" s="9">
        <f t="shared" si="364"/>
        <v>0</v>
      </c>
      <c r="O322" s="12">
        <f t="shared" si="365"/>
        <v>0</v>
      </c>
      <c r="P322" s="13" t="str">
        <f t="shared" si="372"/>
        <v>NO</v>
      </c>
      <c r="Q322">
        <f t="shared" si="366"/>
        <v>0</v>
      </c>
      <c r="R322">
        <f t="shared" si="367"/>
        <v>0</v>
      </c>
      <c r="S322">
        <f t="shared" si="368"/>
        <v>0</v>
      </c>
    </row>
    <row r="323" spans="1:22" ht="15" hidden="1" customHeight="1" x14ac:dyDescent="0.3">
      <c r="A323" s="34" t="s">
        <v>1326</v>
      </c>
      <c r="B323" s="36">
        <v>300</v>
      </c>
      <c r="C323" s="29" t="s">
        <v>1368</v>
      </c>
      <c r="D323" s="29" t="str">
        <f t="shared" si="369"/>
        <v>NO APLICA</v>
      </c>
      <c r="E323" s="27" t="s">
        <v>1137</v>
      </c>
      <c r="F323" s="43">
        <f t="shared" si="370"/>
        <v>0</v>
      </c>
      <c r="G323" s="21">
        <v>0</v>
      </c>
      <c r="H323" s="9">
        <f t="shared" si="360"/>
        <v>0</v>
      </c>
      <c r="I323" s="9" t="s">
        <v>1287</v>
      </c>
      <c r="J323" s="9">
        <f t="shared" si="361"/>
        <v>0</v>
      </c>
      <c r="K323" s="9">
        <f t="shared" si="362"/>
        <v>0</v>
      </c>
      <c r="L323" s="9">
        <f t="shared" si="363"/>
        <v>0</v>
      </c>
      <c r="M323" s="11">
        <f t="shared" si="371"/>
        <v>0</v>
      </c>
      <c r="N323" s="9">
        <f t="shared" si="364"/>
        <v>0</v>
      </c>
      <c r="O323" s="12">
        <f t="shared" si="365"/>
        <v>0</v>
      </c>
      <c r="P323" s="13" t="str">
        <f t="shared" si="372"/>
        <v>NO</v>
      </c>
      <c r="Q323">
        <f t="shared" si="366"/>
        <v>0</v>
      </c>
      <c r="R323">
        <f t="shared" si="367"/>
        <v>0</v>
      </c>
      <c r="S323">
        <f t="shared" si="368"/>
        <v>0</v>
      </c>
    </row>
    <row r="324" spans="1:22" ht="15" hidden="1" customHeight="1" x14ac:dyDescent="0.3">
      <c r="A324" s="34" t="s">
        <v>1326</v>
      </c>
      <c r="B324" s="36">
        <v>301</v>
      </c>
      <c r="C324" s="29" t="s">
        <v>1369</v>
      </c>
      <c r="D324" s="29" t="str">
        <f t="shared" si="369"/>
        <v>NO APLICA</v>
      </c>
      <c r="E324" s="27" t="s">
        <v>1137</v>
      </c>
      <c r="F324" s="43">
        <f t="shared" si="370"/>
        <v>0</v>
      </c>
      <c r="G324" s="21">
        <v>0</v>
      </c>
      <c r="H324" s="9">
        <f t="shared" si="360"/>
        <v>0</v>
      </c>
      <c r="I324" s="9" t="s">
        <v>1287</v>
      </c>
      <c r="J324" s="9">
        <f t="shared" si="361"/>
        <v>0</v>
      </c>
      <c r="K324" s="9">
        <f t="shared" si="362"/>
        <v>0</v>
      </c>
      <c r="L324" s="9">
        <f t="shared" si="363"/>
        <v>0</v>
      </c>
      <c r="M324" s="11">
        <f t="shared" si="371"/>
        <v>0</v>
      </c>
      <c r="N324" s="9">
        <f t="shared" si="364"/>
        <v>0</v>
      </c>
      <c r="O324" s="12">
        <f t="shared" si="365"/>
        <v>0</v>
      </c>
      <c r="P324" s="13" t="str">
        <f t="shared" si="372"/>
        <v>NO</v>
      </c>
      <c r="Q324">
        <f t="shared" si="366"/>
        <v>0</v>
      </c>
      <c r="R324">
        <f t="shared" si="367"/>
        <v>0</v>
      </c>
      <c r="S324">
        <f t="shared" si="368"/>
        <v>0</v>
      </c>
    </row>
    <row r="325" spans="1:22" ht="22.5" hidden="1" customHeight="1" x14ac:dyDescent="0.3">
      <c r="A325" s="34" t="s">
        <v>1326</v>
      </c>
      <c r="B325" s="36">
        <v>302</v>
      </c>
      <c r="C325" s="29" t="s">
        <v>1370</v>
      </c>
      <c r="D325" s="29" t="str">
        <f t="shared" si="369"/>
        <v>NO APLICA</v>
      </c>
      <c r="E325" s="27" t="s">
        <v>1137</v>
      </c>
      <c r="F325" s="43">
        <f t="shared" si="370"/>
        <v>0</v>
      </c>
      <c r="G325" s="21">
        <v>0</v>
      </c>
      <c r="H325" s="9">
        <f t="shared" si="360"/>
        <v>0</v>
      </c>
      <c r="I325" s="9" t="s">
        <v>1287</v>
      </c>
      <c r="J325" s="9">
        <f t="shared" si="361"/>
        <v>0</v>
      </c>
      <c r="K325" s="9">
        <f t="shared" si="362"/>
        <v>0</v>
      </c>
      <c r="L325" s="9">
        <f t="shared" si="363"/>
        <v>0</v>
      </c>
      <c r="M325" s="11">
        <f t="shared" si="371"/>
        <v>0</v>
      </c>
      <c r="N325" s="9">
        <f t="shared" si="364"/>
        <v>0</v>
      </c>
      <c r="O325" s="12">
        <f t="shared" si="365"/>
        <v>0</v>
      </c>
      <c r="P325" s="13" t="str">
        <f t="shared" si="372"/>
        <v>NO</v>
      </c>
      <c r="Q325">
        <f t="shared" si="366"/>
        <v>0</v>
      </c>
      <c r="R325">
        <f t="shared" si="367"/>
        <v>0</v>
      </c>
      <c r="S325">
        <f t="shared" si="368"/>
        <v>0</v>
      </c>
    </row>
    <row r="326" spans="1:22" ht="15" hidden="1" customHeight="1" x14ac:dyDescent="0.3">
      <c r="A326" s="34" t="s">
        <v>1326</v>
      </c>
      <c r="B326" s="36">
        <v>304</v>
      </c>
      <c r="C326" s="29" t="s">
        <v>1371</v>
      </c>
      <c r="D326" s="29" t="str">
        <f t="shared" si="369"/>
        <v>NO APLICA</v>
      </c>
      <c r="E326" s="27" t="s">
        <v>1137</v>
      </c>
      <c r="F326" s="43">
        <f t="shared" si="370"/>
        <v>0</v>
      </c>
      <c r="G326" s="21">
        <v>0</v>
      </c>
      <c r="H326" s="9">
        <f t="shared" si="360"/>
        <v>0</v>
      </c>
      <c r="I326" s="9" t="s">
        <v>1287</v>
      </c>
      <c r="J326" s="9">
        <f t="shared" si="361"/>
        <v>0</v>
      </c>
      <c r="K326" s="9">
        <f t="shared" si="362"/>
        <v>0</v>
      </c>
      <c r="L326" s="9">
        <f t="shared" si="363"/>
        <v>0</v>
      </c>
      <c r="M326" s="11">
        <f t="shared" si="371"/>
        <v>0</v>
      </c>
      <c r="N326" s="9">
        <f t="shared" si="364"/>
        <v>0</v>
      </c>
      <c r="O326" s="12">
        <f t="shared" si="365"/>
        <v>0</v>
      </c>
      <c r="P326" s="13" t="str">
        <f t="shared" si="372"/>
        <v>NO</v>
      </c>
      <c r="Q326">
        <f t="shared" si="366"/>
        <v>0</v>
      </c>
      <c r="R326">
        <f t="shared" si="367"/>
        <v>0</v>
      </c>
      <c r="S326">
        <f t="shared" si="368"/>
        <v>0</v>
      </c>
    </row>
    <row r="327" spans="1:22" ht="15" hidden="1" customHeight="1" x14ac:dyDescent="0.3">
      <c r="A327" s="34" t="s">
        <v>1326</v>
      </c>
      <c r="B327" s="36">
        <v>308</v>
      </c>
      <c r="C327" s="29" t="s">
        <v>1372</v>
      </c>
      <c r="D327" s="29" t="str">
        <f t="shared" si="369"/>
        <v>NO APLICA</v>
      </c>
      <c r="E327" s="27" t="s">
        <v>1137</v>
      </c>
      <c r="F327" s="43">
        <f t="shared" si="370"/>
        <v>0</v>
      </c>
      <c r="G327" s="21">
        <v>0</v>
      </c>
      <c r="H327" s="9">
        <f t="shared" si="360"/>
        <v>0</v>
      </c>
      <c r="I327" s="9" t="s">
        <v>1287</v>
      </c>
      <c r="J327" s="9">
        <f t="shared" si="361"/>
        <v>0</v>
      </c>
      <c r="K327" s="9">
        <f t="shared" si="362"/>
        <v>0</v>
      </c>
      <c r="L327" s="9">
        <f t="shared" si="363"/>
        <v>0</v>
      </c>
      <c r="M327" s="11">
        <f t="shared" si="371"/>
        <v>0</v>
      </c>
      <c r="N327" s="9">
        <f t="shared" si="364"/>
        <v>0</v>
      </c>
      <c r="O327" s="12">
        <f t="shared" si="365"/>
        <v>0</v>
      </c>
      <c r="P327" s="13" t="str">
        <f t="shared" si="372"/>
        <v>NO</v>
      </c>
      <c r="Q327">
        <f t="shared" si="366"/>
        <v>0</v>
      </c>
      <c r="R327">
        <f t="shared" si="367"/>
        <v>0</v>
      </c>
      <c r="S327">
        <f t="shared" si="368"/>
        <v>0</v>
      </c>
    </row>
    <row r="328" spans="1:22" ht="15" hidden="1" customHeight="1" thickBot="1" x14ac:dyDescent="0.35">
      <c r="A328" s="34" t="s">
        <v>1326</v>
      </c>
      <c r="B328" s="36">
        <v>309</v>
      </c>
      <c r="C328" s="29" t="s">
        <v>1373</v>
      </c>
      <c r="D328" s="29" t="str">
        <f t="shared" si="369"/>
        <v>NO APLICA</v>
      </c>
      <c r="E328" s="27" t="s">
        <v>1137</v>
      </c>
      <c r="F328" s="43">
        <f t="shared" si="370"/>
        <v>0</v>
      </c>
      <c r="G328" s="21">
        <v>0</v>
      </c>
      <c r="H328" s="9">
        <f t="shared" si="360"/>
        <v>0</v>
      </c>
      <c r="I328" s="9" t="s">
        <v>1287</v>
      </c>
      <c r="J328" s="9">
        <f t="shared" si="361"/>
        <v>0</v>
      </c>
      <c r="K328" s="9">
        <f t="shared" si="362"/>
        <v>0</v>
      </c>
      <c r="L328" s="9">
        <f t="shared" si="363"/>
        <v>0</v>
      </c>
      <c r="M328" s="11">
        <f t="shared" si="371"/>
        <v>0</v>
      </c>
      <c r="N328" s="9">
        <f t="shared" si="364"/>
        <v>0</v>
      </c>
      <c r="O328" s="12">
        <f t="shared" si="365"/>
        <v>0</v>
      </c>
      <c r="P328" s="13" t="str">
        <f t="shared" si="372"/>
        <v>NO</v>
      </c>
      <c r="Q328">
        <f t="shared" si="366"/>
        <v>0</v>
      </c>
      <c r="R328">
        <f t="shared" si="367"/>
        <v>0</v>
      </c>
      <c r="S328">
        <f t="shared" si="368"/>
        <v>0</v>
      </c>
      <c r="T328" s="205">
        <f>SUM(T284:T327)</f>
        <v>0</v>
      </c>
      <c r="U328" s="119">
        <f t="shared" ref="U328:V328" si="373">SUM(U284:U327)</f>
        <v>0</v>
      </c>
      <c r="V328" s="119">
        <f t="shared" si="373"/>
        <v>0</v>
      </c>
    </row>
    <row r="329" spans="1:22" s="18" customFormat="1" ht="15" hidden="1" customHeight="1" thickBot="1" x14ac:dyDescent="0.35">
      <c r="A329" s="24"/>
      <c r="B329" s="26"/>
      <c r="C329" s="15" t="s">
        <v>1177</v>
      </c>
      <c r="D329" s="38" t="str">
        <f>D328</f>
        <v>NO APLICA</v>
      </c>
      <c r="E329" s="38"/>
      <c r="F329" s="16">
        <f>SUMIF(E284:E328,"Adicional",F284:F328)</f>
        <v>0</v>
      </c>
      <c r="G329" s="17"/>
      <c r="H329" s="16">
        <f>SUM(H284:H328)</f>
        <v>0</v>
      </c>
      <c r="I329" s="16"/>
      <c r="J329" s="16">
        <f>SUM(J284:J328)</f>
        <v>0</v>
      </c>
      <c r="K329" s="16">
        <f>SUM(K284:K328)</f>
        <v>0</v>
      </c>
      <c r="L329" s="16">
        <f>SUM(L284:L328)</f>
        <v>0</v>
      </c>
      <c r="M329" s="16" t="s">
        <v>1178</v>
      </c>
      <c r="N329" s="16">
        <f>SUM(N284:N328)</f>
        <v>0</v>
      </c>
      <c r="O329" s="84">
        <f>SUM(O284:O328)</f>
        <v>0</v>
      </c>
      <c r="P329" s="13" t="str">
        <f t="shared" si="372"/>
        <v>NO</v>
      </c>
      <c r="Q329">
        <f>IF(D329="INCLUIDO",IF(H329&lt;&gt;0,1,0),0)</f>
        <v>0</v>
      </c>
      <c r="T329" s="143">
        <f>T272+T282+T276+T328</f>
        <v>1.0000000000000002</v>
      </c>
      <c r="U329" s="144">
        <f>U272+U282+U276+U328</f>
        <v>0</v>
      </c>
      <c r="V329" s="145">
        <f>V272+V282+V276+V328</f>
        <v>0</v>
      </c>
    </row>
    <row r="330" spans="1:22" ht="21.75" hidden="1" customHeight="1" thickBot="1" x14ac:dyDescent="0.35">
      <c r="A330" s="82">
        <v>911</v>
      </c>
      <c r="B330" s="33">
        <v>4</v>
      </c>
      <c r="C330" s="19" t="s">
        <v>1374</v>
      </c>
      <c r="D330" s="23" t="str">
        <f>'Ramo Comercial'!C178</f>
        <v>NO APLICA</v>
      </c>
      <c r="E330" s="91"/>
      <c r="F330" s="113">
        <v>0</v>
      </c>
      <c r="G330" s="113">
        <v>0</v>
      </c>
      <c r="H330" s="28"/>
      <c r="I330" s="28"/>
      <c r="J330" s="28"/>
      <c r="K330" s="28"/>
      <c r="L330" s="28"/>
      <c r="M330" s="68">
        <v>0</v>
      </c>
      <c r="N330" s="28"/>
      <c r="O330" s="83"/>
      <c r="P330" s="13" t="str">
        <f t="shared" si="372"/>
        <v>NO</v>
      </c>
      <c r="Q330" s="48">
        <f t="shared" ref="Q330:Q335" si="374">IF(D330="INCLUIDO",IF(F330&lt;&gt;0,1,0),0)</f>
        <v>0</v>
      </c>
      <c r="T330" s="142">
        <f>G330</f>
        <v>0</v>
      </c>
      <c r="U330" s="150"/>
      <c r="V330" s="151"/>
    </row>
    <row r="331" spans="1:22" ht="15" hidden="1" customHeight="1" x14ac:dyDescent="0.3">
      <c r="A331" s="34" t="s">
        <v>1326</v>
      </c>
      <c r="B331" s="36">
        <v>232</v>
      </c>
      <c r="C331" s="29" t="s">
        <v>1375</v>
      </c>
      <c r="D331" s="29" t="str">
        <f>$D$330</f>
        <v>NO APLICA</v>
      </c>
      <c r="E331" s="27" t="s">
        <v>1152</v>
      </c>
      <c r="F331" s="20">
        <f>F330*S331</f>
        <v>0</v>
      </c>
      <c r="G331" s="21">
        <f>V331</f>
        <v>0</v>
      </c>
      <c r="H331" s="9">
        <f t="shared" ref="H331:H335" si="375">(IF(I331="$ Prima",G331,G331*F331/R331))*$U$9</f>
        <v>0</v>
      </c>
      <c r="I331" s="9" t="s">
        <v>1287</v>
      </c>
      <c r="J331" s="9">
        <f t="shared" ref="J331:J335" si="376">H331*$U$7</f>
        <v>0</v>
      </c>
      <c r="K331" s="9">
        <f t="shared" ref="K331:K335" si="377">(H331+J331)*$K$15</f>
        <v>0</v>
      </c>
      <c r="L331" s="9">
        <f t="shared" ref="L331:L335" si="378">ROUND(H331+J331+K331,2)</f>
        <v>0</v>
      </c>
      <c r="M331" s="11">
        <f>$M$330</f>
        <v>0</v>
      </c>
      <c r="N331" s="9">
        <f t="shared" ref="N331:N335" si="379">H331*M331</f>
        <v>0</v>
      </c>
      <c r="O331" s="12">
        <f t="shared" ref="O331:O335" si="380">N331</f>
        <v>0</v>
      </c>
      <c r="P331" s="13" t="str">
        <f t="shared" si="372"/>
        <v>NO</v>
      </c>
      <c r="Q331">
        <f t="shared" si="374"/>
        <v>0</v>
      </c>
      <c r="R331">
        <f>IF(I331="%o Al Millar",1000,IF(I331="% Al Porciento",100,IF(I331="$ Prima",G331)))</f>
        <v>0</v>
      </c>
      <c r="S331">
        <f t="shared" ref="S331:S335" si="381">IF(E331="Excluido",0,IF(D331="NO APLICA",0,1))</f>
        <v>0</v>
      </c>
      <c r="T331" s="152">
        <v>0.13</v>
      </c>
      <c r="U331" s="159">
        <f>IF(E331="Excluido",0,T330*T331)</f>
        <v>0</v>
      </c>
      <c r="V331" s="160">
        <f>IF(D330="NO APLICA",0,(U336-U332-U333-U334-U335)+(T330-U336))</f>
        <v>0</v>
      </c>
    </row>
    <row r="332" spans="1:22" ht="15" hidden="1" customHeight="1" x14ac:dyDescent="0.3">
      <c r="A332" s="34" t="s">
        <v>1326</v>
      </c>
      <c r="B332" s="36">
        <v>234</v>
      </c>
      <c r="C332" s="29" t="s">
        <v>1376</v>
      </c>
      <c r="D332" s="29" t="str">
        <f t="shared" ref="D332:D335" si="382">$D$330</f>
        <v>NO APLICA</v>
      </c>
      <c r="E332" s="27" t="s">
        <v>1137</v>
      </c>
      <c r="F332" s="20">
        <f>$F$331*S332</f>
        <v>0</v>
      </c>
      <c r="G332" s="21">
        <f t="shared" ref="G332:G335" si="383">V332</f>
        <v>0</v>
      </c>
      <c r="H332" s="9">
        <f t="shared" si="375"/>
        <v>0</v>
      </c>
      <c r="I332" s="9" t="s">
        <v>1287</v>
      </c>
      <c r="J332" s="9">
        <f t="shared" si="376"/>
        <v>0</v>
      </c>
      <c r="K332" s="9">
        <f t="shared" si="377"/>
        <v>0</v>
      </c>
      <c r="L332" s="9">
        <f t="shared" si="378"/>
        <v>0</v>
      </c>
      <c r="M332" s="11">
        <f t="shared" ref="M332:M335" si="384">$M$330</f>
        <v>0</v>
      </c>
      <c r="N332" s="9">
        <f t="shared" si="379"/>
        <v>0</v>
      </c>
      <c r="O332" s="12">
        <f t="shared" si="380"/>
        <v>0</v>
      </c>
      <c r="P332" s="13" t="str">
        <f t="shared" si="372"/>
        <v>NO</v>
      </c>
      <c r="Q332">
        <f t="shared" si="374"/>
        <v>0</v>
      </c>
      <c r="R332">
        <f>IF(I332="%o Al Millar",1000,IF(I332="% Al Porciento",100,IF(I332="$ Prima",G332)))</f>
        <v>0</v>
      </c>
      <c r="S332">
        <f t="shared" si="381"/>
        <v>0</v>
      </c>
      <c r="T332" s="152">
        <v>0.12</v>
      </c>
      <c r="U332" s="159">
        <f>IF(E332="Excluido",0,T330*T332)</f>
        <v>0</v>
      </c>
      <c r="V332" s="160">
        <f>IF(F332=0,0,U332)</f>
        <v>0</v>
      </c>
    </row>
    <row r="333" spans="1:22" ht="15" hidden="1" customHeight="1" x14ac:dyDescent="0.3">
      <c r="A333" s="34" t="s">
        <v>1326</v>
      </c>
      <c r="B333" s="36">
        <v>235</v>
      </c>
      <c r="C333" s="29" t="s">
        <v>1377</v>
      </c>
      <c r="D333" s="29" t="str">
        <f t="shared" si="382"/>
        <v>NO APLICA</v>
      </c>
      <c r="E333" s="27" t="s">
        <v>1137</v>
      </c>
      <c r="F333" s="20">
        <f t="shared" ref="F333:F335" si="385">$F$331*S333</f>
        <v>0</v>
      </c>
      <c r="G333" s="21">
        <f t="shared" si="383"/>
        <v>0</v>
      </c>
      <c r="H333" s="9">
        <f t="shared" si="375"/>
        <v>0</v>
      </c>
      <c r="I333" s="9" t="s">
        <v>1287</v>
      </c>
      <c r="J333" s="9">
        <f t="shared" si="376"/>
        <v>0</v>
      </c>
      <c r="K333" s="9">
        <f t="shared" si="377"/>
        <v>0</v>
      </c>
      <c r="L333" s="9">
        <f t="shared" si="378"/>
        <v>0</v>
      </c>
      <c r="M333" s="11">
        <f t="shared" si="384"/>
        <v>0</v>
      </c>
      <c r="N333" s="9">
        <f t="shared" si="379"/>
        <v>0</v>
      </c>
      <c r="O333" s="12">
        <f t="shared" si="380"/>
        <v>0</v>
      </c>
      <c r="P333" s="13" t="str">
        <f t="shared" si="372"/>
        <v>NO</v>
      </c>
      <c r="Q333">
        <f t="shared" si="374"/>
        <v>0</v>
      </c>
      <c r="R333">
        <f>IF(I333="%o Al Millar",1000,IF(I333="% Al Porciento",100,IF(I333="$ Prima",G333)))</f>
        <v>0</v>
      </c>
      <c r="S333">
        <f t="shared" si="381"/>
        <v>0</v>
      </c>
      <c r="T333" s="152">
        <v>0.2</v>
      </c>
      <c r="U333" s="159">
        <f>IF(E333="Excluido",0,T330*T333)</f>
        <v>0</v>
      </c>
      <c r="V333" s="160">
        <f t="shared" ref="V333:V335" si="386">IF(F333=0,0,U333)</f>
        <v>0</v>
      </c>
    </row>
    <row r="334" spans="1:22" ht="15" hidden="1" customHeight="1" x14ac:dyDescent="0.3">
      <c r="A334" s="34" t="s">
        <v>1326</v>
      </c>
      <c r="B334" s="36">
        <v>236</v>
      </c>
      <c r="C334" s="29" t="s">
        <v>1378</v>
      </c>
      <c r="D334" s="29" t="str">
        <f t="shared" si="382"/>
        <v>NO APLICA</v>
      </c>
      <c r="E334" s="27" t="s">
        <v>1137</v>
      </c>
      <c r="F334" s="20">
        <f t="shared" si="385"/>
        <v>0</v>
      </c>
      <c r="G334" s="21">
        <f t="shared" si="383"/>
        <v>0</v>
      </c>
      <c r="H334" s="9">
        <f t="shared" si="375"/>
        <v>0</v>
      </c>
      <c r="I334" s="9" t="s">
        <v>1287</v>
      </c>
      <c r="J334" s="9">
        <f t="shared" si="376"/>
        <v>0</v>
      </c>
      <c r="K334" s="9">
        <f t="shared" si="377"/>
        <v>0</v>
      </c>
      <c r="L334" s="9">
        <f t="shared" si="378"/>
        <v>0</v>
      </c>
      <c r="M334" s="11">
        <f t="shared" si="384"/>
        <v>0</v>
      </c>
      <c r="N334" s="9">
        <f t="shared" si="379"/>
        <v>0</v>
      </c>
      <c r="O334" s="12">
        <f t="shared" si="380"/>
        <v>0</v>
      </c>
      <c r="P334" s="13" t="str">
        <f t="shared" si="372"/>
        <v>NO</v>
      </c>
      <c r="Q334">
        <f t="shared" si="374"/>
        <v>0</v>
      </c>
      <c r="R334">
        <f>IF(I334="%o Al Millar",1000,IF(I334="% Al Porciento",100,IF(I334="$ Prima",G334)))</f>
        <v>0</v>
      </c>
      <c r="S334">
        <f t="shared" si="381"/>
        <v>0</v>
      </c>
      <c r="T334" s="152">
        <v>0.15</v>
      </c>
      <c r="U334" s="159">
        <f>IF(E334="Excluido",0,T330*T334)</f>
        <v>0</v>
      </c>
      <c r="V334" s="160">
        <f t="shared" si="386"/>
        <v>0</v>
      </c>
    </row>
    <row r="335" spans="1:22" ht="15" hidden="1" customHeight="1" thickBot="1" x14ac:dyDescent="0.35">
      <c r="A335" s="34" t="s">
        <v>1326</v>
      </c>
      <c r="B335" s="36">
        <v>233</v>
      </c>
      <c r="C335" s="29" t="s">
        <v>1293</v>
      </c>
      <c r="D335" s="29" t="str">
        <f t="shared" si="382"/>
        <v>NO APLICA</v>
      </c>
      <c r="E335" s="27" t="s">
        <v>1137</v>
      </c>
      <c r="F335" s="20">
        <f t="shared" si="385"/>
        <v>0</v>
      </c>
      <c r="G335" s="21">
        <f t="shared" si="383"/>
        <v>0</v>
      </c>
      <c r="H335" s="9">
        <f t="shared" si="375"/>
        <v>0</v>
      </c>
      <c r="I335" s="9" t="s">
        <v>1287</v>
      </c>
      <c r="J335" s="9">
        <f t="shared" si="376"/>
        <v>0</v>
      </c>
      <c r="K335" s="9">
        <f t="shared" si="377"/>
        <v>0</v>
      </c>
      <c r="L335" s="9">
        <f t="shared" si="378"/>
        <v>0</v>
      </c>
      <c r="M335" s="11">
        <f t="shared" si="384"/>
        <v>0</v>
      </c>
      <c r="N335" s="9">
        <f t="shared" si="379"/>
        <v>0</v>
      </c>
      <c r="O335" s="12">
        <f t="shared" si="380"/>
        <v>0</v>
      </c>
      <c r="P335" s="13" t="str">
        <f t="shared" si="372"/>
        <v>NO</v>
      </c>
      <c r="Q335">
        <f t="shared" si="374"/>
        <v>0</v>
      </c>
      <c r="R335">
        <f>IF(I335="%o Al Millar",1000,IF(I335="% Al Porciento",100,IF(I335="$ Prima",G335)))</f>
        <v>0</v>
      </c>
      <c r="S335">
        <f t="shared" si="381"/>
        <v>0</v>
      </c>
      <c r="T335" s="152">
        <v>0.4</v>
      </c>
      <c r="U335" s="159">
        <f>IF(E335="Excluido",0,T330*T335)</f>
        <v>0</v>
      </c>
      <c r="V335" s="160">
        <f t="shared" si="386"/>
        <v>0</v>
      </c>
    </row>
    <row r="336" spans="1:22" s="18" customFormat="1" ht="15" hidden="1" customHeight="1" thickBot="1" x14ac:dyDescent="0.35">
      <c r="A336" s="24"/>
      <c r="B336" s="26"/>
      <c r="C336" s="15" t="s">
        <v>1177</v>
      </c>
      <c r="D336" s="38" t="str">
        <f>D335</f>
        <v>NO APLICA</v>
      </c>
      <c r="E336" s="38"/>
      <c r="F336" s="16">
        <f>SUMIF(E331:E335,"Adicional",F331:F335)</f>
        <v>0</v>
      </c>
      <c r="G336" s="17"/>
      <c r="H336" s="16">
        <f>SUM(H331:H335)</f>
        <v>0</v>
      </c>
      <c r="I336" s="16"/>
      <c r="J336" s="16">
        <f t="shared" ref="J336:L336" si="387">SUM(J331:J335)</f>
        <v>0</v>
      </c>
      <c r="K336" s="16">
        <f t="shared" si="387"/>
        <v>0</v>
      </c>
      <c r="L336" s="16">
        <f t="shared" si="387"/>
        <v>0</v>
      </c>
      <c r="M336" s="16" t="s">
        <v>1178</v>
      </c>
      <c r="N336" s="16">
        <f t="shared" ref="N336:O336" si="388">SUM(N331:N335)</f>
        <v>0</v>
      </c>
      <c r="O336" s="84">
        <f t="shared" si="388"/>
        <v>0</v>
      </c>
      <c r="P336" s="13" t="str">
        <f t="shared" si="372"/>
        <v>NO</v>
      </c>
      <c r="Q336">
        <f>IF(D336="INCLUIDO",IF(H336&lt;&gt;0,1,0),0)</f>
        <v>0</v>
      </c>
      <c r="T336" s="143">
        <f>SUM(T331:T335)</f>
        <v>1</v>
      </c>
      <c r="U336" s="144">
        <f>SUM(U331:U335)</f>
        <v>0</v>
      </c>
      <c r="V336" s="145">
        <f>SUM(V331:V335)</f>
        <v>0</v>
      </c>
    </row>
    <row r="337" spans="1:22" ht="15" hidden="1" customHeight="1" thickBot="1" x14ac:dyDescent="0.35">
      <c r="A337" s="82">
        <v>911</v>
      </c>
      <c r="B337" s="33">
        <v>5</v>
      </c>
      <c r="C337" s="19" t="s">
        <v>1379</v>
      </c>
      <c r="D337" s="23" t="str">
        <f>'Ramo Comercial'!C179</f>
        <v>NO APLICA</v>
      </c>
      <c r="E337" s="91"/>
      <c r="F337" s="113">
        <v>0</v>
      </c>
      <c r="G337" s="113">
        <v>0</v>
      </c>
      <c r="H337" s="28"/>
      <c r="I337" s="28"/>
      <c r="J337" s="28"/>
      <c r="K337" s="28"/>
      <c r="L337" s="28"/>
      <c r="M337" s="68">
        <v>0</v>
      </c>
      <c r="N337" s="28"/>
      <c r="O337" s="83"/>
      <c r="P337" s="13" t="str">
        <f t="shared" si="372"/>
        <v>NO</v>
      </c>
      <c r="Q337" s="48">
        <f t="shared" ref="Q337:Q343" si="389">IF(D337="INCLUIDO",IF(F337&lt;&gt;0,1,0),0)</f>
        <v>0</v>
      </c>
      <c r="T337" s="142">
        <f>G337</f>
        <v>0</v>
      </c>
      <c r="U337" s="150"/>
      <c r="V337" s="151"/>
    </row>
    <row r="338" spans="1:22" ht="15" hidden="1" customHeight="1" x14ac:dyDescent="0.3">
      <c r="A338" s="34" t="s">
        <v>1326</v>
      </c>
      <c r="B338" s="36">
        <v>237</v>
      </c>
      <c r="C338" s="29" t="s">
        <v>1375</v>
      </c>
      <c r="D338" s="29" t="str">
        <f>$D$337</f>
        <v>NO APLICA</v>
      </c>
      <c r="E338" s="27" t="s">
        <v>1152</v>
      </c>
      <c r="F338" s="20">
        <f>F337*S338</f>
        <v>0</v>
      </c>
      <c r="G338" s="21">
        <v>0</v>
      </c>
      <c r="H338" s="9">
        <f t="shared" ref="H338:H343" si="390">(IF(I338="$ Prima",G338,G338*F338/R338))*$U$9</f>
        <v>0</v>
      </c>
      <c r="I338" s="9" t="s">
        <v>1287</v>
      </c>
      <c r="J338" s="9">
        <f t="shared" ref="J338:J343" si="391">H338*$U$7</f>
        <v>0</v>
      </c>
      <c r="K338" s="9">
        <f t="shared" ref="K338:K343" si="392">(H338+J338)*$K$15</f>
        <v>0</v>
      </c>
      <c r="L338" s="9">
        <f t="shared" ref="L338:L343" si="393">ROUND(H338+J338+K338,2)</f>
        <v>0</v>
      </c>
      <c r="M338" s="11">
        <f>$M$337</f>
        <v>0</v>
      </c>
      <c r="N338" s="9">
        <f t="shared" ref="N338:N343" si="394">H338*M338</f>
        <v>0</v>
      </c>
      <c r="O338" s="12">
        <f t="shared" ref="O338:O343" si="395">N338</f>
        <v>0</v>
      </c>
      <c r="P338" s="13" t="str">
        <f t="shared" si="372"/>
        <v>NO</v>
      </c>
      <c r="Q338">
        <f t="shared" si="389"/>
        <v>0</v>
      </c>
      <c r="R338">
        <f t="shared" ref="R338:R343" si="396">IF(I338="%o Al Millar",1000,IF(I338="% Al Porciento",100,IF(I338="$ Prima",G338)))</f>
        <v>0</v>
      </c>
      <c r="S338">
        <f t="shared" ref="S338:S343" si="397">IF(E338="Excluido",0,IF(D338="NO APLICA",0,1))</f>
        <v>0</v>
      </c>
      <c r="T338" s="152">
        <v>0.13</v>
      </c>
      <c r="U338" s="159">
        <f>IF(E338="Excluido",0,T337*T338)</f>
        <v>0</v>
      </c>
      <c r="V338" s="160">
        <f>IF(D337="NO APLICA",0,(U343-U339-U340-U341-U342)+(T337-U343))</f>
        <v>0</v>
      </c>
    </row>
    <row r="339" spans="1:22" ht="15" hidden="1" customHeight="1" x14ac:dyDescent="0.3">
      <c r="A339" s="34" t="s">
        <v>1326</v>
      </c>
      <c r="B339" s="36">
        <v>238</v>
      </c>
      <c r="C339" s="29" t="s">
        <v>1352</v>
      </c>
      <c r="D339" s="29" t="str">
        <f t="shared" ref="D339:D343" si="398">$D$337</f>
        <v>NO APLICA</v>
      </c>
      <c r="E339" s="27" t="s">
        <v>1137</v>
      </c>
      <c r="F339" s="20">
        <f>$F$338*S339</f>
        <v>0</v>
      </c>
      <c r="G339" s="21">
        <v>0</v>
      </c>
      <c r="H339" s="9">
        <f t="shared" si="390"/>
        <v>0</v>
      </c>
      <c r="I339" s="9" t="s">
        <v>1287</v>
      </c>
      <c r="J339" s="9">
        <f t="shared" si="391"/>
        <v>0</v>
      </c>
      <c r="K339" s="9">
        <f t="shared" si="392"/>
        <v>0</v>
      </c>
      <c r="L339" s="9">
        <f t="shared" si="393"/>
        <v>0</v>
      </c>
      <c r="M339" s="11">
        <f t="shared" ref="M339:M343" si="399">$M$337</f>
        <v>0</v>
      </c>
      <c r="N339" s="9">
        <f t="shared" si="394"/>
        <v>0</v>
      </c>
      <c r="O339" s="12">
        <f t="shared" si="395"/>
        <v>0</v>
      </c>
      <c r="P339" s="13" t="str">
        <f t="shared" si="372"/>
        <v>NO</v>
      </c>
      <c r="Q339">
        <f t="shared" si="389"/>
        <v>0</v>
      </c>
      <c r="R339">
        <f t="shared" si="396"/>
        <v>0</v>
      </c>
      <c r="S339">
        <f t="shared" si="397"/>
        <v>0</v>
      </c>
      <c r="T339" s="152">
        <v>0.12</v>
      </c>
      <c r="U339" s="159">
        <f>IF(E339="Excluido",0,T337*T339)</f>
        <v>0</v>
      </c>
      <c r="V339" s="160">
        <f>IF(F339=0,0,U339)</f>
        <v>0</v>
      </c>
    </row>
    <row r="340" spans="1:22" ht="15" hidden="1" customHeight="1" x14ac:dyDescent="0.3">
      <c r="A340" s="34" t="s">
        <v>1326</v>
      </c>
      <c r="B340" s="36">
        <v>240</v>
      </c>
      <c r="C340" s="29" t="s">
        <v>1376</v>
      </c>
      <c r="D340" s="29" t="str">
        <f t="shared" si="398"/>
        <v>NO APLICA</v>
      </c>
      <c r="E340" s="27" t="s">
        <v>1137</v>
      </c>
      <c r="F340" s="20">
        <f t="shared" ref="F340:F343" si="400">$F$338*S340</f>
        <v>0</v>
      </c>
      <c r="G340" s="21">
        <v>0</v>
      </c>
      <c r="H340" s="9">
        <f t="shared" si="390"/>
        <v>0</v>
      </c>
      <c r="I340" s="9" t="s">
        <v>1287</v>
      </c>
      <c r="J340" s="9">
        <f t="shared" si="391"/>
        <v>0</v>
      </c>
      <c r="K340" s="9">
        <f t="shared" si="392"/>
        <v>0</v>
      </c>
      <c r="L340" s="9">
        <f t="shared" si="393"/>
        <v>0</v>
      </c>
      <c r="M340" s="11">
        <f t="shared" si="399"/>
        <v>0</v>
      </c>
      <c r="N340" s="9">
        <f t="shared" si="394"/>
        <v>0</v>
      </c>
      <c r="O340" s="12">
        <f t="shared" si="395"/>
        <v>0</v>
      </c>
      <c r="P340" s="13" t="str">
        <f t="shared" si="372"/>
        <v>NO</v>
      </c>
      <c r="Q340">
        <f t="shared" si="389"/>
        <v>0</v>
      </c>
      <c r="R340">
        <f t="shared" si="396"/>
        <v>0</v>
      </c>
      <c r="S340">
        <f t="shared" si="397"/>
        <v>0</v>
      </c>
      <c r="T340" s="152">
        <v>0.2</v>
      </c>
      <c r="U340" s="159">
        <f>IF(E340="Excluido",0,T337*T340)</f>
        <v>0</v>
      </c>
      <c r="V340" s="160">
        <f t="shared" ref="V340:V342" si="401">IF(F340=0,0,U340)</f>
        <v>0</v>
      </c>
    </row>
    <row r="341" spans="1:22" ht="15" hidden="1" customHeight="1" x14ac:dyDescent="0.3">
      <c r="A341" s="34" t="s">
        <v>1326</v>
      </c>
      <c r="B341" s="36">
        <v>241</v>
      </c>
      <c r="C341" s="29" t="s">
        <v>1377</v>
      </c>
      <c r="D341" s="29" t="str">
        <f t="shared" si="398"/>
        <v>NO APLICA</v>
      </c>
      <c r="E341" s="27" t="s">
        <v>1137</v>
      </c>
      <c r="F341" s="20">
        <f t="shared" si="400"/>
        <v>0</v>
      </c>
      <c r="G341" s="21">
        <v>0</v>
      </c>
      <c r="H341" s="9">
        <f t="shared" si="390"/>
        <v>0</v>
      </c>
      <c r="I341" s="9" t="s">
        <v>1287</v>
      </c>
      <c r="J341" s="9">
        <f t="shared" si="391"/>
        <v>0</v>
      </c>
      <c r="K341" s="9">
        <f t="shared" si="392"/>
        <v>0</v>
      </c>
      <c r="L341" s="9">
        <f t="shared" si="393"/>
        <v>0</v>
      </c>
      <c r="M341" s="11">
        <f t="shared" si="399"/>
        <v>0</v>
      </c>
      <c r="N341" s="9">
        <f t="shared" si="394"/>
        <v>0</v>
      </c>
      <c r="O341" s="12">
        <f t="shared" si="395"/>
        <v>0</v>
      </c>
      <c r="P341" s="13" t="str">
        <f t="shared" si="372"/>
        <v>NO</v>
      </c>
      <c r="Q341">
        <f t="shared" si="389"/>
        <v>0</v>
      </c>
      <c r="R341">
        <f t="shared" si="396"/>
        <v>0</v>
      </c>
      <c r="S341">
        <f t="shared" si="397"/>
        <v>0</v>
      </c>
      <c r="T341" s="152">
        <v>0.15</v>
      </c>
      <c r="U341" s="159">
        <f>IF(E341="Excluido",0,T337*T341)</f>
        <v>0</v>
      </c>
      <c r="V341" s="160">
        <f t="shared" si="401"/>
        <v>0</v>
      </c>
    </row>
    <row r="342" spans="1:22" ht="15" hidden="1" customHeight="1" thickBot="1" x14ac:dyDescent="0.35">
      <c r="A342" s="34" t="s">
        <v>1326</v>
      </c>
      <c r="B342" s="36">
        <v>242</v>
      </c>
      <c r="C342" s="29" t="s">
        <v>1378</v>
      </c>
      <c r="D342" s="29" t="str">
        <f t="shared" si="398"/>
        <v>NO APLICA</v>
      </c>
      <c r="E342" s="27" t="s">
        <v>1137</v>
      </c>
      <c r="F342" s="20">
        <f t="shared" si="400"/>
        <v>0</v>
      </c>
      <c r="G342" s="21">
        <v>0</v>
      </c>
      <c r="H342" s="9">
        <f t="shared" si="390"/>
        <v>0</v>
      </c>
      <c r="I342" s="9" t="s">
        <v>1287</v>
      </c>
      <c r="J342" s="9">
        <f t="shared" si="391"/>
        <v>0</v>
      </c>
      <c r="K342" s="9">
        <f t="shared" si="392"/>
        <v>0</v>
      </c>
      <c r="L342" s="9">
        <f t="shared" si="393"/>
        <v>0</v>
      </c>
      <c r="M342" s="11">
        <f t="shared" si="399"/>
        <v>0</v>
      </c>
      <c r="N342" s="9">
        <f t="shared" si="394"/>
        <v>0</v>
      </c>
      <c r="O342" s="12">
        <f t="shared" si="395"/>
        <v>0</v>
      </c>
      <c r="P342" s="13" t="str">
        <f t="shared" si="372"/>
        <v>NO</v>
      </c>
      <c r="Q342">
        <f t="shared" si="389"/>
        <v>0</v>
      </c>
      <c r="R342">
        <f t="shared" si="396"/>
        <v>0</v>
      </c>
      <c r="S342">
        <f t="shared" si="397"/>
        <v>0</v>
      </c>
      <c r="T342" s="152">
        <v>0.4</v>
      </c>
      <c r="U342" s="159">
        <f>IF(E342="Excluido",0,T337*T342)</f>
        <v>0</v>
      </c>
      <c r="V342" s="160">
        <f t="shared" si="401"/>
        <v>0</v>
      </c>
    </row>
    <row r="343" spans="1:22" ht="15" hidden="1" customHeight="1" thickBot="1" x14ac:dyDescent="0.35">
      <c r="A343" s="34" t="s">
        <v>1326</v>
      </c>
      <c r="B343" s="36">
        <v>239</v>
      </c>
      <c r="C343" s="29" t="s">
        <v>1293</v>
      </c>
      <c r="D343" s="29" t="str">
        <f t="shared" si="398"/>
        <v>NO APLICA</v>
      </c>
      <c r="E343" s="27" t="s">
        <v>1137</v>
      </c>
      <c r="F343" s="20">
        <f t="shared" si="400"/>
        <v>0</v>
      </c>
      <c r="G343" s="21">
        <v>0</v>
      </c>
      <c r="H343" s="9">
        <f t="shared" si="390"/>
        <v>0</v>
      </c>
      <c r="I343" s="9" t="s">
        <v>1287</v>
      </c>
      <c r="J343" s="9">
        <f t="shared" si="391"/>
        <v>0</v>
      </c>
      <c r="K343" s="9">
        <f t="shared" si="392"/>
        <v>0</v>
      </c>
      <c r="L343" s="9">
        <f t="shared" si="393"/>
        <v>0</v>
      </c>
      <c r="M343" s="11">
        <f t="shared" si="399"/>
        <v>0</v>
      </c>
      <c r="N343" s="9">
        <f t="shared" si="394"/>
        <v>0</v>
      </c>
      <c r="O343" s="12">
        <f t="shared" si="395"/>
        <v>0</v>
      </c>
      <c r="P343" s="13" t="str">
        <f t="shared" si="372"/>
        <v>NO</v>
      </c>
      <c r="Q343">
        <f t="shared" si="389"/>
        <v>0</v>
      </c>
      <c r="R343">
        <f t="shared" si="396"/>
        <v>0</v>
      </c>
      <c r="S343">
        <f t="shared" si="397"/>
        <v>0</v>
      </c>
      <c r="T343" s="143">
        <f>SUM(T338:T342)</f>
        <v>1</v>
      </c>
      <c r="U343" s="144">
        <f>SUM(U338:U342)</f>
        <v>0</v>
      </c>
      <c r="V343" s="145">
        <f>SUM(V338:V342)</f>
        <v>0</v>
      </c>
    </row>
    <row r="344" spans="1:22" s="18" customFormat="1" ht="15" hidden="1" customHeight="1" x14ac:dyDescent="0.3">
      <c r="A344" s="24"/>
      <c r="B344" s="26"/>
      <c r="C344" s="15" t="s">
        <v>1177</v>
      </c>
      <c r="D344" s="38" t="str">
        <f>D343</f>
        <v>NO APLICA</v>
      </c>
      <c r="E344" s="38"/>
      <c r="F344" s="16">
        <f>SUMIF(E338:E343,"Adicional",F338:F343)</f>
        <v>0</v>
      </c>
      <c r="G344" s="17"/>
      <c r="H344" s="16">
        <f>SUM(H338:H343)</f>
        <v>0</v>
      </c>
      <c r="I344" s="16"/>
      <c r="J344" s="16">
        <f t="shared" ref="J344:L344" si="402">SUM(J338:J343)</f>
        <v>0</v>
      </c>
      <c r="K344" s="16">
        <f t="shared" si="402"/>
        <v>0</v>
      </c>
      <c r="L344" s="16">
        <f t="shared" si="402"/>
        <v>0</v>
      </c>
      <c r="M344" s="16" t="s">
        <v>1178</v>
      </c>
      <c r="N344" s="16">
        <f t="shared" ref="N344:O344" si="403">SUM(N338:N343)</f>
        <v>0</v>
      </c>
      <c r="O344" s="84">
        <f t="shared" si="403"/>
        <v>0</v>
      </c>
      <c r="P344" s="13" t="str">
        <f t="shared" si="372"/>
        <v>NO</v>
      </c>
      <c r="Q344">
        <f>IF(D344="INCLUIDO",IF(H344&lt;&gt;0,1,0),0)</f>
        <v>0</v>
      </c>
    </row>
    <row r="345" spans="1:22" ht="15" hidden="1" customHeight="1" x14ac:dyDescent="0.3">
      <c r="A345" s="82">
        <v>912</v>
      </c>
      <c r="B345" s="33">
        <v>1</v>
      </c>
      <c r="C345" s="19" t="s">
        <v>1380</v>
      </c>
      <c r="D345" s="23" t="str">
        <f>'Ramo Comercial'!C175</f>
        <v>NO APLICA</v>
      </c>
      <c r="E345" s="91"/>
      <c r="F345" s="28"/>
      <c r="G345" s="28"/>
      <c r="H345" s="28"/>
      <c r="I345" s="28"/>
      <c r="J345" s="28"/>
      <c r="K345" s="28"/>
      <c r="L345" s="28"/>
      <c r="M345" s="68">
        <v>0</v>
      </c>
      <c r="N345" s="28"/>
      <c r="O345" s="83"/>
      <c r="P345" s="13" t="str">
        <f t="shared" si="372"/>
        <v>NO</v>
      </c>
      <c r="Q345" s="47">
        <f>IF(D345="INCLUIDO",IF(F346&lt;&gt;0,1,0),0)</f>
        <v>0</v>
      </c>
    </row>
    <row r="346" spans="1:22" ht="15" hidden="1" customHeight="1" x14ac:dyDescent="0.3">
      <c r="A346" s="34" t="s">
        <v>1381</v>
      </c>
      <c r="B346" s="36">
        <v>190</v>
      </c>
      <c r="C346" s="29" t="s">
        <v>1380</v>
      </c>
      <c r="D346" s="29" t="str">
        <f>$D$345</f>
        <v>NO APLICA</v>
      </c>
      <c r="E346" s="27" t="s">
        <v>1152</v>
      </c>
      <c r="F346" s="43">
        <v>0</v>
      </c>
      <c r="G346" s="21">
        <v>0</v>
      </c>
      <c r="H346" s="9">
        <f t="shared" ref="H346:H349" si="404">(IF(I346="$ Prima",G346,G346*F346/R346))*$U$9</f>
        <v>0</v>
      </c>
      <c r="I346" s="9" t="s">
        <v>1287</v>
      </c>
      <c r="J346" s="9">
        <f t="shared" ref="J346:J349" si="405">H346*$U$7</f>
        <v>0</v>
      </c>
      <c r="K346" s="9">
        <f t="shared" ref="K346:K349" si="406">(H346+J346)*$K$15</f>
        <v>0</v>
      </c>
      <c r="L346" s="9">
        <f t="shared" ref="L346:L349" si="407">ROUND(H346+J346+K346,2)</f>
        <v>0</v>
      </c>
      <c r="M346" s="11">
        <f>$M$345</f>
        <v>0</v>
      </c>
      <c r="N346" s="9">
        <f t="shared" ref="N346:N349" si="408">H346*M346</f>
        <v>0</v>
      </c>
      <c r="O346" s="12">
        <f t="shared" ref="O346:O349" si="409">N346</f>
        <v>0</v>
      </c>
      <c r="P346" s="13" t="str">
        <f t="shared" si="372"/>
        <v>NO</v>
      </c>
      <c r="Q346">
        <f t="shared" ref="Q346:Q349" si="410">IF(D346="INCLUIDO",IF(F346&lt;&gt;0,1,0),0)</f>
        <v>0</v>
      </c>
      <c r="R346">
        <f t="shared" ref="R346:R349" si="411">IF(I346="%o Al Millar",1000,IF(I346="% Al Porciento",100,IF(I346="$ Prima",G346)))</f>
        <v>0</v>
      </c>
      <c r="S346">
        <f t="shared" ref="S346:S349" si="412">IF(E346="Excluido",0,IF(D346="NO APLICA",0,1))</f>
        <v>0</v>
      </c>
    </row>
    <row r="347" spans="1:22" ht="15" hidden="1" customHeight="1" x14ac:dyDescent="0.3">
      <c r="A347" s="34" t="s">
        <v>1381</v>
      </c>
      <c r="B347" s="36">
        <v>306</v>
      </c>
      <c r="C347" s="29" t="s">
        <v>1382</v>
      </c>
      <c r="D347" s="29" t="str">
        <f>$D$345</f>
        <v>NO APLICA</v>
      </c>
      <c r="E347" s="27" t="s">
        <v>1152</v>
      </c>
      <c r="F347" s="43">
        <v>0</v>
      </c>
      <c r="G347" s="21">
        <v>0</v>
      </c>
      <c r="H347" s="9">
        <f t="shared" si="404"/>
        <v>0</v>
      </c>
      <c r="I347" s="9" t="s">
        <v>1287</v>
      </c>
      <c r="J347" s="9">
        <f t="shared" si="405"/>
        <v>0</v>
      </c>
      <c r="K347" s="9">
        <f t="shared" si="406"/>
        <v>0</v>
      </c>
      <c r="L347" s="9">
        <f t="shared" si="407"/>
        <v>0</v>
      </c>
      <c r="M347" s="11">
        <f t="shared" ref="M347:M349" si="413">$M$345</f>
        <v>0</v>
      </c>
      <c r="N347" s="9">
        <f t="shared" si="408"/>
        <v>0</v>
      </c>
      <c r="O347" s="12">
        <f t="shared" si="409"/>
        <v>0</v>
      </c>
      <c r="P347" s="13" t="str">
        <f t="shared" si="372"/>
        <v>NO</v>
      </c>
      <c r="Q347">
        <f t="shared" si="410"/>
        <v>0</v>
      </c>
      <c r="R347">
        <f t="shared" si="411"/>
        <v>0</v>
      </c>
      <c r="S347">
        <f t="shared" si="412"/>
        <v>0</v>
      </c>
    </row>
    <row r="348" spans="1:22" ht="15" hidden="1" customHeight="1" x14ac:dyDescent="0.3">
      <c r="A348" s="34" t="s">
        <v>1381</v>
      </c>
      <c r="B348" s="36">
        <v>307</v>
      </c>
      <c r="C348" s="29" t="s">
        <v>1383</v>
      </c>
      <c r="D348" s="29" t="str">
        <f t="shared" ref="D348:D349" si="414">$D$345</f>
        <v>NO APLICA</v>
      </c>
      <c r="E348" s="27" t="s">
        <v>1152</v>
      </c>
      <c r="F348" s="43">
        <v>0</v>
      </c>
      <c r="G348" s="21">
        <v>0</v>
      </c>
      <c r="H348" s="9">
        <f t="shared" si="404"/>
        <v>0</v>
      </c>
      <c r="I348" s="9" t="s">
        <v>1287</v>
      </c>
      <c r="J348" s="9">
        <f t="shared" si="405"/>
        <v>0</v>
      </c>
      <c r="K348" s="9">
        <f t="shared" si="406"/>
        <v>0</v>
      </c>
      <c r="L348" s="9">
        <f t="shared" si="407"/>
        <v>0</v>
      </c>
      <c r="M348" s="11">
        <f t="shared" si="413"/>
        <v>0</v>
      </c>
      <c r="N348" s="9">
        <f t="shared" si="408"/>
        <v>0</v>
      </c>
      <c r="O348" s="12">
        <f t="shared" si="409"/>
        <v>0</v>
      </c>
      <c r="P348" s="13" t="str">
        <f t="shared" si="372"/>
        <v>NO</v>
      </c>
      <c r="Q348">
        <f t="shared" si="410"/>
        <v>0</v>
      </c>
      <c r="R348">
        <f t="shared" si="411"/>
        <v>0</v>
      </c>
      <c r="S348">
        <f t="shared" si="412"/>
        <v>0</v>
      </c>
    </row>
    <row r="349" spans="1:22" ht="15" hidden="1" customHeight="1" x14ac:dyDescent="0.3">
      <c r="A349" s="34" t="s">
        <v>1381</v>
      </c>
      <c r="B349" s="36">
        <v>254</v>
      </c>
      <c r="C349" s="29" t="s">
        <v>1293</v>
      </c>
      <c r="D349" s="29" t="str">
        <f t="shared" si="414"/>
        <v>NO APLICA</v>
      </c>
      <c r="E349" s="27" t="s">
        <v>1137</v>
      </c>
      <c r="F349" s="20">
        <f>(F346+F347+F348)*S349</f>
        <v>0</v>
      </c>
      <c r="G349" s="21">
        <v>0</v>
      </c>
      <c r="H349" s="9">
        <f t="shared" si="404"/>
        <v>0</v>
      </c>
      <c r="I349" s="9" t="s">
        <v>1287</v>
      </c>
      <c r="J349" s="9">
        <f t="shared" si="405"/>
        <v>0</v>
      </c>
      <c r="K349" s="9">
        <f t="shared" si="406"/>
        <v>0</v>
      </c>
      <c r="L349" s="9">
        <f t="shared" si="407"/>
        <v>0</v>
      </c>
      <c r="M349" s="11">
        <f t="shared" si="413"/>
        <v>0</v>
      </c>
      <c r="N349" s="9">
        <f t="shared" si="408"/>
        <v>0</v>
      </c>
      <c r="O349" s="12">
        <f t="shared" si="409"/>
        <v>0</v>
      </c>
      <c r="P349" s="13" t="str">
        <f t="shared" si="372"/>
        <v>NO</v>
      </c>
      <c r="Q349">
        <f t="shared" si="410"/>
        <v>0</v>
      </c>
      <c r="R349">
        <f t="shared" si="411"/>
        <v>0</v>
      </c>
      <c r="S349">
        <f t="shared" si="412"/>
        <v>0</v>
      </c>
    </row>
    <row r="350" spans="1:22" s="18" customFormat="1" ht="15" hidden="1" customHeight="1" x14ac:dyDescent="0.3">
      <c r="A350" s="24"/>
      <c r="B350" s="26"/>
      <c r="C350" s="15" t="s">
        <v>1177</v>
      </c>
      <c r="D350" s="38" t="str">
        <f>D349</f>
        <v>NO APLICA</v>
      </c>
      <c r="E350" s="38"/>
      <c r="F350" s="16">
        <f>SUMIF(E346:E349,"Adicional",F346:F349)</f>
        <v>0</v>
      </c>
      <c r="G350" s="17"/>
      <c r="H350" s="16">
        <f>SUM(H346:H349)</f>
        <v>0</v>
      </c>
      <c r="I350" s="16"/>
      <c r="J350" s="16">
        <f>SUM(J346:J349)</f>
        <v>0</v>
      </c>
      <c r="K350" s="16">
        <f>SUM(K346:K349)</f>
        <v>0</v>
      </c>
      <c r="L350" s="16">
        <f>SUM(L346:L349)</f>
        <v>0</v>
      </c>
      <c r="M350" s="16" t="s">
        <v>1178</v>
      </c>
      <c r="N350" s="16">
        <f>SUM(N346:N349)</f>
        <v>0</v>
      </c>
      <c r="O350" s="84">
        <f>SUM(O346:O349)</f>
        <v>0</v>
      </c>
      <c r="P350" s="13" t="str">
        <f t="shared" si="372"/>
        <v>NO</v>
      </c>
      <c r="Q350">
        <f>IF(D350="INCLUIDO",IF(H350&lt;&gt;0,1,0),0)</f>
        <v>0</v>
      </c>
    </row>
    <row r="351" spans="1:22" ht="15" hidden="1" customHeight="1" x14ac:dyDescent="0.3">
      <c r="A351" s="82">
        <v>913</v>
      </c>
      <c r="B351" s="33">
        <v>1</v>
      </c>
      <c r="C351" s="19" t="s">
        <v>1384</v>
      </c>
      <c r="D351" s="23" t="str">
        <f>'Ramo Comercial'!C166</f>
        <v>NO APLICA</v>
      </c>
      <c r="E351" s="91"/>
      <c r="F351" s="28"/>
      <c r="G351" s="28"/>
      <c r="H351" s="28"/>
      <c r="I351" s="28"/>
      <c r="J351" s="28"/>
      <c r="K351" s="28"/>
      <c r="L351" s="28"/>
      <c r="M351" s="68">
        <v>0</v>
      </c>
      <c r="N351" s="28"/>
      <c r="O351" s="83"/>
      <c r="P351" s="13" t="str">
        <f t="shared" si="372"/>
        <v>NO</v>
      </c>
      <c r="Q351" s="47">
        <f>IF(D351="INCLUIDO",IF(F352&lt;&gt;0,1,0),0)</f>
        <v>0</v>
      </c>
    </row>
    <row r="352" spans="1:22" ht="15" hidden="1" customHeight="1" x14ac:dyDescent="0.3">
      <c r="A352" s="34" t="s">
        <v>1385</v>
      </c>
      <c r="B352" s="36">
        <v>191</v>
      </c>
      <c r="C352" s="29" t="s">
        <v>1384</v>
      </c>
      <c r="D352" s="29" t="str">
        <f>$D$351</f>
        <v>NO APLICA</v>
      </c>
      <c r="E352" s="27" t="s">
        <v>1152</v>
      </c>
      <c r="F352" s="43">
        <v>0</v>
      </c>
      <c r="G352" s="21">
        <v>0</v>
      </c>
      <c r="H352" s="9">
        <f t="shared" ref="H352:H362" si="415">(IF(I352="$ Prima",G352,G352*F352/R352))*$U$9</f>
        <v>0</v>
      </c>
      <c r="I352" s="9" t="s">
        <v>1235</v>
      </c>
      <c r="J352" s="9">
        <f t="shared" ref="J352:J362" si="416">H352*$U$7</f>
        <v>0</v>
      </c>
      <c r="K352" s="9">
        <f t="shared" ref="K352:K362" si="417">(H352+J352)*$K$15</f>
        <v>0</v>
      </c>
      <c r="L352" s="9">
        <f t="shared" ref="L352:L362" si="418">ROUND(H352+J352+K352,2)</f>
        <v>0</v>
      </c>
      <c r="M352" s="11">
        <f>$M$351</f>
        <v>0</v>
      </c>
      <c r="N352" s="9">
        <f t="shared" ref="N352:N362" si="419">H352*M352</f>
        <v>0</v>
      </c>
      <c r="O352" s="12">
        <f t="shared" ref="O352:O362" si="420">N352</f>
        <v>0</v>
      </c>
      <c r="P352" s="13" t="str">
        <f t="shared" si="372"/>
        <v>NO</v>
      </c>
      <c r="Q352">
        <f t="shared" ref="Q352:Q362" si="421">IF(D352="INCLUIDO",IF(F352&lt;&gt;0,1,0),0)</f>
        <v>0</v>
      </c>
      <c r="R352">
        <f t="shared" ref="R352:R362" si="422">IF(I352="%o Al Millar",1000,IF(I352="% Al Porciento",100,IF(I352="$ Prima",G352)))</f>
        <v>100</v>
      </c>
      <c r="S352">
        <f t="shared" ref="S352:S362" si="423">IF(E352="Excluido",0,IF(D352="NO APLICA",0,1))</f>
        <v>0</v>
      </c>
    </row>
    <row r="353" spans="1:19" ht="15" hidden="1" customHeight="1" x14ac:dyDescent="0.3">
      <c r="A353" s="34" t="s">
        <v>1385</v>
      </c>
      <c r="B353" s="36">
        <v>245</v>
      </c>
      <c r="C353" s="29" t="s">
        <v>1386</v>
      </c>
      <c r="D353" s="29" t="str">
        <f t="shared" ref="D353:D362" si="424">$D$351</f>
        <v>NO APLICA</v>
      </c>
      <c r="E353" s="27" t="s">
        <v>1152</v>
      </c>
      <c r="F353" s="43">
        <v>0</v>
      </c>
      <c r="G353" s="21">
        <v>0</v>
      </c>
      <c r="H353" s="9">
        <f t="shared" si="415"/>
        <v>0</v>
      </c>
      <c r="I353" s="9" t="s">
        <v>1235</v>
      </c>
      <c r="J353" s="9">
        <f t="shared" si="416"/>
        <v>0</v>
      </c>
      <c r="K353" s="9">
        <f t="shared" si="417"/>
        <v>0</v>
      </c>
      <c r="L353" s="9">
        <f t="shared" si="418"/>
        <v>0</v>
      </c>
      <c r="M353" s="11">
        <f t="shared" ref="M353:M362" si="425">$M$351</f>
        <v>0</v>
      </c>
      <c r="N353" s="9">
        <f t="shared" si="419"/>
        <v>0</v>
      </c>
      <c r="O353" s="12">
        <f t="shared" si="420"/>
        <v>0</v>
      </c>
      <c r="P353" s="13" t="str">
        <f t="shared" si="372"/>
        <v>NO</v>
      </c>
      <c r="Q353">
        <f t="shared" si="421"/>
        <v>0</v>
      </c>
      <c r="R353">
        <f t="shared" si="422"/>
        <v>100</v>
      </c>
      <c r="S353">
        <f t="shared" si="423"/>
        <v>0</v>
      </c>
    </row>
    <row r="354" spans="1:19" ht="15" hidden="1" customHeight="1" x14ac:dyDescent="0.3">
      <c r="A354" s="34" t="s">
        <v>1385</v>
      </c>
      <c r="B354" s="36">
        <v>246</v>
      </c>
      <c r="C354" s="29" t="s">
        <v>1293</v>
      </c>
      <c r="D354" s="29" t="str">
        <f t="shared" si="424"/>
        <v>NO APLICA</v>
      </c>
      <c r="E354" s="27" t="s">
        <v>1152</v>
      </c>
      <c r="F354" s="20">
        <f>(F352+F353)*S354</f>
        <v>0</v>
      </c>
      <c r="G354" s="21">
        <v>0</v>
      </c>
      <c r="H354" s="9">
        <f t="shared" si="415"/>
        <v>0</v>
      </c>
      <c r="I354" s="9" t="s">
        <v>1235</v>
      </c>
      <c r="J354" s="9">
        <f t="shared" si="416"/>
        <v>0</v>
      </c>
      <c r="K354" s="9">
        <f t="shared" si="417"/>
        <v>0</v>
      </c>
      <c r="L354" s="9">
        <f t="shared" si="418"/>
        <v>0</v>
      </c>
      <c r="M354" s="11">
        <f t="shared" si="425"/>
        <v>0</v>
      </c>
      <c r="N354" s="9">
        <f t="shared" si="419"/>
        <v>0</v>
      </c>
      <c r="O354" s="12">
        <f t="shared" si="420"/>
        <v>0</v>
      </c>
      <c r="P354" s="13" t="str">
        <f t="shared" ref="P354:P410" si="426">IF(Q354=1,"SI","NO")</f>
        <v>NO</v>
      </c>
      <c r="Q354">
        <f t="shared" si="421"/>
        <v>0</v>
      </c>
      <c r="R354">
        <f t="shared" si="422"/>
        <v>100</v>
      </c>
      <c r="S354">
        <f t="shared" si="423"/>
        <v>0</v>
      </c>
    </row>
    <row r="355" spans="1:19" ht="15" hidden="1" customHeight="1" x14ac:dyDescent="0.3">
      <c r="A355" s="34" t="s">
        <v>1385</v>
      </c>
      <c r="B355" s="36">
        <v>247</v>
      </c>
      <c r="C355" s="29" t="s">
        <v>1387</v>
      </c>
      <c r="D355" s="29" t="str">
        <f t="shared" si="424"/>
        <v>NO APLICA</v>
      </c>
      <c r="E355" s="27" t="s">
        <v>1152</v>
      </c>
      <c r="F355" s="43">
        <v>0</v>
      </c>
      <c r="G355" s="21">
        <v>0</v>
      </c>
      <c r="H355" s="9">
        <f t="shared" si="415"/>
        <v>0</v>
      </c>
      <c r="I355" s="9" t="s">
        <v>1235</v>
      </c>
      <c r="J355" s="9">
        <f t="shared" si="416"/>
        <v>0</v>
      </c>
      <c r="K355" s="9">
        <f t="shared" si="417"/>
        <v>0</v>
      </c>
      <c r="L355" s="9">
        <f t="shared" si="418"/>
        <v>0</v>
      </c>
      <c r="M355" s="11">
        <f t="shared" si="425"/>
        <v>0</v>
      </c>
      <c r="N355" s="9">
        <f t="shared" si="419"/>
        <v>0</v>
      </c>
      <c r="O355" s="12">
        <f t="shared" si="420"/>
        <v>0</v>
      </c>
      <c r="P355" s="13" t="str">
        <f t="shared" si="426"/>
        <v>NO</v>
      </c>
      <c r="Q355">
        <f t="shared" si="421"/>
        <v>0</v>
      </c>
      <c r="R355">
        <f t="shared" si="422"/>
        <v>100</v>
      </c>
      <c r="S355">
        <f t="shared" si="423"/>
        <v>0</v>
      </c>
    </row>
    <row r="356" spans="1:19" ht="15" hidden="1" customHeight="1" x14ac:dyDescent="0.3">
      <c r="A356" s="34" t="s">
        <v>1385</v>
      </c>
      <c r="B356" s="36">
        <v>248</v>
      </c>
      <c r="C356" s="29" t="s">
        <v>1388</v>
      </c>
      <c r="D356" s="29" t="str">
        <f t="shared" si="424"/>
        <v>NO APLICA</v>
      </c>
      <c r="E356" s="27" t="s">
        <v>1152</v>
      </c>
      <c r="F356" s="43">
        <v>0</v>
      </c>
      <c r="G356" s="21">
        <v>0</v>
      </c>
      <c r="H356" s="9">
        <f t="shared" si="415"/>
        <v>0</v>
      </c>
      <c r="I356" s="9" t="s">
        <v>1235</v>
      </c>
      <c r="J356" s="9">
        <f t="shared" si="416"/>
        <v>0</v>
      </c>
      <c r="K356" s="9">
        <f t="shared" si="417"/>
        <v>0</v>
      </c>
      <c r="L356" s="9">
        <f t="shared" si="418"/>
        <v>0</v>
      </c>
      <c r="M356" s="11">
        <f t="shared" si="425"/>
        <v>0</v>
      </c>
      <c r="N356" s="9">
        <f t="shared" si="419"/>
        <v>0</v>
      </c>
      <c r="O356" s="12">
        <f t="shared" si="420"/>
        <v>0</v>
      </c>
      <c r="P356" s="13" t="str">
        <f t="shared" si="426"/>
        <v>NO</v>
      </c>
      <c r="Q356">
        <f t="shared" si="421"/>
        <v>0</v>
      </c>
      <c r="R356">
        <f t="shared" si="422"/>
        <v>100</v>
      </c>
      <c r="S356">
        <f t="shared" si="423"/>
        <v>0</v>
      </c>
    </row>
    <row r="357" spans="1:19" ht="15" hidden="1" customHeight="1" x14ac:dyDescent="0.3">
      <c r="A357" s="34" t="s">
        <v>1385</v>
      </c>
      <c r="B357" s="36">
        <v>249</v>
      </c>
      <c r="C357" s="29" t="s">
        <v>1389</v>
      </c>
      <c r="D357" s="29" t="str">
        <f t="shared" si="424"/>
        <v>NO APLICA</v>
      </c>
      <c r="E357" s="27" t="s">
        <v>1152</v>
      </c>
      <c r="F357" s="43">
        <v>0</v>
      </c>
      <c r="G357" s="21">
        <v>0</v>
      </c>
      <c r="H357" s="9">
        <f t="shared" si="415"/>
        <v>0</v>
      </c>
      <c r="I357" s="9" t="s">
        <v>1235</v>
      </c>
      <c r="J357" s="9">
        <f t="shared" si="416"/>
        <v>0</v>
      </c>
      <c r="K357" s="9">
        <f t="shared" si="417"/>
        <v>0</v>
      </c>
      <c r="L357" s="9">
        <f t="shared" si="418"/>
        <v>0</v>
      </c>
      <c r="M357" s="11">
        <f t="shared" si="425"/>
        <v>0</v>
      </c>
      <c r="N357" s="9">
        <f t="shared" si="419"/>
        <v>0</v>
      </c>
      <c r="O357" s="12">
        <f t="shared" si="420"/>
        <v>0</v>
      </c>
      <c r="P357" s="13" t="str">
        <f t="shared" si="426"/>
        <v>NO</v>
      </c>
      <c r="Q357">
        <f t="shared" si="421"/>
        <v>0</v>
      </c>
      <c r="R357">
        <f t="shared" si="422"/>
        <v>100</v>
      </c>
      <c r="S357">
        <f t="shared" si="423"/>
        <v>0</v>
      </c>
    </row>
    <row r="358" spans="1:19" ht="15" hidden="1" customHeight="1" x14ac:dyDescent="0.3">
      <c r="A358" s="34" t="s">
        <v>1385</v>
      </c>
      <c r="B358" s="36">
        <v>250</v>
      </c>
      <c r="C358" s="29" t="s">
        <v>1390</v>
      </c>
      <c r="D358" s="29" t="str">
        <f t="shared" si="424"/>
        <v>NO APLICA</v>
      </c>
      <c r="E358" s="27" t="s">
        <v>1152</v>
      </c>
      <c r="F358" s="43">
        <v>0</v>
      </c>
      <c r="G358" s="21">
        <v>0</v>
      </c>
      <c r="H358" s="9">
        <f t="shared" si="415"/>
        <v>0</v>
      </c>
      <c r="I358" s="9" t="s">
        <v>1235</v>
      </c>
      <c r="J358" s="9">
        <f t="shared" si="416"/>
        <v>0</v>
      </c>
      <c r="K358" s="9">
        <f t="shared" si="417"/>
        <v>0</v>
      </c>
      <c r="L358" s="9">
        <f t="shared" si="418"/>
        <v>0</v>
      </c>
      <c r="M358" s="11">
        <f t="shared" si="425"/>
        <v>0</v>
      </c>
      <c r="N358" s="9">
        <f t="shared" si="419"/>
        <v>0</v>
      </c>
      <c r="O358" s="12">
        <f t="shared" si="420"/>
        <v>0</v>
      </c>
      <c r="P358" s="13" t="str">
        <f t="shared" si="426"/>
        <v>NO</v>
      </c>
      <c r="Q358">
        <f t="shared" si="421"/>
        <v>0</v>
      </c>
      <c r="R358">
        <f t="shared" si="422"/>
        <v>100</v>
      </c>
      <c r="S358">
        <f t="shared" si="423"/>
        <v>0</v>
      </c>
    </row>
    <row r="359" spans="1:19" ht="15" hidden="1" customHeight="1" x14ac:dyDescent="0.3">
      <c r="A359" s="34" t="s">
        <v>1385</v>
      </c>
      <c r="B359" s="36">
        <v>251</v>
      </c>
      <c r="C359" s="29" t="s">
        <v>1391</v>
      </c>
      <c r="D359" s="29" t="str">
        <f t="shared" si="424"/>
        <v>NO APLICA</v>
      </c>
      <c r="E359" s="27" t="s">
        <v>1152</v>
      </c>
      <c r="F359" s="43">
        <v>0</v>
      </c>
      <c r="G359" s="21">
        <v>0</v>
      </c>
      <c r="H359" s="9">
        <f t="shared" si="415"/>
        <v>0</v>
      </c>
      <c r="I359" s="9" t="s">
        <v>1235</v>
      </c>
      <c r="J359" s="9">
        <f t="shared" si="416"/>
        <v>0</v>
      </c>
      <c r="K359" s="9">
        <f t="shared" si="417"/>
        <v>0</v>
      </c>
      <c r="L359" s="9">
        <f t="shared" si="418"/>
        <v>0</v>
      </c>
      <c r="M359" s="11">
        <f t="shared" si="425"/>
        <v>0</v>
      </c>
      <c r="N359" s="9">
        <f t="shared" si="419"/>
        <v>0</v>
      </c>
      <c r="O359" s="12">
        <f t="shared" si="420"/>
        <v>0</v>
      </c>
      <c r="P359" s="13" t="str">
        <f t="shared" si="426"/>
        <v>NO</v>
      </c>
      <c r="Q359">
        <f t="shared" si="421"/>
        <v>0</v>
      </c>
      <c r="R359">
        <f t="shared" si="422"/>
        <v>100</v>
      </c>
      <c r="S359">
        <f t="shared" si="423"/>
        <v>0</v>
      </c>
    </row>
    <row r="360" spans="1:19" ht="15" hidden="1" customHeight="1" x14ac:dyDescent="0.3">
      <c r="A360" s="34" t="s">
        <v>1385</v>
      </c>
      <c r="B360" s="36">
        <v>252</v>
      </c>
      <c r="C360" s="29" t="s">
        <v>1392</v>
      </c>
      <c r="D360" s="29" t="str">
        <f t="shared" si="424"/>
        <v>NO APLICA</v>
      </c>
      <c r="E360" s="27" t="s">
        <v>1152</v>
      </c>
      <c r="F360" s="43">
        <v>0</v>
      </c>
      <c r="G360" s="21">
        <v>0</v>
      </c>
      <c r="H360" s="9">
        <f t="shared" si="415"/>
        <v>0</v>
      </c>
      <c r="I360" s="9" t="s">
        <v>1235</v>
      </c>
      <c r="J360" s="9">
        <f t="shared" si="416"/>
        <v>0</v>
      </c>
      <c r="K360" s="9">
        <f t="shared" si="417"/>
        <v>0</v>
      </c>
      <c r="L360" s="9">
        <f t="shared" si="418"/>
        <v>0</v>
      </c>
      <c r="M360" s="11">
        <f t="shared" si="425"/>
        <v>0</v>
      </c>
      <c r="N360" s="9">
        <f t="shared" si="419"/>
        <v>0</v>
      </c>
      <c r="O360" s="12">
        <f t="shared" si="420"/>
        <v>0</v>
      </c>
      <c r="P360" s="13" t="str">
        <f t="shared" si="426"/>
        <v>NO</v>
      </c>
      <c r="Q360">
        <f t="shared" si="421"/>
        <v>0</v>
      </c>
      <c r="R360">
        <f t="shared" si="422"/>
        <v>100</v>
      </c>
      <c r="S360">
        <f t="shared" si="423"/>
        <v>0</v>
      </c>
    </row>
    <row r="361" spans="1:19" ht="15" hidden="1" customHeight="1" x14ac:dyDescent="0.3">
      <c r="A361" s="34" t="s">
        <v>1385</v>
      </c>
      <c r="B361" s="36">
        <v>275</v>
      </c>
      <c r="C361" s="29" t="s">
        <v>1393</v>
      </c>
      <c r="D361" s="29" t="str">
        <f t="shared" si="424"/>
        <v>NO APLICA</v>
      </c>
      <c r="E361" s="27" t="s">
        <v>1152</v>
      </c>
      <c r="F361" s="43">
        <v>0</v>
      </c>
      <c r="G361" s="21">
        <v>0</v>
      </c>
      <c r="H361" s="9">
        <f t="shared" si="415"/>
        <v>0</v>
      </c>
      <c r="I361" s="9" t="s">
        <v>1235</v>
      </c>
      <c r="J361" s="9">
        <f t="shared" si="416"/>
        <v>0</v>
      </c>
      <c r="K361" s="9">
        <f t="shared" si="417"/>
        <v>0</v>
      </c>
      <c r="L361" s="9">
        <f t="shared" si="418"/>
        <v>0</v>
      </c>
      <c r="M361" s="11">
        <f t="shared" si="425"/>
        <v>0</v>
      </c>
      <c r="N361" s="9">
        <f t="shared" si="419"/>
        <v>0</v>
      </c>
      <c r="O361" s="12">
        <f t="shared" si="420"/>
        <v>0</v>
      </c>
      <c r="P361" s="13" t="str">
        <f t="shared" si="426"/>
        <v>NO</v>
      </c>
      <c r="Q361">
        <f t="shared" si="421"/>
        <v>0</v>
      </c>
      <c r="R361">
        <f t="shared" si="422"/>
        <v>100</v>
      </c>
      <c r="S361">
        <f t="shared" si="423"/>
        <v>0</v>
      </c>
    </row>
    <row r="362" spans="1:19" ht="15" hidden="1" customHeight="1" x14ac:dyDescent="0.3">
      <c r="A362" s="34" t="s">
        <v>1385</v>
      </c>
      <c r="B362" s="36">
        <v>305</v>
      </c>
      <c r="C362" s="29" t="s">
        <v>1394</v>
      </c>
      <c r="D362" s="29" t="str">
        <f t="shared" si="424"/>
        <v>NO APLICA</v>
      </c>
      <c r="E362" s="27" t="s">
        <v>1152</v>
      </c>
      <c r="F362" s="43">
        <v>0</v>
      </c>
      <c r="G362" s="21">
        <v>0</v>
      </c>
      <c r="H362" s="9">
        <f t="shared" si="415"/>
        <v>0</v>
      </c>
      <c r="I362" s="9" t="s">
        <v>1235</v>
      </c>
      <c r="J362" s="9">
        <f t="shared" si="416"/>
        <v>0</v>
      </c>
      <c r="K362" s="9">
        <f t="shared" si="417"/>
        <v>0</v>
      </c>
      <c r="L362" s="9">
        <f t="shared" si="418"/>
        <v>0</v>
      </c>
      <c r="M362" s="11">
        <f t="shared" si="425"/>
        <v>0</v>
      </c>
      <c r="N362" s="9">
        <f t="shared" si="419"/>
        <v>0</v>
      </c>
      <c r="O362" s="12">
        <f t="shared" si="420"/>
        <v>0</v>
      </c>
      <c r="P362" s="13" t="str">
        <f t="shared" si="426"/>
        <v>NO</v>
      </c>
      <c r="Q362">
        <f t="shared" si="421"/>
        <v>0</v>
      </c>
      <c r="R362">
        <f t="shared" si="422"/>
        <v>100</v>
      </c>
      <c r="S362">
        <f t="shared" si="423"/>
        <v>0</v>
      </c>
    </row>
    <row r="363" spans="1:19" s="18" customFormat="1" ht="15" hidden="1" customHeight="1" x14ac:dyDescent="0.3">
      <c r="A363" s="24"/>
      <c r="B363" s="26"/>
      <c r="C363" s="15" t="s">
        <v>1177</v>
      </c>
      <c r="D363" s="38" t="str">
        <f>D362</f>
        <v>NO APLICA</v>
      </c>
      <c r="E363" s="38"/>
      <c r="F363" s="16">
        <f>SUMIF(E352:E362,"Adicional",F352:F362)</f>
        <v>0</v>
      </c>
      <c r="G363" s="17"/>
      <c r="H363" s="16">
        <f>SUM(H352:H362)</f>
        <v>0</v>
      </c>
      <c r="I363" s="16"/>
      <c r="J363" s="16">
        <f t="shared" ref="J363:L363" si="427">SUM(J352:J362)</f>
        <v>0</v>
      </c>
      <c r="K363" s="16">
        <f t="shared" si="427"/>
        <v>0</v>
      </c>
      <c r="L363" s="16">
        <f t="shared" si="427"/>
        <v>0</v>
      </c>
      <c r="M363" s="16" t="s">
        <v>1178</v>
      </c>
      <c r="N363" s="16">
        <f t="shared" ref="N363:O363" si="428">SUM(N352:N362)</f>
        <v>0</v>
      </c>
      <c r="O363" s="84">
        <f t="shared" si="428"/>
        <v>0</v>
      </c>
      <c r="P363" s="13" t="str">
        <f t="shared" si="426"/>
        <v>NO</v>
      </c>
      <c r="Q363">
        <f>IF(D363="INCLUIDO",IF(H363&lt;&gt;0,1,0),0)</f>
        <v>0</v>
      </c>
    </row>
    <row r="364" spans="1:19" ht="21" hidden="1" customHeight="1" x14ac:dyDescent="0.3">
      <c r="A364" s="82">
        <v>913</v>
      </c>
      <c r="B364" s="33">
        <v>2</v>
      </c>
      <c r="C364" s="19" t="s">
        <v>1395</v>
      </c>
      <c r="D364" s="23" t="str">
        <f>'Ramo Comercial'!C167</f>
        <v>NO APLICA</v>
      </c>
      <c r="E364" s="91"/>
      <c r="F364" s="28"/>
      <c r="G364" s="28"/>
      <c r="H364" s="28"/>
      <c r="I364" s="28"/>
      <c r="J364" s="28"/>
      <c r="K364" s="28"/>
      <c r="L364" s="28"/>
      <c r="M364" s="68">
        <v>0</v>
      </c>
      <c r="N364" s="28"/>
      <c r="O364" s="83"/>
      <c r="P364" s="13" t="str">
        <f t="shared" si="426"/>
        <v>NO</v>
      </c>
      <c r="Q364" s="47">
        <f>IF(D364="INCLUIDO",IF(F365&lt;&gt;0,1,0),0)</f>
        <v>0</v>
      </c>
    </row>
    <row r="365" spans="1:19" ht="15" hidden="1" customHeight="1" x14ac:dyDescent="0.3">
      <c r="A365" s="34" t="s">
        <v>1385</v>
      </c>
      <c r="B365" s="36">
        <v>192</v>
      </c>
      <c r="C365" s="29" t="s">
        <v>1396</v>
      </c>
      <c r="D365" s="29" t="str">
        <f>$D$364</f>
        <v>NO APLICA</v>
      </c>
      <c r="E365" s="27" t="s">
        <v>1152</v>
      </c>
      <c r="F365" s="43">
        <v>0</v>
      </c>
      <c r="G365" s="21">
        <v>0</v>
      </c>
      <c r="H365" s="9">
        <f t="shared" ref="H365:H368" si="429">(IF(I365="$ Prima",G365,G365*F365/R365))*$U$9</f>
        <v>0</v>
      </c>
      <c r="I365" s="9" t="s">
        <v>1235</v>
      </c>
      <c r="J365" s="9">
        <f t="shared" ref="J365:J368" si="430">H365*$U$7</f>
        <v>0</v>
      </c>
      <c r="K365" s="9">
        <f t="shared" ref="K365:K368" si="431">(H365+J365)*$K$15</f>
        <v>0</v>
      </c>
      <c r="L365" s="9">
        <f t="shared" ref="L365:L368" si="432">ROUND(H365+J365+K365,2)</f>
        <v>0</v>
      </c>
      <c r="M365" s="11">
        <f>$M$364</f>
        <v>0</v>
      </c>
      <c r="N365" s="9">
        <f t="shared" ref="N365:N368" si="433">H365*M365</f>
        <v>0</v>
      </c>
      <c r="O365" s="12">
        <f t="shared" ref="O365:O368" si="434">N365</f>
        <v>0</v>
      </c>
      <c r="P365" s="13" t="str">
        <f t="shared" si="426"/>
        <v>NO</v>
      </c>
      <c r="Q365">
        <f>IF(D365="INCLUIDO",IF(F365&lt;&gt;0,1,0),0)</f>
        <v>0</v>
      </c>
      <c r="R365">
        <f>IF(I365="%o Al Millar",1000,IF(I365="% Al Porciento",100,IF(I365="$ Prima",G365)))</f>
        <v>100</v>
      </c>
      <c r="S365">
        <f t="shared" ref="S365:S368" si="435">IF(E365="Excluido",0,IF(D365="NO APLICA",0,1))</f>
        <v>0</v>
      </c>
    </row>
    <row r="366" spans="1:19" ht="22.5" hidden="1" customHeight="1" x14ac:dyDescent="0.3">
      <c r="A366" s="34" t="s">
        <v>1385</v>
      </c>
      <c r="B366" s="36">
        <v>193</v>
      </c>
      <c r="C366" s="29" t="s">
        <v>1397</v>
      </c>
      <c r="D366" s="29" t="str">
        <f t="shared" ref="D366:D368" si="436">$D$364</f>
        <v>NO APLICA</v>
      </c>
      <c r="E366" s="27" t="s">
        <v>1152</v>
      </c>
      <c r="F366" s="43">
        <v>0</v>
      </c>
      <c r="G366" s="21">
        <v>0</v>
      </c>
      <c r="H366" s="9">
        <f t="shared" si="429"/>
        <v>0</v>
      </c>
      <c r="I366" s="9" t="s">
        <v>1235</v>
      </c>
      <c r="J366" s="9">
        <f t="shared" si="430"/>
        <v>0</v>
      </c>
      <c r="K366" s="9">
        <f t="shared" si="431"/>
        <v>0</v>
      </c>
      <c r="L366" s="9">
        <f t="shared" si="432"/>
        <v>0</v>
      </c>
      <c r="M366" s="11">
        <f t="shared" ref="M366:M368" si="437">$M$364</f>
        <v>0</v>
      </c>
      <c r="N366" s="9">
        <f t="shared" si="433"/>
        <v>0</v>
      </c>
      <c r="O366" s="12">
        <f t="shared" si="434"/>
        <v>0</v>
      </c>
      <c r="P366" s="13" t="str">
        <f t="shared" si="426"/>
        <v>NO</v>
      </c>
      <c r="Q366">
        <f>IF(D366="INCLUIDO",IF(F366&lt;&gt;0,1,0),0)</f>
        <v>0</v>
      </c>
      <c r="R366">
        <f>IF(I366="%o Al Millar",1000,IF(I366="% Al Porciento",100,IF(I366="$ Prima",G366)))</f>
        <v>100</v>
      </c>
      <c r="S366">
        <f t="shared" si="435"/>
        <v>0</v>
      </c>
    </row>
    <row r="367" spans="1:19" ht="15" hidden="1" customHeight="1" x14ac:dyDescent="0.3">
      <c r="A367" s="34" t="s">
        <v>1385</v>
      </c>
      <c r="B367" s="36">
        <v>194</v>
      </c>
      <c r="C367" s="29" t="s">
        <v>1398</v>
      </c>
      <c r="D367" s="29" t="str">
        <f t="shared" si="436"/>
        <v>NO APLICA</v>
      </c>
      <c r="E367" s="27" t="s">
        <v>1152</v>
      </c>
      <c r="F367" s="43">
        <v>0</v>
      </c>
      <c r="G367" s="21">
        <v>0</v>
      </c>
      <c r="H367" s="9">
        <f t="shared" si="429"/>
        <v>0</v>
      </c>
      <c r="I367" s="9" t="s">
        <v>1235</v>
      </c>
      <c r="J367" s="9">
        <f t="shared" si="430"/>
        <v>0</v>
      </c>
      <c r="K367" s="9">
        <f t="shared" si="431"/>
        <v>0</v>
      </c>
      <c r="L367" s="9">
        <f t="shared" si="432"/>
        <v>0</v>
      </c>
      <c r="M367" s="11">
        <f t="shared" si="437"/>
        <v>0</v>
      </c>
      <c r="N367" s="9">
        <f t="shared" si="433"/>
        <v>0</v>
      </c>
      <c r="O367" s="12">
        <f t="shared" si="434"/>
        <v>0</v>
      </c>
      <c r="P367" s="13" t="str">
        <f t="shared" si="426"/>
        <v>NO</v>
      </c>
      <c r="Q367">
        <f>IF(D367="INCLUIDO",IF(F367&lt;&gt;0,1,0),0)</f>
        <v>0</v>
      </c>
      <c r="R367">
        <f>IF(I367="%o Al Millar",1000,IF(I367="% Al Porciento",100,IF(I367="$ Prima",G367)))</f>
        <v>100</v>
      </c>
      <c r="S367">
        <f t="shared" si="435"/>
        <v>0</v>
      </c>
    </row>
    <row r="368" spans="1:19" ht="15" hidden="1" customHeight="1" x14ac:dyDescent="0.3">
      <c r="A368" s="34" t="s">
        <v>1385</v>
      </c>
      <c r="B368" s="36">
        <v>253</v>
      </c>
      <c r="C368" s="29" t="s">
        <v>1293</v>
      </c>
      <c r="D368" s="29" t="str">
        <f t="shared" si="436"/>
        <v>NO APLICA</v>
      </c>
      <c r="E368" s="27" t="s">
        <v>1152</v>
      </c>
      <c r="F368" s="20">
        <f>(F365+F366+F367)*1</f>
        <v>0</v>
      </c>
      <c r="G368" s="21">
        <v>0</v>
      </c>
      <c r="H368" s="9">
        <f t="shared" si="429"/>
        <v>0</v>
      </c>
      <c r="I368" s="9" t="s">
        <v>1235</v>
      </c>
      <c r="J368" s="9">
        <f t="shared" si="430"/>
        <v>0</v>
      </c>
      <c r="K368" s="9">
        <f t="shared" si="431"/>
        <v>0</v>
      </c>
      <c r="L368" s="9">
        <f t="shared" si="432"/>
        <v>0</v>
      </c>
      <c r="M368" s="11">
        <f t="shared" si="437"/>
        <v>0</v>
      </c>
      <c r="N368" s="9">
        <f t="shared" si="433"/>
        <v>0</v>
      </c>
      <c r="O368" s="12">
        <f t="shared" si="434"/>
        <v>0</v>
      </c>
      <c r="P368" s="13" t="str">
        <f t="shared" si="426"/>
        <v>NO</v>
      </c>
      <c r="Q368">
        <f>IF(D368="INCLUIDO",IF(F368&lt;&gt;0,1,0),0)</f>
        <v>0</v>
      </c>
      <c r="R368">
        <f>IF(I368="%o Al Millar",1000,IF(I368="% Al Porciento",100,IF(I368="$ Prima",G368)))</f>
        <v>100</v>
      </c>
      <c r="S368">
        <f t="shared" si="435"/>
        <v>0</v>
      </c>
    </row>
    <row r="369" spans="1:22" s="18" customFormat="1" ht="15" hidden="1" customHeight="1" thickBot="1" x14ac:dyDescent="0.35">
      <c r="A369" s="24"/>
      <c r="B369" s="26"/>
      <c r="C369" s="15" t="s">
        <v>1177</v>
      </c>
      <c r="D369" s="38" t="str">
        <f>D368</f>
        <v>NO APLICA</v>
      </c>
      <c r="E369" s="38"/>
      <c r="F369" s="16">
        <f>SUMIF(E365:E368,"Adicional",F365:F368)</f>
        <v>0</v>
      </c>
      <c r="G369" s="17"/>
      <c r="H369" s="16">
        <f>SUM(H365:H368)</f>
        <v>0</v>
      </c>
      <c r="I369" s="16"/>
      <c r="J369" s="16">
        <f t="shared" ref="J369:L369" si="438">SUM(J365:J368)</f>
        <v>0</v>
      </c>
      <c r="K369" s="16">
        <f t="shared" si="438"/>
        <v>0</v>
      </c>
      <c r="L369" s="16">
        <f t="shared" si="438"/>
        <v>0</v>
      </c>
      <c r="M369" s="16" t="s">
        <v>1178</v>
      </c>
      <c r="N369" s="16">
        <f t="shared" ref="N369:O369" si="439">SUM(N365:N368)</f>
        <v>0</v>
      </c>
      <c r="O369" s="84">
        <f t="shared" si="439"/>
        <v>0</v>
      </c>
      <c r="P369" s="13" t="str">
        <f t="shared" si="426"/>
        <v>NO</v>
      </c>
      <c r="Q369">
        <f>IF(D369="INCLUIDO",IF(H369&lt;&gt;0,1,0),0)</f>
        <v>0</v>
      </c>
    </row>
    <row r="370" spans="1:22" ht="15" hidden="1" customHeight="1" thickBot="1" x14ac:dyDescent="0.35">
      <c r="A370" s="82">
        <v>914</v>
      </c>
      <c r="B370" s="33">
        <v>1</v>
      </c>
      <c r="C370" s="19" t="s">
        <v>1399</v>
      </c>
      <c r="D370" s="23" t="str">
        <f>'Ramo Comercial'!C170</f>
        <v>NO APLICA</v>
      </c>
      <c r="E370" s="91"/>
      <c r="F370" s="113">
        <v>0</v>
      </c>
      <c r="G370" s="113">
        <v>0</v>
      </c>
      <c r="H370" s="28"/>
      <c r="I370" s="28"/>
      <c r="J370" s="28"/>
      <c r="K370" s="28"/>
      <c r="L370" s="28"/>
      <c r="M370" s="68">
        <v>0</v>
      </c>
      <c r="N370" s="28"/>
      <c r="O370" s="83"/>
      <c r="P370" s="13" t="str">
        <f t="shared" si="426"/>
        <v>NO</v>
      </c>
      <c r="Q370" s="48">
        <f t="shared" ref="Q370:Q378" si="440">IF(D370="INCLUIDO",IF(F370&lt;&gt;0,1,0),0)</f>
        <v>0</v>
      </c>
      <c r="T370" s="149">
        <f>G370</f>
        <v>0</v>
      </c>
      <c r="U370" s="150"/>
      <c r="V370" s="151"/>
    </row>
    <row r="371" spans="1:22" ht="15" hidden="1" customHeight="1" x14ac:dyDescent="0.3">
      <c r="A371" s="34" t="s">
        <v>1400</v>
      </c>
      <c r="B371" s="36">
        <v>196</v>
      </c>
      <c r="C371" s="29" t="s">
        <v>1401</v>
      </c>
      <c r="D371" s="29" t="str">
        <f>$D$370</f>
        <v>NO APLICA</v>
      </c>
      <c r="E371" s="27" t="s">
        <v>1152</v>
      </c>
      <c r="F371" s="20">
        <f>$F$370*S371</f>
        <v>0</v>
      </c>
      <c r="G371" s="21">
        <f>V371</f>
        <v>0</v>
      </c>
      <c r="H371" s="9">
        <f t="shared" ref="H371:H378" si="441">(IF(I371="$ Prima",G371,G371*F371/R371))*$U$9</f>
        <v>0</v>
      </c>
      <c r="I371" s="9" t="s">
        <v>1235</v>
      </c>
      <c r="J371" s="9">
        <f t="shared" ref="J371:J378" si="442">H371*$U$7</f>
        <v>0</v>
      </c>
      <c r="K371" s="9">
        <f t="shared" ref="K371:K378" si="443">(H371+J371)*$K$15</f>
        <v>0</v>
      </c>
      <c r="L371" s="9">
        <f t="shared" ref="L371:L378" si="444">ROUND(H371+J371+K371,2)</f>
        <v>0</v>
      </c>
      <c r="M371" s="11">
        <f>$M$370</f>
        <v>0</v>
      </c>
      <c r="N371" s="9">
        <f t="shared" ref="N371:N378" si="445">H371*M371</f>
        <v>0</v>
      </c>
      <c r="O371" s="12">
        <f t="shared" ref="O371:O378" si="446">N371</f>
        <v>0</v>
      </c>
      <c r="P371" s="13" t="str">
        <f t="shared" si="426"/>
        <v>NO</v>
      </c>
      <c r="Q371">
        <f t="shared" si="440"/>
        <v>0</v>
      </c>
      <c r="R371">
        <f t="shared" ref="R371:R378" si="447">IF(I371="%o Al Millar",1000,IF(I371="% Al Porciento",100,IF(I371="$ Prima",G371)))</f>
        <v>100</v>
      </c>
      <c r="S371">
        <f t="shared" ref="S371:S378" si="448">IF(E371="Excluido",0,IF(D371="NO APLICA",0,1))</f>
        <v>0</v>
      </c>
      <c r="T371" s="152">
        <v>0.25</v>
      </c>
      <c r="U371" s="159">
        <f>IF(E371="Excluido",0,$T$370*T371)</f>
        <v>0</v>
      </c>
      <c r="V371" s="160">
        <f>IF(D370="NO APLICA",0,(U379-U372-U373-U374-U376-U378)+(T370-U379))</f>
        <v>0</v>
      </c>
    </row>
    <row r="372" spans="1:22" ht="15" hidden="1" customHeight="1" x14ac:dyDescent="0.3">
      <c r="A372" s="34" t="s">
        <v>1400</v>
      </c>
      <c r="B372" s="36">
        <v>197</v>
      </c>
      <c r="C372" s="29" t="s">
        <v>1402</v>
      </c>
      <c r="D372" s="29" t="str">
        <f t="shared" ref="D372:D378" si="449">$D$370</f>
        <v>NO APLICA</v>
      </c>
      <c r="E372" s="27" t="s">
        <v>1137</v>
      </c>
      <c r="F372" s="20">
        <f>$F$371*S372</f>
        <v>0</v>
      </c>
      <c r="G372" s="21">
        <f t="shared" ref="G372:G378" si="450">V372</f>
        <v>0</v>
      </c>
      <c r="H372" s="9">
        <f t="shared" si="441"/>
        <v>0</v>
      </c>
      <c r="I372" s="9" t="s">
        <v>1235</v>
      </c>
      <c r="J372" s="9">
        <f t="shared" si="442"/>
        <v>0</v>
      </c>
      <c r="K372" s="9">
        <f t="shared" si="443"/>
        <v>0</v>
      </c>
      <c r="L372" s="9">
        <f t="shared" si="444"/>
        <v>0</v>
      </c>
      <c r="M372" s="11">
        <f t="shared" ref="M372:M378" si="451">$M$370</f>
        <v>0</v>
      </c>
      <c r="N372" s="9">
        <f t="shared" si="445"/>
        <v>0</v>
      </c>
      <c r="O372" s="12">
        <f t="shared" si="446"/>
        <v>0</v>
      </c>
      <c r="P372" s="13" t="str">
        <f t="shared" si="426"/>
        <v>NO</v>
      </c>
      <c r="Q372">
        <f t="shared" si="440"/>
        <v>0</v>
      </c>
      <c r="R372">
        <f t="shared" si="447"/>
        <v>100</v>
      </c>
      <c r="S372">
        <f t="shared" si="448"/>
        <v>0</v>
      </c>
      <c r="T372" s="152">
        <v>0.05</v>
      </c>
      <c r="U372" s="159">
        <f t="shared" ref="U372:U378" si="452">IF(E372="Excluido",0,$T$370*T372)</f>
        <v>0</v>
      </c>
      <c r="V372" s="160">
        <f>IF(F372=0,0,U372)</f>
        <v>0</v>
      </c>
    </row>
    <row r="373" spans="1:22" ht="15" hidden="1" customHeight="1" x14ac:dyDescent="0.3">
      <c r="A373" s="34" t="s">
        <v>1400</v>
      </c>
      <c r="B373" s="36">
        <v>198</v>
      </c>
      <c r="C373" s="29" t="s">
        <v>1403</v>
      </c>
      <c r="D373" s="29" t="str">
        <f t="shared" si="449"/>
        <v>NO APLICA</v>
      </c>
      <c r="E373" s="27" t="s">
        <v>1137</v>
      </c>
      <c r="F373" s="20">
        <f t="shared" ref="F373:F378" si="453">$F$371*S373</f>
        <v>0</v>
      </c>
      <c r="G373" s="21">
        <f t="shared" si="450"/>
        <v>0</v>
      </c>
      <c r="H373" s="9">
        <f t="shared" si="441"/>
        <v>0</v>
      </c>
      <c r="I373" s="9" t="s">
        <v>1235</v>
      </c>
      <c r="J373" s="9">
        <f t="shared" si="442"/>
        <v>0</v>
      </c>
      <c r="K373" s="9">
        <f t="shared" si="443"/>
        <v>0</v>
      </c>
      <c r="L373" s="9">
        <f t="shared" si="444"/>
        <v>0</v>
      </c>
      <c r="M373" s="11">
        <f t="shared" si="451"/>
        <v>0</v>
      </c>
      <c r="N373" s="9">
        <f t="shared" si="445"/>
        <v>0</v>
      </c>
      <c r="O373" s="12">
        <f t="shared" si="446"/>
        <v>0</v>
      </c>
      <c r="P373" s="13" t="str">
        <f t="shared" si="426"/>
        <v>NO</v>
      </c>
      <c r="Q373">
        <f t="shared" si="440"/>
        <v>0</v>
      </c>
      <c r="R373">
        <f t="shared" si="447"/>
        <v>100</v>
      </c>
      <c r="S373">
        <f t="shared" si="448"/>
        <v>0</v>
      </c>
      <c r="T373" s="152">
        <v>0.1</v>
      </c>
      <c r="U373" s="159">
        <f t="shared" si="452"/>
        <v>0</v>
      </c>
      <c r="V373" s="160">
        <f t="shared" ref="V373:V378" si="454">IF(F373=0,0,U373)</f>
        <v>0</v>
      </c>
    </row>
    <row r="374" spans="1:22" ht="15" hidden="1" customHeight="1" x14ac:dyDescent="0.3">
      <c r="A374" s="34" t="s">
        <v>1400</v>
      </c>
      <c r="B374" s="36">
        <v>199</v>
      </c>
      <c r="C374" s="29" t="s">
        <v>1404</v>
      </c>
      <c r="D374" s="29" t="str">
        <f t="shared" si="449"/>
        <v>NO APLICA</v>
      </c>
      <c r="E374" s="27" t="s">
        <v>1137</v>
      </c>
      <c r="F374" s="20">
        <f t="shared" si="453"/>
        <v>0</v>
      </c>
      <c r="G374" s="21">
        <f t="shared" si="450"/>
        <v>0</v>
      </c>
      <c r="H374" s="9">
        <f t="shared" si="441"/>
        <v>0</v>
      </c>
      <c r="I374" s="9" t="s">
        <v>1235</v>
      </c>
      <c r="J374" s="9">
        <f t="shared" si="442"/>
        <v>0</v>
      </c>
      <c r="K374" s="9">
        <f t="shared" si="443"/>
        <v>0</v>
      </c>
      <c r="L374" s="9">
        <f t="shared" si="444"/>
        <v>0</v>
      </c>
      <c r="M374" s="11">
        <f t="shared" si="451"/>
        <v>0</v>
      </c>
      <c r="N374" s="9">
        <f t="shared" si="445"/>
        <v>0</v>
      </c>
      <c r="O374" s="12">
        <f t="shared" si="446"/>
        <v>0</v>
      </c>
      <c r="P374" s="13" t="str">
        <f t="shared" si="426"/>
        <v>NO</v>
      </c>
      <c r="Q374">
        <f t="shared" si="440"/>
        <v>0</v>
      </c>
      <c r="R374">
        <f t="shared" si="447"/>
        <v>100</v>
      </c>
      <c r="S374">
        <f t="shared" si="448"/>
        <v>0</v>
      </c>
      <c r="T374" s="152">
        <v>0.05</v>
      </c>
      <c r="U374" s="159">
        <f t="shared" si="452"/>
        <v>0</v>
      </c>
      <c r="V374" s="160">
        <f t="shared" si="454"/>
        <v>0</v>
      </c>
    </row>
    <row r="375" spans="1:22" ht="15" hidden="1" customHeight="1" x14ac:dyDescent="0.3">
      <c r="A375" s="34" t="s">
        <v>1400</v>
      </c>
      <c r="B375" s="36">
        <v>200</v>
      </c>
      <c r="C375" s="29" t="s">
        <v>1405</v>
      </c>
      <c r="D375" s="29" t="str">
        <f t="shared" si="449"/>
        <v>NO APLICA</v>
      </c>
      <c r="E375" s="27" t="s">
        <v>1137</v>
      </c>
      <c r="F375" s="42">
        <v>0</v>
      </c>
      <c r="G375" s="113">
        <v>0</v>
      </c>
      <c r="H375" s="9">
        <f t="shared" si="441"/>
        <v>0</v>
      </c>
      <c r="I375" s="9" t="s">
        <v>1235</v>
      </c>
      <c r="J375" s="9">
        <f t="shared" si="442"/>
        <v>0</v>
      </c>
      <c r="K375" s="9">
        <f t="shared" si="443"/>
        <v>0</v>
      </c>
      <c r="L375" s="9">
        <f t="shared" si="444"/>
        <v>0</v>
      </c>
      <c r="M375" s="11">
        <f t="shared" si="451"/>
        <v>0</v>
      </c>
      <c r="N375" s="9">
        <f t="shared" si="445"/>
        <v>0</v>
      </c>
      <c r="O375" s="12">
        <f t="shared" si="446"/>
        <v>0</v>
      </c>
      <c r="P375" s="13" t="str">
        <f t="shared" si="426"/>
        <v>NO</v>
      </c>
      <c r="Q375">
        <f t="shared" si="440"/>
        <v>0</v>
      </c>
      <c r="R375">
        <f t="shared" si="447"/>
        <v>100</v>
      </c>
      <c r="S375">
        <f t="shared" si="448"/>
        <v>0</v>
      </c>
      <c r="T375" s="154"/>
      <c r="U375" s="159"/>
      <c r="V375" s="160"/>
    </row>
    <row r="376" spans="1:22" ht="15" hidden="1" customHeight="1" x14ac:dyDescent="0.3">
      <c r="A376" s="34" t="s">
        <v>1400</v>
      </c>
      <c r="B376" s="36">
        <v>201</v>
      </c>
      <c r="C376" s="29" t="s">
        <v>1110</v>
      </c>
      <c r="D376" s="29" t="str">
        <f t="shared" si="449"/>
        <v>NO APLICA</v>
      </c>
      <c r="E376" s="27" t="s">
        <v>1137</v>
      </c>
      <c r="F376" s="20">
        <f t="shared" si="453"/>
        <v>0</v>
      </c>
      <c r="G376" s="21">
        <f t="shared" si="450"/>
        <v>0</v>
      </c>
      <c r="H376" s="9">
        <f t="shared" si="441"/>
        <v>0</v>
      </c>
      <c r="I376" s="9" t="s">
        <v>1235</v>
      </c>
      <c r="J376" s="9">
        <f t="shared" si="442"/>
        <v>0</v>
      </c>
      <c r="K376" s="9">
        <f t="shared" si="443"/>
        <v>0</v>
      </c>
      <c r="L376" s="9">
        <f t="shared" si="444"/>
        <v>0</v>
      </c>
      <c r="M376" s="11">
        <f t="shared" si="451"/>
        <v>0</v>
      </c>
      <c r="N376" s="9">
        <f t="shared" si="445"/>
        <v>0</v>
      </c>
      <c r="O376" s="12">
        <f t="shared" si="446"/>
        <v>0</v>
      </c>
      <c r="P376" s="13" t="str">
        <f t="shared" si="426"/>
        <v>NO</v>
      </c>
      <c r="Q376">
        <f t="shared" si="440"/>
        <v>0</v>
      </c>
      <c r="R376">
        <f t="shared" si="447"/>
        <v>100</v>
      </c>
      <c r="S376">
        <f t="shared" si="448"/>
        <v>0</v>
      </c>
      <c r="T376" s="152">
        <v>0.5</v>
      </c>
      <c r="U376" s="159">
        <f t="shared" si="452"/>
        <v>0</v>
      </c>
      <c r="V376" s="160">
        <f t="shared" si="454"/>
        <v>0</v>
      </c>
    </row>
    <row r="377" spans="1:22" ht="15" hidden="1" customHeight="1" x14ac:dyDescent="0.3">
      <c r="A377" s="34" t="s">
        <v>1400</v>
      </c>
      <c r="B377" s="36">
        <v>202</v>
      </c>
      <c r="C377" s="29" t="s">
        <v>1406</v>
      </c>
      <c r="D377" s="29" t="str">
        <f t="shared" si="449"/>
        <v>NO APLICA</v>
      </c>
      <c r="E377" s="27" t="s">
        <v>1137</v>
      </c>
      <c r="F377" s="42">
        <v>0</v>
      </c>
      <c r="G377" s="113">
        <v>0</v>
      </c>
      <c r="H377" s="9">
        <f t="shared" si="441"/>
        <v>0</v>
      </c>
      <c r="I377" s="9" t="s">
        <v>1235</v>
      </c>
      <c r="J377" s="9">
        <f t="shared" si="442"/>
        <v>0</v>
      </c>
      <c r="K377" s="9">
        <f t="shared" si="443"/>
        <v>0</v>
      </c>
      <c r="L377" s="9">
        <f t="shared" si="444"/>
        <v>0</v>
      </c>
      <c r="M377" s="11">
        <f t="shared" si="451"/>
        <v>0</v>
      </c>
      <c r="N377" s="9">
        <f t="shared" si="445"/>
        <v>0</v>
      </c>
      <c r="O377" s="12">
        <f t="shared" si="446"/>
        <v>0</v>
      </c>
      <c r="P377" s="13" t="str">
        <f t="shared" si="426"/>
        <v>NO</v>
      </c>
      <c r="Q377">
        <f t="shared" si="440"/>
        <v>0</v>
      </c>
      <c r="R377">
        <f t="shared" si="447"/>
        <v>100</v>
      </c>
      <c r="S377">
        <f t="shared" si="448"/>
        <v>0</v>
      </c>
      <c r="T377" s="152"/>
      <c r="U377" s="159"/>
      <c r="V377" s="160"/>
    </row>
    <row r="378" spans="1:22" ht="15" hidden="1" customHeight="1" thickBot="1" x14ac:dyDescent="0.35">
      <c r="A378" s="34" t="s">
        <v>1400</v>
      </c>
      <c r="B378" s="36">
        <v>195</v>
      </c>
      <c r="C378" s="29" t="s">
        <v>1262</v>
      </c>
      <c r="D378" s="29" t="str">
        <f t="shared" si="449"/>
        <v>NO APLICA</v>
      </c>
      <c r="E378" s="27" t="s">
        <v>1186</v>
      </c>
      <c r="F378" s="20">
        <f t="shared" si="453"/>
        <v>0</v>
      </c>
      <c r="G378" s="21">
        <f t="shared" si="450"/>
        <v>0</v>
      </c>
      <c r="H378" s="9">
        <f t="shared" si="441"/>
        <v>0</v>
      </c>
      <c r="I378" s="9" t="s">
        <v>1235</v>
      </c>
      <c r="J378" s="9">
        <f t="shared" si="442"/>
        <v>0</v>
      </c>
      <c r="K378" s="9">
        <f t="shared" si="443"/>
        <v>0</v>
      </c>
      <c r="L378" s="9">
        <f t="shared" si="444"/>
        <v>0</v>
      </c>
      <c r="M378" s="11">
        <f t="shared" si="451"/>
        <v>0</v>
      </c>
      <c r="N378" s="9">
        <f t="shared" si="445"/>
        <v>0</v>
      </c>
      <c r="O378" s="12">
        <f t="shared" si="446"/>
        <v>0</v>
      </c>
      <c r="P378" s="13" t="str">
        <f t="shared" si="426"/>
        <v>NO</v>
      </c>
      <c r="Q378">
        <f t="shared" si="440"/>
        <v>0</v>
      </c>
      <c r="R378">
        <f t="shared" si="447"/>
        <v>100</v>
      </c>
      <c r="S378">
        <f t="shared" si="448"/>
        <v>0</v>
      </c>
      <c r="T378" s="152">
        <v>0.05</v>
      </c>
      <c r="U378" s="159">
        <f t="shared" si="452"/>
        <v>0</v>
      </c>
      <c r="V378" s="160">
        <f t="shared" si="454"/>
        <v>0</v>
      </c>
    </row>
    <row r="379" spans="1:22" s="18" customFormat="1" ht="15" hidden="1" customHeight="1" thickBot="1" x14ac:dyDescent="0.35">
      <c r="A379" s="24"/>
      <c r="B379" s="26"/>
      <c r="C379" s="15" t="s">
        <v>1177</v>
      </c>
      <c r="D379" s="38" t="str">
        <f>D378</f>
        <v>NO APLICA</v>
      </c>
      <c r="E379" s="38"/>
      <c r="F379" s="16">
        <f>SUMIF(E371:E378,"Adicional",F371:F378)</f>
        <v>0</v>
      </c>
      <c r="G379" s="17"/>
      <c r="H379" s="16">
        <f>SUM(H371:H378)</f>
        <v>0</v>
      </c>
      <c r="I379" s="16"/>
      <c r="J379" s="16">
        <f t="shared" ref="J379:L379" si="455">SUM(J371:J378)</f>
        <v>0</v>
      </c>
      <c r="K379" s="16">
        <f t="shared" si="455"/>
        <v>0</v>
      </c>
      <c r="L379" s="16">
        <f t="shared" si="455"/>
        <v>0</v>
      </c>
      <c r="M379" s="16" t="s">
        <v>1178</v>
      </c>
      <c r="N379" s="16">
        <f t="shared" ref="N379:O379" si="456">SUM(N371:N378)</f>
        <v>0</v>
      </c>
      <c r="O379" s="84">
        <f t="shared" si="456"/>
        <v>0</v>
      </c>
      <c r="P379" s="13" t="str">
        <f t="shared" si="426"/>
        <v>NO</v>
      </c>
      <c r="Q379">
        <f>IF(D379="INCLUIDO",IF(H379&lt;&gt;0,1,0),0)</f>
        <v>0</v>
      </c>
      <c r="T379" s="143">
        <f>SUM(T371:T378)</f>
        <v>1</v>
      </c>
      <c r="U379" s="144">
        <f>SUM(U371:U378)</f>
        <v>0</v>
      </c>
      <c r="V379" s="145">
        <f>SUM(V371:V378)</f>
        <v>0</v>
      </c>
    </row>
    <row r="380" spans="1:22" ht="15" hidden="1" customHeight="1" x14ac:dyDescent="0.3">
      <c r="A380" s="82">
        <v>915</v>
      </c>
      <c r="B380" s="33">
        <v>1</v>
      </c>
      <c r="C380" s="19" t="s">
        <v>1407</v>
      </c>
      <c r="D380" s="23" t="str">
        <f>'Ramo Comercial'!C169</f>
        <v>NO APLICA</v>
      </c>
      <c r="E380" s="91"/>
      <c r="F380" s="28"/>
      <c r="G380" s="28"/>
      <c r="H380" s="28"/>
      <c r="I380" s="28"/>
      <c r="J380" s="28"/>
      <c r="K380" s="28"/>
      <c r="L380" s="28"/>
      <c r="M380" s="68">
        <v>0.2</v>
      </c>
      <c r="N380" s="28"/>
      <c r="O380" s="83"/>
      <c r="P380" s="13" t="str">
        <f t="shared" si="426"/>
        <v>NO</v>
      </c>
      <c r="Q380" s="47">
        <f>IF(D380="INCLUIDO",IF(F381&lt;&gt;0,1,0),0)</f>
        <v>0</v>
      </c>
    </row>
    <row r="381" spans="1:22" ht="15" hidden="1" customHeight="1" x14ac:dyDescent="0.3">
      <c r="A381" s="34" t="s">
        <v>1408</v>
      </c>
      <c r="B381" s="36">
        <v>203</v>
      </c>
      <c r="C381" s="29" t="s">
        <v>1409</v>
      </c>
      <c r="D381" s="29" t="str">
        <f>$D$380</f>
        <v>NO APLICA</v>
      </c>
      <c r="E381" s="27" t="s">
        <v>1152</v>
      </c>
      <c r="F381" s="43">
        <v>0</v>
      </c>
      <c r="G381" s="21">
        <v>0</v>
      </c>
      <c r="H381" s="9">
        <f t="shared" ref="H381:H393" si="457">(IF(I381="$ Prima",G381,G381*F381/R381))*$U$9</f>
        <v>0</v>
      </c>
      <c r="I381" s="9" t="s">
        <v>1287</v>
      </c>
      <c r="J381" s="9">
        <f t="shared" ref="J381:J393" si="458">H381*$U$7</f>
        <v>0</v>
      </c>
      <c r="K381" s="9">
        <f t="shared" ref="K381:K393" si="459">(H381+J381)*$K$15</f>
        <v>0</v>
      </c>
      <c r="L381" s="9">
        <f t="shared" ref="L381:L393" si="460">ROUND(H381+J381+K381,2)</f>
        <v>0</v>
      </c>
      <c r="M381" s="11">
        <f>$M$380</f>
        <v>0.2</v>
      </c>
      <c r="N381" s="9">
        <f t="shared" ref="N381:N393" si="461">H381*M381</f>
        <v>0</v>
      </c>
      <c r="O381" s="12">
        <f t="shared" ref="O381:O393" si="462">N381</f>
        <v>0</v>
      </c>
      <c r="P381" s="13" t="str">
        <f t="shared" si="426"/>
        <v>NO</v>
      </c>
      <c r="Q381">
        <f t="shared" ref="Q381:Q393" si="463">IF(D381="INCLUIDO",IF(F381&lt;&gt;0,1,0),0)</f>
        <v>0</v>
      </c>
      <c r="R381">
        <f t="shared" ref="R381:R393" si="464">IF(I381="%o Al Millar",1000,IF(I381="% Al Porciento",100,IF(I381="$ Prima",G381)))</f>
        <v>0</v>
      </c>
      <c r="S381">
        <f t="shared" ref="S381:S393" si="465">IF(E381="Excluido",0,IF(D381="NO APLICA",0,1))</f>
        <v>0</v>
      </c>
    </row>
    <row r="382" spans="1:22" ht="15" hidden="1" customHeight="1" x14ac:dyDescent="0.3">
      <c r="A382" s="34" t="s">
        <v>1408</v>
      </c>
      <c r="B382" s="36">
        <v>206</v>
      </c>
      <c r="C382" s="29" t="s">
        <v>1410</v>
      </c>
      <c r="D382" s="29" t="str">
        <f t="shared" ref="D382:D393" si="466">$D$380</f>
        <v>NO APLICA</v>
      </c>
      <c r="E382" s="27" t="s">
        <v>1152</v>
      </c>
      <c r="F382" s="43">
        <v>0</v>
      </c>
      <c r="G382" s="21">
        <v>0</v>
      </c>
      <c r="H382" s="9">
        <f t="shared" si="457"/>
        <v>0</v>
      </c>
      <c r="I382" s="9" t="s">
        <v>1287</v>
      </c>
      <c r="J382" s="9">
        <f t="shared" si="458"/>
        <v>0</v>
      </c>
      <c r="K382" s="9">
        <f t="shared" si="459"/>
        <v>0</v>
      </c>
      <c r="L382" s="9">
        <f t="shared" si="460"/>
        <v>0</v>
      </c>
      <c r="M382" s="11">
        <f t="shared" ref="M382:M393" si="467">$M$380</f>
        <v>0.2</v>
      </c>
      <c r="N382" s="9">
        <f t="shared" si="461"/>
        <v>0</v>
      </c>
      <c r="O382" s="12">
        <f t="shared" si="462"/>
        <v>0</v>
      </c>
      <c r="P382" s="13" t="str">
        <f t="shared" si="426"/>
        <v>NO</v>
      </c>
      <c r="Q382">
        <f t="shared" si="463"/>
        <v>0</v>
      </c>
      <c r="R382">
        <f t="shared" si="464"/>
        <v>0</v>
      </c>
      <c r="S382">
        <f t="shared" si="465"/>
        <v>0</v>
      </c>
    </row>
    <row r="383" spans="1:22" ht="15" hidden="1" customHeight="1" x14ac:dyDescent="0.3">
      <c r="A383" s="34" t="s">
        <v>1408</v>
      </c>
      <c r="B383" s="36">
        <v>269</v>
      </c>
      <c r="C383" s="29" t="s">
        <v>1411</v>
      </c>
      <c r="D383" s="29" t="str">
        <f t="shared" si="466"/>
        <v>NO APLICA</v>
      </c>
      <c r="E383" s="27" t="s">
        <v>1152</v>
      </c>
      <c r="F383" s="43">
        <v>0</v>
      </c>
      <c r="G383" s="21">
        <v>0</v>
      </c>
      <c r="H383" s="9">
        <f t="shared" si="457"/>
        <v>0</v>
      </c>
      <c r="I383" s="9" t="s">
        <v>1287</v>
      </c>
      <c r="J383" s="9">
        <f t="shared" si="458"/>
        <v>0</v>
      </c>
      <c r="K383" s="9">
        <f t="shared" si="459"/>
        <v>0</v>
      </c>
      <c r="L383" s="9">
        <f t="shared" si="460"/>
        <v>0</v>
      </c>
      <c r="M383" s="11">
        <f t="shared" si="467"/>
        <v>0.2</v>
      </c>
      <c r="N383" s="9">
        <f t="shared" si="461"/>
        <v>0</v>
      </c>
      <c r="O383" s="12">
        <f t="shared" si="462"/>
        <v>0</v>
      </c>
      <c r="P383" s="13" t="str">
        <f t="shared" si="426"/>
        <v>NO</v>
      </c>
      <c r="Q383">
        <f t="shared" si="463"/>
        <v>0</v>
      </c>
      <c r="R383">
        <f t="shared" si="464"/>
        <v>0</v>
      </c>
      <c r="S383">
        <f t="shared" si="465"/>
        <v>0</v>
      </c>
    </row>
    <row r="384" spans="1:22" ht="15" hidden="1" customHeight="1" x14ac:dyDescent="0.3">
      <c r="A384" s="34" t="s">
        <v>1408</v>
      </c>
      <c r="B384" s="36">
        <v>270</v>
      </c>
      <c r="C384" s="29" t="s">
        <v>1412</v>
      </c>
      <c r="D384" s="29" t="str">
        <f t="shared" si="466"/>
        <v>NO APLICA</v>
      </c>
      <c r="E384" s="27" t="s">
        <v>1152</v>
      </c>
      <c r="F384" s="43">
        <v>0</v>
      </c>
      <c r="G384" s="21">
        <v>0</v>
      </c>
      <c r="H384" s="9">
        <f t="shared" si="457"/>
        <v>0</v>
      </c>
      <c r="I384" s="9" t="s">
        <v>1287</v>
      </c>
      <c r="J384" s="9">
        <f t="shared" si="458"/>
        <v>0</v>
      </c>
      <c r="K384" s="9">
        <f t="shared" si="459"/>
        <v>0</v>
      </c>
      <c r="L384" s="9">
        <f t="shared" si="460"/>
        <v>0</v>
      </c>
      <c r="M384" s="11">
        <f t="shared" si="467"/>
        <v>0.2</v>
      </c>
      <c r="N384" s="9">
        <f t="shared" si="461"/>
        <v>0</v>
      </c>
      <c r="O384" s="12">
        <f t="shared" si="462"/>
        <v>0</v>
      </c>
      <c r="P384" s="13" t="str">
        <f t="shared" si="426"/>
        <v>NO</v>
      </c>
      <c r="Q384">
        <f t="shared" si="463"/>
        <v>0</v>
      </c>
      <c r="R384">
        <f t="shared" si="464"/>
        <v>0</v>
      </c>
      <c r="S384">
        <f t="shared" si="465"/>
        <v>0</v>
      </c>
    </row>
    <row r="385" spans="1:19" ht="15" hidden="1" customHeight="1" x14ac:dyDescent="0.3">
      <c r="A385" s="34" t="s">
        <v>1408</v>
      </c>
      <c r="B385" s="36">
        <v>204</v>
      </c>
      <c r="C385" s="29" t="s">
        <v>1413</v>
      </c>
      <c r="D385" s="29" t="str">
        <f t="shared" si="466"/>
        <v>NO APLICA</v>
      </c>
      <c r="E385" s="27" t="s">
        <v>1152</v>
      </c>
      <c r="F385" s="43">
        <v>0</v>
      </c>
      <c r="G385" s="21">
        <v>0</v>
      </c>
      <c r="H385" s="9">
        <f t="shared" si="457"/>
        <v>0</v>
      </c>
      <c r="I385" s="9" t="s">
        <v>1287</v>
      </c>
      <c r="J385" s="9">
        <f t="shared" si="458"/>
        <v>0</v>
      </c>
      <c r="K385" s="9">
        <f t="shared" si="459"/>
        <v>0</v>
      </c>
      <c r="L385" s="9">
        <f t="shared" si="460"/>
        <v>0</v>
      </c>
      <c r="M385" s="11">
        <f t="shared" si="467"/>
        <v>0.2</v>
      </c>
      <c r="N385" s="9">
        <f t="shared" si="461"/>
        <v>0</v>
      </c>
      <c r="O385" s="12">
        <f t="shared" si="462"/>
        <v>0</v>
      </c>
      <c r="P385" s="13" t="str">
        <f t="shared" si="426"/>
        <v>NO</v>
      </c>
      <c r="Q385">
        <f t="shared" si="463"/>
        <v>0</v>
      </c>
      <c r="R385">
        <f t="shared" si="464"/>
        <v>0</v>
      </c>
      <c r="S385">
        <f t="shared" si="465"/>
        <v>0</v>
      </c>
    </row>
    <row r="386" spans="1:19" ht="15" hidden="1" customHeight="1" x14ac:dyDescent="0.3">
      <c r="A386" s="34" t="s">
        <v>1408</v>
      </c>
      <c r="B386" s="36">
        <v>207</v>
      </c>
      <c r="C386" s="29" t="s">
        <v>1414</v>
      </c>
      <c r="D386" s="29" t="str">
        <f t="shared" si="466"/>
        <v>NO APLICA</v>
      </c>
      <c r="E386" s="27" t="s">
        <v>1152</v>
      </c>
      <c r="F386" s="43">
        <v>0</v>
      </c>
      <c r="G386" s="21">
        <v>0</v>
      </c>
      <c r="H386" s="9">
        <f t="shared" si="457"/>
        <v>0</v>
      </c>
      <c r="I386" s="9" t="s">
        <v>1287</v>
      </c>
      <c r="J386" s="9">
        <f t="shared" si="458"/>
        <v>0</v>
      </c>
      <c r="K386" s="9">
        <f t="shared" si="459"/>
        <v>0</v>
      </c>
      <c r="L386" s="9">
        <f t="shared" si="460"/>
        <v>0</v>
      </c>
      <c r="M386" s="11">
        <f t="shared" si="467"/>
        <v>0.2</v>
      </c>
      <c r="N386" s="9">
        <f t="shared" si="461"/>
        <v>0</v>
      </c>
      <c r="O386" s="12">
        <f t="shared" si="462"/>
        <v>0</v>
      </c>
      <c r="P386" s="13" t="str">
        <f t="shared" si="426"/>
        <v>NO</v>
      </c>
      <c r="Q386">
        <f t="shared" si="463"/>
        <v>0</v>
      </c>
      <c r="R386">
        <f t="shared" si="464"/>
        <v>0</v>
      </c>
      <c r="S386">
        <f t="shared" si="465"/>
        <v>0</v>
      </c>
    </row>
    <row r="387" spans="1:19" ht="15" hidden="1" customHeight="1" x14ac:dyDescent="0.3">
      <c r="A387" s="34" t="s">
        <v>1408</v>
      </c>
      <c r="B387" s="36">
        <v>271</v>
      </c>
      <c r="C387" s="29" t="s">
        <v>1415</v>
      </c>
      <c r="D387" s="29" t="str">
        <f t="shared" si="466"/>
        <v>NO APLICA</v>
      </c>
      <c r="E387" s="27" t="s">
        <v>1152</v>
      </c>
      <c r="F387" s="43">
        <v>0</v>
      </c>
      <c r="G387" s="21">
        <v>0</v>
      </c>
      <c r="H387" s="9">
        <f t="shared" si="457"/>
        <v>0</v>
      </c>
      <c r="I387" s="9" t="s">
        <v>1287</v>
      </c>
      <c r="J387" s="9">
        <f t="shared" si="458"/>
        <v>0</v>
      </c>
      <c r="K387" s="9">
        <f t="shared" si="459"/>
        <v>0</v>
      </c>
      <c r="L387" s="9">
        <f t="shared" si="460"/>
        <v>0</v>
      </c>
      <c r="M387" s="11">
        <f t="shared" si="467"/>
        <v>0.2</v>
      </c>
      <c r="N387" s="9">
        <f t="shared" si="461"/>
        <v>0</v>
      </c>
      <c r="O387" s="12">
        <f t="shared" si="462"/>
        <v>0</v>
      </c>
      <c r="P387" s="13" t="str">
        <f t="shared" si="426"/>
        <v>NO</v>
      </c>
      <c r="Q387">
        <f t="shared" si="463"/>
        <v>0</v>
      </c>
      <c r="R387">
        <f t="shared" si="464"/>
        <v>0</v>
      </c>
      <c r="S387">
        <f t="shared" si="465"/>
        <v>0</v>
      </c>
    </row>
    <row r="388" spans="1:19" ht="15" hidden="1" customHeight="1" x14ac:dyDescent="0.3">
      <c r="A388" s="34" t="s">
        <v>1408</v>
      </c>
      <c r="B388" s="36">
        <v>272</v>
      </c>
      <c r="C388" s="29" t="s">
        <v>1416</v>
      </c>
      <c r="D388" s="29" t="str">
        <f t="shared" si="466"/>
        <v>NO APLICA</v>
      </c>
      <c r="E388" s="27" t="s">
        <v>1152</v>
      </c>
      <c r="F388" s="43">
        <v>0</v>
      </c>
      <c r="G388" s="21">
        <v>0</v>
      </c>
      <c r="H388" s="9">
        <f t="shared" si="457"/>
        <v>0</v>
      </c>
      <c r="I388" s="9" t="s">
        <v>1287</v>
      </c>
      <c r="J388" s="9">
        <f t="shared" si="458"/>
        <v>0</v>
      </c>
      <c r="K388" s="9">
        <f t="shared" si="459"/>
        <v>0</v>
      </c>
      <c r="L388" s="9">
        <f t="shared" si="460"/>
        <v>0</v>
      </c>
      <c r="M388" s="11">
        <f t="shared" si="467"/>
        <v>0.2</v>
      </c>
      <c r="N388" s="9">
        <f t="shared" si="461"/>
        <v>0</v>
      </c>
      <c r="O388" s="12">
        <f t="shared" si="462"/>
        <v>0</v>
      </c>
      <c r="P388" s="13" t="str">
        <f t="shared" si="426"/>
        <v>NO</v>
      </c>
      <c r="Q388">
        <f t="shared" si="463"/>
        <v>0</v>
      </c>
      <c r="R388">
        <f t="shared" si="464"/>
        <v>0</v>
      </c>
      <c r="S388">
        <f t="shared" si="465"/>
        <v>0</v>
      </c>
    </row>
    <row r="389" spans="1:19" ht="15" hidden="1" customHeight="1" x14ac:dyDescent="0.3">
      <c r="A389" s="34" t="s">
        <v>1408</v>
      </c>
      <c r="B389" s="36">
        <v>205</v>
      </c>
      <c r="C389" s="29" t="s">
        <v>1417</v>
      </c>
      <c r="D389" s="29" t="str">
        <f t="shared" si="466"/>
        <v>NO APLICA</v>
      </c>
      <c r="E389" s="27" t="s">
        <v>1152</v>
      </c>
      <c r="F389" s="43">
        <v>0</v>
      </c>
      <c r="G389" s="21">
        <v>0</v>
      </c>
      <c r="H389" s="9">
        <f t="shared" si="457"/>
        <v>0</v>
      </c>
      <c r="I389" s="9" t="s">
        <v>1287</v>
      </c>
      <c r="J389" s="9">
        <f t="shared" si="458"/>
        <v>0</v>
      </c>
      <c r="K389" s="9">
        <f t="shared" si="459"/>
        <v>0</v>
      </c>
      <c r="L389" s="9">
        <f t="shared" si="460"/>
        <v>0</v>
      </c>
      <c r="M389" s="11">
        <f t="shared" si="467"/>
        <v>0.2</v>
      </c>
      <c r="N389" s="9">
        <f t="shared" si="461"/>
        <v>0</v>
      </c>
      <c r="O389" s="12">
        <f t="shared" si="462"/>
        <v>0</v>
      </c>
      <c r="P389" s="13" t="str">
        <f t="shared" si="426"/>
        <v>NO</v>
      </c>
      <c r="Q389">
        <f t="shared" si="463"/>
        <v>0</v>
      </c>
      <c r="R389">
        <f t="shared" si="464"/>
        <v>0</v>
      </c>
      <c r="S389">
        <f t="shared" si="465"/>
        <v>0</v>
      </c>
    </row>
    <row r="390" spans="1:19" ht="15" hidden="1" customHeight="1" x14ac:dyDescent="0.3">
      <c r="A390" s="34" t="s">
        <v>1408</v>
      </c>
      <c r="B390" s="36">
        <v>208</v>
      </c>
      <c r="C390" s="29" t="s">
        <v>1418</v>
      </c>
      <c r="D390" s="29" t="str">
        <f t="shared" si="466"/>
        <v>NO APLICA</v>
      </c>
      <c r="E390" s="27" t="s">
        <v>1152</v>
      </c>
      <c r="F390" s="43">
        <v>0</v>
      </c>
      <c r="G390" s="21">
        <v>0</v>
      </c>
      <c r="H390" s="9">
        <f t="shared" si="457"/>
        <v>0</v>
      </c>
      <c r="I390" s="9" t="s">
        <v>1287</v>
      </c>
      <c r="J390" s="9">
        <f t="shared" si="458"/>
        <v>0</v>
      </c>
      <c r="K390" s="9">
        <f t="shared" si="459"/>
        <v>0</v>
      </c>
      <c r="L390" s="9">
        <f t="shared" si="460"/>
        <v>0</v>
      </c>
      <c r="M390" s="11">
        <f t="shared" si="467"/>
        <v>0.2</v>
      </c>
      <c r="N390" s="9">
        <f t="shared" si="461"/>
        <v>0</v>
      </c>
      <c r="O390" s="12">
        <f t="shared" si="462"/>
        <v>0</v>
      </c>
      <c r="P390" s="13" t="str">
        <f t="shared" si="426"/>
        <v>NO</v>
      </c>
      <c r="Q390">
        <f t="shared" si="463"/>
        <v>0</v>
      </c>
      <c r="R390">
        <f t="shared" si="464"/>
        <v>0</v>
      </c>
      <c r="S390">
        <f t="shared" si="465"/>
        <v>0</v>
      </c>
    </row>
    <row r="391" spans="1:19" ht="15" hidden="1" customHeight="1" x14ac:dyDescent="0.3">
      <c r="A391" s="34" t="s">
        <v>1408</v>
      </c>
      <c r="B391" s="36">
        <v>273</v>
      </c>
      <c r="C391" s="29" t="s">
        <v>1419</v>
      </c>
      <c r="D391" s="29" t="str">
        <f t="shared" si="466"/>
        <v>NO APLICA</v>
      </c>
      <c r="E391" s="27" t="s">
        <v>1152</v>
      </c>
      <c r="F391" s="43">
        <v>0</v>
      </c>
      <c r="G391" s="21">
        <v>0</v>
      </c>
      <c r="H391" s="9">
        <f t="shared" si="457"/>
        <v>0</v>
      </c>
      <c r="I391" s="9" t="s">
        <v>1287</v>
      </c>
      <c r="J391" s="9">
        <f t="shared" si="458"/>
        <v>0</v>
      </c>
      <c r="K391" s="9">
        <f t="shared" si="459"/>
        <v>0</v>
      </c>
      <c r="L391" s="9">
        <f t="shared" si="460"/>
        <v>0</v>
      </c>
      <c r="M391" s="11">
        <f t="shared" si="467"/>
        <v>0.2</v>
      </c>
      <c r="N391" s="9">
        <f t="shared" si="461"/>
        <v>0</v>
      </c>
      <c r="O391" s="12">
        <f t="shared" si="462"/>
        <v>0</v>
      </c>
      <c r="P391" s="13" t="str">
        <f t="shared" si="426"/>
        <v>NO</v>
      </c>
      <c r="Q391">
        <f t="shared" si="463"/>
        <v>0</v>
      </c>
      <c r="R391">
        <f t="shared" si="464"/>
        <v>0</v>
      </c>
      <c r="S391">
        <f t="shared" si="465"/>
        <v>0</v>
      </c>
    </row>
    <row r="392" spans="1:19" ht="15" hidden="1" customHeight="1" x14ac:dyDescent="0.3">
      <c r="A392" s="34" t="s">
        <v>1408</v>
      </c>
      <c r="B392" s="36">
        <v>274</v>
      </c>
      <c r="C392" s="29" t="s">
        <v>1420</v>
      </c>
      <c r="D392" s="29" t="str">
        <f t="shared" si="466"/>
        <v>NO APLICA</v>
      </c>
      <c r="E392" s="27" t="s">
        <v>1152</v>
      </c>
      <c r="F392" s="43">
        <v>0</v>
      </c>
      <c r="G392" s="21">
        <v>0</v>
      </c>
      <c r="H392" s="9">
        <f t="shared" si="457"/>
        <v>0</v>
      </c>
      <c r="I392" s="9" t="s">
        <v>1287</v>
      </c>
      <c r="J392" s="9">
        <f t="shared" si="458"/>
        <v>0</v>
      </c>
      <c r="K392" s="9">
        <f t="shared" si="459"/>
        <v>0</v>
      </c>
      <c r="L392" s="9">
        <f t="shared" si="460"/>
        <v>0</v>
      </c>
      <c r="M392" s="11">
        <f t="shared" si="467"/>
        <v>0.2</v>
      </c>
      <c r="N392" s="9">
        <f t="shared" si="461"/>
        <v>0</v>
      </c>
      <c r="O392" s="12">
        <f t="shared" si="462"/>
        <v>0</v>
      </c>
      <c r="P392" s="13" t="str">
        <f t="shared" si="426"/>
        <v>NO</v>
      </c>
      <c r="Q392">
        <f t="shared" si="463"/>
        <v>0</v>
      </c>
      <c r="R392">
        <f t="shared" si="464"/>
        <v>0</v>
      </c>
      <c r="S392">
        <f t="shared" si="465"/>
        <v>0</v>
      </c>
    </row>
    <row r="393" spans="1:19" ht="15" hidden="1" customHeight="1" x14ac:dyDescent="0.3">
      <c r="A393" s="34" t="s">
        <v>1408</v>
      </c>
      <c r="B393" s="36">
        <v>255</v>
      </c>
      <c r="C393" s="29" t="s">
        <v>1293</v>
      </c>
      <c r="D393" s="29" t="str">
        <f t="shared" si="466"/>
        <v>NO APLICA</v>
      </c>
      <c r="E393" s="27" t="s">
        <v>1152</v>
      </c>
      <c r="F393" s="43">
        <v>0</v>
      </c>
      <c r="G393" s="21">
        <v>0</v>
      </c>
      <c r="H393" s="9">
        <f t="shared" si="457"/>
        <v>0</v>
      </c>
      <c r="I393" s="9" t="s">
        <v>1287</v>
      </c>
      <c r="J393" s="9">
        <f t="shared" si="458"/>
        <v>0</v>
      </c>
      <c r="K393" s="9">
        <f t="shared" si="459"/>
        <v>0</v>
      </c>
      <c r="L393" s="9">
        <f t="shared" si="460"/>
        <v>0</v>
      </c>
      <c r="M393" s="11">
        <f t="shared" si="467"/>
        <v>0.2</v>
      </c>
      <c r="N393" s="9">
        <f t="shared" si="461"/>
        <v>0</v>
      </c>
      <c r="O393" s="12">
        <f t="shared" si="462"/>
        <v>0</v>
      </c>
      <c r="P393" s="13" t="str">
        <f t="shared" si="426"/>
        <v>NO</v>
      </c>
      <c r="Q393">
        <f t="shared" si="463"/>
        <v>0</v>
      </c>
      <c r="R393">
        <f t="shared" si="464"/>
        <v>0</v>
      </c>
      <c r="S393">
        <f t="shared" si="465"/>
        <v>0</v>
      </c>
    </row>
    <row r="394" spans="1:19" s="18" customFormat="1" ht="15" hidden="1" customHeight="1" x14ac:dyDescent="0.3">
      <c r="A394" s="24"/>
      <c r="B394" s="26"/>
      <c r="C394" s="15" t="s">
        <v>1177</v>
      </c>
      <c r="D394" s="38" t="str">
        <f>D393</f>
        <v>NO APLICA</v>
      </c>
      <c r="E394" s="38"/>
      <c r="F394" s="16">
        <f>SUMIF(E381:E393,"Adicional",F381:F393)</f>
        <v>0</v>
      </c>
      <c r="G394" s="17"/>
      <c r="H394" s="16">
        <f>SUM(H381:H393)</f>
        <v>0</v>
      </c>
      <c r="I394" s="16"/>
      <c r="J394" s="16">
        <f t="shared" ref="J394:L394" si="468">SUM(J381:J393)</f>
        <v>0</v>
      </c>
      <c r="K394" s="16">
        <f t="shared" si="468"/>
        <v>0</v>
      </c>
      <c r="L394" s="16">
        <f t="shared" si="468"/>
        <v>0</v>
      </c>
      <c r="M394" s="16" t="s">
        <v>1178</v>
      </c>
      <c r="N394" s="16">
        <f t="shared" ref="N394:O394" si="469">SUM(N381:N393)</f>
        <v>0</v>
      </c>
      <c r="O394" s="84">
        <f t="shared" si="469"/>
        <v>0</v>
      </c>
      <c r="P394" s="13" t="str">
        <f t="shared" si="426"/>
        <v>NO</v>
      </c>
      <c r="Q394">
        <f>IF(D394="INCLUIDO",IF(H394&lt;&gt;0,1,0),0)</f>
        <v>0</v>
      </c>
    </row>
    <row r="395" spans="1:19" ht="15" hidden="1" customHeight="1" x14ac:dyDescent="0.3">
      <c r="A395" s="82">
        <v>916</v>
      </c>
      <c r="B395" s="33">
        <v>1</v>
      </c>
      <c r="C395" s="19" t="s">
        <v>1421</v>
      </c>
      <c r="D395" s="23" t="str">
        <f>'Ramo Comercial'!C171</f>
        <v>NO APLICA</v>
      </c>
      <c r="E395" s="91"/>
      <c r="F395" s="28"/>
      <c r="G395" s="28"/>
      <c r="H395" s="28"/>
      <c r="I395" s="28"/>
      <c r="J395" s="28"/>
      <c r="K395" s="28"/>
      <c r="L395" s="28"/>
      <c r="M395" s="68">
        <v>0</v>
      </c>
      <c r="N395" s="28"/>
      <c r="O395" s="83"/>
      <c r="P395" s="13" t="str">
        <f t="shared" si="426"/>
        <v>NO</v>
      </c>
      <c r="Q395" s="47">
        <f>IF(D395="INCLUIDO",IF(F396&lt;&gt;0,1,0),0)</f>
        <v>0</v>
      </c>
    </row>
    <row r="396" spans="1:19" ht="15" hidden="1" customHeight="1" x14ac:dyDescent="0.3">
      <c r="A396" s="34" t="s">
        <v>1422</v>
      </c>
      <c r="B396" s="36">
        <v>212</v>
      </c>
      <c r="C396" s="29" t="s">
        <v>1423</v>
      </c>
      <c r="D396" s="29" t="str">
        <f>$D$395</f>
        <v>NO APLICA</v>
      </c>
      <c r="E396" s="27" t="s">
        <v>1152</v>
      </c>
      <c r="F396" s="43">
        <v>0</v>
      </c>
      <c r="G396" s="21">
        <v>0</v>
      </c>
      <c r="H396" s="9">
        <f t="shared" ref="H396:H400" si="470">(IF(I396="$ Prima",G396,G396*F396/R396))*$U$9</f>
        <v>0</v>
      </c>
      <c r="I396" s="9" t="s">
        <v>1235</v>
      </c>
      <c r="J396" s="9">
        <f t="shared" ref="J396:J400" si="471">H396*$U$7</f>
        <v>0</v>
      </c>
      <c r="K396" s="9">
        <f t="shared" ref="K396:K400" si="472">(H396+J396)*$K$15</f>
        <v>0</v>
      </c>
      <c r="L396" s="9">
        <f t="shared" ref="L396:L400" si="473">ROUND(H396+J396+K396,2)</f>
        <v>0</v>
      </c>
      <c r="M396" s="11">
        <f>$M$395</f>
        <v>0</v>
      </c>
      <c r="N396" s="9">
        <f t="shared" ref="N396:N400" si="474">H396*M396</f>
        <v>0</v>
      </c>
      <c r="O396" s="12">
        <f t="shared" ref="O396:O400" si="475">N396</f>
        <v>0</v>
      </c>
      <c r="P396" s="13" t="str">
        <f t="shared" si="426"/>
        <v>NO</v>
      </c>
      <c r="Q396">
        <f>IF(D396="INCLUIDO",IF(F396&lt;&gt;0,1,0),0)</f>
        <v>0</v>
      </c>
      <c r="R396">
        <f>IF(I396="%o Al Millar",1000,IF(I396="% Al Porciento",100,IF(I396="$ Prima",G396)))</f>
        <v>100</v>
      </c>
      <c r="S396">
        <f t="shared" ref="S396:S400" si="476">IF(E396="Excluido",0,IF(D396="NO APLICA",0,1))</f>
        <v>0</v>
      </c>
    </row>
    <row r="397" spans="1:19" ht="15" hidden="1" customHeight="1" x14ac:dyDescent="0.3">
      <c r="A397" s="34" t="s">
        <v>1422</v>
      </c>
      <c r="B397" s="36">
        <v>211</v>
      </c>
      <c r="C397" s="29" t="s">
        <v>1424</v>
      </c>
      <c r="D397" s="29" t="str">
        <f t="shared" ref="D397:D400" si="477">$D$395</f>
        <v>NO APLICA</v>
      </c>
      <c r="E397" s="27" t="s">
        <v>1137</v>
      </c>
      <c r="F397" s="43">
        <v>0</v>
      </c>
      <c r="G397" s="21">
        <v>0</v>
      </c>
      <c r="H397" s="9">
        <f t="shared" si="470"/>
        <v>0</v>
      </c>
      <c r="I397" s="9" t="s">
        <v>1235</v>
      </c>
      <c r="J397" s="9">
        <f t="shared" si="471"/>
        <v>0</v>
      </c>
      <c r="K397" s="9">
        <f t="shared" si="472"/>
        <v>0</v>
      </c>
      <c r="L397" s="9">
        <f t="shared" si="473"/>
        <v>0</v>
      </c>
      <c r="M397" s="11">
        <f t="shared" ref="M397:M400" si="478">$M$395</f>
        <v>0</v>
      </c>
      <c r="N397" s="9">
        <f t="shared" si="474"/>
        <v>0</v>
      </c>
      <c r="O397" s="12">
        <f t="shared" si="475"/>
        <v>0</v>
      </c>
      <c r="P397" s="13" t="str">
        <f t="shared" si="426"/>
        <v>NO</v>
      </c>
      <c r="Q397">
        <f>IF(D397="INCLUIDO",IF(F397&lt;&gt;0,1,0),0)</f>
        <v>0</v>
      </c>
      <c r="R397">
        <f>IF(I397="%o Al Millar",1000,IF(I397="% Al Porciento",100,IF(I397="$ Prima",G397)))</f>
        <v>100</v>
      </c>
      <c r="S397">
        <f t="shared" si="476"/>
        <v>0</v>
      </c>
    </row>
    <row r="398" spans="1:19" ht="15" hidden="1" customHeight="1" x14ac:dyDescent="0.3">
      <c r="A398" s="34" t="s">
        <v>1422</v>
      </c>
      <c r="B398" s="36">
        <v>215</v>
      </c>
      <c r="C398" s="29" t="s">
        <v>1425</v>
      </c>
      <c r="D398" s="29" t="str">
        <f t="shared" si="477"/>
        <v>NO APLICA</v>
      </c>
      <c r="E398" s="27" t="s">
        <v>1137</v>
      </c>
      <c r="F398" s="43">
        <v>0</v>
      </c>
      <c r="G398" s="21">
        <v>0</v>
      </c>
      <c r="H398" s="9">
        <f t="shared" si="470"/>
        <v>0</v>
      </c>
      <c r="I398" s="9" t="s">
        <v>1235</v>
      </c>
      <c r="J398" s="9">
        <f t="shared" si="471"/>
        <v>0</v>
      </c>
      <c r="K398" s="9">
        <f t="shared" si="472"/>
        <v>0</v>
      </c>
      <c r="L398" s="9">
        <f t="shared" si="473"/>
        <v>0</v>
      </c>
      <c r="M398" s="11">
        <f t="shared" si="478"/>
        <v>0</v>
      </c>
      <c r="N398" s="9">
        <f t="shared" si="474"/>
        <v>0</v>
      </c>
      <c r="O398" s="12">
        <f t="shared" si="475"/>
        <v>0</v>
      </c>
      <c r="P398" s="13" t="str">
        <f t="shared" si="426"/>
        <v>NO</v>
      </c>
      <c r="Q398">
        <f>IF(D398="INCLUIDO",IF(F398&lt;&gt;0,1,0),0)</f>
        <v>0</v>
      </c>
      <c r="R398">
        <f>IF(I398="%o Al Millar",1000,IF(I398="% Al Porciento",100,IF(I398="$ Prima",G398)))</f>
        <v>100</v>
      </c>
      <c r="S398">
        <f t="shared" si="476"/>
        <v>0</v>
      </c>
    </row>
    <row r="399" spans="1:19" ht="15" hidden="1" customHeight="1" x14ac:dyDescent="0.3">
      <c r="A399" s="34" t="s">
        <v>1422</v>
      </c>
      <c r="B399" s="36">
        <v>217</v>
      </c>
      <c r="C399" s="29" t="s">
        <v>1426</v>
      </c>
      <c r="D399" s="29" t="str">
        <f t="shared" si="477"/>
        <v>NO APLICA</v>
      </c>
      <c r="E399" s="27" t="s">
        <v>1137</v>
      </c>
      <c r="F399" s="43">
        <v>0</v>
      </c>
      <c r="G399" s="21">
        <v>0</v>
      </c>
      <c r="H399" s="9">
        <f t="shared" si="470"/>
        <v>0</v>
      </c>
      <c r="I399" s="9" t="s">
        <v>1235</v>
      </c>
      <c r="J399" s="9">
        <f t="shared" si="471"/>
        <v>0</v>
      </c>
      <c r="K399" s="9">
        <f t="shared" si="472"/>
        <v>0</v>
      </c>
      <c r="L399" s="9">
        <f t="shared" si="473"/>
        <v>0</v>
      </c>
      <c r="M399" s="11">
        <f t="shared" si="478"/>
        <v>0</v>
      </c>
      <c r="N399" s="9">
        <f t="shared" si="474"/>
        <v>0</v>
      </c>
      <c r="O399" s="12">
        <f t="shared" si="475"/>
        <v>0</v>
      </c>
      <c r="P399" s="13" t="str">
        <f t="shared" si="426"/>
        <v>NO</v>
      </c>
      <c r="Q399">
        <f>IF(D399="INCLUIDO",IF(F399&lt;&gt;0,1,0),0)</f>
        <v>0</v>
      </c>
      <c r="R399">
        <f>IF(I399="%o Al Millar",1000,IF(I399="% Al Porciento",100,IF(I399="$ Prima",G399)))</f>
        <v>100</v>
      </c>
      <c r="S399">
        <f t="shared" si="476"/>
        <v>0</v>
      </c>
    </row>
    <row r="400" spans="1:19" ht="15" hidden="1" customHeight="1" x14ac:dyDescent="0.3">
      <c r="A400" s="34" t="s">
        <v>1422</v>
      </c>
      <c r="B400" s="36">
        <v>218</v>
      </c>
      <c r="C400" s="29" t="s">
        <v>1392</v>
      </c>
      <c r="D400" s="29" t="str">
        <f t="shared" si="477"/>
        <v>NO APLICA</v>
      </c>
      <c r="E400" s="27" t="s">
        <v>1137</v>
      </c>
      <c r="F400" s="43">
        <v>0</v>
      </c>
      <c r="G400" s="21">
        <v>0</v>
      </c>
      <c r="H400" s="9">
        <f t="shared" si="470"/>
        <v>0</v>
      </c>
      <c r="I400" s="9" t="s">
        <v>1235</v>
      </c>
      <c r="J400" s="9">
        <f t="shared" si="471"/>
        <v>0</v>
      </c>
      <c r="K400" s="9">
        <f t="shared" si="472"/>
        <v>0</v>
      </c>
      <c r="L400" s="9">
        <f t="shared" si="473"/>
        <v>0</v>
      </c>
      <c r="M400" s="11">
        <f t="shared" si="478"/>
        <v>0</v>
      </c>
      <c r="N400" s="9">
        <f t="shared" si="474"/>
        <v>0</v>
      </c>
      <c r="O400" s="12">
        <f t="shared" si="475"/>
        <v>0</v>
      </c>
      <c r="P400" s="13" t="str">
        <f t="shared" si="426"/>
        <v>NO</v>
      </c>
      <c r="Q400">
        <f>IF(D400="INCLUIDO",IF(F400&lt;&gt;0,1,0),0)</f>
        <v>0</v>
      </c>
      <c r="R400">
        <f>IF(I400="%o Al Millar",1000,IF(I400="% Al Porciento",100,IF(I400="$ Prima",G400)))</f>
        <v>100</v>
      </c>
      <c r="S400">
        <f t="shared" si="476"/>
        <v>0</v>
      </c>
    </row>
    <row r="401" spans="1:19" s="18" customFormat="1" ht="15" hidden="1" customHeight="1" x14ac:dyDescent="0.3">
      <c r="A401" s="24"/>
      <c r="B401" s="26"/>
      <c r="C401" s="15" t="s">
        <v>1177</v>
      </c>
      <c r="D401" s="38" t="str">
        <f>D400</f>
        <v>NO APLICA</v>
      </c>
      <c r="E401" s="38"/>
      <c r="F401" s="16">
        <f>SUMIF(E396:E400,"Adicional",F396:F400)</f>
        <v>0</v>
      </c>
      <c r="G401" s="17"/>
      <c r="H401" s="16">
        <f>SUM(H396:H400)</f>
        <v>0</v>
      </c>
      <c r="I401" s="16"/>
      <c r="J401" s="16">
        <f t="shared" ref="J401:L401" si="479">SUM(J396:J400)</f>
        <v>0</v>
      </c>
      <c r="K401" s="16">
        <f t="shared" si="479"/>
        <v>0</v>
      </c>
      <c r="L401" s="16">
        <f t="shared" si="479"/>
        <v>0</v>
      </c>
      <c r="M401" s="16" t="s">
        <v>1178</v>
      </c>
      <c r="N401" s="16">
        <f t="shared" ref="N401:O401" si="480">SUM(N396:N400)</f>
        <v>0</v>
      </c>
      <c r="O401" s="84">
        <f t="shared" si="480"/>
        <v>0</v>
      </c>
      <c r="P401" s="13" t="str">
        <f t="shared" si="426"/>
        <v>NO</v>
      </c>
      <c r="Q401">
        <f>IF(D401="INCLUIDO",IF(H401&lt;&gt;0,1,0),0)</f>
        <v>0</v>
      </c>
    </row>
    <row r="402" spans="1:19" ht="15" hidden="1" customHeight="1" x14ac:dyDescent="0.3">
      <c r="A402" s="82">
        <v>918</v>
      </c>
      <c r="B402" s="33">
        <v>1</v>
      </c>
      <c r="C402" s="19" t="s">
        <v>1427</v>
      </c>
      <c r="D402" s="23" t="str">
        <f>'Ramo Comercial'!C172</f>
        <v>NO APLICA</v>
      </c>
      <c r="E402" s="91"/>
      <c r="F402" s="42">
        <v>0</v>
      </c>
      <c r="G402" s="28"/>
      <c r="H402" s="28"/>
      <c r="I402" s="28"/>
      <c r="J402" s="28"/>
      <c r="K402" s="28"/>
      <c r="L402" s="28"/>
      <c r="M402" s="68">
        <v>0</v>
      </c>
      <c r="N402" s="28"/>
      <c r="O402" s="83"/>
      <c r="P402" s="13" t="str">
        <f t="shared" si="426"/>
        <v>NO</v>
      </c>
      <c r="Q402" s="48">
        <f>IF(D402="INCLUIDO",IF(F402&lt;&gt;0,1,0),0)</f>
        <v>0</v>
      </c>
    </row>
    <row r="403" spans="1:19" ht="15" hidden="1" customHeight="1" x14ac:dyDescent="0.3">
      <c r="A403" s="34" t="s">
        <v>1428</v>
      </c>
      <c r="B403" s="36">
        <v>219</v>
      </c>
      <c r="C403" s="29" t="s">
        <v>1429</v>
      </c>
      <c r="D403" s="29" t="str">
        <f>D402</f>
        <v>NO APLICA</v>
      </c>
      <c r="E403" s="27" t="s">
        <v>1152</v>
      </c>
      <c r="F403" s="20">
        <f>F402*S403</f>
        <v>0</v>
      </c>
      <c r="G403" s="21">
        <v>0</v>
      </c>
      <c r="H403" s="9">
        <f>(IF(I403="$ Prima",G403,G403*F403/R403))*$U$9</f>
        <v>0</v>
      </c>
      <c r="I403" s="9" t="s">
        <v>1235</v>
      </c>
      <c r="J403" s="9">
        <f>H403*$U$7</f>
        <v>0</v>
      </c>
      <c r="K403" s="9">
        <f>(H403+J403)*$K$15</f>
        <v>0</v>
      </c>
      <c r="L403" s="9">
        <f>ROUND(H403+J403+K403,2)</f>
        <v>0</v>
      </c>
      <c r="M403" s="11">
        <f>M402</f>
        <v>0</v>
      </c>
      <c r="N403" s="9">
        <f>H403*M403</f>
        <v>0</v>
      </c>
      <c r="O403" s="12">
        <f>N403</f>
        <v>0</v>
      </c>
      <c r="P403" s="13" t="str">
        <f t="shared" si="426"/>
        <v>NO</v>
      </c>
      <c r="Q403">
        <f>IF(D403="INCLUIDO",IF(F403&lt;&gt;0,1,0),0)</f>
        <v>0</v>
      </c>
      <c r="R403">
        <f>IF(I403="%o Al Millar",1000,IF(I403="% Al Porciento",100,IF(I403="$ Prima",G403)))</f>
        <v>100</v>
      </c>
      <c r="S403">
        <f t="shared" ref="S403" si="481">IF(E403="Excluido",0,IF(D403="NO APLICA",0,1))</f>
        <v>0</v>
      </c>
    </row>
    <row r="404" spans="1:19" s="18" customFormat="1" ht="15" hidden="1" customHeight="1" x14ac:dyDescent="0.3">
      <c r="A404" s="24"/>
      <c r="B404" s="26"/>
      <c r="C404" s="15" t="s">
        <v>1177</v>
      </c>
      <c r="D404" s="38" t="str">
        <f>D403</f>
        <v>NO APLICA</v>
      </c>
      <c r="E404" s="38"/>
      <c r="F404" s="16">
        <f>F403</f>
        <v>0</v>
      </c>
      <c r="G404" s="17"/>
      <c r="H404" s="16">
        <f>SUM(H403)</f>
        <v>0</v>
      </c>
      <c r="I404" s="16"/>
      <c r="J404" s="16">
        <f t="shared" ref="J404:L404" si="482">SUM(J403)</f>
        <v>0</v>
      </c>
      <c r="K404" s="16">
        <f t="shared" si="482"/>
        <v>0</v>
      </c>
      <c r="L404" s="16">
        <f t="shared" si="482"/>
        <v>0</v>
      </c>
      <c r="M404" s="16" t="s">
        <v>1178</v>
      </c>
      <c r="N404" s="16">
        <f t="shared" ref="N404:O404" si="483">SUM(N403)</f>
        <v>0</v>
      </c>
      <c r="O404" s="84">
        <f t="shared" si="483"/>
        <v>0</v>
      </c>
      <c r="P404" s="13" t="str">
        <f t="shared" si="426"/>
        <v>NO</v>
      </c>
      <c r="Q404">
        <f>IF(D404="INCLUIDO",IF(H404&lt;&gt;0,1,0),0)</f>
        <v>0</v>
      </c>
    </row>
    <row r="405" spans="1:19" ht="15" hidden="1" customHeight="1" x14ac:dyDescent="0.3">
      <c r="A405" s="82">
        <v>919</v>
      </c>
      <c r="B405" s="33">
        <v>1</v>
      </c>
      <c r="C405" s="19" t="s">
        <v>1430</v>
      </c>
      <c r="D405" s="23" t="str">
        <f>'Ramo Comercial'!C173</f>
        <v>NO APLICA</v>
      </c>
      <c r="E405" s="91"/>
      <c r="F405" s="28"/>
      <c r="G405" s="28"/>
      <c r="H405" s="28"/>
      <c r="I405" s="28"/>
      <c r="J405" s="28"/>
      <c r="K405" s="28"/>
      <c r="L405" s="28"/>
      <c r="M405" s="68">
        <v>0</v>
      </c>
      <c r="N405" s="28"/>
      <c r="O405" s="83"/>
      <c r="P405" s="13" t="str">
        <f t="shared" si="426"/>
        <v>NO</v>
      </c>
      <c r="Q405" s="47">
        <f>IF(D405="INCLUIDO",IF(F406&lt;&gt;0,1,0),0)</f>
        <v>0</v>
      </c>
    </row>
    <row r="406" spans="1:19" ht="15" hidden="1" customHeight="1" x14ac:dyDescent="0.3">
      <c r="A406" s="34" t="s">
        <v>1430</v>
      </c>
      <c r="B406" s="36">
        <v>220</v>
      </c>
      <c r="C406" s="29" t="s">
        <v>1431</v>
      </c>
      <c r="D406" s="29" t="str">
        <f>$D$405</f>
        <v>NO APLICA</v>
      </c>
      <c r="E406" s="27" t="s">
        <v>1152</v>
      </c>
      <c r="F406" s="43">
        <v>0</v>
      </c>
      <c r="G406" s="21">
        <v>0</v>
      </c>
      <c r="H406" s="9">
        <f t="shared" ref="H406:H409" si="484">(IF(I406="$ Prima",G406,G406*F406/R406))*$U$9</f>
        <v>0</v>
      </c>
      <c r="I406" s="9" t="s">
        <v>1287</v>
      </c>
      <c r="J406" s="9">
        <f t="shared" ref="J406:J409" si="485">H406*$U$7</f>
        <v>0</v>
      </c>
      <c r="K406" s="9">
        <f t="shared" ref="K406:K409" si="486">(H406+J406)*$K$15</f>
        <v>0</v>
      </c>
      <c r="L406" s="9">
        <f t="shared" ref="L406:L409" si="487">ROUND(H406+J406+K406,2)</f>
        <v>0</v>
      </c>
      <c r="M406" s="11">
        <f>$M$405</f>
        <v>0</v>
      </c>
      <c r="N406" s="9">
        <f t="shared" ref="N406:N409" si="488">H406*M406</f>
        <v>0</v>
      </c>
      <c r="O406" s="12">
        <f t="shared" ref="O406:O409" si="489">N406</f>
        <v>0</v>
      </c>
      <c r="P406" s="13" t="str">
        <f t="shared" si="426"/>
        <v>NO</v>
      </c>
      <c r="Q406">
        <f>IF(D406="INCLUIDO",IF(F406&lt;&gt;0,1,0),0)</f>
        <v>0</v>
      </c>
      <c r="R406">
        <f>IF(I406="%o Al Millar",1000,IF(I406="% Al Porciento",100,IF(I406="$ Prima",G406)))</f>
        <v>0</v>
      </c>
      <c r="S406">
        <f t="shared" ref="S406:S409" si="490">IF(E406="Excluido",0,IF(D406="NO APLICA",0,1))</f>
        <v>0</v>
      </c>
    </row>
    <row r="407" spans="1:19" ht="22.5" hidden="1" customHeight="1" x14ac:dyDescent="0.3">
      <c r="A407" s="34" t="s">
        <v>1430</v>
      </c>
      <c r="B407" s="36">
        <v>221</v>
      </c>
      <c r="C407" s="29" t="s">
        <v>1432</v>
      </c>
      <c r="D407" s="29" t="str">
        <f t="shared" ref="D407:D409" si="491">$D$405</f>
        <v>NO APLICA</v>
      </c>
      <c r="E407" s="27" t="s">
        <v>1137</v>
      </c>
      <c r="F407" s="43">
        <v>0</v>
      </c>
      <c r="G407" s="21">
        <v>0</v>
      </c>
      <c r="H407" s="9">
        <f t="shared" si="484"/>
        <v>0</v>
      </c>
      <c r="I407" s="9" t="s">
        <v>1287</v>
      </c>
      <c r="J407" s="9">
        <f t="shared" si="485"/>
        <v>0</v>
      </c>
      <c r="K407" s="9">
        <f t="shared" si="486"/>
        <v>0</v>
      </c>
      <c r="L407" s="9">
        <f t="shared" si="487"/>
        <v>0</v>
      </c>
      <c r="M407" s="11">
        <f t="shared" ref="M407:M409" si="492">$M$405</f>
        <v>0</v>
      </c>
      <c r="N407" s="9">
        <f t="shared" si="488"/>
        <v>0</v>
      </c>
      <c r="O407" s="12">
        <f t="shared" si="489"/>
        <v>0</v>
      </c>
      <c r="P407" s="13" t="str">
        <f t="shared" si="426"/>
        <v>NO</v>
      </c>
      <c r="Q407">
        <f>IF(D407="INCLUIDO",IF(F407&lt;&gt;0,1,0),0)</f>
        <v>0</v>
      </c>
      <c r="R407">
        <f>IF(I407="%o Al Millar",1000,IF(I407="% Al Porciento",100,IF(I407="$ Prima",G407)))</f>
        <v>0</v>
      </c>
      <c r="S407">
        <f t="shared" si="490"/>
        <v>0</v>
      </c>
    </row>
    <row r="408" spans="1:19" ht="15" hidden="1" customHeight="1" x14ac:dyDescent="0.3">
      <c r="A408" s="34" t="s">
        <v>1430</v>
      </c>
      <c r="B408" s="36">
        <v>222</v>
      </c>
      <c r="C408" s="29" t="s">
        <v>1433</v>
      </c>
      <c r="D408" s="29" t="str">
        <f t="shared" si="491"/>
        <v>NO APLICA</v>
      </c>
      <c r="E408" s="27" t="s">
        <v>1137</v>
      </c>
      <c r="F408" s="43">
        <v>0</v>
      </c>
      <c r="G408" s="21">
        <v>0</v>
      </c>
      <c r="H408" s="9">
        <f t="shared" si="484"/>
        <v>0</v>
      </c>
      <c r="I408" s="9" t="s">
        <v>1287</v>
      </c>
      <c r="J408" s="9">
        <f t="shared" si="485"/>
        <v>0</v>
      </c>
      <c r="K408" s="9">
        <f t="shared" si="486"/>
        <v>0</v>
      </c>
      <c r="L408" s="9">
        <f t="shared" si="487"/>
        <v>0</v>
      </c>
      <c r="M408" s="11">
        <f t="shared" si="492"/>
        <v>0</v>
      </c>
      <c r="N408" s="9">
        <f t="shared" si="488"/>
        <v>0</v>
      </c>
      <c r="O408" s="12">
        <f t="shared" si="489"/>
        <v>0</v>
      </c>
      <c r="P408" s="13" t="str">
        <f t="shared" si="426"/>
        <v>NO</v>
      </c>
      <c r="Q408">
        <f>IF(D408="INCLUIDO",IF(F408&lt;&gt;0,1,0),0)</f>
        <v>0</v>
      </c>
      <c r="R408">
        <f>IF(I408="%o Al Millar",1000,IF(I408="% Al Porciento",100,IF(I408="$ Prima",G408)))</f>
        <v>0</v>
      </c>
      <c r="S408">
        <f t="shared" si="490"/>
        <v>0</v>
      </c>
    </row>
    <row r="409" spans="1:19" ht="15" hidden="1" customHeight="1" x14ac:dyDescent="0.3">
      <c r="A409" s="34" t="s">
        <v>1430</v>
      </c>
      <c r="B409" s="36">
        <v>223</v>
      </c>
      <c r="C409" s="29" t="s">
        <v>1434</v>
      </c>
      <c r="D409" s="29" t="str">
        <f t="shared" si="491"/>
        <v>NO APLICA</v>
      </c>
      <c r="E409" s="27" t="s">
        <v>1137</v>
      </c>
      <c r="F409" s="43">
        <v>0</v>
      </c>
      <c r="G409" s="21">
        <v>0</v>
      </c>
      <c r="H409" s="9">
        <f t="shared" si="484"/>
        <v>0</v>
      </c>
      <c r="I409" s="9" t="s">
        <v>1287</v>
      </c>
      <c r="J409" s="9">
        <f t="shared" si="485"/>
        <v>0</v>
      </c>
      <c r="K409" s="9">
        <f t="shared" si="486"/>
        <v>0</v>
      </c>
      <c r="L409" s="9">
        <f t="shared" si="487"/>
        <v>0</v>
      </c>
      <c r="M409" s="11">
        <f t="shared" si="492"/>
        <v>0</v>
      </c>
      <c r="N409" s="9">
        <f t="shared" si="488"/>
        <v>0</v>
      </c>
      <c r="O409" s="12">
        <f t="shared" si="489"/>
        <v>0</v>
      </c>
      <c r="P409" s="13" t="str">
        <f t="shared" si="426"/>
        <v>NO</v>
      </c>
      <c r="Q409">
        <f>IF(D409="INCLUIDO",IF(F409&lt;&gt;0,1,0),0)</f>
        <v>0</v>
      </c>
      <c r="R409">
        <f>IF(I409="%o Al Millar",1000,IF(I409="% Al Porciento",100,IF(I409="$ Prima",G409)))</f>
        <v>0</v>
      </c>
      <c r="S409">
        <f t="shared" si="490"/>
        <v>0</v>
      </c>
    </row>
    <row r="410" spans="1:19" s="18" customFormat="1" ht="15.75" hidden="1" customHeight="1" thickBot="1" x14ac:dyDescent="0.35">
      <c r="A410" s="85"/>
      <c r="B410" s="86"/>
      <c r="C410" s="99" t="s">
        <v>1177</v>
      </c>
      <c r="D410" s="100" t="str">
        <f>D409</f>
        <v>NO APLICA</v>
      </c>
      <c r="E410" s="100"/>
      <c r="F410" s="87">
        <f>SUMIF(E406:E409,"Adicional",F406:F409)</f>
        <v>0</v>
      </c>
      <c r="G410" s="101"/>
      <c r="H410" s="87">
        <f>SUM(H406:H409)</f>
        <v>0</v>
      </c>
      <c r="I410" s="87"/>
      <c r="J410" s="87">
        <f t="shared" ref="J410:L410" si="493">SUM(J406:J409)</f>
        <v>0</v>
      </c>
      <c r="K410" s="87">
        <f t="shared" si="493"/>
        <v>0</v>
      </c>
      <c r="L410" s="87">
        <f t="shared" si="493"/>
        <v>0</v>
      </c>
      <c r="M410" s="87" t="s">
        <v>1178</v>
      </c>
      <c r="N410" s="87">
        <f t="shared" ref="N410:O410" si="494">SUM(N406:N409)</f>
        <v>0</v>
      </c>
      <c r="O410" s="102">
        <f t="shared" si="494"/>
        <v>0</v>
      </c>
      <c r="P410" s="13" t="str">
        <f t="shared" si="426"/>
        <v>NO</v>
      </c>
      <c r="Q410">
        <f>IF(D410="INCLUIDO",IF(H410&lt;&gt;0,1,0),0)</f>
        <v>0</v>
      </c>
    </row>
    <row r="411" spans="1:19" s="18" customFormat="1" ht="21" customHeight="1" x14ac:dyDescent="0.3">
      <c r="A411" s="69"/>
      <c r="B411" s="69"/>
      <c r="C411" s="103" t="s">
        <v>1435</v>
      </c>
      <c r="D411" s="94" t="s">
        <v>1436</v>
      </c>
      <c r="E411" s="94"/>
      <c r="F411" s="104">
        <f>SUMIF(C17:C410,"SUBTOTAL",F17:F410)</f>
        <v>7087000</v>
      </c>
      <c r="G411" s="94"/>
      <c r="H411" s="93">
        <v>-517864.6</v>
      </c>
      <c r="I411" s="104">
        <f>-'COTIZACIÓN M.N.'!F101</f>
        <v>-100</v>
      </c>
      <c r="J411" s="93">
        <f>-'COTIZACIÓN M.N.'!F100</f>
        <v>0</v>
      </c>
      <c r="K411" s="93">
        <f>(H411+I411+J411)*16%</f>
        <v>-82874.335999999996</v>
      </c>
      <c r="L411" s="93">
        <f>H411+I411+J411+K411</f>
        <v>-600838.93599999999</v>
      </c>
      <c r="M411" s="94"/>
      <c r="N411" s="93">
        <f>N40+N77+N99+N103+N107+N111+N115+N122+N129+N137+N145+N148+N151+N154+N157+N160+N166+N172+N178+N182+N186+N202+N206+N210+N213+N216+N220+N223+N226+N230+N233+N236+N240+N272+N276+N282+N329+N336+N344+N350+N363+N369+N379+N394+N401+N404+N410</f>
        <v>-112240.18796378825</v>
      </c>
      <c r="O411" s="93">
        <f>O40+O77+O99+O103+O107+O111+O115+O122+O129+O137+O145+O148+O151+O154+O157+O160+O166+O172+O178+O182+O186+O202+O206+O210+O213+O216+O220+O223+O226+O230+O233+O236+O240+O272+O276+O282+O329+O336+O344+O350+O363+O369+O379+O394+O401+O404+O410</f>
        <v>-112240.18796378825</v>
      </c>
      <c r="P411" s="98" t="s">
        <v>1437</v>
      </c>
      <c r="Q411"/>
    </row>
    <row r="412" spans="1:19" x14ac:dyDescent="0.3">
      <c r="C412" s="3"/>
      <c r="D412" s="94" t="s">
        <v>1436</v>
      </c>
      <c r="E412" s="94"/>
      <c r="F412" s="96" t="s">
        <v>1438</v>
      </c>
      <c r="G412" s="94"/>
      <c r="H412" s="95" t="s">
        <v>1439</v>
      </c>
      <c r="I412" s="96" t="s">
        <v>56</v>
      </c>
      <c r="J412" s="95" t="s">
        <v>1440</v>
      </c>
      <c r="K412" s="95" t="s">
        <v>1131</v>
      </c>
      <c r="L412" s="95" t="s">
        <v>79</v>
      </c>
      <c r="M412" s="93"/>
      <c r="N412" s="736" t="s">
        <v>1441</v>
      </c>
      <c r="O412" s="736"/>
      <c r="P412" s="98" t="s">
        <v>1437</v>
      </c>
    </row>
    <row r="413" spans="1:19" x14ac:dyDescent="0.3">
      <c r="C413" s="3"/>
      <c r="G413" s="22"/>
      <c r="H413" s="22"/>
      <c r="I413" s="22"/>
      <c r="N413" s="432">
        <f>N411/H411</f>
        <v>0.21673655230303104</v>
      </c>
    </row>
    <row r="414" spans="1:19" ht="24" x14ac:dyDescent="0.3">
      <c r="C414" s="422" t="s">
        <v>1443</v>
      </c>
      <c r="D414" s="421"/>
      <c r="E414" s="735" t="s">
        <v>1444</v>
      </c>
      <c r="F414" s="735"/>
      <c r="G414" s="735"/>
      <c r="H414" s="422" t="s">
        <v>1445</v>
      </c>
      <c r="J414" s="417" t="s">
        <v>1474</v>
      </c>
      <c r="K414" s="756"/>
      <c r="L414" s="751"/>
      <c r="M414" s="751"/>
      <c r="N414" s="751"/>
      <c r="O414" s="751"/>
    </row>
    <row r="415" spans="1:19" ht="18" x14ac:dyDescent="0.3">
      <c r="C415" t="s">
        <v>1446</v>
      </c>
      <c r="F415" s="4" t="s">
        <v>1447</v>
      </c>
      <c r="H415" s="4" t="s">
        <v>1437</v>
      </c>
      <c r="J415" s="417" t="s">
        <v>1475</v>
      </c>
      <c r="K415" s="751"/>
      <c r="L415" s="751"/>
      <c r="M415" s="751"/>
      <c r="N415" s="751"/>
      <c r="O415" s="751"/>
    </row>
    <row r="416" spans="1:19" ht="18" x14ac:dyDescent="0.3">
      <c r="C416" t="s">
        <v>1449</v>
      </c>
      <c r="F416" s="4" t="s">
        <v>1450</v>
      </c>
      <c r="H416" s="4" t="s">
        <v>1437</v>
      </c>
      <c r="J416" s="417" t="s">
        <v>1476</v>
      </c>
      <c r="K416" s="761"/>
      <c r="L416" s="753"/>
      <c r="M416" s="753"/>
      <c r="N416" s="753"/>
      <c r="O416" s="753"/>
    </row>
    <row r="417" spans="1:15" ht="18" x14ac:dyDescent="0.3">
      <c r="C417" t="s">
        <v>1451</v>
      </c>
      <c r="F417" s="4" t="s">
        <v>1452</v>
      </c>
      <c r="H417" s="4" t="s">
        <v>1462</v>
      </c>
      <c r="J417" s="417"/>
      <c r="K417" s="754"/>
      <c r="L417" s="754"/>
      <c r="M417" s="754"/>
      <c r="N417" s="754"/>
      <c r="O417" s="754"/>
    </row>
    <row r="418" spans="1:15" ht="18" x14ac:dyDescent="0.3">
      <c r="C418" t="s">
        <v>1454</v>
      </c>
      <c r="F418" s="4" t="s">
        <v>1455</v>
      </c>
      <c r="H418" s="4" t="s">
        <v>1462</v>
      </c>
      <c r="J418" s="417"/>
      <c r="K418" s="417"/>
      <c r="L418" s="417"/>
      <c r="M418" s="418"/>
      <c r="N418" s="417"/>
      <c r="O418" s="417"/>
    </row>
    <row r="419" spans="1:15" x14ac:dyDescent="0.3">
      <c r="C419" t="s">
        <v>1457</v>
      </c>
      <c r="F419" s="4" t="s">
        <v>1458</v>
      </c>
      <c r="H419" s="4" t="s">
        <v>1462</v>
      </c>
    </row>
    <row r="420" spans="1:15" x14ac:dyDescent="0.3">
      <c r="C420" t="s">
        <v>1460</v>
      </c>
      <c r="F420" s="4" t="s">
        <v>1461</v>
      </c>
      <c r="H420" s="4" t="s">
        <v>1462</v>
      </c>
    </row>
    <row r="422" spans="1:15" ht="21.6" thickBot="1" x14ac:dyDescent="0.45">
      <c r="B422" s="762" t="s">
        <v>1464</v>
      </c>
      <c r="C422" s="762"/>
      <c r="D422" s="762"/>
      <c r="E422" s="762"/>
    </row>
    <row r="423" spans="1:15" ht="13.5" customHeight="1" x14ac:dyDescent="0.3">
      <c r="B423" s="763"/>
      <c r="C423" s="764"/>
      <c r="D423" s="765"/>
      <c r="E423" s="423" t="s">
        <v>1477</v>
      </c>
    </row>
    <row r="424" spans="1:15" ht="18.75" customHeight="1" thickBot="1" x14ac:dyDescent="0.35">
      <c r="B424" s="766"/>
      <c r="C424" s="767"/>
      <c r="D424" s="768"/>
      <c r="E424" s="430" t="s">
        <v>1478</v>
      </c>
    </row>
    <row r="425" spans="1:15" ht="15" thickBot="1" x14ac:dyDescent="0.35">
      <c r="B425" s="426" t="s">
        <v>1479</v>
      </c>
      <c r="C425" s="769" t="s">
        <v>1480</v>
      </c>
      <c r="D425" s="770"/>
      <c r="E425" s="425">
        <v>0.59</v>
      </c>
    </row>
    <row r="426" spans="1:15" x14ac:dyDescent="0.3">
      <c r="B426" s="771" t="s">
        <v>1481</v>
      </c>
      <c r="C426" s="773" t="s">
        <v>1482</v>
      </c>
      <c r="D426" s="774"/>
      <c r="E426" s="775">
        <v>0.15</v>
      </c>
    </row>
    <row r="427" spans="1:15" ht="15" thickBot="1" x14ac:dyDescent="0.35">
      <c r="B427" s="772"/>
      <c r="C427" s="757" t="s">
        <v>1483</v>
      </c>
      <c r="D427" s="758"/>
      <c r="E427" s="776"/>
    </row>
    <row r="428" spans="1:15" ht="15" thickBot="1" x14ac:dyDescent="0.35">
      <c r="A428" s="427"/>
      <c r="B428" s="431" t="s">
        <v>1481</v>
      </c>
      <c r="C428" s="757" t="s">
        <v>1484</v>
      </c>
      <c r="D428" s="758"/>
      <c r="E428" s="425">
        <v>0.11</v>
      </c>
    </row>
    <row r="429" spans="1:15" ht="15" thickBot="1" x14ac:dyDescent="0.35">
      <c r="A429" s="427"/>
      <c r="B429" s="431" t="s">
        <v>1481</v>
      </c>
      <c r="C429" s="757" t="s">
        <v>10</v>
      </c>
      <c r="D429" s="757"/>
      <c r="E429" s="424">
        <v>0.15</v>
      </c>
    </row>
    <row r="430" spans="1:15" ht="16.2" thickBot="1" x14ac:dyDescent="0.35">
      <c r="A430" s="427"/>
      <c r="B430" s="428"/>
      <c r="C430" s="759" t="s">
        <v>79</v>
      </c>
      <c r="D430" s="760"/>
      <c r="E430" s="424">
        <v>1</v>
      </c>
    </row>
    <row r="431" spans="1:15" x14ac:dyDescent="0.3">
      <c r="B431" s="429"/>
      <c r="C431" s="150"/>
    </row>
  </sheetData>
  <autoFilter ref="A16:P412" xr:uid="{00000000-0009-0000-0000-000001000000}">
    <filterColumn colId="3">
      <filters>
        <filter val="INCLUIDO"/>
      </filters>
    </filterColumn>
    <filterColumn colId="15">
      <filters>
        <filter val="SI"/>
      </filters>
    </filterColumn>
  </autoFilter>
  <dataConsolidate/>
  <mergeCells count="47">
    <mergeCell ref="C428:D428"/>
    <mergeCell ref="C429:D429"/>
    <mergeCell ref="C430:D430"/>
    <mergeCell ref="K416:O416"/>
    <mergeCell ref="K417:O417"/>
    <mergeCell ref="B422:E422"/>
    <mergeCell ref="B423:D424"/>
    <mergeCell ref="C425:D425"/>
    <mergeCell ref="B426:B427"/>
    <mergeCell ref="C426:D426"/>
    <mergeCell ref="E426:E427"/>
    <mergeCell ref="C427:D427"/>
    <mergeCell ref="K415:O415"/>
    <mergeCell ref="A12:B12"/>
    <mergeCell ref="H12:J12"/>
    <mergeCell ref="A13:B13"/>
    <mergeCell ref="D13:E13"/>
    <mergeCell ref="H13:I13"/>
    <mergeCell ref="J13:J14"/>
    <mergeCell ref="A14:B14"/>
    <mergeCell ref="D14:E14"/>
    <mergeCell ref="A15:B15"/>
    <mergeCell ref="C15:D15"/>
    <mergeCell ref="N412:O412"/>
    <mergeCell ref="E414:G414"/>
    <mergeCell ref="K414:O414"/>
    <mergeCell ref="S9:T9"/>
    <mergeCell ref="A10:B10"/>
    <mergeCell ref="C10:K10"/>
    <mergeCell ref="L10:M10"/>
    <mergeCell ref="N10:O10"/>
    <mergeCell ref="A11:B11"/>
    <mergeCell ref="C11:K11"/>
    <mergeCell ref="A8:B8"/>
    <mergeCell ref="C8:E8"/>
    <mergeCell ref="G8:K8"/>
    <mergeCell ref="L8:O8"/>
    <mergeCell ref="A9:B9"/>
    <mergeCell ref="C9:I9"/>
    <mergeCell ref="L9:M9"/>
    <mergeCell ref="N9:O9"/>
    <mergeCell ref="S7:T7"/>
    <mergeCell ref="E2:H3"/>
    <mergeCell ref="A5:O5"/>
    <mergeCell ref="A7:B7"/>
    <mergeCell ref="C7:J7"/>
    <mergeCell ref="L7:O7"/>
  </mergeCells>
  <conditionalFormatting sqref="E18:E19">
    <cfRule type="containsText" dxfId="1531" priority="736" operator="containsText" text="Sublimite">
      <formula>NOT(ISERROR(SEARCH("Sublimite",E18)))</formula>
    </cfRule>
    <cfRule type="containsText" dxfId="1530" priority="737" operator="containsText" text="Adicional">
      <formula>NOT(ISERROR(SEARCH("Adicional",E18)))</formula>
    </cfRule>
  </conditionalFormatting>
  <conditionalFormatting sqref="E18:E27">
    <cfRule type="containsText" dxfId="1529" priority="23" operator="containsText" text="Excluido">
      <formula>NOT(ISERROR(SEARCH("Excluido",E18)))</formula>
    </cfRule>
    <cfRule type="containsText" dxfId="1528" priority="26" operator="containsText" text="Sublimite">
      <formula>NOT(ISERROR(SEARCH("Sublimite",E18)))</formula>
    </cfRule>
    <cfRule type="containsText" dxfId="1527" priority="25" operator="containsText" text="Excluido">
      <formula>NOT(ISERROR(SEARCH("Excluido",E18)))</formula>
    </cfRule>
    <cfRule type="containsText" dxfId="1526" priority="24" operator="containsText" text="Sublimite">
      <formula>NOT(ISERROR(SEARCH("Sublimite",E18)))</formula>
    </cfRule>
  </conditionalFormatting>
  <conditionalFormatting sqref="E20:E23">
    <cfRule type="containsText" dxfId="1525" priority="720" operator="containsText" text="Sublimite">
      <formula>NOT(ISERROR(SEARCH("Sublimite",E20)))</formula>
    </cfRule>
  </conditionalFormatting>
  <conditionalFormatting sqref="E24">
    <cfRule type="containsText" dxfId="1524" priority="28" operator="containsText" text="Adicional">
      <formula>NOT(ISERROR(SEARCH("Adicional",E24)))</formula>
    </cfRule>
    <cfRule type="containsText" dxfId="1523" priority="27" operator="containsText" text="Sublimite">
      <formula>NOT(ISERROR(SEARCH("Sublimite",E24)))</formula>
    </cfRule>
  </conditionalFormatting>
  <conditionalFormatting sqref="E25">
    <cfRule type="containsText" dxfId="1522" priority="715" operator="containsText" text="Sublimite">
      <formula>NOT(ISERROR(SEARCH("Sublimite",E25)))</formula>
    </cfRule>
  </conditionalFormatting>
  <conditionalFormatting sqref="E26:E27">
    <cfRule type="containsText" dxfId="1521" priority="45" operator="containsText" text="Sublimite">
      <formula>NOT(ISERROR(SEARCH("Sublimite",E26)))</formula>
    </cfRule>
    <cfRule type="containsText" dxfId="1520" priority="46" operator="containsText" text="Adicional">
      <formula>NOT(ISERROR(SEARCH("Adicional",E26)))</formula>
    </cfRule>
  </conditionalFormatting>
  <conditionalFormatting sqref="E29:E30">
    <cfRule type="containsText" dxfId="1519" priority="705" operator="containsText" text="Sublimite">
      <formula>NOT(ISERROR(SEARCH("Sublimite",E29)))</formula>
    </cfRule>
    <cfRule type="containsText" dxfId="1518" priority="704" operator="containsText" text="Sublimite">
      <formula>NOT(ISERROR(SEARCH("Sublimite",E29)))</formula>
    </cfRule>
    <cfRule type="containsText" dxfId="1517" priority="703" operator="containsText" text="Excluido">
      <formula>NOT(ISERROR(SEARCH("Excluido",E29)))</formula>
    </cfRule>
    <cfRule type="containsText" dxfId="1516" priority="702" operator="containsText" text="Sublimite">
      <formula>NOT(ISERROR(SEARCH("Sublimite",E29)))</formula>
    </cfRule>
    <cfRule type="containsText" dxfId="1515" priority="701" operator="containsText" text="Excluido">
      <formula>NOT(ISERROR(SEARCH("Excluido",E29)))</formula>
    </cfRule>
  </conditionalFormatting>
  <conditionalFormatting sqref="E32:E33">
    <cfRule type="containsText" dxfId="1514" priority="692" operator="containsText" text="Sublimite">
      <formula>NOT(ISERROR(SEARCH("Sublimite",E32)))</formula>
    </cfRule>
    <cfRule type="containsText" dxfId="1513" priority="691" operator="containsText" text="Excluido">
      <formula>NOT(ISERROR(SEARCH("Excluido",E32)))</formula>
    </cfRule>
    <cfRule type="containsText" dxfId="1512" priority="695" operator="containsText" text="Sublimite">
      <formula>NOT(ISERROR(SEARCH("Sublimite",E32)))</formula>
    </cfRule>
    <cfRule type="containsText" dxfId="1511" priority="693" operator="containsText" text="Excluido">
      <formula>NOT(ISERROR(SEARCH("Excluido",E32)))</formula>
    </cfRule>
    <cfRule type="containsText" dxfId="1510" priority="694" operator="containsText" text="Sublimite">
      <formula>NOT(ISERROR(SEARCH("Sublimite",E32)))</formula>
    </cfRule>
  </conditionalFormatting>
  <conditionalFormatting sqref="E35">
    <cfRule type="containsText" dxfId="1509" priority="13" operator="containsText" text="Excluido">
      <formula>NOT(ISERROR(SEARCH("Excluido",E35)))</formula>
    </cfRule>
    <cfRule type="containsText" dxfId="1508" priority="14" operator="containsText" text="Sublimite">
      <formula>NOT(ISERROR(SEARCH("Sublimite",E35)))</formula>
    </cfRule>
    <cfRule type="containsText" dxfId="1507" priority="15" operator="containsText" text="Excluido">
      <formula>NOT(ISERROR(SEARCH("Excluido",E35)))</formula>
    </cfRule>
    <cfRule type="containsText" dxfId="1506" priority="16" operator="containsText" text="Sublimite">
      <formula>NOT(ISERROR(SEARCH("Sublimite",E35)))</formula>
    </cfRule>
    <cfRule type="containsText" dxfId="1505" priority="17" operator="containsText" text="Sublimite">
      <formula>NOT(ISERROR(SEARCH("Sublimite",E35)))</formula>
    </cfRule>
    <cfRule type="containsText" dxfId="1504" priority="18" operator="containsText" text="Adicional">
      <formula>NOT(ISERROR(SEARCH("Adicional",E35)))</formula>
    </cfRule>
  </conditionalFormatting>
  <conditionalFormatting sqref="E37">
    <cfRule type="containsText" dxfId="1503" priority="181" operator="containsText" text="Sublimite">
      <formula>NOT(ISERROR(SEARCH("Sublimite",E37)))</formula>
    </cfRule>
    <cfRule type="containsText" dxfId="1502" priority="180" operator="containsText" text="Sublimite">
      <formula>NOT(ISERROR(SEARCH("Sublimite",E37)))</formula>
    </cfRule>
    <cfRule type="containsText" dxfId="1501" priority="179" operator="containsText" text="Excluido">
      <formula>NOT(ISERROR(SEARCH("Excluido",E37)))</formula>
    </cfRule>
    <cfRule type="containsText" dxfId="1500" priority="178" operator="containsText" text="Sublimite">
      <formula>NOT(ISERROR(SEARCH("Sublimite",E37)))</formula>
    </cfRule>
    <cfRule type="containsText" dxfId="1499" priority="177" operator="containsText" text="Excluido">
      <formula>NOT(ISERROR(SEARCH("Excluido",E37)))</formula>
    </cfRule>
  </conditionalFormatting>
  <conditionalFormatting sqref="E39">
    <cfRule type="containsText" dxfId="1498" priority="175" operator="containsText" text="Sublimite">
      <formula>NOT(ISERROR(SEARCH("Sublimite",E39)))</formula>
    </cfRule>
    <cfRule type="containsText" dxfId="1497" priority="174" operator="containsText" text="Excluido">
      <formula>NOT(ISERROR(SEARCH("Excluido",E39)))</formula>
    </cfRule>
    <cfRule type="containsText" dxfId="1496" priority="173" operator="containsText" text="Sublimite">
      <formula>NOT(ISERROR(SEARCH("Sublimite",E39)))</formula>
    </cfRule>
    <cfRule type="containsText" dxfId="1495" priority="172" operator="containsText" text="Excluido">
      <formula>NOT(ISERROR(SEARCH("Excluido",E39)))</formula>
    </cfRule>
    <cfRule type="containsText" dxfId="1494" priority="176" operator="containsText" text="Sublimite">
      <formula>NOT(ISERROR(SEARCH("Sublimite",E39)))</formula>
    </cfRule>
  </conditionalFormatting>
  <conditionalFormatting sqref="E42:E43">
    <cfRule type="containsText" dxfId="1493" priority="33" operator="containsText" text="Sublimite">
      <formula>NOT(ISERROR(SEARCH("Sublimite",E42)))</formula>
    </cfRule>
    <cfRule type="containsText" dxfId="1492" priority="34" operator="containsText" text="Adicional">
      <formula>NOT(ISERROR(SEARCH("Adicional",E42)))</formula>
    </cfRule>
  </conditionalFormatting>
  <conditionalFormatting sqref="E42:E60">
    <cfRule type="containsText" dxfId="1491" priority="31" operator="containsText" text="Excluido">
      <formula>NOT(ISERROR(SEARCH("Excluido",E42)))</formula>
    </cfRule>
    <cfRule type="containsText" dxfId="1490" priority="32" operator="containsText" text="Sublimite">
      <formula>NOT(ISERROR(SEARCH("Sublimite",E42)))</formula>
    </cfRule>
    <cfRule type="containsText" dxfId="1489" priority="30" operator="containsText" text="Sublimite">
      <formula>NOT(ISERROR(SEARCH("Sublimite",E42)))</formula>
    </cfRule>
    <cfRule type="containsText" dxfId="1488" priority="29" operator="containsText" text="Excluido">
      <formula>NOT(ISERROR(SEARCH("Excluido",E42)))</formula>
    </cfRule>
  </conditionalFormatting>
  <conditionalFormatting sqref="E44:E58">
    <cfRule type="containsText" dxfId="1487" priority="620" operator="containsText" text="Sublimite">
      <formula>NOT(ISERROR(SEARCH("Sublimite",E44)))</formula>
    </cfRule>
  </conditionalFormatting>
  <conditionalFormatting sqref="E59:E60">
    <cfRule type="containsText" dxfId="1486" priority="39" operator="containsText" text="Sublimite">
      <formula>NOT(ISERROR(SEARCH("Sublimite",E59)))</formula>
    </cfRule>
    <cfRule type="containsText" dxfId="1485" priority="40" operator="containsText" text="Adicional">
      <formula>NOT(ISERROR(SEARCH("Adicional",E59)))</formula>
    </cfRule>
  </conditionalFormatting>
  <conditionalFormatting sqref="E62:E63">
    <cfRule type="containsText" dxfId="1484" priority="607" operator="containsText" text="Sublimite">
      <formula>NOT(ISERROR(SEARCH("Sublimite",E62)))</formula>
    </cfRule>
    <cfRule type="containsText" dxfId="1483" priority="609" operator="containsText" text="Sublimite">
      <formula>NOT(ISERROR(SEARCH("Sublimite",E62)))</formula>
    </cfRule>
    <cfRule type="containsText" dxfId="1482" priority="610" operator="containsText" text="Sublimite">
      <formula>NOT(ISERROR(SEARCH("Sublimite",E62)))</formula>
    </cfRule>
    <cfRule type="containsText" dxfId="1481" priority="608" operator="containsText" text="Excluido">
      <formula>NOT(ISERROR(SEARCH("Excluido",E62)))</formula>
    </cfRule>
    <cfRule type="containsText" dxfId="1480" priority="606" operator="containsText" text="Excluido">
      <formula>NOT(ISERROR(SEARCH("Excluido",E62)))</formula>
    </cfRule>
  </conditionalFormatting>
  <conditionalFormatting sqref="E65:E66">
    <cfRule type="containsText" dxfId="1479" priority="600" operator="containsText" text="Sublimite">
      <formula>NOT(ISERROR(SEARCH("Sublimite",E65)))</formula>
    </cfRule>
    <cfRule type="containsText" dxfId="1478" priority="599" operator="containsText" text="Sublimite">
      <formula>NOT(ISERROR(SEARCH("Sublimite",E65)))</formula>
    </cfRule>
    <cfRule type="containsText" dxfId="1477" priority="598" operator="containsText" text="Excluido">
      <formula>NOT(ISERROR(SEARCH("Excluido",E65)))</formula>
    </cfRule>
    <cfRule type="containsText" dxfId="1476" priority="597" operator="containsText" text="Sublimite">
      <formula>NOT(ISERROR(SEARCH("Sublimite",E65)))</formula>
    </cfRule>
    <cfRule type="containsText" dxfId="1475" priority="596" operator="containsText" text="Excluido">
      <formula>NOT(ISERROR(SEARCH("Excluido",E65)))</formula>
    </cfRule>
  </conditionalFormatting>
  <conditionalFormatting sqref="E68">
    <cfRule type="containsText" dxfId="1474" priority="357" operator="containsText" text="Sublimite">
      <formula>NOT(ISERROR(SEARCH("Sublimite",E68)))</formula>
    </cfRule>
    <cfRule type="containsText" dxfId="1473" priority="358" operator="containsText" text="Excluido">
      <formula>NOT(ISERROR(SEARCH("Excluido",E68)))</formula>
    </cfRule>
    <cfRule type="containsText" dxfId="1472" priority="360" operator="containsText" text="Sublimite">
      <formula>NOT(ISERROR(SEARCH("Sublimite",E68)))</formula>
    </cfRule>
    <cfRule type="containsText" dxfId="1471" priority="361" operator="containsText" text="Adicional">
      <formula>NOT(ISERROR(SEARCH("Adicional",E68)))</formula>
    </cfRule>
    <cfRule type="containsText" dxfId="1470" priority="359" operator="containsText" text="Sublimite">
      <formula>NOT(ISERROR(SEARCH("Sublimite",E68)))</formula>
    </cfRule>
    <cfRule type="containsText" dxfId="1469" priority="356" operator="containsText" text="Excluido">
      <formula>NOT(ISERROR(SEARCH("Excluido",E68)))</formula>
    </cfRule>
  </conditionalFormatting>
  <conditionalFormatting sqref="E70">
    <cfRule type="containsText" dxfId="1468" priority="169" operator="containsText" text="Excluido">
      <formula>NOT(ISERROR(SEARCH("Excluido",E70)))</formula>
    </cfRule>
    <cfRule type="containsText" dxfId="1467" priority="171" operator="containsText" text="Sublimite">
      <formula>NOT(ISERROR(SEARCH("Sublimite",E70)))</formula>
    </cfRule>
    <cfRule type="containsText" dxfId="1466" priority="168" operator="containsText" text="Sublimite">
      <formula>NOT(ISERROR(SEARCH("Sublimite",E70)))</formula>
    </cfRule>
    <cfRule type="containsText" dxfId="1465" priority="170" operator="containsText" text="Sublimite">
      <formula>NOT(ISERROR(SEARCH("Sublimite",E70)))</formula>
    </cfRule>
    <cfRule type="containsText" dxfId="1464" priority="167" operator="containsText" text="Excluido">
      <formula>NOT(ISERROR(SEARCH("Excluido",E70)))</formula>
    </cfRule>
  </conditionalFormatting>
  <conditionalFormatting sqref="E72">
    <cfRule type="containsText" dxfId="1463" priority="162" operator="containsText" text="Excluido">
      <formula>NOT(ISERROR(SEARCH("Excluido",E72)))</formula>
    </cfRule>
    <cfRule type="containsText" dxfId="1462" priority="163" operator="containsText" text="Sublimite">
      <formula>NOT(ISERROR(SEARCH("Sublimite",E72)))</formula>
    </cfRule>
    <cfRule type="containsText" dxfId="1461" priority="164" operator="containsText" text="Excluido">
      <formula>NOT(ISERROR(SEARCH("Excluido",E72)))</formula>
    </cfRule>
    <cfRule type="containsText" dxfId="1460" priority="166" operator="containsText" text="Sublimite">
      <formula>NOT(ISERROR(SEARCH("Sublimite",E72)))</formula>
    </cfRule>
    <cfRule type="containsText" dxfId="1459" priority="165" operator="containsText" text="Sublimite">
      <formula>NOT(ISERROR(SEARCH("Sublimite",E72)))</formula>
    </cfRule>
  </conditionalFormatting>
  <conditionalFormatting sqref="E74">
    <cfRule type="containsText" dxfId="1458" priority="159" operator="containsText" text="Excluido">
      <formula>NOT(ISERROR(SEARCH("Excluido",E74)))</formula>
    </cfRule>
    <cfRule type="containsText" dxfId="1457" priority="157" operator="containsText" text="Excluido">
      <formula>NOT(ISERROR(SEARCH("Excluido",E74)))</formula>
    </cfRule>
    <cfRule type="containsText" dxfId="1456" priority="158" operator="containsText" text="Sublimite">
      <formula>NOT(ISERROR(SEARCH("Sublimite",E74)))</formula>
    </cfRule>
    <cfRule type="containsText" dxfId="1455" priority="161" operator="containsText" text="Sublimite">
      <formula>NOT(ISERROR(SEARCH("Sublimite",E74)))</formula>
    </cfRule>
    <cfRule type="containsText" dxfId="1454" priority="160" operator="containsText" text="Sublimite">
      <formula>NOT(ISERROR(SEARCH("Sublimite",E74)))</formula>
    </cfRule>
  </conditionalFormatting>
  <conditionalFormatting sqref="E76">
    <cfRule type="containsText" dxfId="1453" priority="156" operator="containsText" text="Sublimite">
      <formula>NOT(ISERROR(SEARCH("Sublimite",E76)))</formula>
    </cfRule>
    <cfRule type="containsText" dxfId="1452" priority="155" operator="containsText" text="Sublimite">
      <formula>NOT(ISERROR(SEARCH("Sublimite",E76)))</formula>
    </cfRule>
    <cfRule type="containsText" dxfId="1451" priority="154" operator="containsText" text="Excluido">
      <formula>NOT(ISERROR(SEARCH("Excluido",E76)))</formula>
    </cfRule>
    <cfRule type="containsText" dxfId="1450" priority="153" operator="containsText" text="Sublimite">
      <formula>NOT(ISERROR(SEARCH("Sublimite",E76)))</formula>
    </cfRule>
    <cfRule type="containsText" dxfId="1449" priority="152" operator="containsText" text="Excluido">
      <formula>NOT(ISERROR(SEARCH("Excluido",E76)))</formula>
    </cfRule>
  </conditionalFormatting>
  <conditionalFormatting sqref="E79:E86">
    <cfRule type="containsText" dxfId="1448" priority="354" operator="containsText" text="Sublimite">
      <formula>NOT(ISERROR(SEARCH("Sublimite",E79)))</formula>
    </cfRule>
    <cfRule type="containsText" dxfId="1447" priority="355" operator="containsText" text="Adicional">
      <formula>NOT(ISERROR(SEARCH("Adicional",E79)))</formula>
    </cfRule>
  </conditionalFormatting>
  <conditionalFormatting sqref="E79:E89">
    <cfRule type="containsText" dxfId="1446" priority="150" operator="containsText" text="Sublimite">
      <formula>NOT(ISERROR(SEARCH("Sublimite",E79)))</formula>
    </cfRule>
    <cfRule type="containsText" dxfId="1445" priority="149" operator="containsText" text="Excluido">
      <formula>NOT(ISERROR(SEARCH("Excluido",E79)))</formula>
    </cfRule>
    <cfRule type="containsText" dxfId="1444" priority="147" operator="containsText" text="Excluido">
      <formula>NOT(ISERROR(SEARCH("Excluido",E79)))</formula>
    </cfRule>
    <cfRule type="containsText" dxfId="1443" priority="148" operator="containsText" text="Sublimite">
      <formula>NOT(ISERROR(SEARCH("Sublimite",E79)))</formula>
    </cfRule>
  </conditionalFormatting>
  <conditionalFormatting sqref="E87:E89">
    <cfRule type="containsText" dxfId="1442" priority="151" operator="containsText" text="Sublimite">
      <formula>NOT(ISERROR(SEARCH("Sublimite",E87)))</formula>
    </cfRule>
  </conditionalFormatting>
  <conditionalFormatting sqref="E91:E94">
    <cfRule type="containsText" dxfId="1441" priority="145" operator="containsText" text="Sublimite">
      <formula>NOT(ISERROR(SEARCH("Sublimite",E91)))</formula>
    </cfRule>
    <cfRule type="containsText" dxfId="1440" priority="146" operator="containsText" text="Sublimite">
      <formula>NOT(ISERROR(SEARCH("Sublimite",E91)))</formula>
    </cfRule>
    <cfRule type="containsText" dxfId="1439" priority="144" operator="containsText" text="Excluido">
      <formula>NOT(ISERROR(SEARCH("Excluido",E91)))</formula>
    </cfRule>
    <cfRule type="containsText" dxfId="1438" priority="143" operator="containsText" text="Sublimite">
      <formula>NOT(ISERROR(SEARCH("Sublimite",E91)))</formula>
    </cfRule>
    <cfRule type="containsText" dxfId="1437" priority="142" operator="containsText" text="Excluido">
      <formula>NOT(ISERROR(SEARCH("Excluido",E91)))</formula>
    </cfRule>
  </conditionalFormatting>
  <conditionalFormatting sqref="E96:E98">
    <cfRule type="containsText" dxfId="1436" priority="141" operator="containsText" text="Sublimite">
      <formula>NOT(ISERROR(SEARCH("Sublimite",E96)))</formula>
    </cfRule>
    <cfRule type="containsText" dxfId="1435" priority="140" operator="containsText" text="Sublimite">
      <formula>NOT(ISERROR(SEARCH("Sublimite",E96)))</formula>
    </cfRule>
    <cfRule type="containsText" dxfId="1434" priority="139" operator="containsText" text="Excluido">
      <formula>NOT(ISERROR(SEARCH("Excluido",E96)))</formula>
    </cfRule>
    <cfRule type="containsText" dxfId="1433" priority="138" operator="containsText" text="Sublimite">
      <formula>NOT(ISERROR(SEARCH("Sublimite",E96)))</formula>
    </cfRule>
    <cfRule type="containsText" dxfId="1432" priority="137" operator="containsText" text="Excluido">
      <formula>NOT(ISERROR(SEARCH("Excluido",E96)))</formula>
    </cfRule>
  </conditionalFormatting>
  <conditionalFormatting sqref="E101:E102">
    <cfRule type="containsText" dxfId="1431" priority="463" operator="containsText" text="Adicional">
      <formula>NOT(ISERROR(SEARCH("Adicional",E101)))</formula>
    </cfRule>
    <cfRule type="containsText" dxfId="1430" priority="462" operator="containsText" text="Sublimite">
      <formula>NOT(ISERROR(SEARCH("Sublimite",E101)))</formula>
    </cfRule>
    <cfRule type="containsText" dxfId="1429" priority="460" operator="containsText" text="Excluido">
      <formula>NOT(ISERROR(SEARCH("Excluido",E101)))</formula>
    </cfRule>
    <cfRule type="containsText" dxfId="1428" priority="461" operator="containsText" text="Sublimite">
      <formula>NOT(ISERROR(SEARCH("Sublimite",E101)))</formula>
    </cfRule>
    <cfRule type="containsText" dxfId="1427" priority="459" operator="containsText" text="Sublimite">
      <formula>NOT(ISERROR(SEARCH("Sublimite",E101)))</formula>
    </cfRule>
    <cfRule type="containsText" dxfId="1426" priority="458" operator="containsText" text="Excluido">
      <formula>NOT(ISERROR(SEARCH("Excluido",E101)))</formula>
    </cfRule>
  </conditionalFormatting>
  <conditionalFormatting sqref="E105:E106">
    <cfRule type="containsText" dxfId="1425" priority="450" operator="containsText" text="Sublimite">
      <formula>NOT(ISERROR(SEARCH("Sublimite",E105)))</formula>
    </cfRule>
    <cfRule type="containsText" dxfId="1424" priority="447" operator="containsText" text="Sublimite">
      <formula>NOT(ISERROR(SEARCH("Sublimite",E105)))</formula>
    </cfRule>
    <cfRule type="containsText" dxfId="1423" priority="448" operator="containsText" text="Excluido">
      <formula>NOT(ISERROR(SEARCH("Excluido",E105)))</formula>
    </cfRule>
    <cfRule type="containsText" dxfId="1422" priority="449" operator="containsText" text="Sublimite">
      <formula>NOT(ISERROR(SEARCH("Sublimite",E105)))</formula>
    </cfRule>
    <cfRule type="containsText" dxfId="1421" priority="451" operator="containsText" text="Adicional">
      <formula>NOT(ISERROR(SEARCH("Adicional",E105)))</formula>
    </cfRule>
    <cfRule type="containsText" dxfId="1420" priority="446" operator="containsText" text="Excluido">
      <formula>NOT(ISERROR(SEARCH("Excluido",E105)))</formula>
    </cfRule>
  </conditionalFormatting>
  <conditionalFormatting sqref="E109:E110">
    <cfRule type="containsText" dxfId="1419" priority="435" operator="containsText" text="Sublimite">
      <formula>NOT(ISERROR(SEARCH("Sublimite",E109)))</formula>
    </cfRule>
    <cfRule type="containsText" dxfId="1418" priority="436" operator="containsText" text="Excluido">
      <formula>NOT(ISERROR(SEARCH("Excluido",E109)))</formula>
    </cfRule>
    <cfRule type="containsText" dxfId="1417" priority="437" operator="containsText" text="Sublimite">
      <formula>NOT(ISERROR(SEARCH("Sublimite",E109)))</formula>
    </cfRule>
    <cfRule type="containsText" dxfId="1416" priority="438" operator="containsText" text="Sublimite">
      <formula>NOT(ISERROR(SEARCH("Sublimite",E109)))</formula>
    </cfRule>
    <cfRule type="containsText" dxfId="1415" priority="434" operator="containsText" text="Excluido">
      <formula>NOT(ISERROR(SEARCH("Excluido",E109)))</formula>
    </cfRule>
    <cfRule type="containsText" dxfId="1414" priority="439" operator="containsText" text="Adicional">
      <formula>NOT(ISERROR(SEARCH("Adicional",E109)))</formula>
    </cfRule>
  </conditionalFormatting>
  <conditionalFormatting sqref="E113:E114">
    <cfRule type="containsText" dxfId="1413" priority="422" operator="containsText" text="Excluido">
      <formula>NOT(ISERROR(SEARCH("Excluido",E113)))</formula>
    </cfRule>
    <cfRule type="containsText" dxfId="1412" priority="427" operator="containsText" text="Adicional">
      <formula>NOT(ISERROR(SEARCH("Adicional",E113)))</formula>
    </cfRule>
    <cfRule type="containsText" dxfId="1411" priority="425" operator="containsText" text="Sublimite">
      <formula>NOT(ISERROR(SEARCH("Sublimite",E113)))</formula>
    </cfRule>
    <cfRule type="containsText" dxfId="1410" priority="424" operator="containsText" text="Excluido">
      <formula>NOT(ISERROR(SEARCH("Excluido",E113)))</formula>
    </cfRule>
    <cfRule type="containsText" dxfId="1409" priority="423" operator="containsText" text="Sublimite">
      <formula>NOT(ISERROR(SEARCH("Sublimite",E113)))</formula>
    </cfRule>
    <cfRule type="containsText" dxfId="1408" priority="426" operator="containsText" text="Sublimite">
      <formula>NOT(ISERROR(SEARCH("Sublimite",E113)))</formula>
    </cfRule>
  </conditionalFormatting>
  <conditionalFormatting sqref="E117">
    <cfRule type="containsText" dxfId="1407" priority="12" operator="containsText" text="Adicional">
      <formula>NOT(ISERROR(SEARCH("Adicional",E117)))</formula>
    </cfRule>
    <cfRule type="containsText" dxfId="1406" priority="11" operator="containsText" text="Sublimite">
      <formula>NOT(ISERROR(SEARCH("Sublimite",E117)))</formula>
    </cfRule>
  </conditionalFormatting>
  <conditionalFormatting sqref="E117:E121">
    <cfRule type="containsText" dxfId="1405" priority="10" operator="containsText" text="Sublimite">
      <formula>NOT(ISERROR(SEARCH("Sublimite",E117)))</formula>
    </cfRule>
    <cfRule type="containsText" dxfId="1404" priority="9" operator="containsText" text="Excluido">
      <formula>NOT(ISERROR(SEARCH("Excluido",E117)))</formula>
    </cfRule>
    <cfRule type="containsText" dxfId="1403" priority="8" operator="containsText" text="Sublimite">
      <formula>NOT(ISERROR(SEARCH("Sublimite",E117)))</formula>
    </cfRule>
    <cfRule type="containsText" dxfId="1402" priority="7" operator="containsText" text="Excluido">
      <formula>NOT(ISERROR(SEARCH("Excluido",E117)))</formula>
    </cfRule>
  </conditionalFormatting>
  <conditionalFormatting sqref="E118:E121">
    <cfRule type="containsText" dxfId="1401" priority="136" operator="containsText" text="Sublimite">
      <formula>NOT(ISERROR(SEARCH("Sublimite",E118)))</formula>
    </cfRule>
  </conditionalFormatting>
  <conditionalFormatting sqref="E124">
    <cfRule type="containsText" dxfId="1400" priority="5" operator="containsText" text="Sublimite">
      <formula>NOT(ISERROR(SEARCH("Sublimite",E124)))</formula>
    </cfRule>
    <cfRule type="containsText" dxfId="1399" priority="6" operator="containsText" text="Adicional">
      <formula>NOT(ISERROR(SEARCH("Adicional",E124)))</formula>
    </cfRule>
  </conditionalFormatting>
  <conditionalFormatting sqref="E124:E128">
    <cfRule type="containsText" dxfId="1398" priority="3" operator="containsText" text="Excluido">
      <formula>NOT(ISERROR(SEARCH("Excluido",E124)))</formula>
    </cfRule>
    <cfRule type="containsText" dxfId="1397" priority="4" operator="containsText" text="Sublimite">
      <formula>NOT(ISERROR(SEARCH("Sublimite",E124)))</formula>
    </cfRule>
    <cfRule type="containsText" dxfId="1396" priority="1" operator="containsText" text="Excluido">
      <formula>NOT(ISERROR(SEARCH("Excluido",E124)))</formula>
    </cfRule>
    <cfRule type="containsText" dxfId="1395" priority="2" operator="containsText" text="Sublimite">
      <formula>NOT(ISERROR(SEARCH("Sublimite",E124)))</formula>
    </cfRule>
  </conditionalFormatting>
  <conditionalFormatting sqref="E125:E128">
    <cfRule type="containsText" dxfId="1394" priority="131" operator="containsText" text="Sublimite">
      <formula>NOT(ISERROR(SEARCH("Sublimite",E125)))</formula>
    </cfRule>
  </conditionalFormatting>
  <conditionalFormatting sqref="E131:E136">
    <cfRule type="containsText" dxfId="1393" priority="349" operator="containsText" text="Adicional">
      <formula>NOT(ISERROR(SEARCH("Adicional",E131)))</formula>
    </cfRule>
    <cfRule type="containsText" dxfId="1392" priority="348" operator="containsText" text="Sublimite">
      <formula>NOT(ISERROR(SEARCH("Sublimite",E131)))</formula>
    </cfRule>
    <cfRule type="containsText" dxfId="1391" priority="347" operator="containsText" text="Sublimite">
      <formula>NOT(ISERROR(SEARCH("Sublimite",E131)))</formula>
    </cfRule>
    <cfRule type="containsText" dxfId="1390" priority="346" operator="containsText" text="Excluido">
      <formula>NOT(ISERROR(SEARCH("Excluido",E131)))</formula>
    </cfRule>
    <cfRule type="containsText" dxfId="1389" priority="345" operator="containsText" text="Sublimite">
      <formula>NOT(ISERROR(SEARCH("Sublimite",E131)))</formula>
    </cfRule>
    <cfRule type="containsText" dxfId="1388" priority="344" operator="containsText" text="Excluido">
      <formula>NOT(ISERROR(SEARCH("Excluido",E131)))</formula>
    </cfRule>
  </conditionalFormatting>
  <conditionalFormatting sqref="E139:E144">
    <cfRule type="containsText" dxfId="1387" priority="339" operator="containsText" text="Sublimite">
      <formula>NOT(ISERROR(SEARCH("Sublimite",E139)))</formula>
    </cfRule>
    <cfRule type="containsText" dxfId="1386" priority="338" operator="containsText" text="Excluido">
      <formula>NOT(ISERROR(SEARCH("Excluido",E139)))</formula>
    </cfRule>
    <cfRule type="containsText" dxfId="1385" priority="342" operator="containsText" text="Sublimite">
      <formula>NOT(ISERROR(SEARCH("Sublimite",E139)))</formula>
    </cfRule>
    <cfRule type="containsText" dxfId="1384" priority="341" operator="containsText" text="Sublimite">
      <formula>NOT(ISERROR(SEARCH("Sublimite",E139)))</formula>
    </cfRule>
    <cfRule type="containsText" dxfId="1383" priority="340" operator="containsText" text="Excluido">
      <formula>NOT(ISERROR(SEARCH("Excluido",E139)))</formula>
    </cfRule>
    <cfRule type="containsText" dxfId="1382" priority="343" operator="containsText" text="Adicional">
      <formula>NOT(ISERROR(SEARCH("Adicional",E139)))</formula>
    </cfRule>
  </conditionalFormatting>
  <conditionalFormatting sqref="E147">
    <cfRule type="containsText" dxfId="1381" priority="336" operator="containsText" text="Sublimite">
      <formula>NOT(ISERROR(SEARCH("Sublimite",E147)))</formula>
    </cfRule>
    <cfRule type="containsText" dxfId="1380" priority="335" operator="containsText" text="Sublimite">
      <formula>NOT(ISERROR(SEARCH("Sublimite",E147)))</formula>
    </cfRule>
    <cfRule type="containsText" dxfId="1379" priority="334" operator="containsText" text="Excluido">
      <formula>NOT(ISERROR(SEARCH("Excluido",E147)))</formula>
    </cfRule>
    <cfRule type="containsText" dxfId="1378" priority="333" operator="containsText" text="Sublimite">
      <formula>NOT(ISERROR(SEARCH("Sublimite",E147)))</formula>
    </cfRule>
    <cfRule type="containsText" dxfId="1377" priority="332" operator="containsText" text="Excluido">
      <formula>NOT(ISERROR(SEARCH("Excluido",E147)))</formula>
    </cfRule>
    <cfRule type="containsText" dxfId="1376" priority="337" operator="containsText" text="Adicional">
      <formula>NOT(ISERROR(SEARCH("Adicional",E147)))</formula>
    </cfRule>
  </conditionalFormatting>
  <conditionalFormatting sqref="E150">
    <cfRule type="containsText" dxfId="1375" priority="327" operator="containsText" text="Sublimite">
      <formula>NOT(ISERROR(SEARCH("Sublimite",E150)))</formula>
    </cfRule>
    <cfRule type="containsText" dxfId="1374" priority="331" operator="containsText" text="Adicional">
      <formula>NOT(ISERROR(SEARCH("Adicional",E150)))</formula>
    </cfRule>
    <cfRule type="containsText" dxfId="1373" priority="326" operator="containsText" text="Excluido">
      <formula>NOT(ISERROR(SEARCH("Excluido",E150)))</formula>
    </cfRule>
    <cfRule type="containsText" dxfId="1372" priority="330" operator="containsText" text="Sublimite">
      <formula>NOT(ISERROR(SEARCH("Sublimite",E150)))</formula>
    </cfRule>
    <cfRule type="containsText" dxfId="1371" priority="329" operator="containsText" text="Sublimite">
      <formula>NOT(ISERROR(SEARCH("Sublimite",E150)))</formula>
    </cfRule>
    <cfRule type="containsText" dxfId="1370" priority="328" operator="containsText" text="Excluido">
      <formula>NOT(ISERROR(SEARCH("Excluido",E150)))</formula>
    </cfRule>
  </conditionalFormatting>
  <conditionalFormatting sqref="E153">
    <cfRule type="containsText" dxfId="1369" priority="325" operator="containsText" text="Adicional">
      <formula>NOT(ISERROR(SEARCH("Adicional",E153)))</formula>
    </cfRule>
    <cfRule type="containsText" dxfId="1368" priority="324" operator="containsText" text="Sublimite">
      <formula>NOT(ISERROR(SEARCH("Sublimite",E153)))</formula>
    </cfRule>
    <cfRule type="containsText" dxfId="1367" priority="323" operator="containsText" text="Sublimite">
      <formula>NOT(ISERROR(SEARCH("Sublimite",E153)))</formula>
    </cfRule>
    <cfRule type="containsText" dxfId="1366" priority="320" operator="containsText" text="Excluido">
      <formula>NOT(ISERROR(SEARCH("Excluido",E153)))</formula>
    </cfRule>
    <cfRule type="containsText" dxfId="1365" priority="321" operator="containsText" text="Sublimite">
      <formula>NOT(ISERROR(SEARCH("Sublimite",E153)))</formula>
    </cfRule>
    <cfRule type="containsText" dxfId="1364" priority="322" operator="containsText" text="Excluido">
      <formula>NOT(ISERROR(SEARCH("Excluido",E153)))</formula>
    </cfRule>
  </conditionalFormatting>
  <conditionalFormatting sqref="E156">
    <cfRule type="containsText" dxfId="1363" priority="317" operator="containsText" text="Sublimite">
      <formula>NOT(ISERROR(SEARCH("Sublimite",E156)))</formula>
    </cfRule>
    <cfRule type="containsText" dxfId="1362" priority="319" operator="containsText" text="Adicional">
      <formula>NOT(ISERROR(SEARCH("Adicional",E156)))</formula>
    </cfRule>
    <cfRule type="containsText" dxfId="1361" priority="318" operator="containsText" text="Sublimite">
      <formula>NOT(ISERROR(SEARCH("Sublimite",E156)))</formula>
    </cfRule>
    <cfRule type="containsText" dxfId="1360" priority="316" operator="containsText" text="Excluido">
      <formula>NOT(ISERROR(SEARCH("Excluido",E156)))</formula>
    </cfRule>
    <cfRule type="containsText" dxfId="1359" priority="315" operator="containsText" text="Sublimite">
      <formula>NOT(ISERROR(SEARCH("Sublimite",E156)))</formula>
    </cfRule>
    <cfRule type="containsText" dxfId="1358" priority="314" operator="containsText" text="Excluido">
      <formula>NOT(ISERROR(SEARCH("Excluido",E156)))</formula>
    </cfRule>
  </conditionalFormatting>
  <conditionalFormatting sqref="E159">
    <cfRule type="containsText" dxfId="1357" priority="313" operator="containsText" text="Adicional">
      <formula>NOT(ISERROR(SEARCH("Adicional",E159)))</formula>
    </cfRule>
    <cfRule type="containsText" dxfId="1356" priority="311" operator="containsText" text="Sublimite">
      <formula>NOT(ISERROR(SEARCH("Sublimite",E159)))</formula>
    </cfRule>
    <cfRule type="containsText" dxfId="1355" priority="312" operator="containsText" text="Sublimite">
      <formula>NOT(ISERROR(SEARCH("Sublimite",E159)))</formula>
    </cfRule>
    <cfRule type="containsText" dxfId="1354" priority="310" operator="containsText" text="Excluido">
      <formula>NOT(ISERROR(SEARCH("Excluido",E159)))</formula>
    </cfRule>
    <cfRule type="containsText" dxfId="1353" priority="309" operator="containsText" text="Sublimite">
      <formula>NOT(ISERROR(SEARCH("Sublimite",E159)))</formula>
    </cfRule>
    <cfRule type="containsText" dxfId="1352" priority="308" operator="containsText" text="Excluido">
      <formula>NOT(ISERROR(SEARCH("Excluido",E159)))</formula>
    </cfRule>
  </conditionalFormatting>
  <conditionalFormatting sqref="E162:E163">
    <cfRule type="containsText" dxfId="1351" priority="414" operator="containsText" text="Sublimite">
      <formula>NOT(ISERROR(SEARCH("Sublimite",E162)))</formula>
    </cfRule>
    <cfRule type="containsText" dxfId="1350" priority="415" operator="containsText" text="Adicional">
      <formula>NOT(ISERROR(SEARCH("Adicional",E162)))</formula>
    </cfRule>
  </conditionalFormatting>
  <conditionalFormatting sqref="E162:E165">
    <cfRule type="containsText" dxfId="1349" priority="410" operator="containsText" text="Excluido">
      <formula>NOT(ISERROR(SEARCH("Excluido",E162)))</formula>
    </cfRule>
    <cfRule type="containsText" dxfId="1348" priority="411" operator="containsText" text="Sublimite">
      <formula>NOT(ISERROR(SEARCH("Sublimite",E162)))</formula>
    </cfRule>
    <cfRule type="containsText" dxfId="1347" priority="412" operator="containsText" text="Excluido">
      <formula>NOT(ISERROR(SEARCH("Excluido",E162)))</formula>
    </cfRule>
    <cfRule type="containsText" dxfId="1346" priority="413" operator="containsText" text="Sublimite">
      <formula>NOT(ISERROR(SEARCH("Sublimite",E162)))</formula>
    </cfRule>
  </conditionalFormatting>
  <conditionalFormatting sqref="E164:E165">
    <cfRule type="containsText" dxfId="1345" priority="590" operator="containsText" text="Sublimite">
      <formula>NOT(ISERROR(SEARCH("Sublimite",E164)))</formula>
    </cfRule>
  </conditionalFormatting>
  <conditionalFormatting sqref="E168:E169">
    <cfRule type="containsText" dxfId="1344" priority="402" operator="containsText" text="Sublimite">
      <formula>NOT(ISERROR(SEARCH("Sublimite",E168)))</formula>
    </cfRule>
    <cfRule type="containsText" dxfId="1343" priority="403" operator="containsText" text="Adicional">
      <formula>NOT(ISERROR(SEARCH("Adicional",E168)))</formula>
    </cfRule>
  </conditionalFormatting>
  <conditionalFormatting sqref="E168:E171">
    <cfRule type="containsText" dxfId="1342" priority="398" operator="containsText" text="Excluido">
      <formula>NOT(ISERROR(SEARCH("Excluido",E168)))</formula>
    </cfRule>
    <cfRule type="containsText" dxfId="1341" priority="399" operator="containsText" text="Sublimite">
      <formula>NOT(ISERROR(SEARCH("Sublimite",E168)))</formula>
    </cfRule>
    <cfRule type="containsText" dxfId="1340" priority="400" operator="containsText" text="Excluido">
      <formula>NOT(ISERROR(SEARCH("Excluido",E168)))</formula>
    </cfRule>
    <cfRule type="containsText" dxfId="1339" priority="401" operator="containsText" text="Sublimite">
      <formula>NOT(ISERROR(SEARCH("Sublimite",E168)))</formula>
    </cfRule>
  </conditionalFormatting>
  <conditionalFormatting sqref="E170:E171">
    <cfRule type="containsText" dxfId="1338" priority="580" operator="containsText" text="Sublimite">
      <formula>NOT(ISERROR(SEARCH("Sublimite",E170)))</formula>
    </cfRule>
  </conditionalFormatting>
  <conditionalFormatting sqref="E174:E175">
    <cfRule type="containsText" dxfId="1337" priority="390" operator="containsText" text="Sublimite">
      <formula>NOT(ISERROR(SEARCH("Sublimite",E174)))</formula>
    </cfRule>
    <cfRule type="containsText" dxfId="1336" priority="391" operator="containsText" text="Adicional">
      <formula>NOT(ISERROR(SEARCH("Adicional",E174)))</formula>
    </cfRule>
  </conditionalFormatting>
  <conditionalFormatting sqref="E174:E177">
    <cfRule type="containsText" dxfId="1335" priority="386" operator="containsText" text="Excluido">
      <formula>NOT(ISERROR(SEARCH("Excluido",E174)))</formula>
    </cfRule>
    <cfRule type="containsText" dxfId="1334" priority="387" operator="containsText" text="Sublimite">
      <formula>NOT(ISERROR(SEARCH("Sublimite",E174)))</formula>
    </cfRule>
    <cfRule type="containsText" dxfId="1333" priority="388" operator="containsText" text="Excluido">
      <formula>NOT(ISERROR(SEARCH("Excluido",E174)))</formula>
    </cfRule>
    <cfRule type="containsText" dxfId="1332" priority="389" operator="containsText" text="Sublimite">
      <formula>NOT(ISERROR(SEARCH("Sublimite",E174)))</formula>
    </cfRule>
  </conditionalFormatting>
  <conditionalFormatting sqref="E176:E177">
    <cfRule type="containsText" dxfId="1331" priority="570" operator="containsText" text="Sublimite">
      <formula>NOT(ISERROR(SEARCH("Sublimite",E176)))</formula>
    </cfRule>
  </conditionalFormatting>
  <conditionalFormatting sqref="E180:E181">
    <cfRule type="containsText" dxfId="1330" priority="559" operator="containsText" text="Sublimite">
      <formula>NOT(ISERROR(SEARCH("Sublimite",E180)))</formula>
    </cfRule>
    <cfRule type="containsText" dxfId="1329" priority="560" operator="containsText" text="Sublimite">
      <formula>NOT(ISERROR(SEARCH("Sublimite",E180)))</formula>
    </cfRule>
    <cfRule type="containsText" dxfId="1328" priority="556" operator="containsText" text="Excluido">
      <formula>NOT(ISERROR(SEARCH("Excluido",E180)))</formula>
    </cfRule>
    <cfRule type="containsText" dxfId="1327" priority="557" operator="containsText" text="Sublimite">
      <formula>NOT(ISERROR(SEARCH("Sublimite",E180)))</formula>
    </cfRule>
    <cfRule type="containsText" dxfId="1326" priority="558" operator="containsText" text="Excluido">
      <formula>NOT(ISERROR(SEARCH("Excluido",E180)))</formula>
    </cfRule>
  </conditionalFormatting>
  <conditionalFormatting sqref="E184:E185">
    <cfRule type="containsText" dxfId="1325" priority="550" operator="containsText" text="Sublimite">
      <formula>NOT(ISERROR(SEARCH("Sublimite",E184)))</formula>
    </cfRule>
    <cfRule type="containsText" dxfId="1324" priority="549" operator="containsText" text="Sublimite">
      <formula>NOT(ISERROR(SEARCH("Sublimite",E184)))</formula>
    </cfRule>
    <cfRule type="containsText" dxfId="1323" priority="548" operator="containsText" text="Excluido">
      <formula>NOT(ISERROR(SEARCH("Excluido",E184)))</formula>
    </cfRule>
    <cfRule type="containsText" dxfId="1322" priority="547" operator="containsText" text="Sublimite">
      <formula>NOT(ISERROR(SEARCH("Sublimite",E184)))</formula>
    </cfRule>
    <cfRule type="containsText" dxfId="1321" priority="546" operator="containsText" text="Excluido">
      <formula>NOT(ISERROR(SEARCH("Excluido",E184)))</formula>
    </cfRule>
  </conditionalFormatting>
  <conditionalFormatting sqref="E188:E191">
    <cfRule type="containsText" dxfId="1320" priority="366" operator="containsText" text="Sublimite">
      <formula>NOT(ISERROR(SEARCH("Sublimite",E188)))</formula>
    </cfRule>
    <cfRule type="containsText" dxfId="1319" priority="367" operator="containsText" text="Adicional">
      <formula>NOT(ISERROR(SEARCH("Adicional",E188)))</formula>
    </cfRule>
  </conditionalFormatting>
  <conditionalFormatting sqref="E188:E201">
    <cfRule type="containsText" dxfId="1318" priority="363" operator="containsText" text="Sublimite">
      <formula>NOT(ISERROR(SEARCH("Sublimite",E188)))</formula>
    </cfRule>
    <cfRule type="containsText" dxfId="1317" priority="364" operator="containsText" text="Excluido">
      <formula>NOT(ISERROR(SEARCH("Excluido",E188)))</formula>
    </cfRule>
    <cfRule type="containsText" dxfId="1316" priority="365" operator="containsText" text="Sublimite">
      <formula>NOT(ISERROR(SEARCH("Sublimite",E188)))</formula>
    </cfRule>
    <cfRule type="containsText" dxfId="1315" priority="362" operator="containsText" text="Excluido">
      <formula>NOT(ISERROR(SEARCH("Excluido",E188)))</formula>
    </cfRule>
  </conditionalFormatting>
  <conditionalFormatting sqref="E192:E201">
    <cfRule type="containsText" dxfId="1314" priority="500" operator="containsText" text="Sublimite">
      <formula>NOT(ISERROR(SEARCH("Sublimite",E192)))</formula>
    </cfRule>
  </conditionalFormatting>
  <conditionalFormatting sqref="E204:E205">
    <cfRule type="containsText" dxfId="1313" priority="490" operator="containsText" text="Sublimite">
      <formula>NOT(ISERROR(SEARCH("Sublimite",E204)))</formula>
    </cfRule>
    <cfRule type="containsText" dxfId="1312" priority="489" operator="containsText" text="Sublimite">
      <formula>NOT(ISERROR(SEARCH("Sublimite",E204)))</formula>
    </cfRule>
    <cfRule type="containsText" dxfId="1311" priority="488" operator="containsText" text="Excluido">
      <formula>NOT(ISERROR(SEARCH("Excluido",E204)))</formula>
    </cfRule>
    <cfRule type="containsText" dxfId="1310" priority="487" operator="containsText" text="Sublimite">
      <formula>NOT(ISERROR(SEARCH("Sublimite",E204)))</formula>
    </cfRule>
    <cfRule type="containsText" dxfId="1309" priority="486" operator="containsText" text="Excluido">
      <formula>NOT(ISERROR(SEARCH("Excluido",E204)))</formula>
    </cfRule>
  </conditionalFormatting>
  <conditionalFormatting sqref="E208:E209">
    <cfRule type="containsText" dxfId="1308" priority="477" operator="containsText" text="Sublimite">
      <formula>NOT(ISERROR(SEARCH("Sublimite",E208)))</formula>
    </cfRule>
    <cfRule type="containsText" dxfId="1307" priority="479" operator="containsText" text="Sublimite">
      <formula>NOT(ISERROR(SEARCH("Sublimite",E208)))</formula>
    </cfRule>
    <cfRule type="containsText" dxfId="1306" priority="480" operator="containsText" text="Sublimite">
      <formula>NOT(ISERROR(SEARCH("Sublimite",E208)))</formula>
    </cfRule>
    <cfRule type="containsText" dxfId="1305" priority="478" operator="containsText" text="Excluido">
      <formula>NOT(ISERROR(SEARCH("Excluido",E208)))</formula>
    </cfRule>
    <cfRule type="containsText" dxfId="1304" priority="476" operator="containsText" text="Excluido">
      <formula>NOT(ISERROR(SEARCH("Excluido",E208)))</formula>
    </cfRule>
  </conditionalFormatting>
  <conditionalFormatting sqref="E212">
    <cfRule type="containsText" dxfId="1303" priority="306" operator="containsText" text="Sublimite">
      <formula>NOT(ISERROR(SEARCH("Sublimite",E212)))</formula>
    </cfRule>
    <cfRule type="containsText" dxfId="1302" priority="302" operator="containsText" text="Excluido">
      <formula>NOT(ISERROR(SEARCH("Excluido",E212)))</formula>
    </cfRule>
    <cfRule type="containsText" dxfId="1301" priority="303" operator="containsText" text="Sublimite">
      <formula>NOT(ISERROR(SEARCH("Sublimite",E212)))</formula>
    </cfRule>
    <cfRule type="containsText" dxfId="1300" priority="304" operator="containsText" text="Excluido">
      <formula>NOT(ISERROR(SEARCH("Excluido",E212)))</formula>
    </cfRule>
    <cfRule type="containsText" dxfId="1299" priority="305" operator="containsText" text="Sublimite">
      <formula>NOT(ISERROR(SEARCH("Sublimite",E212)))</formula>
    </cfRule>
    <cfRule type="containsText" dxfId="1298" priority="307" operator="containsText" text="Adicional">
      <formula>NOT(ISERROR(SEARCH("Adicional",E212)))</formula>
    </cfRule>
  </conditionalFormatting>
  <conditionalFormatting sqref="E215">
    <cfRule type="containsText" dxfId="1297" priority="301" operator="containsText" text="Adicional">
      <formula>NOT(ISERROR(SEARCH("Adicional",E215)))</formula>
    </cfRule>
    <cfRule type="containsText" dxfId="1296" priority="299" operator="containsText" text="Sublimite">
      <formula>NOT(ISERROR(SEARCH("Sublimite",E215)))</formula>
    </cfRule>
    <cfRule type="containsText" dxfId="1295" priority="298" operator="containsText" text="Excluido">
      <formula>NOT(ISERROR(SEARCH("Excluido",E215)))</formula>
    </cfRule>
    <cfRule type="containsText" dxfId="1294" priority="297" operator="containsText" text="Sublimite">
      <formula>NOT(ISERROR(SEARCH("Sublimite",E215)))</formula>
    </cfRule>
    <cfRule type="containsText" dxfId="1293" priority="296" operator="containsText" text="Excluido">
      <formula>NOT(ISERROR(SEARCH("Excluido",E215)))</formula>
    </cfRule>
    <cfRule type="containsText" dxfId="1292" priority="300" operator="containsText" text="Sublimite">
      <formula>NOT(ISERROR(SEARCH("Sublimite",E215)))</formula>
    </cfRule>
  </conditionalFormatting>
  <conditionalFormatting sqref="E218">
    <cfRule type="containsText" dxfId="1291" priority="295" operator="containsText" text="Adicional">
      <formula>NOT(ISERROR(SEARCH("Adicional",E218)))</formula>
    </cfRule>
    <cfRule type="containsText" dxfId="1290" priority="294" operator="containsText" text="Sublimite">
      <formula>NOT(ISERROR(SEARCH("Sublimite",E218)))</formula>
    </cfRule>
  </conditionalFormatting>
  <conditionalFormatting sqref="E218:E219">
    <cfRule type="containsText" dxfId="1289" priority="122" operator="containsText" text="Excluido">
      <formula>NOT(ISERROR(SEARCH("Excluido",E218)))</formula>
    </cfRule>
    <cfRule type="containsText" dxfId="1288" priority="125" operator="containsText" text="Sublimite">
      <formula>NOT(ISERROR(SEARCH("Sublimite",E218)))</formula>
    </cfRule>
    <cfRule type="containsText" dxfId="1287" priority="123" operator="containsText" text="Sublimite">
      <formula>NOT(ISERROR(SEARCH("Sublimite",E218)))</formula>
    </cfRule>
    <cfRule type="containsText" dxfId="1286" priority="124" operator="containsText" text="Excluido">
      <formula>NOT(ISERROR(SEARCH("Excluido",E218)))</formula>
    </cfRule>
  </conditionalFormatting>
  <conditionalFormatting sqref="E219">
    <cfRule type="containsText" dxfId="1285" priority="126" operator="containsText" text="Sublimite">
      <formula>NOT(ISERROR(SEARCH("Sublimite",E219)))</formula>
    </cfRule>
  </conditionalFormatting>
  <conditionalFormatting sqref="E222">
    <cfRule type="containsText" dxfId="1284" priority="121" operator="containsText" text="Sublimite">
      <formula>NOT(ISERROR(SEARCH("Sublimite",E222)))</formula>
    </cfRule>
    <cfRule type="containsText" dxfId="1283" priority="120" operator="containsText" text="Sublimite">
      <formula>NOT(ISERROR(SEARCH("Sublimite",E222)))</formula>
    </cfRule>
    <cfRule type="containsText" dxfId="1282" priority="119" operator="containsText" text="Excluido">
      <formula>NOT(ISERROR(SEARCH("Excluido",E222)))</formula>
    </cfRule>
    <cfRule type="containsText" dxfId="1281" priority="118" operator="containsText" text="Sublimite">
      <formula>NOT(ISERROR(SEARCH("Sublimite",E222)))</formula>
    </cfRule>
    <cfRule type="containsText" dxfId="1280" priority="117" operator="containsText" text="Excluido">
      <formula>NOT(ISERROR(SEARCH("Excluido",E222)))</formula>
    </cfRule>
  </conditionalFormatting>
  <conditionalFormatting sqref="E225">
    <cfRule type="containsText" dxfId="1279" priority="112" operator="containsText" text="Excluido">
      <formula>NOT(ISERROR(SEARCH("Excluido",E225)))</formula>
    </cfRule>
    <cfRule type="containsText" dxfId="1278" priority="113" operator="containsText" text="Sublimite">
      <formula>NOT(ISERROR(SEARCH("Sublimite",E225)))</formula>
    </cfRule>
    <cfRule type="containsText" dxfId="1277" priority="116" operator="containsText" text="Sublimite">
      <formula>NOT(ISERROR(SEARCH("Sublimite",E225)))</formula>
    </cfRule>
    <cfRule type="containsText" dxfId="1276" priority="115" operator="containsText" text="Sublimite">
      <formula>NOT(ISERROR(SEARCH("Sublimite",E225)))</formula>
    </cfRule>
    <cfRule type="containsText" dxfId="1275" priority="114" operator="containsText" text="Excluido">
      <formula>NOT(ISERROR(SEARCH("Excluido",E225)))</formula>
    </cfRule>
  </conditionalFormatting>
  <conditionalFormatting sqref="E228">
    <cfRule type="containsText" dxfId="1274" priority="288" operator="containsText" text="Sublimite">
      <formula>NOT(ISERROR(SEARCH("Sublimite",E228)))</formula>
    </cfRule>
    <cfRule type="containsText" dxfId="1273" priority="289" operator="containsText" text="Adicional">
      <formula>NOT(ISERROR(SEARCH("Adicional",E228)))</formula>
    </cfRule>
  </conditionalFormatting>
  <conditionalFormatting sqref="E228:E229">
    <cfRule type="containsText" dxfId="1272" priority="107" operator="containsText" text="Excluido">
      <formula>NOT(ISERROR(SEARCH("Excluido",E228)))</formula>
    </cfRule>
    <cfRule type="containsText" dxfId="1271" priority="108" operator="containsText" text="Sublimite">
      <formula>NOT(ISERROR(SEARCH("Sublimite",E228)))</formula>
    </cfRule>
    <cfRule type="containsText" dxfId="1270" priority="110" operator="containsText" text="Sublimite">
      <formula>NOT(ISERROR(SEARCH("Sublimite",E228)))</formula>
    </cfRule>
    <cfRule type="containsText" dxfId="1269" priority="109" operator="containsText" text="Excluido">
      <formula>NOT(ISERROR(SEARCH("Excluido",E228)))</formula>
    </cfRule>
  </conditionalFormatting>
  <conditionalFormatting sqref="E229">
    <cfRule type="containsText" dxfId="1268" priority="111" operator="containsText" text="Sublimite">
      <formula>NOT(ISERROR(SEARCH("Sublimite",E229)))</formula>
    </cfRule>
  </conditionalFormatting>
  <conditionalFormatting sqref="E232">
    <cfRule type="containsText" dxfId="1267" priority="102" operator="containsText" text="Excluido">
      <formula>NOT(ISERROR(SEARCH("Excluido",E232)))</formula>
    </cfRule>
    <cfRule type="containsText" dxfId="1266" priority="104" operator="containsText" text="Excluido">
      <formula>NOT(ISERROR(SEARCH("Excluido",E232)))</formula>
    </cfRule>
    <cfRule type="containsText" dxfId="1265" priority="105" operator="containsText" text="Sublimite">
      <formula>NOT(ISERROR(SEARCH("Sublimite",E232)))</formula>
    </cfRule>
    <cfRule type="containsText" dxfId="1264" priority="106" operator="containsText" text="Sublimite">
      <formula>NOT(ISERROR(SEARCH("Sublimite",E232)))</formula>
    </cfRule>
    <cfRule type="containsText" dxfId="1263" priority="103" operator="containsText" text="Sublimite">
      <formula>NOT(ISERROR(SEARCH("Sublimite",E232)))</formula>
    </cfRule>
  </conditionalFormatting>
  <conditionalFormatting sqref="E235">
    <cfRule type="containsText" dxfId="1262" priority="97" operator="containsText" text="Excluido">
      <formula>NOT(ISERROR(SEARCH("Excluido",E235)))</formula>
    </cfRule>
    <cfRule type="containsText" dxfId="1261" priority="98" operator="containsText" text="Sublimite">
      <formula>NOT(ISERROR(SEARCH("Sublimite",E235)))</formula>
    </cfRule>
    <cfRule type="containsText" dxfId="1260" priority="99" operator="containsText" text="Excluido">
      <formula>NOT(ISERROR(SEARCH("Excluido",E235)))</formula>
    </cfRule>
    <cfRule type="containsText" dxfId="1259" priority="100" operator="containsText" text="Sublimite">
      <formula>NOT(ISERROR(SEARCH("Sublimite",E235)))</formula>
    </cfRule>
    <cfRule type="containsText" dxfId="1258" priority="101" operator="containsText" text="Sublimite">
      <formula>NOT(ISERROR(SEARCH("Sublimite",E235)))</formula>
    </cfRule>
  </conditionalFormatting>
  <conditionalFormatting sqref="E238:E239">
    <cfRule type="containsText" dxfId="1257" priority="279" operator="containsText" text="Sublimite">
      <formula>NOT(ISERROR(SEARCH("Sublimite",E238)))</formula>
    </cfRule>
    <cfRule type="containsText" dxfId="1256" priority="278" operator="containsText" text="Excluido">
      <formula>NOT(ISERROR(SEARCH("Excluido",E238)))</formula>
    </cfRule>
    <cfRule type="containsText" dxfId="1255" priority="280" operator="containsText" text="Excluido">
      <formula>NOT(ISERROR(SEARCH("Excluido",E238)))</formula>
    </cfRule>
    <cfRule type="containsText" dxfId="1254" priority="281" operator="containsText" text="Sublimite">
      <formula>NOT(ISERROR(SEARCH("Sublimite",E238)))</formula>
    </cfRule>
    <cfRule type="containsText" dxfId="1253" priority="282" operator="containsText" text="Sublimite">
      <formula>NOT(ISERROR(SEARCH("Sublimite",E238)))</formula>
    </cfRule>
    <cfRule type="containsText" dxfId="1252" priority="283" operator="containsText" text="Adicional">
      <formula>NOT(ISERROR(SEARCH("Adicional",E238)))</formula>
    </cfRule>
  </conditionalFormatting>
  <conditionalFormatting sqref="E242:E243">
    <cfRule type="containsText" dxfId="1251" priority="277" operator="containsText" text="Adicional">
      <formula>NOT(ISERROR(SEARCH("Adicional",E242)))</formula>
    </cfRule>
    <cfRule type="containsText" dxfId="1250" priority="276" operator="containsText" text="Sublimite">
      <formula>NOT(ISERROR(SEARCH("Sublimite",E242)))</formula>
    </cfRule>
  </conditionalFormatting>
  <conditionalFormatting sqref="E242:E271">
    <cfRule type="containsText" dxfId="1249" priority="84" operator="containsText" text="Excluido">
      <formula>NOT(ISERROR(SEARCH("Excluido",E242)))</formula>
    </cfRule>
    <cfRule type="containsText" dxfId="1248" priority="85" operator="containsText" text="Sublimite">
      <formula>NOT(ISERROR(SEARCH("Sublimite",E242)))</formula>
    </cfRule>
    <cfRule type="containsText" dxfId="1247" priority="82" operator="containsText" text="Excluido">
      <formula>NOT(ISERROR(SEARCH("Excluido",E242)))</formula>
    </cfRule>
    <cfRule type="containsText" dxfId="1246" priority="83" operator="containsText" text="Sublimite">
      <formula>NOT(ISERROR(SEARCH("Sublimite",E242)))</formula>
    </cfRule>
  </conditionalFormatting>
  <conditionalFormatting sqref="E244:E265">
    <cfRule type="containsText" dxfId="1245" priority="96" operator="containsText" text="Sublimite">
      <formula>NOT(ISERROR(SEARCH("Sublimite",E244)))</formula>
    </cfRule>
  </conditionalFormatting>
  <conditionalFormatting sqref="E266">
    <cfRule type="containsText" dxfId="1244" priority="271" operator="containsText" text="Adicional">
      <formula>NOT(ISERROR(SEARCH("Adicional",E266)))</formula>
    </cfRule>
    <cfRule type="containsText" dxfId="1243" priority="270" operator="containsText" text="Sublimite">
      <formula>NOT(ISERROR(SEARCH("Sublimite",E266)))</formula>
    </cfRule>
  </conditionalFormatting>
  <conditionalFormatting sqref="E267:E268">
    <cfRule type="containsText" dxfId="1242" priority="91" operator="containsText" text="Sublimite">
      <formula>NOT(ISERROR(SEARCH("Sublimite",E267)))</formula>
    </cfRule>
  </conditionalFormatting>
  <conditionalFormatting sqref="E269">
    <cfRule type="containsText" dxfId="1241" priority="265" operator="containsText" text="Adicional">
      <formula>NOT(ISERROR(SEARCH("Adicional",E269)))</formula>
    </cfRule>
    <cfRule type="containsText" dxfId="1240" priority="264" operator="containsText" text="Sublimite">
      <formula>NOT(ISERROR(SEARCH("Sublimite",E269)))</formula>
    </cfRule>
  </conditionalFormatting>
  <conditionalFormatting sqref="E270:E271">
    <cfRule type="containsText" dxfId="1239" priority="86" operator="containsText" text="Sublimite">
      <formula>NOT(ISERROR(SEARCH("Sublimite",E270)))</formula>
    </cfRule>
  </conditionalFormatting>
  <conditionalFormatting sqref="E274">
    <cfRule type="containsText" dxfId="1238" priority="259" operator="containsText" text="Adicional">
      <formula>NOT(ISERROR(SEARCH("Adicional",E274)))</formula>
    </cfRule>
    <cfRule type="containsText" dxfId="1237" priority="258" operator="containsText" text="Sublimite">
      <formula>NOT(ISERROR(SEARCH("Sublimite",E274)))</formula>
    </cfRule>
  </conditionalFormatting>
  <conditionalFormatting sqref="E274:E275">
    <cfRule type="containsText" dxfId="1236" priority="77" operator="containsText" text="Excluido">
      <formula>NOT(ISERROR(SEARCH("Excluido",E274)))</formula>
    </cfRule>
    <cfRule type="containsText" dxfId="1235" priority="78" operator="containsText" text="Sublimite">
      <formula>NOT(ISERROR(SEARCH("Sublimite",E274)))</formula>
    </cfRule>
    <cfRule type="containsText" dxfId="1234" priority="80" operator="containsText" text="Sublimite">
      <formula>NOT(ISERROR(SEARCH("Sublimite",E274)))</formula>
    </cfRule>
    <cfRule type="containsText" dxfId="1233" priority="79" operator="containsText" text="Excluido">
      <formula>NOT(ISERROR(SEARCH("Excluido",E274)))</formula>
    </cfRule>
  </conditionalFormatting>
  <conditionalFormatting sqref="E275">
    <cfRule type="containsText" dxfId="1232" priority="81" operator="containsText" text="Sublimite">
      <formula>NOT(ISERROR(SEARCH("Sublimite",E275)))</formula>
    </cfRule>
  </conditionalFormatting>
  <conditionalFormatting sqref="E278">
    <cfRule type="containsText" dxfId="1231" priority="253" operator="containsText" text="Adicional">
      <formula>NOT(ISERROR(SEARCH("Adicional",E278)))</formula>
    </cfRule>
    <cfRule type="containsText" dxfId="1230" priority="252" operator="containsText" text="Sublimite">
      <formula>NOT(ISERROR(SEARCH("Sublimite",E278)))</formula>
    </cfRule>
  </conditionalFormatting>
  <conditionalFormatting sqref="E278:E281">
    <cfRule type="containsText" dxfId="1229" priority="75" operator="containsText" text="Sublimite">
      <formula>NOT(ISERROR(SEARCH("Sublimite",E278)))</formula>
    </cfRule>
    <cfRule type="containsText" dxfId="1228" priority="74" operator="containsText" text="Excluido">
      <formula>NOT(ISERROR(SEARCH("Excluido",E278)))</formula>
    </cfRule>
    <cfRule type="containsText" dxfId="1227" priority="73" operator="containsText" text="Sublimite">
      <formula>NOT(ISERROR(SEARCH("Sublimite",E278)))</formula>
    </cfRule>
    <cfRule type="containsText" dxfId="1226" priority="72" operator="containsText" text="Excluido">
      <formula>NOT(ISERROR(SEARCH("Excluido",E278)))</formula>
    </cfRule>
  </conditionalFormatting>
  <conditionalFormatting sqref="E279:E281">
    <cfRule type="containsText" dxfId="1225" priority="76" operator="containsText" text="Sublimite">
      <formula>NOT(ISERROR(SEARCH("Sublimite",E279)))</formula>
    </cfRule>
  </conditionalFormatting>
  <conditionalFormatting sqref="E284:E328">
    <cfRule type="containsText" dxfId="1224" priority="246" operator="containsText" text="Sublimite">
      <formula>NOT(ISERROR(SEARCH("Sublimite",E284)))</formula>
    </cfRule>
    <cfRule type="containsText" dxfId="1223" priority="247" operator="containsText" text="Adicional">
      <formula>NOT(ISERROR(SEARCH("Adicional",E284)))</formula>
    </cfRule>
    <cfRule type="containsText" dxfId="1222" priority="242" operator="containsText" text="Excluido">
      <formula>NOT(ISERROR(SEARCH("Excluido",E284)))</formula>
    </cfRule>
    <cfRule type="containsText" dxfId="1221" priority="243" operator="containsText" text="Sublimite">
      <formula>NOT(ISERROR(SEARCH("Sublimite",E284)))</formula>
    </cfRule>
    <cfRule type="containsText" dxfId="1220" priority="244" operator="containsText" text="Excluido">
      <formula>NOT(ISERROR(SEARCH("Excluido",E284)))</formula>
    </cfRule>
    <cfRule type="containsText" dxfId="1219" priority="245" operator="containsText" text="Sublimite">
      <formula>NOT(ISERROR(SEARCH("Sublimite",E284)))</formula>
    </cfRule>
  </conditionalFormatting>
  <conditionalFormatting sqref="E331">
    <cfRule type="containsText" dxfId="1218" priority="240" operator="containsText" text="Sublimite">
      <formula>NOT(ISERROR(SEARCH("Sublimite",E331)))</formula>
    </cfRule>
    <cfRule type="containsText" dxfId="1217" priority="241" operator="containsText" text="Adicional">
      <formula>NOT(ISERROR(SEARCH("Adicional",E331)))</formula>
    </cfRule>
  </conditionalFormatting>
  <conditionalFormatting sqref="E331:E335">
    <cfRule type="containsText" dxfId="1216" priority="67" operator="containsText" text="Excluido">
      <formula>NOT(ISERROR(SEARCH("Excluido",E331)))</formula>
    </cfRule>
    <cfRule type="containsText" dxfId="1215" priority="68" operator="containsText" text="Sublimite">
      <formula>NOT(ISERROR(SEARCH("Sublimite",E331)))</formula>
    </cfRule>
    <cfRule type="containsText" dxfId="1214" priority="69" operator="containsText" text="Excluido">
      <formula>NOT(ISERROR(SEARCH("Excluido",E331)))</formula>
    </cfRule>
    <cfRule type="containsText" dxfId="1213" priority="70" operator="containsText" text="Sublimite">
      <formula>NOT(ISERROR(SEARCH("Sublimite",E331)))</formula>
    </cfRule>
  </conditionalFormatting>
  <conditionalFormatting sqref="E332:E335">
    <cfRule type="containsText" dxfId="1212" priority="71" operator="containsText" text="Sublimite">
      <formula>NOT(ISERROR(SEARCH("Sublimite",E332)))</formula>
    </cfRule>
  </conditionalFormatting>
  <conditionalFormatting sqref="E338">
    <cfRule type="containsText" dxfId="1211" priority="235" operator="containsText" text="Adicional">
      <formula>NOT(ISERROR(SEARCH("Adicional",E338)))</formula>
    </cfRule>
    <cfRule type="containsText" dxfId="1210" priority="234" operator="containsText" text="Sublimite">
      <formula>NOT(ISERROR(SEARCH("Sublimite",E338)))</formula>
    </cfRule>
  </conditionalFormatting>
  <conditionalFormatting sqref="E338:E343">
    <cfRule type="containsText" dxfId="1209" priority="64" operator="containsText" text="Excluido">
      <formula>NOT(ISERROR(SEARCH("Excluido",E338)))</formula>
    </cfRule>
    <cfRule type="containsText" dxfId="1208" priority="65" operator="containsText" text="Sublimite">
      <formula>NOT(ISERROR(SEARCH("Sublimite",E338)))</formula>
    </cfRule>
    <cfRule type="containsText" dxfId="1207" priority="62" operator="containsText" text="Excluido">
      <formula>NOT(ISERROR(SEARCH("Excluido",E338)))</formula>
    </cfRule>
    <cfRule type="containsText" dxfId="1206" priority="63" operator="containsText" text="Sublimite">
      <formula>NOT(ISERROR(SEARCH("Sublimite",E338)))</formula>
    </cfRule>
  </conditionalFormatting>
  <conditionalFormatting sqref="E339:E343">
    <cfRule type="containsText" dxfId="1205" priority="66" operator="containsText" text="Sublimite">
      <formula>NOT(ISERROR(SEARCH("Sublimite",E339)))</formula>
    </cfRule>
  </conditionalFormatting>
  <conditionalFormatting sqref="E346:E348">
    <cfRule type="containsText" dxfId="1204" priority="228" operator="containsText" text="Sublimite">
      <formula>NOT(ISERROR(SEARCH("Sublimite",E346)))</formula>
    </cfRule>
    <cfRule type="containsText" dxfId="1203" priority="229" operator="containsText" text="Adicional">
      <formula>NOT(ISERROR(SEARCH("Adicional",E346)))</formula>
    </cfRule>
  </conditionalFormatting>
  <conditionalFormatting sqref="E346:E349">
    <cfRule type="containsText" dxfId="1202" priority="227" operator="containsText" text="Sublimite">
      <formula>NOT(ISERROR(SEARCH("Sublimite",E346)))</formula>
    </cfRule>
    <cfRule type="containsText" dxfId="1201" priority="224" operator="containsText" text="Excluido">
      <formula>NOT(ISERROR(SEARCH("Excluido",E346)))</formula>
    </cfRule>
    <cfRule type="containsText" dxfId="1200" priority="225" operator="containsText" text="Sublimite">
      <formula>NOT(ISERROR(SEARCH("Sublimite",E346)))</formula>
    </cfRule>
    <cfRule type="containsText" dxfId="1199" priority="226" operator="containsText" text="Excluido">
      <formula>NOT(ISERROR(SEARCH("Excluido",E346)))</formula>
    </cfRule>
  </conditionalFormatting>
  <conditionalFormatting sqref="E349">
    <cfRule type="containsText" dxfId="1198" priority="749" operator="containsText" text="Sublimite">
      <formula>NOT(ISERROR(SEARCH("Sublimite",E349)))</formula>
    </cfRule>
  </conditionalFormatting>
  <conditionalFormatting sqref="E352:E362">
    <cfRule type="containsText" dxfId="1197" priority="218" operator="containsText" text="Excluido">
      <formula>NOT(ISERROR(SEARCH("Excluido",E352)))</formula>
    </cfRule>
    <cfRule type="containsText" dxfId="1196" priority="219" operator="containsText" text="Sublimite">
      <formula>NOT(ISERROR(SEARCH("Sublimite",E352)))</formula>
    </cfRule>
    <cfRule type="containsText" dxfId="1195" priority="220" operator="containsText" text="Excluido">
      <formula>NOT(ISERROR(SEARCH("Excluido",E352)))</formula>
    </cfRule>
    <cfRule type="containsText" dxfId="1194" priority="221" operator="containsText" text="Sublimite">
      <formula>NOT(ISERROR(SEARCH("Sublimite",E352)))</formula>
    </cfRule>
    <cfRule type="containsText" dxfId="1193" priority="222" operator="containsText" text="Sublimite">
      <formula>NOT(ISERROR(SEARCH("Sublimite",E352)))</formula>
    </cfRule>
    <cfRule type="containsText" dxfId="1192" priority="223" operator="containsText" text="Adicional">
      <formula>NOT(ISERROR(SEARCH("Adicional",E352)))</formula>
    </cfRule>
  </conditionalFormatting>
  <conditionalFormatting sqref="E365:E368">
    <cfRule type="containsText" dxfId="1191" priority="215" operator="containsText" text="Sublimite">
      <formula>NOT(ISERROR(SEARCH("Sublimite",E365)))</formula>
    </cfRule>
    <cfRule type="containsText" dxfId="1190" priority="217" operator="containsText" text="Adicional">
      <formula>NOT(ISERROR(SEARCH("Adicional",E365)))</formula>
    </cfRule>
    <cfRule type="containsText" dxfId="1189" priority="213" operator="containsText" text="Sublimite">
      <formula>NOT(ISERROR(SEARCH("Sublimite",E365)))</formula>
    </cfRule>
    <cfRule type="containsText" dxfId="1188" priority="212" operator="containsText" text="Excluido">
      <formula>NOT(ISERROR(SEARCH("Excluido",E365)))</formula>
    </cfRule>
    <cfRule type="containsText" dxfId="1187" priority="216" operator="containsText" text="Sublimite">
      <formula>NOT(ISERROR(SEARCH("Sublimite",E365)))</formula>
    </cfRule>
    <cfRule type="containsText" dxfId="1186" priority="214" operator="containsText" text="Excluido">
      <formula>NOT(ISERROR(SEARCH("Excluido",E365)))</formula>
    </cfRule>
  </conditionalFormatting>
  <conditionalFormatting sqref="E371">
    <cfRule type="containsText" dxfId="1185" priority="211" operator="containsText" text="Adicional">
      <formula>NOT(ISERROR(SEARCH("Adicional",E371)))</formula>
    </cfRule>
    <cfRule type="containsText" dxfId="1184" priority="210" operator="containsText" text="Sublimite">
      <formula>NOT(ISERROR(SEARCH("Sublimite",E371)))</formula>
    </cfRule>
  </conditionalFormatting>
  <conditionalFormatting sqref="E371:E378">
    <cfRule type="containsText" dxfId="1183" priority="57" operator="containsText" text="Excluido">
      <formula>NOT(ISERROR(SEARCH("Excluido",E371)))</formula>
    </cfRule>
    <cfRule type="containsText" dxfId="1182" priority="58" operator="containsText" text="Sublimite">
      <formula>NOT(ISERROR(SEARCH("Sublimite",E371)))</formula>
    </cfRule>
    <cfRule type="containsText" dxfId="1181" priority="59" operator="containsText" text="Excluido">
      <formula>NOT(ISERROR(SEARCH("Excluido",E371)))</formula>
    </cfRule>
    <cfRule type="containsText" dxfId="1180" priority="60" operator="containsText" text="Sublimite">
      <formula>NOT(ISERROR(SEARCH("Sublimite",E371)))</formula>
    </cfRule>
  </conditionalFormatting>
  <conditionalFormatting sqref="E372:E378">
    <cfRule type="containsText" dxfId="1179" priority="61" operator="containsText" text="Sublimite">
      <formula>NOT(ISERROR(SEARCH("Sublimite",E372)))</formula>
    </cfRule>
  </conditionalFormatting>
  <conditionalFormatting sqref="E381:E393">
    <cfRule type="containsText" dxfId="1178" priority="205" operator="containsText" text="Adicional">
      <formula>NOT(ISERROR(SEARCH("Adicional",E381)))</formula>
    </cfRule>
    <cfRule type="containsText" dxfId="1177" priority="204" operator="containsText" text="Sublimite">
      <formula>NOT(ISERROR(SEARCH("Sublimite",E381)))</formula>
    </cfRule>
    <cfRule type="containsText" dxfId="1176" priority="203" operator="containsText" text="Sublimite">
      <formula>NOT(ISERROR(SEARCH("Sublimite",E381)))</formula>
    </cfRule>
    <cfRule type="containsText" dxfId="1175" priority="202" operator="containsText" text="Excluido">
      <formula>NOT(ISERROR(SEARCH("Excluido",E381)))</formula>
    </cfRule>
    <cfRule type="containsText" dxfId="1174" priority="201" operator="containsText" text="Sublimite">
      <formula>NOT(ISERROR(SEARCH("Sublimite",E381)))</formula>
    </cfRule>
    <cfRule type="containsText" dxfId="1173" priority="200" operator="containsText" text="Excluido">
      <formula>NOT(ISERROR(SEARCH("Excluido",E381)))</formula>
    </cfRule>
  </conditionalFormatting>
  <conditionalFormatting sqref="E396">
    <cfRule type="containsText" dxfId="1172" priority="198" operator="containsText" text="Sublimite">
      <formula>NOT(ISERROR(SEARCH("Sublimite",E396)))</formula>
    </cfRule>
    <cfRule type="containsText" dxfId="1171" priority="199" operator="containsText" text="Adicional">
      <formula>NOT(ISERROR(SEARCH("Adicional",E396)))</formula>
    </cfRule>
  </conditionalFormatting>
  <conditionalFormatting sqref="E396:E400">
    <cfRule type="containsText" dxfId="1170" priority="52" operator="containsText" text="Excluido">
      <formula>NOT(ISERROR(SEARCH("Excluido",E396)))</formula>
    </cfRule>
    <cfRule type="containsText" dxfId="1169" priority="53" operator="containsText" text="Sublimite">
      <formula>NOT(ISERROR(SEARCH("Sublimite",E396)))</formula>
    </cfRule>
    <cfRule type="containsText" dxfId="1168" priority="54" operator="containsText" text="Excluido">
      <formula>NOT(ISERROR(SEARCH("Excluido",E396)))</formula>
    </cfRule>
    <cfRule type="containsText" dxfId="1167" priority="55" operator="containsText" text="Sublimite">
      <formula>NOT(ISERROR(SEARCH("Sublimite",E396)))</formula>
    </cfRule>
  </conditionalFormatting>
  <conditionalFormatting sqref="E397:E400">
    <cfRule type="containsText" dxfId="1166" priority="56" operator="containsText" text="Sublimite">
      <formula>NOT(ISERROR(SEARCH("Sublimite",E397)))</formula>
    </cfRule>
  </conditionalFormatting>
  <conditionalFormatting sqref="E403">
    <cfRule type="containsText" dxfId="1165" priority="193" operator="containsText" text="Adicional">
      <formula>NOT(ISERROR(SEARCH("Adicional",E403)))</formula>
    </cfRule>
    <cfRule type="containsText" dxfId="1164" priority="191" operator="containsText" text="Sublimite">
      <formula>NOT(ISERROR(SEARCH("Sublimite",E403)))</formula>
    </cfRule>
    <cfRule type="containsText" dxfId="1163" priority="189" operator="containsText" text="Sublimite">
      <formula>NOT(ISERROR(SEARCH("Sublimite",E403)))</formula>
    </cfRule>
    <cfRule type="containsText" dxfId="1162" priority="190" operator="containsText" text="Excluido">
      <formula>NOT(ISERROR(SEARCH("Excluido",E403)))</formula>
    </cfRule>
    <cfRule type="containsText" dxfId="1161" priority="188" operator="containsText" text="Excluido">
      <formula>NOT(ISERROR(SEARCH("Excluido",E403)))</formula>
    </cfRule>
    <cfRule type="containsText" dxfId="1160" priority="192" operator="containsText" text="Sublimite">
      <formula>NOT(ISERROR(SEARCH("Sublimite",E403)))</formula>
    </cfRule>
  </conditionalFormatting>
  <conditionalFormatting sqref="E406">
    <cfRule type="containsText" dxfId="1159" priority="187" operator="containsText" text="Adicional">
      <formula>NOT(ISERROR(SEARCH("Adicional",E406)))</formula>
    </cfRule>
    <cfRule type="containsText" dxfId="1158" priority="186" operator="containsText" text="Sublimite">
      <formula>NOT(ISERROR(SEARCH("Sublimite",E406)))</formula>
    </cfRule>
  </conditionalFormatting>
  <conditionalFormatting sqref="E406:E409">
    <cfRule type="containsText" dxfId="1157" priority="47" operator="containsText" text="Excluido">
      <formula>NOT(ISERROR(SEARCH("Excluido",E406)))</formula>
    </cfRule>
    <cfRule type="containsText" dxfId="1156" priority="49" operator="containsText" text="Excluido">
      <formula>NOT(ISERROR(SEARCH("Excluido",E406)))</formula>
    </cfRule>
    <cfRule type="containsText" dxfId="1155" priority="50" operator="containsText" text="Sublimite">
      <formula>NOT(ISERROR(SEARCH("Sublimite",E406)))</formula>
    </cfRule>
    <cfRule type="containsText" dxfId="1154" priority="48" operator="containsText" text="Sublimite">
      <formula>NOT(ISERROR(SEARCH("Sublimite",E406)))</formula>
    </cfRule>
  </conditionalFormatting>
  <conditionalFormatting sqref="E407:E409">
    <cfRule type="containsText" dxfId="1153" priority="51" operator="containsText" text="Sublimite">
      <formula>NOT(ISERROR(SEARCH("Sublimite",E407)))</formula>
    </cfRule>
  </conditionalFormatting>
  <conditionalFormatting sqref="L7:O7">
    <cfRule type="containsText" dxfId="1152" priority="19" operator="containsText" text="POLIZA A VALORES TOTALES">
      <formula>NOT(ISERROR(SEARCH("POLIZA A VALORES TOTALES",L7)))</formula>
    </cfRule>
    <cfRule type="containsText" dxfId="1151" priority="20" operator="containsText" text="POLIZA SIN PRIMER RIESGO">
      <formula>NOT(ISERROR(SEARCH("POLIZA SIN PRIMER RIESGO",L7)))</formula>
    </cfRule>
  </conditionalFormatting>
  <dataValidations count="10">
    <dataValidation type="list" allowBlank="1" showInputMessage="1" showErrorMessage="1" sqref="L7:O7" xr:uid="{E7352461-BEC9-43C5-BB22-CC4DD2E550F0}">
      <formula1>"POLIZA CON COASEGURO CONVENIDO, POLIZA A PRIMER RIESGO, POLIZA A VALORES TOTALES"</formula1>
    </dataValidation>
    <dataValidation type="list" allowBlank="1" showInputMessage="1" showErrorMessage="1" sqref="E18 E42 E24 E242" xr:uid="{C0A45F31-EFF6-4CFD-9123-1589F93BCEDA}">
      <formula1>"Adicional, Sublimite"</formula1>
    </dataValidation>
    <dataValidation type="list" allowBlank="1" showInputMessage="1" showErrorMessage="1" sqref="F12" xr:uid="{D78D5FFE-B99C-4BFB-B792-B194698D7541}">
      <formula1>"ORDINARIO, COMERCIAL E INDUSTRIAL, GRANDES RIESGOS, HABITACIONAL"</formula1>
    </dataValidation>
    <dataValidation type="list" allowBlank="1" showInputMessage="1" showErrorMessage="1" sqref="E37 E235 E25 E407:E409 E29:E30 E32:E33 E44:E58 E62:E63 E39 E70 E72 E74 E76 E87:E89 E91:E94 E96:E98 E118:E121 E65:E66 E164:E165 E170:E171 E176:E177 E180:E181 E397:E400 E192:E201 E204:E205 E125:E128 E219 E222 E225 E229 E232 E184:E185 E244:E265 E267:E268 E270:E271 E332:E335 E275 E279:E281 E339:E343 E372:E378 E208:E209 E349 E20:E23" xr:uid="{5E7A08F9-56F9-46B1-87C8-A8998AC0A0A5}">
      <formula1>"Sublimite, Excluido"</formula1>
    </dataValidation>
    <dataValidation type="list" allowBlank="1" showInputMessage="1" showErrorMessage="1" sqref="E406 E396 E168:E169 E365:E368 E26:E27 E188:E191 E68 E19 E101:E102 E105:E106 E109:E110 E79:E86 E331 E43 E131:E136 E139:E144 E147 E150 E153 E156 E174:E175 E59:E60 E113:E114 E381:E393 E162:E163 E371 E403 E159 E212 E215 E218 E228 E278 E269 E274 E124 E338 E346:E348 E352:E362 E238:E239 E266 E243 E35 E117 E284:E328" xr:uid="{CAB7B8AF-1203-48A6-9BD9-FFDC4C946C3F}">
      <formula1>"Adicional, Sublimite, Excluido"</formula1>
    </dataValidation>
    <dataValidation type="list" allowBlank="1" showInputMessage="1" showErrorMessage="1" sqref="N9:O9" xr:uid="{87BE6F8F-7BE3-4AE7-A79A-C9AB6272B0FA}">
      <formula1>"POLIZA NUEVA, RENOVACION, CANCELACION, ENDOSO DE AUMENTO, ENDOSO DE DISMINUCION, ENDOSO DE DECLARACION, ENDOSO DE EXTENSIÓN DE VIGENCIA, ENDOSO DE REDUCCIÓN DE VIGENCIA, CAMBIO DE FORMA DE PAGO, ANULACIÓN DE PÓLIZA, ANULACIÓN DE ENDOSO"</formula1>
    </dataValidation>
    <dataValidation type="list" allowBlank="1" showInputMessage="1" showErrorMessage="1" sqref="H14" xr:uid="{6700ECCB-ACE0-4967-ABA4-61BAAD72DFCD}">
      <formula1>"PRORRATA, DIRECTA"</formula1>
    </dataValidation>
    <dataValidation type="list" allowBlank="1" showInputMessage="1" showErrorMessage="1" sqref="N10" xr:uid="{1C1A8B11-2C3D-45DA-9CAD-28E080817B28}">
      <formula1>"TODO RIESGO, RIESGOS NOMBRADOS"</formula1>
    </dataValidation>
    <dataValidation type="list" allowBlank="1" showInputMessage="1" showErrorMessage="1" sqref="F13" xr:uid="{44D884C9-A1CE-4CFB-896B-49D7107DEF64}">
      <formula1>"NACIONAL, DÓLARES"</formula1>
    </dataValidation>
    <dataValidation type="list" allowBlank="1" showInputMessage="1" showErrorMessage="1" sqref="I29:I30 I32:I33 I35 I37 I39 I18:I27 I62:I63 I65:I66 I68 I70 I235 I76 I91:I94 I96:I98 I101:I102 I105:I106 I109:I110 I113:I114 I117:I121 I124:I128 I131:I136 I139:I144 I147 I150 I153 I156 I159 I174:I177 I162:I165 I168:I171 I180:I181 I184:I185 I284:I328 I204:I205 I208:I209 I212 I215 I218:I219 I222 I225 I228:I229 I232 I238:I239 I242:I271 I274:I275 I278:I281 I331:I335 I338:I343 I352:I362 I365:I368 I371:I378 I381:I393 I396:I400 I403 I406:I409 I72 I74 I42:I60 I79:I89 I188:I201 I346:I349" xr:uid="{8C35E59D-82A8-4233-BDCE-16BAE3E7B505}">
      <formula1>"%o Al Millar,% Al Porciento,$ Prima"</formula1>
    </dataValidation>
  </dataValidations>
  <pageMargins left="0.51181102362204722" right="0.31496062992125984" top="0.35433070866141736" bottom="0.35433070866141736" header="0.31496062992125984" footer="0.31496062992125984"/>
  <pageSetup scale="50" orientation="landscape" r:id="rId1"/>
  <headerFooter>
    <oddFooter>&amp;CPágina &amp;P de &amp;F &amp;RBRENDA PEREZ]</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22529" r:id="rId4" name="Drop Down 25">
              <controlPr defaultSize="0" autoLine="0" autoPict="0">
                <anchor moveWithCells="1">
                  <from>
                    <xdr:col>5</xdr:col>
                    <xdr:colOff>7620</xdr:colOff>
                    <xdr:row>13</xdr:row>
                    <xdr:rowOff>0</xdr:rowOff>
                  </from>
                  <to>
                    <xdr:col>5</xdr:col>
                    <xdr:colOff>1531620</xdr:colOff>
                    <xdr:row>13</xdr:row>
                    <xdr:rowOff>198120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containsText" priority="21" operator="containsText" id="{133F23E4-0DCF-405D-9C4B-A628F7BB6F5C}">
            <xm:f>NOT(ISERROR(SEARCH($L$8,L7)))</xm:f>
            <xm:f>$L$8</xm:f>
            <x14:dxf>
              <font>
                <b/>
                <i val="0"/>
                <color theme="0"/>
              </font>
              <fill>
                <patternFill>
                  <bgColor rgb="FFFF0000"/>
                </patternFill>
              </fill>
            </x14:dxf>
          </x14:cfRule>
          <x14:cfRule type="containsText" priority="22" operator="containsText" id="{E01C0B2C-4A1B-4ECA-AB92-ED69485FDE4A}">
            <xm:f>NOT(ISERROR(SEARCH($L$8,L7)))</xm:f>
            <xm:f>$L$8</xm:f>
            <x14:dxf>
              <font>
                <color rgb="FF9C0006"/>
              </font>
              <fill>
                <patternFill>
                  <bgColor rgb="FFFFC7CE"/>
                </patternFill>
              </fill>
            </x14:dxf>
          </x14:cfRule>
          <xm:sqref>L7:O8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5EEB6B7D-2F06-4D1C-871B-889547C22C3D}">
          <x14:formula1>
            <xm:f>Hoja3!$F$2:$F$39</xm:f>
          </x14:formula1>
          <xm:sqref>G8:K8</xm:sqref>
        </x14:dataValidation>
        <x14:dataValidation type="list" allowBlank="1" showInputMessage="1" showErrorMessage="1" xr:uid="{EC0E94A4-4CFA-4ACE-8DB9-2DD2A1577898}">
          <x14:formula1>
            <xm:f>Hoja1!$B$4653:$B$4730</xm:f>
          </x14:formula1>
          <xm:sqref>C7:J7</xm:sqref>
        </x14:dataValidation>
        <x14:dataValidation type="list" allowBlank="1" showInputMessage="1" showErrorMessage="1" xr:uid="{D715C051-8620-4563-91DB-A22AF01561CC}">
          <x14:formula1>
            <xm:f>Hoja1!$J$3:$J$134</xm:f>
          </x14:formula1>
          <xm:sqref>C8</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AB70-480A-4B6B-84A1-2854C1652C5F}">
  <sheetPr filterMode="1"/>
  <dimension ref="A1:IO420"/>
  <sheetViews>
    <sheetView topLeftCell="A122" zoomScaleNormal="100" workbookViewId="0">
      <selection activeCell="F61" sqref="F61"/>
    </sheetView>
  </sheetViews>
  <sheetFormatPr baseColWidth="10" defaultColWidth="11.44140625" defaultRowHeight="14.4" x14ac:dyDescent="0.3"/>
  <cols>
    <col min="1" max="1" width="14.6640625" style="3" customWidth="1"/>
    <col min="2" max="2" width="12.5546875" style="3" customWidth="1"/>
    <col min="3" max="3" width="38" customWidth="1"/>
    <col min="4" max="4" width="14.88671875" customWidth="1"/>
    <col min="5" max="5" width="12.5546875" customWidth="1"/>
    <col min="6" max="6" width="23.6640625" style="4" customWidth="1"/>
    <col min="7" max="7" width="15.88671875" style="4" customWidth="1"/>
    <col min="8" max="8" width="16.109375" style="4" customWidth="1"/>
    <col min="9" max="9" width="14.88671875" style="4" customWidth="1"/>
    <col min="10" max="10" width="15.44140625" style="4" customWidth="1"/>
    <col min="11" max="11" width="14.88671875" style="4" customWidth="1"/>
    <col min="12" max="12" width="14.6640625" style="4" customWidth="1"/>
    <col min="13" max="13" width="12" style="5" customWidth="1"/>
    <col min="14" max="14" width="18.109375" style="4" customWidth="1"/>
    <col min="15" max="15" width="14.33203125" style="4" bestFit="1" customWidth="1"/>
    <col min="16" max="16" width="11.44140625" style="6" customWidth="1"/>
    <col min="17" max="19" width="11.44140625" customWidth="1"/>
    <col min="20" max="20" width="14.33203125" customWidth="1"/>
    <col min="21" max="21" width="13" customWidth="1"/>
    <col min="22" max="22" width="14.5546875" customWidth="1"/>
    <col min="23" max="25" width="6.33203125" bestFit="1" customWidth="1"/>
    <col min="26" max="26" width="6.6640625" customWidth="1"/>
    <col min="27" max="27" width="7.33203125" customWidth="1"/>
    <col min="28" max="28" width="6.33203125" bestFit="1" customWidth="1"/>
  </cols>
  <sheetData>
    <row r="1" spans="1:249" x14ac:dyDescent="0.3">
      <c r="S1" s="55">
        <v>3</v>
      </c>
      <c r="T1" s="52" t="str">
        <f>VLOOKUP(S1,S2:T5,2)</f>
        <v>TRIMESTRAL</v>
      </c>
      <c r="U1" s="56">
        <f>IF(F13="NACIONAL",1,2)</f>
        <v>2</v>
      </c>
      <c r="V1" s="53" t="str">
        <f>F13</f>
        <v>DÓLARES</v>
      </c>
    </row>
    <row r="2" spans="1:249" ht="18.75" customHeight="1" x14ac:dyDescent="0.3">
      <c r="E2" s="755" t="str">
        <f>VLOOKUP(C15,UBCINEMEX,2)</f>
        <v>Cinemas Lumiere S.A. de C.V.</v>
      </c>
      <c r="F2" s="755"/>
      <c r="G2" s="755"/>
      <c r="H2" s="755"/>
      <c r="S2" s="57">
        <v>1</v>
      </c>
      <c r="T2" s="57" t="s">
        <v>789</v>
      </c>
      <c r="U2" s="54">
        <v>0</v>
      </c>
      <c r="V2" s="54">
        <v>0</v>
      </c>
    </row>
    <row r="3" spans="1:249" x14ac:dyDescent="0.3">
      <c r="E3" s="755"/>
      <c r="F3" s="755"/>
      <c r="G3" s="755"/>
      <c r="H3" s="755"/>
      <c r="S3" s="57">
        <v>2</v>
      </c>
      <c r="T3" s="57" t="s">
        <v>793</v>
      </c>
      <c r="U3" s="54">
        <v>4.2000000000000003E-2</v>
      </c>
      <c r="V3" s="54">
        <v>1.4E-2</v>
      </c>
    </row>
    <row r="4" spans="1:249" x14ac:dyDescent="0.3">
      <c r="S4" s="57">
        <v>3</v>
      </c>
      <c r="T4" s="57" t="s">
        <v>797</v>
      </c>
      <c r="U4" s="54">
        <v>6.4000000000000001E-2</v>
      </c>
      <c r="V4" s="54">
        <v>2.1100000000000001E-2</v>
      </c>
    </row>
    <row r="5" spans="1:249" ht="24.6" x14ac:dyDescent="0.3">
      <c r="A5" s="700" t="s">
        <v>1093</v>
      </c>
      <c r="B5" s="700"/>
      <c r="C5" s="700"/>
      <c r="D5" s="700"/>
      <c r="E5" s="700"/>
      <c r="F5" s="700"/>
      <c r="G5" s="700"/>
      <c r="H5" s="700"/>
      <c r="I5" s="700"/>
      <c r="J5" s="700"/>
      <c r="K5" s="700"/>
      <c r="L5" s="700"/>
      <c r="M5" s="700"/>
      <c r="N5" s="700"/>
      <c r="O5" s="700"/>
      <c r="S5" s="57">
        <v>4</v>
      </c>
      <c r="T5" s="57" t="s">
        <v>801</v>
      </c>
      <c r="U5" s="54">
        <v>7.6999999999999999E-2</v>
      </c>
      <c r="V5" s="54">
        <v>2.58E-2</v>
      </c>
    </row>
    <row r="6" spans="1:249" ht="15" thickBot="1" x14ac:dyDescent="0.35"/>
    <row r="7" spans="1:249" ht="21" customHeight="1" thickTop="1" thickBot="1" x14ac:dyDescent="0.35">
      <c r="A7" s="701" t="s">
        <v>1094</v>
      </c>
      <c r="B7" s="702"/>
      <c r="C7" s="703" t="s">
        <v>1095</v>
      </c>
      <c r="D7" s="704"/>
      <c r="E7" s="704"/>
      <c r="F7" s="704"/>
      <c r="G7" s="704"/>
      <c r="H7" s="704"/>
      <c r="I7" s="704"/>
      <c r="J7" s="705"/>
      <c r="K7" s="116">
        <f>MID(C7,1,2)*1</f>
        <v>20</v>
      </c>
      <c r="L7" s="706" t="s">
        <v>1096</v>
      </c>
      <c r="M7" s="707"/>
      <c r="N7" s="707"/>
      <c r="O7" s="708"/>
      <c r="S7" s="698" t="s">
        <v>1097</v>
      </c>
      <c r="T7" s="698"/>
      <c r="U7" s="54">
        <f>VLOOKUP(S1,S2:V5,U1+2)</f>
        <v>2.1100000000000001E-2</v>
      </c>
    </row>
    <row r="8" spans="1:249" ht="21" customHeight="1" thickTop="1" thickBot="1" x14ac:dyDescent="0.35">
      <c r="A8" s="701" t="s">
        <v>1098</v>
      </c>
      <c r="B8" s="702"/>
      <c r="C8" s="724" t="s">
        <v>1099</v>
      </c>
      <c r="D8" s="725"/>
      <c r="E8" s="726"/>
      <c r="F8" s="117" t="s">
        <v>1100</v>
      </c>
      <c r="G8" s="727" t="s">
        <v>1101</v>
      </c>
      <c r="H8" s="728"/>
      <c r="I8" s="728"/>
      <c r="J8" s="728"/>
      <c r="K8" s="729"/>
      <c r="L8" s="709" t="str">
        <f>Hoja3!A8</f>
        <v/>
      </c>
      <c r="M8" s="710"/>
      <c r="N8" s="710"/>
      <c r="O8" s="711"/>
      <c r="S8" s="90"/>
      <c r="T8" s="90"/>
      <c r="U8" s="54"/>
    </row>
    <row r="9" spans="1:249" ht="16.5" customHeight="1" thickTop="1" x14ac:dyDescent="0.3">
      <c r="A9" s="712" t="s">
        <v>1102</v>
      </c>
      <c r="B9" s="713"/>
      <c r="C9" s="714" t="s">
        <v>695</v>
      </c>
      <c r="D9" s="715"/>
      <c r="E9" s="715"/>
      <c r="F9" s="715"/>
      <c r="G9" s="715"/>
      <c r="H9" s="715"/>
      <c r="I9" s="716"/>
      <c r="J9" s="88" t="s">
        <v>1103</v>
      </c>
      <c r="K9" s="89">
        <v>0</v>
      </c>
      <c r="L9" s="717" t="s">
        <v>1104</v>
      </c>
      <c r="M9" s="717"/>
      <c r="N9" s="718" t="s">
        <v>1463</v>
      </c>
      <c r="O9" s="719"/>
      <c r="P9"/>
      <c r="S9" s="698" t="s">
        <v>1106</v>
      </c>
      <c r="T9" s="698"/>
      <c r="U9" s="58">
        <f>IF(H14="DIRECTA",1,J15/I15)</f>
        <v>1</v>
      </c>
    </row>
    <row r="10" spans="1:249" x14ac:dyDescent="0.3">
      <c r="A10" s="720" t="s">
        <v>1107</v>
      </c>
      <c r="B10" s="721"/>
      <c r="C10" s="722" t="s">
        <v>1108</v>
      </c>
      <c r="D10" s="722"/>
      <c r="E10" s="722"/>
      <c r="F10" s="722"/>
      <c r="G10" s="722"/>
      <c r="H10" s="722"/>
      <c r="I10" s="722"/>
      <c r="J10" s="722"/>
      <c r="K10" s="730"/>
      <c r="L10" s="731" t="s">
        <v>1109</v>
      </c>
      <c r="M10" s="732"/>
      <c r="N10" s="733" t="s">
        <v>1110</v>
      </c>
      <c r="O10" s="734"/>
      <c r="P10"/>
    </row>
    <row r="11" spans="1:249" x14ac:dyDescent="0.3">
      <c r="A11" s="720" t="s">
        <v>1111</v>
      </c>
      <c r="B11" s="721"/>
      <c r="C11" s="722" t="str">
        <f>VLOOKUP(C15,UBCINEMEX,7,0)</f>
        <v>AV. INDEPENDENCIA #2351 TROJES DE ALONSO CENTRO COMERCIAL GALERIASAGUASCALIENTESAGUASCALIENTES20130</v>
      </c>
      <c r="D11" s="722"/>
      <c r="E11" s="722"/>
      <c r="F11" s="722"/>
      <c r="G11" s="722"/>
      <c r="H11" s="722"/>
      <c r="I11" s="722"/>
      <c r="J11" s="722"/>
      <c r="K11" s="723"/>
      <c r="L11" s="79" t="s">
        <v>1112</v>
      </c>
      <c r="M11" s="207" t="str">
        <f>'COTIZACIÓN M.N.'!G13</f>
        <v xml:space="preserve">A </v>
      </c>
      <c r="N11" s="71" t="s">
        <v>1113</v>
      </c>
      <c r="O11" s="413" t="str">
        <f>'COTIZACIÓN M.N.'!G17</f>
        <v>A1PS</v>
      </c>
      <c r="P11"/>
    </row>
    <row r="12" spans="1:249" x14ac:dyDescent="0.3">
      <c r="A12" s="720" t="s">
        <v>1114</v>
      </c>
      <c r="B12" s="721"/>
      <c r="C12" s="50">
        <v>45107</v>
      </c>
      <c r="D12" s="73" t="s">
        <v>1115</v>
      </c>
      <c r="E12" s="73"/>
      <c r="F12" s="74" t="s">
        <v>1116</v>
      </c>
      <c r="G12" s="75" t="s">
        <v>1117</v>
      </c>
      <c r="H12" s="737" t="s">
        <v>724</v>
      </c>
      <c r="I12" s="737"/>
      <c r="J12" s="737"/>
      <c r="K12" s="78">
        <v>1</v>
      </c>
      <c r="L12" s="79" t="s">
        <v>1118</v>
      </c>
      <c r="M12" s="80">
        <f>'COTIZACIÓN M.N.'!G15</f>
        <v>0.2</v>
      </c>
      <c r="N12" s="76" t="s">
        <v>1119</v>
      </c>
      <c r="O12" s="77">
        <f>'COTIZACIÓN M.N.'!G16</f>
        <v>0</v>
      </c>
      <c r="P12"/>
    </row>
    <row r="13" spans="1:249" ht="17.25" customHeight="1" x14ac:dyDescent="0.3">
      <c r="A13" s="720" t="s">
        <v>1120</v>
      </c>
      <c r="B13" s="721"/>
      <c r="C13" s="50">
        <v>45473</v>
      </c>
      <c r="D13" s="738" t="s">
        <v>1121</v>
      </c>
      <c r="E13" s="739"/>
      <c r="F13" s="72" t="s">
        <v>1122</v>
      </c>
      <c r="G13" s="70" t="s">
        <v>1123</v>
      </c>
      <c r="H13" s="740" t="s">
        <v>98</v>
      </c>
      <c r="I13" s="740"/>
      <c r="J13" s="741" t="s">
        <v>1124</v>
      </c>
      <c r="N13" s="76" t="s">
        <v>1125</v>
      </c>
      <c r="O13" s="77">
        <f>100%-'COTIZACIÓN M.N.'!G18</f>
        <v>1</v>
      </c>
      <c r="P13"/>
    </row>
    <row r="14" spans="1:249" ht="16.5" customHeight="1" thickBot="1" x14ac:dyDescent="0.35">
      <c r="A14" s="742" t="s">
        <v>1126</v>
      </c>
      <c r="B14" s="743"/>
      <c r="C14" s="109" t="s">
        <v>1127</v>
      </c>
      <c r="D14" s="744" t="s">
        <v>1128</v>
      </c>
      <c r="E14" s="745"/>
      <c r="F14" s="133"/>
      <c r="G14" s="134" t="s">
        <v>1129</v>
      </c>
      <c r="H14" s="135" t="s">
        <v>1130</v>
      </c>
      <c r="I14" s="51"/>
      <c r="J14" s="741"/>
      <c r="K14" s="7" t="s">
        <v>1131</v>
      </c>
      <c r="N14" s="76" t="s">
        <v>1132</v>
      </c>
      <c r="O14" s="77">
        <f>100%-'COTIZACIÓN M.N.'!G14</f>
        <v>1</v>
      </c>
      <c r="P14"/>
    </row>
    <row r="15" spans="1:249" ht="15.6" thickTop="1" thickBot="1" x14ac:dyDescent="0.35">
      <c r="A15" s="746"/>
      <c r="B15" s="747"/>
      <c r="C15" s="748">
        <v>1</v>
      </c>
      <c r="D15" s="749"/>
      <c r="E15" s="138"/>
      <c r="F15" s="139"/>
      <c r="G15" s="139"/>
      <c r="H15" s="140"/>
      <c r="I15" s="59">
        <v>365</v>
      </c>
      <c r="J15" s="59">
        <f>C13-C12</f>
        <v>366</v>
      </c>
      <c r="K15" s="60">
        <v>0.16</v>
      </c>
      <c r="O15" s="61"/>
      <c r="P15" s="8"/>
    </row>
    <row r="16" spans="1:249" s="41" customFormat="1" ht="30" customHeight="1" thickTop="1" thickBot="1" x14ac:dyDescent="0.3">
      <c r="A16" s="62" t="s">
        <v>1133</v>
      </c>
      <c r="B16" s="63" t="s">
        <v>1134</v>
      </c>
      <c r="C16" s="64" t="s">
        <v>1135</v>
      </c>
      <c r="D16" s="64" t="s">
        <v>1136</v>
      </c>
      <c r="E16" s="136" t="s">
        <v>1137</v>
      </c>
      <c r="F16" s="137" t="s">
        <v>1138</v>
      </c>
      <c r="G16" s="137" t="s">
        <v>1139</v>
      </c>
      <c r="H16" s="137" t="s">
        <v>1140</v>
      </c>
      <c r="I16" s="65" t="s">
        <v>1141</v>
      </c>
      <c r="J16" s="65" t="s">
        <v>1142</v>
      </c>
      <c r="K16" s="65" t="s">
        <v>1131</v>
      </c>
      <c r="L16" s="65" t="s">
        <v>73</v>
      </c>
      <c r="M16" s="66" t="s">
        <v>1143</v>
      </c>
      <c r="N16" s="65" t="s">
        <v>1144</v>
      </c>
      <c r="O16" s="67" t="s">
        <v>1145</v>
      </c>
      <c r="P16" s="40" t="s">
        <v>1146</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pans="1:23" ht="15.6" thickTop="1" thickBot="1" x14ac:dyDescent="0.35">
      <c r="A17" s="82" t="s">
        <v>1147</v>
      </c>
      <c r="B17" s="30" t="s">
        <v>1148</v>
      </c>
      <c r="C17" s="28" t="s">
        <v>1149</v>
      </c>
      <c r="D17" s="28" t="str">
        <f>'Ramo Comercial'!C121</f>
        <v>INCLUIDO</v>
      </c>
      <c r="E17" s="28"/>
      <c r="F17" s="113">
        <f>VLOOKUP(C15,UBCINEMEX,8,0)</f>
        <v>0</v>
      </c>
      <c r="G17" s="210">
        <f>'COTIZACIÓN M.N.'!E24+'COTIZACIÓN M.N.'!E25+'COTIZACIÓN M.N.'!E26</f>
        <v>0.30781530000000001</v>
      </c>
      <c r="H17" s="28"/>
      <c r="I17" s="28"/>
      <c r="J17" s="28"/>
      <c r="K17" s="28"/>
      <c r="L17" s="28"/>
      <c r="M17" s="68">
        <v>0.1201</v>
      </c>
      <c r="N17" s="28"/>
      <c r="O17" s="83"/>
      <c r="P17" s="13" t="str">
        <f>IF(Q17=1,"SI","NO")</f>
        <v>NO</v>
      </c>
      <c r="Q17" s="48">
        <f t="shared" ref="Q17:Q27" si="0">IF(D17="INCLUIDO",IF(F17&lt;&gt;0,1,0),0)</f>
        <v>0</v>
      </c>
      <c r="T17" s="146">
        <f>G17</f>
        <v>0.30781530000000001</v>
      </c>
      <c r="U17" s="150"/>
      <c r="V17" s="151"/>
    </row>
    <row r="18" spans="1:23" x14ac:dyDescent="0.3">
      <c r="A18" s="31" t="s">
        <v>1150</v>
      </c>
      <c r="B18" s="32" t="s">
        <v>1148</v>
      </c>
      <c r="C18" s="27" t="s">
        <v>1151</v>
      </c>
      <c r="D18" s="27" t="str">
        <f>$D$17</f>
        <v>INCLUIDO</v>
      </c>
      <c r="E18" s="27" t="s">
        <v>1137</v>
      </c>
      <c r="F18" s="9">
        <f>$F$17*S18</f>
        <v>0</v>
      </c>
      <c r="G18" s="49">
        <f>V18</f>
        <v>0</v>
      </c>
      <c r="H18" s="9">
        <f>(((IF(I18="$ Prima",G18,G18*F18/R18))*$U$9)/365)*$J$15</f>
        <v>0</v>
      </c>
      <c r="I18" s="9" t="s">
        <v>1153</v>
      </c>
      <c r="J18" s="9">
        <f>H18*$U$7</f>
        <v>0</v>
      </c>
      <c r="K18" s="9">
        <f>(H18+J18)*$K$15</f>
        <v>0</v>
      </c>
      <c r="L18" s="9">
        <f>ROUND(H18+J18+K18,2)</f>
        <v>0</v>
      </c>
      <c r="M18" s="11">
        <f t="shared" ref="M18:M27" si="1">$M$17</f>
        <v>0.1201</v>
      </c>
      <c r="N18" s="9">
        <f>H18*M18</f>
        <v>0</v>
      </c>
      <c r="O18" s="12">
        <f>N18</f>
        <v>0</v>
      </c>
      <c r="P18" s="13" t="str">
        <f t="shared" ref="P18:P90" si="2">IF(Q18=1,"SI","NO")</f>
        <v>NO</v>
      </c>
      <c r="Q18">
        <f t="shared" si="0"/>
        <v>0</v>
      </c>
      <c r="R18">
        <f t="shared" ref="R18:R27" si="3">IF(I18="%o Al Millar",1000,IF(I18="% Al Porciento",100,IF(I18="$ Prima",G18)))</f>
        <v>1000</v>
      </c>
      <c r="S18">
        <f t="shared" ref="S18:S39" si="4">IF(E18="Excluido",0,IF(D18="NO APLICA",0,1))</f>
        <v>1</v>
      </c>
      <c r="T18" s="152">
        <v>0.8</v>
      </c>
      <c r="U18">
        <f>IF(E18="Excluido",0,T17*T18)</f>
        <v>0.24625224000000001</v>
      </c>
      <c r="V18" s="153">
        <f>IF(F17=0,0,(U23-U22-U20)+(T17-U23))</f>
        <v>0</v>
      </c>
    </row>
    <row r="19" spans="1:23" hidden="1" x14ac:dyDescent="0.3">
      <c r="A19" s="31" t="s">
        <v>1150</v>
      </c>
      <c r="B19" s="32"/>
      <c r="C19" s="81">
        <f>$O$12</f>
        <v>0</v>
      </c>
      <c r="D19" s="27" t="str">
        <f t="shared" ref="D19:D39" si="5">$D$17</f>
        <v>INCLUIDO</v>
      </c>
      <c r="E19" s="27" t="s">
        <v>1152</v>
      </c>
      <c r="F19" s="9">
        <f>(F18*$O$12)*S19</f>
        <v>0</v>
      </c>
      <c r="G19" s="10">
        <f>G18*0.35</f>
        <v>0</v>
      </c>
      <c r="H19" s="9">
        <f t="shared" ref="H19" si="6">(IF(I19="$ Prima",G19,G19*F19/R19))*$U$9</f>
        <v>0</v>
      </c>
      <c r="I19" s="9" t="s">
        <v>1153</v>
      </c>
      <c r="J19" s="9">
        <f t="shared" ref="J19" si="7">H19*$U$7</f>
        <v>0</v>
      </c>
      <c r="K19" s="9">
        <f t="shared" ref="K19" si="8">(H19+J19)*$K$15</f>
        <v>0</v>
      </c>
      <c r="L19" s="9">
        <f t="shared" ref="L19:L27" si="9">ROUND(H19+J19+K19,2)</f>
        <v>0</v>
      </c>
      <c r="M19" s="11">
        <f t="shared" si="1"/>
        <v>0.1201</v>
      </c>
      <c r="N19" s="9">
        <f t="shared" ref="N19:N27" si="10">H19*M19</f>
        <v>0</v>
      </c>
      <c r="O19" s="12">
        <f t="shared" ref="O19:O27" si="11">N19</f>
        <v>0</v>
      </c>
      <c r="P19" s="13" t="str">
        <f t="shared" si="2"/>
        <v>NO</v>
      </c>
      <c r="Q19">
        <f t="shared" si="0"/>
        <v>0</v>
      </c>
      <c r="R19">
        <f t="shared" si="3"/>
        <v>1000</v>
      </c>
      <c r="S19">
        <f t="shared" si="4"/>
        <v>1</v>
      </c>
      <c r="T19" s="152"/>
      <c r="V19" s="153"/>
    </row>
    <row r="20" spans="1:23" ht="20.399999999999999" x14ac:dyDescent="0.3">
      <c r="A20" s="31" t="s">
        <v>1150</v>
      </c>
      <c r="B20" s="32" t="s">
        <v>1154</v>
      </c>
      <c r="C20" s="27" t="s">
        <v>1155</v>
      </c>
      <c r="D20" s="27" t="str">
        <f t="shared" si="5"/>
        <v>INCLUIDO</v>
      </c>
      <c r="E20" s="27" t="s">
        <v>1137</v>
      </c>
      <c r="F20" s="9">
        <f>$F$17*S20</f>
        <v>0</v>
      </c>
      <c r="G20" s="49">
        <f>V20</f>
        <v>0</v>
      </c>
      <c r="H20" s="9">
        <f>(((IF(I20="$ Prima",G20,G20*F20/R20))*$U$9)/365)*$J$15</f>
        <v>0</v>
      </c>
      <c r="I20" s="9" t="s">
        <v>1153</v>
      </c>
      <c r="J20" s="9">
        <f>H20*$U$7</f>
        <v>0</v>
      </c>
      <c r="K20" s="9">
        <f>(H20+J20)*$K$15</f>
        <v>0</v>
      </c>
      <c r="L20" s="9">
        <f t="shared" si="9"/>
        <v>0</v>
      </c>
      <c r="M20" s="11">
        <f t="shared" si="1"/>
        <v>0.1201</v>
      </c>
      <c r="N20" s="9">
        <f t="shared" si="10"/>
        <v>0</v>
      </c>
      <c r="O20" s="12">
        <f t="shared" si="11"/>
        <v>0</v>
      </c>
      <c r="P20" s="13" t="str">
        <f t="shared" si="2"/>
        <v>NO</v>
      </c>
      <c r="Q20">
        <f t="shared" si="0"/>
        <v>0</v>
      </c>
      <c r="R20">
        <f t="shared" si="3"/>
        <v>1000</v>
      </c>
      <c r="S20">
        <f t="shared" si="4"/>
        <v>1</v>
      </c>
      <c r="T20" s="152">
        <v>0.1</v>
      </c>
      <c r="U20">
        <f>IF(E20="Excluido",0,T17*T20)</f>
        <v>3.0781530000000001E-2</v>
      </c>
      <c r="V20" s="153">
        <f>IF(F$17=0,0,U20)</f>
        <v>0</v>
      </c>
    </row>
    <row r="21" spans="1:23" hidden="1" x14ac:dyDescent="0.3">
      <c r="A21" s="31" t="s">
        <v>1150</v>
      </c>
      <c r="B21" s="32"/>
      <c r="C21" s="81">
        <f>$O$12</f>
        <v>0</v>
      </c>
      <c r="D21" s="27" t="str">
        <f t="shared" si="5"/>
        <v>INCLUIDO</v>
      </c>
      <c r="E21" s="27" t="str">
        <f>E20</f>
        <v>Sublimite</v>
      </c>
      <c r="F21" s="9">
        <f>(F20*$O$12)*S21</f>
        <v>0</v>
      </c>
      <c r="G21" s="10">
        <f>G20*0.35</f>
        <v>0</v>
      </c>
      <c r="H21" s="9">
        <f t="shared" ref="H21" si="12">(IF(I21="$ Prima",G21,G21*F21/R21))*$U$9</f>
        <v>0</v>
      </c>
      <c r="I21" s="9" t="s">
        <v>1153</v>
      </c>
      <c r="J21" s="9">
        <f t="shared" ref="J21" si="13">H21*$U$7</f>
        <v>0</v>
      </c>
      <c r="K21" s="9">
        <f t="shared" ref="K21" si="14">(H21+J21)*$K$15</f>
        <v>0</v>
      </c>
      <c r="L21" s="9">
        <f t="shared" si="9"/>
        <v>0</v>
      </c>
      <c r="M21" s="11">
        <f t="shared" si="1"/>
        <v>0.1201</v>
      </c>
      <c r="N21" s="9">
        <f t="shared" si="10"/>
        <v>0</v>
      </c>
      <c r="O21" s="12">
        <f t="shared" si="11"/>
        <v>0</v>
      </c>
      <c r="P21" s="13" t="str">
        <f t="shared" si="2"/>
        <v>NO</v>
      </c>
      <c r="Q21">
        <f t="shared" si="0"/>
        <v>0</v>
      </c>
      <c r="R21">
        <f t="shared" si="3"/>
        <v>1000</v>
      </c>
      <c r="S21">
        <f t="shared" si="4"/>
        <v>1</v>
      </c>
      <c r="T21" s="152"/>
      <c r="V21" s="153"/>
    </row>
    <row r="22" spans="1:23" ht="15" customHeight="1" x14ac:dyDescent="0.3">
      <c r="A22" s="31" t="s">
        <v>1150</v>
      </c>
      <c r="B22" s="32" t="s">
        <v>1156</v>
      </c>
      <c r="C22" s="27" t="s">
        <v>1110</v>
      </c>
      <c r="D22" s="27" t="str">
        <f t="shared" si="5"/>
        <v>INCLUIDO</v>
      </c>
      <c r="E22" s="27" t="s">
        <v>1137</v>
      </c>
      <c r="F22" s="9">
        <f>F17</f>
        <v>0</v>
      </c>
      <c r="G22" s="49">
        <f>V22</f>
        <v>0</v>
      </c>
      <c r="H22" s="9">
        <f>(((IF(I22="$ Prima",G22,G22*F22/R22))*$U$9)/365)*$J$15</f>
        <v>0</v>
      </c>
      <c r="I22" s="9" t="s">
        <v>1153</v>
      </c>
      <c r="J22" s="9">
        <f>H22*$U$7</f>
        <v>0</v>
      </c>
      <c r="K22" s="9">
        <f>(H22+J22)*$K$15</f>
        <v>0</v>
      </c>
      <c r="L22" s="9">
        <f t="shared" si="9"/>
        <v>0</v>
      </c>
      <c r="M22" s="11">
        <f t="shared" si="1"/>
        <v>0.1201</v>
      </c>
      <c r="N22" s="9">
        <f t="shared" si="10"/>
        <v>0</v>
      </c>
      <c r="O22" s="12">
        <f t="shared" si="11"/>
        <v>0</v>
      </c>
      <c r="P22" s="13" t="str">
        <f t="shared" si="2"/>
        <v>NO</v>
      </c>
      <c r="Q22">
        <f t="shared" si="0"/>
        <v>0</v>
      </c>
      <c r="R22">
        <f t="shared" si="3"/>
        <v>1000</v>
      </c>
      <c r="S22">
        <f t="shared" si="4"/>
        <v>1</v>
      </c>
      <c r="T22" s="152">
        <v>0.1</v>
      </c>
      <c r="U22">
        <f>IF(E22="Excluido",0,T17*T22)</f>
        <v>3.0781530000000001E-2</v>
      </c>
      <c r="V22" s="153">
        <f>IF(F$17=0,0,U22)</f>
        <v>0</v>
      </c>
    </row>
    <row r="23" spans="1:23" ht="15" hidden="1" customHeight="1" thickBot="1" x14ac:dyDescent="0.35">
      <c r="A23" s="31" t="s">
        <v>1150</v>
      </c>
      <c r="B23" s="32"/>
      <c r="C23" s="81">
        <f>$O$12</f>
        <v>0</v>
      </c>
      <c r="D23" s="27" t="str">
        <f t="shared" si="5"/>
        <v>INCLUIDO</v>
      </c>
      <c r="E23" s="27" t="str">
        <f>E22</f>
        <v>Sublimite</v>
      </c>
      <c r="F23" s="9">
        <f>(F22*$O$12)*S23</f>
        <v>0</v>
      </c>
      <c r="G23" s="10">
        <f>G22*0.35</f>
        <v>0</v>
      </c>
      <c r="H23" s="9">
        <f t="shared" ref="H23:H25" si="15">(IF(I23="$ Prima",G23,G23*F23/R23))*$U$9</f>
        <v>0</v>
      </c>
      <c r="I23" s="9" t="s">
        <v>1153</v>
      </c>
      <c r="J23" s="9">
        <f t="shared" ref="J23:J25" si="16">H23*$U$7</f>
        <v>0</v>
      </c>
      <c r="K23" s="9">
        <f t="shared" ref="K23:K25" si="17">(H23+J23)*$K$15</f>
        <v>0</v>
      </c>
      <c r="L23" s="9">
        <f t="shared" si="9"/>
        <v>0</v>
      </c>
      <c r="M23" s="11">
        <f t="shared" si="1"/>
        <v>0.1201</v>
      </c>
      <c r="N23" s="9">
        <f t="shared" si="10"/>
        <v>0</v>
      </c>
      <c r="O23" s="12">
        <f t="shared" si="11"/>
        <v>0</v>
      </c>
      <c r="P23" s="13" t="str">
        <f t="shared" si="2"/>
        <v>NO</v>
      </c>
      <c r="Q23">
        <f t="shared" si="0"/>
        <v>0</v>
      </c>
      <c r="R23">
        <f t="shared" si="3"/>
        <v>1000</v>
      </c>
      <c r="S23">
        <f t="shared" si="4"/>
        <v>1</v>
      </c>
      <c r="T23" s="143">
        <f>SUM(T18:T22)</f>
        <v>1</v>
      </c>
      <c r="U23" s="147">
        <f>SUM(U18:U22)</f>
        <v>0.30781530000000001</v>
      </c>
      <c r="V23" s="148">
        <f>SUM(V18:V22)</f>
        <v>0</v>
      </c>
      <c r="W23" s="141"/>
    </row>
    <row r="24" spans="1:23" ht="15" hidden="1" customHeight="1" x14ac:dyDescent="0.3">
      <c r="A24" s="31" t="s">
        <v>1150</v>
      </c>
      <c r="B24" s="32">
        <v>280</v>
      </c>
      <c r="C24" s="27" t="s">
        <v>1157</v>
      </c>
      <c r="D24" s="27" t="str">
        <f t="shared" si="5"/>
        <v>INCLUIDO</v>
      </c>
      <c r="E24" s="27" t="s">
        <v>1137</v>
      </c>
      <c r="F24" s="113">
        <v>0</v>
      </c>
      <c r="G24" s="113">
        <v>0</v>
      </c>
      <c r="H24" s="9">
        <f t="shared" si="15"/>
        <v>0</v>
      </c>
      <c r="I24" s="9" t="s">
        <v>1153</v>
      </c>
      <c r="J24" s="9">
        <f t="shared" si="16"/>
        <v>0</v>
      </c>
      <c r="K24" s="9">
        <f t="shared" si="17"/>
        <v>0</v>
      </c>
      <c r="L24" s="9">
        <f t="shared" si="9"/>
        <v>0</v>
      </c>
      <c r="M24" s="11">
        <f t="shared" si="1"/>
        <v>0.1201</v>
      </c>
      <c r="N24" s="9">
        <f t="shared" si="10"/>
        <v>0</v>
      </c>
      <c r="O24" s="12">
        <f t="shared" si="11"/>
        <v>0</v>
      </c>
      <c r="P24" s="13" t="str">
        <f t="shared" si="2"/>
        <v>NO</v>
      </c>
      <c r="Q24">
        <f t="shared" si="0"/>
        <v>0</v>
      </c>
      <c r="R24">
        <f t="shared" si="3"/>
        <v>1000</v>
      </c>
      <c r="S24">
        <f t="shared" si="4"/>
        <v>1</v>
      </c>
    </row>
    <row r="25" spans="1:23" ht="15" hidden="1" customHeight="1" x14ac:dyDescent="0.3">
      <c r="A25" s="31" t="s">
        <v>1150</v>
      </c>
      <c r="B25" s="32"/>
      <c r="C25" s="81">
        <f>$O$12</f>
        <v>0</v>
      </c>
      <c r="D25" s="27" t="str">
        <f t="shared" si="5"/>
        <v>INCLUIDO</v>
      </c>
      <c r="E25" s="27" t="str">
        <f>E24</f>
        <v>Sublimite</v>
      </c>
      <c r="F25" s="9">
        <f>(F24*$O$12)*S25</f>
        <v>0</v>
      </c>
      <c r="G25" s="10">
        <f>G24*0.35</f>
        <v>0</v>
      </c>
      <c r="H25" s="9">
        <f t="shared" si="15"/>
        <v>0</v>
      </c>
      <c r="I25" s="9" t="s">
        <v>1153</v>
      </c>
      <c r="J25" s="9">
        <f t="shared" si="16"/>
        <v>0</v>
      </c>
      <c r="K25" s="9">
        <f t="shared" si="17"/>
        <v>0</v>
      </c>
      <c r="L25" s="9">
        <f t="shared" si="9"/>
        <v>0</v>
      </c>
      <c r="M25" s="11">
        <f t="shared" si="1"/>
        <v>0.1201</v>
      </c>
      <c r="N25" s="9">
        <f t="shared" si="10"/>
        <v>0</v>
      </c>
      <c r="O25" s="12">
        <f t="shared" si="11"/>
        <v>0</v>
      </c>
      <c r="P25" s="13" t="str">
        <f t="shared" si="2"/>
        <v>NO</v>
      </c>
      <c r="Q25">
        <f t="shared" si="0"/>
        <v>0</v>
      </c>
      <c r="R25">
        <f t="shared" si="3"/>
        <v>1000</v>
      </c>
      <c r="S25">
        <f t="shared" si="4"/>
        <v>1</v>
      </c>
    </row>
    <row r="26" spans="1:23" ht="15" customHeight="1" x14ac:dyDescent="0.3">
      <c r="A26" s="31" t="s">
        <v>1150</v>
      </c>
      <c r="B26" s="32" t="s">
        <v>1158</v>
      </c>
      <c r="C26" s="27" t="s">
        <v>1159</v>
      </c>
      <c r="D26" s="27" t="str">
        <f t="shared" si="5"/>
        <v>INCLUIDO</v>
      </c>
      <c r="E26" s="27" t="s">
        <v>1137</v>
      </c>
      <c r="F26" s="42">
        <v>0</v>
      </c>
      <c r="G26" s="10">
        <f>'COTIZACIÓN M.N.'!E67*50%</f>
        <v>1.1000000000000001E-3</v>
      </c>
      <c r="H26" s="75">
        <f>(((IF(I26="$ Prima",G26,G26*F26/R26))*$U$9)/365)*$J$15/'Ubicaciones total (2)'!A366</f>
        <v>0</v>
      </c>
      <c r="I26" s="9" t="s">
        <v>1153</v>
      </c>
      <c r="J26" s="9">
        <f>H26*$U$7</f>
        <v>0</v>
      </c>
      <c r="K26" s="9">
        <f>(H26+J26)*$K$15</f>
        <v>0</v>
      </c>
      <c r="L26" s="9">
        <f t="shared" si="9"/>
        <v>0</v>
      </c>
      <c r="M26" s="11">
        <f t="shared" si="1"/>
        <v>0.1201</v>
      </c>
      <c r="N26" s="9">
        <f t="shared" si="10"/>
        <v>0</v>
      </c>
      <c r="O26" s="12">
        <f t="shared" si="11"/>
        <v>0</v>
      </c>
      <c r="P26" s="13" t="str">
        <f t="shared" si="2"/>
        <v>NO</v>
      </c>
      <c r="Q26">
        <f t="shared" si="0"/>
        <v>0</v>
      </c>
      <c r="R26">
        <f t="shared" si="3"/>
        <v>1000</v>
      </c>
      <c r="S26">
        <f t="shared" si="4"/>
        <v>1</v>
      </c>
    </row>
    <row r="27" spans="1:23" ht="15" customHeight="1" x14ac:dyDescent="0.3">
      <c r="A27" s="31" t="s">
        <v>1150</v>
      </c>
      <c r="B27" s="32" t="s">
        <v>1160</v>
      </c>
      <c r="C27" s="27" t="s">
        <v>1161</v>
      </c>
      <c r="D27" s="27" t="str">
        <f t="shared" si="5"/>
        <v>INCLUIDO</v>
      </c>
      <c r="E27" s="27" t="s">
        <v>1137</v>
      </c>
      <c r="F27" s="42">
        <v>0</v>
      </c>
      <c r="G27" s="10">
        <f>G26</f>
        <v>1.1000000000000001E-3</v>
      </c>
      <c r="H27" s="75">
        <f>(((IF(I27="$ Prima",G27,G27*F27/R27))*$U$9)/365)*$J$15/'Ubicaciones total (2)'!A366</f>
        <v>0</v>
      </c>
      <c r="I27" s="9" t="s">
        <v>1153</v>
      </c>
      <c r="J27" s="9">
        <f>H27*$U$7</f>
        <v>0</v>
      </c>
      <c r="K27" s="9">
        <f>(H27+J27)*$K$15</f>
        <v>0</v>
      </c>
      <c r="L27" s="9">
        <f t="shared" si="9"/>
        <v>0</v>
      </c>
      <c r="M27" s="11">
        <f t="shared" si="1"/>
        <v>0.1201</v>
      </c>
      <c r="N27" s="9">
        <f t="shared" si="10"/>
        <v>0</v>
      </c>
      <c r="O27" s="12">
        <f t="shared" si="11"/>
        <v>0</v>
      </c>
      <c r="P27" s="13" t="str">
        <f t="shared" si="2"/>
        <v>NO</v>
      </c>
      <c r="Q27">
        <f t="shared" si="0"/>
        <v>0</v>
      </c>
      <c r="R27">
        <f t="shared" si="3"/>
        <v>1000</v>
      </c>
      <c r="S27">
        <f t="shared" si="4"/>
        <v>1</v>
      </c>
    </row>
    <row r="28" spans="1:23" x14ac:dyDescent="0.3">
      <c r="A28" s="82" t="s">
        <v>1162</v>
      </c>
      <c r="B28" s="33">
        <v>1</v>
      </c>
      <c r="C28" s="28" t="s">
        <v>1163</v>
      </c>
      <c r="D28" s="28" t="str">
        <f>$D$17</f>
        <v>INCLUIDO</v>
      </c>
      <c r="E28" s="28"/>
      <c r="F28" s="28"/>
      <c r="G28" s="28"/>
      <c r="H28" s="28"/>
      <c r="I28" s="28"/>
      <c r="J28" s="28"/>
      <c r="K28" s="28"/>
      <c r="L28" s="28"/>
      <c r="M28" s="68">
        <v>0.05</v>
      </c>
      <c r="N28" s="28"/>
      <c r="O28" s="83"/>
      <c r="P28" s="13" t="str">
        <f t="shared" si="2"/>
        <v>NO</v>
      </c>
      <c r="Q28" s="47">
        <f>IF(D28="INCLUIDO",IF(F29&lt;&gt;0,1,0),0)</f>
        <v>0</v>
      </c>
    </row>
    <row r="29" spans="1:23" x14ac:dyDescent="0.3">
      <c r="A29" s="31" t="s">
        <v>1164</v>
      </c>
      <c r="B29" s="32" t="s">
        <v>1165</v>
      </c>
      <c r="C29" s="27" t="s">
        <v>1166</v>
      </c>
      <c r="D29" s="27" t="str">
        <f t="shared" si="5"/>
        <v>INCLUIDO</v>
      </c>
      <c r="E29" s="27" t="s">
        <v>1137</v>
      </c>
      <c r="F29" s="9">
        <f>$F$17*S29</f>
        <v>0</v>
      </c>
      <c r="G29" s="10">
        <f>'COTIZACIÓN M.N.'!E28</f>
        <v>0.25</v>
      </c>
      <c r="H29" s="75">
        <f>((((IF(I29="$ Prima",G29,G29*F29/R29))*$U$9)/365)*$J$15)</f>
        <v>0</v>
      </c>
      <c r="I29" s="9" t="s">
        <v>1153</v>
      </c>
      <c r="J29" s="9">
        <f t="shared" ref="J29:J30" si="18">H29*$U$7</f>
        <v>0</v>
      </c>
      <c r="K29" s="9">
        <f t="shared" ref="K29:K30" si="19">(H29+J29)*$K$15</f>
        <v>0</v>
      </c>
      <c r="L29" s="9">
        <f t="shared" ref="L29:L30" si="20">ROUND(H29+J29+K29,2)</f>
        <v>0</v>
      </c>
      <c r="M29" s="11">
        <f>$M$28</f>
        <v>0.05</v>
      </c>
      <c r="N29" s="9">
        <f t="shared" ref="N29:N30" si="21">H29*M29</f>
        <v>0</v>
      </c>
      <c r="O29" s="12">
        <f t="shared" ref="O29:O30" si="22">N29</f>
        <v>0</v>
      </c>
      <c r="P29" s="13" t="str">
        <f t="shared" si="2"/>
        <v>NO</v>
      </c>
      <c r="Q29">
        <f>IF(D29="INCLUIDO",IF(F29&lt;&gt;0,1,0),0)</f>
        <v>0</v>
      </c>
      <c r="R29">
        <f>IF(I29="%o Al Millar",1000,IF(I29="% Al Porciento",100,IF(I29="$ Prima",G29)))</f>
        <v>1000</v>
      </c>
      <c r="S29">
        <f t="shared" si="4"/>
        <v>1</v>
      </c>
    </row>
    <row r="30" spans="1:23" hidden="1" x14ac:dyDescent="0.3">
      <c r="A30" s="31" t="s">
        <v>1164</v>
      </c>
      <c r="B30" s="32"/>
      <c r="C30" s="81">
        <f>$O$12</f>
        <v>0</v>
      </c>
      <c r="D30" s="27" t="str">
        <f t="shared" si="5"/>
        <v>INCLUIDO</v>
      </c>
      <c r="E30" s="27" t="str">
        <f>E29</f>
        <v>Sublimite</v>
      </c>
      <c r="F30" s="9">
        <f>(F29*$O$12)*S30</f>
        <v>0</v>
      </c>
      <c r="G30" s="10">
        <f>G29*0.35</f>
        <v>8.7499999999999994E-2</v>
      </c>
      <c r="H30" s="9">
        <f>((IF(I30="$ Prima",G30,G30*F30/R30))*$U$9)*O13</f>
        <v>0</v>
      </c>
      <c r="I30" s="9" t="s">
        <v>1153</v>
      </c>
      <c r="J30" s="9">
        <f t="shared" si="18"/>
        <v>0</v>
      </c>
      <c r="K30" s="9">
        <f t="shared" si="19"/>
        <v>0</v>
      </c>
      <c r="L30" s="9">
        <f t="shared" si="20"/>
        <v>0</v>
      </c>
      <c r="M30" s="11">
        <f>$M$28</f>
        <v>0.05</v>
      </c>
      <c r="N30" s="9">
        <f t="shared" si="21"/>
        <v>0</v>
      </c>
      <c r="O30" s="12">
        <f t="shared" si="22"/>
        <v>0</v>
      </c>
      <c r="P30" s="13" t="str">
        <f t="shared" si="2"/>
        <v>NO</v>
      </c>
      <c r="Q30">
        <f>IF(D30="INCLUIDO",IF(F30&lt;&gt;0,1,0),0)</f>
        <v>0</v>
      </c>
      <c r="R30">
        <f>IF(I30="%o Al Millar",1000,IF(I30="% Al Porciento",100,IF(I30="$ Prima",G30)))</f>
        <v>1000</v>
      </c>
      <c r="S30">
        <f t="shared" si="4"/>
        <v>1</v>
      </c>
    </row>
    <row r="31" spans="1:23" x14ac:dyDescent="0.3">
      <c r="A31" s="82">
        <v>904</v>
      </c>
      <c r="B31" s="33">
        <v>1</v>
      </c>
      <c r="C31" s="28" t="s">
        <v>1167</v>
      </c>
      <c r="D31" s="28" t="str">
        <f>$D$17</f>
        <v>INCLUIDO</v>
      </c>
      <c r="E31" s="28"/>
      <c r="F31" s="28"/>
      <c r="G31" s="28"/>
      <c r="H31" s="28"/>
      <c r="I31" s="28"/>
      <c r="J31" s="28"/>
      <c r="K31" s="28"/>
      <c r="L31" s="28"/>
      <c r="M31" s="68">
        <v>0.05</v>
      </c>
      <c r="N31" s="28"/>
      <c r="O31" s="83"/>
      <c r="P31" s="13" t="str">
        <f t="shared" si="2"/>
        <v>NO</v>
      </c>
      <c r="Q31" s="47">
        <f>IF(D31="INCLUIDO",IF(F32&lt;&gt;0,1,0),0)</f>
        <v>0</v>
      </c>
    </row>
    <row r="32" spans="1:23" x14ac:dyDescent="0.3">
      <c r="A32" s="31" t="s">
        <v>1168</v>
      </c>
      <c r="B32" s="32" t="s">
        <v>1169</v>
      </c>
      <c r="C32" s="27" t="s">
        <v>1170</v>
      </c>
      <c r="D32" s="27" t="str">
        <f t="shared" si="5"/>
        <v>INCLUIDO</v>
      </c>
      <c r="E32" s="27" t="s">
        <v>1137</v>
      </c>
      <c r="F32" s="9">
        <f>F17</f>
        <v>0</v>
      </c>
      <c r="G32" s="10">
        <f>'COTIZACIÓN M.N.'!E30</f>
        <v>0.4</v>
      </c>
      <c r="H32" s="75">
        <f>((((IF(I32="$ Prima",G32,G32*F32/R32))*$U$9)*O14)/365)*$J$15</f>
        <v>0</v>
      </c>
      <c r="I32" s="9" t="s">
        <v>1153</v>
      </c>
      <c r="J32" s="9">
        <f t="shared" ref="J32:J33" si="23">H32*$U$7</f>
        <v>0</v>
      </c>
      <c r="K32" s="9">
        <f t="shared" ref="K32:K33" si="24">(H32+J32)*$K$15</f>
        <v>0</v>
      </c>
      <c r="L32" s="9">
        <f t="shared" ref="L32:L33" si="25">ROUND(H32+J32+K32,2)</f>
        <v>0</v>
      </c>
      <c r="M32" s="11">
        <f>$M$31</f>
        <v>0.05</v>
      </c>
      <c r="N32" s="9">
        <f t="shared" ref="N32:N33" si="26">H32*M32</f>
        <v>0</v>
      </c>
      <c r="O32" s="12">
        <f t="shared" ref="O32:O33" si="27">N32</f>
        <v>0</v>
      </c>
      <c r="P32" s="13" t="str">
        <f t="shared" si="2"/>
        <v>NO</v>
      </c>
      <c r="Q32">
        <f>IF(D32="INCLUIDO",IF(F32&lt;&gt;0,1,0),0)</f>
        <v>0</v>
      </c>
      <c r="R32">
        <f>IF(I32="%o Al Millar",1000,IF(I32="% Al Porciento",100,IF(I32="$ Prima",G32)))</f>
        <v>1000</v>
      </c>
      <c r="S32">
        <f t="shared" si="4"/>
        <v>1</v>
      </c>
    </row>
    <row r="33" spans="1:22" hidden="1" x14ac:dyDescent="0.3">
      <c r="A33" s="31" t="s">
        <v>1168</v>
      </c>
      <c r="B33" s="32"/>
      <c r="C33" s="81">
        <f>$O$12</f>
        <v>0</v>
      </c>
      <c r="D33" s="27" t="str">
        <f t="shared" si="5"/>
        <v>INCLUIDO</v>
      </c>
      <c r="E33" s="27" t="str">
        <f>E32</f>
        <v>Sublimite</v>
      </c>
      <c r="F33" s="9">
        <f>(F32*$O$12)*S33</f>
        <v>0</v>
      </c>
      <c r="G33" s="10">
        <f>G32*0.35</f>
        <v>0.13999999999999999</v>
      </c>
      <c r="H33" s="9">
        <f>((IF(I33="$ Prima",G33,G33*F33/R33))*$U$9)*O14</f>
        <v>0</v>
      </c>
      <c r="I33" s="9" t="s">
        <v>1153</v>
      </c>
      <c r="J33" s="9">
        <f t="shared" si="23"/>
        <v>0</v>
      </c>
      <c r="K33" s="9">
        <f t="shared" si="24"/>
        <v>0</v>
      </c>
      <c r="L33" s="9">
        <f t="shared" si="25"/>
        <v>0</v>
      </c>
      <c r="M33" s="11">
        <f>$M$31</f>
        <v>0.05</v>
      </c>
      <c r="N33" s="9">
        <f t="shared" si="26"/>
        <v>0</v>
      </c>
      <c r="O33" s="12">
        <f t="shared" si="27"/>
        <v>0</v>
      </c>
      <c r="P33" s="13" t="str">
        <f t="shared" si="2"/>
        <v>NO</v>
      </c>
      <c r="Q33">
        <f>IF(D33="INCLUIDO",IF(F33&lt;&gt;0,1,0),0)</f>
        <v>0</v>
      </c>
      <c r="R33">
        <f>IF(I33="%o Al Millar",1000,IF(I33="% Al Porciento",100,IF(I33="$ Prima",G33)))</f>
        <v>1000</v>
      </c>
      <c r="S33">
        <f t="shared" si="4"/>
        <v>1</v>
      </c>
    </row>
    <row r="34" spans="1:22" x14ac:dyDescent="0.3">
      <c r="A34" s="82" t="s">
        <v>1147</v>
      </c>
      <c r="B34" s="33" t="s">
        <v>1148</v>
      </c>
      <c r="C34" s="28" t="s">
        <v>1171</v>
      </c>
      <c r="D34" s="28" t="str">
        <f>$D$17</f>
        <v>INCLUIDO</v>
      </c>
      <c r="E34" s="28"/>
      <c r="F34" s="113">
        <f>F17*M12</f>
        <v>0</v>
      </c>
      <c r="G34" s="28"/>
      <c r="H34" s="28"/>
      <c r="I34" s="28"/>
      <c r="J34" s="28"/>
      <c r="K34" s="28"/>
      <c r="L34" s="28"/>
      <c r="M34" s="68">
        <v>0.25</v>
      </c>
      <c r="N34" s="28"/>
      <c r="O34" s="83"/>
      <c r="P34" s="13" t="str">
        <f t="shared" si="2"/>
        <v>NO</v>
      </c>
      <c r="Q34" s="47">
        <f>IF(D34="INCLUIDO",IF(F35&lt;&gt;0,1,0),0)</f>
        <v>0</v>
      </c>
    </row>
    <row r="35" spans="1:22" x14ac:dyDescent="0.3">
      <c r="A35" s="31" t="s">
        <v>1150</v>
      </c>
      <c r="B35" s="32" t="s">
        <v>1172</v>
      </c>
      <c r="C35" s="27" t="s">
        <v>1173</v>
      </c>
      <c r="D35" s="27" t="str">
        <f t="shared" si="5"/>
        <v>INCLUIDO</v>
      </c>
      <c r="E35" s="27" t="s">
        <v>1137</v>
      </c>
      <c r="F35" s="9">
        <f>F34*S35</f>
        <v>0</v>
      </c>
      <c r="G35" s="10">
        <f>'COTIZACIÓN M.N.'!E61*75%</f>
        <v>4.1836147500000004E-2</v>
      </c>
      <c r="H35" s="471">
        <f>(((IF(I35="$ Prima",G35,G35*F35/R35))*$U$9)/365)*$J$15</f>
        <v>0</v>
      </c>
      <c r="I35" s="9" t="s">
        <v>1153</v>
      </c>
      <c r="J35" s="9">
        <f>H35*$U$7</f>
        <v>0</v>
      </c>
      <c r="K35" s="9">
        <f>(H35+J35)*$K$15</f>
        <v>0</v>
      </c>
      <c r="L35" s="9">
        <f>ROUND(H35+J35+K35,2)</f>
        <v>0</v>
      </c>
      <c r="M35" s="11">
        <f>M34</f>
        <v>0.25</v>
      </c>
      <c r="N35" s="9">
        <f>H35*M35</f>
        <v>0</v>
      </c>
      <c r="O35" s="12">
        <f>N35</f>
        <v>0</v>
      </c>
      <c r="P35" s="13" t="str">
        <f t="shared" si="2"/>
        <v>NO</v>
      </c>
      <c r="Q35">
        <f>IF(D35="INCLUIDO",IF(F35&lt;&gt;0,1,0),0)</f>
        <v>0</v>
      </c>
      <c r="R35">
        <f>IF(I35="%o Al Millar",1000,IF(I35="% Al Porciento",100,IF(I35="$ Prima",G35)))</f>
        <v>1000</v>
      </c>
      <c r="S35">
        <f t="shared" si="4"/>
        <v>1</v>
      </c>
    </row>
    <row r="36" spans="1:22" x14ac:dyDescent="0.3">
      <c r="A36" s="82" t="s">
        <v>1162</v>
      </c>
      <c r="B36" s="33">
        <v>1</v>
      </c>
      <c r="C36" s="28" t="s">
        <v>1163</v>
      </c>
      <c r="D36" s="28" t="str">
        <f>$D$17</f>
        <v>INCLUIDO</v>
      </c>
      <c r="E36" s="28"/>
      <c r="F36" s="28"/>
      <c r="G36" s="28"/>
      <c r="H36" s="28"/>
      <c r="I36" s="28"/>
      <c r="J36" s="28"/>
      <c r="K36" s="28"/>
      <c r="L36" s="28"/>
      <c r="M36" s="68">
        <f>M28</f>
        <v>0.05</v>
      </c>
      <c r="N36" s="28"/>
      <c r="O36" s="83"/>
      <c r="P36" s="13" t="str">
        <f t="shared" si="2"/>
        <v>NO</v>
      </c>
      <c r="Q36" s="47">
        <f>IF(D36="INCLUIDO",IF(F37&lt;&gt;0,1,0),0)</f>
        <v>0</v>
      </c>
    </row>
    <row r="37" spans="1:22" ht="20.399999999999999" x14ac:dyDescent="0.3">
      <c r="A37" s="31" t="s">
        <v>1164</v>
      </c>
      <c r="B37" s="32" t="s">
        <v>1174</v>
      </c>
      <c r="C37" s="27" t="s">
        <v>1175</v>
      </c>
      <c r="D37" s="27" t="str">
        <f t="shared" si="5"/>
        <v>INCLUIDO</v>
      </c>
      <c r="E37" s="27" t="s">
        <v>1137</v>
      </c>
      <c r="F37" s="9">
        <f>F34</f>
        <v>0</v>
      </c>
      <c r="G37" s="10">
        <f>'COTIZACIÓN M.N.'!E61*25%</f>
        <v>1.3945382500000001E-2</v>
      </c>
      <c r="H37" s="75">
        <f>(((IF(I37="$ Prima",G37,G37*F37/R37))*$U$9)/365)*$J$15</f>
        <v>0</v>
      </c>
      <c r="I37" s="9" t="s">
        <v>1153</v>
      </c>
      <c r="J37" s="9">
        <f>H37*$U$7</f>
        <v>0</v>
      </c>
      <c r="K37" s="9">
        <f>(H37+J37)*$K$15</f>
        <v>0</v>
      </c>
      <c r="L37" s="9">
        <f>ROUND(H37+J37+K37,2)</f>
        <v>0</v>
      </c>
      <c r="M37" s="11">
        <f>M36</f>
        <v>0.05</v>
      </c>
      <c r="N37" s="9">
        <f>H37*M37</f>
        <v>0</v>
      </c>
      <c r="O37" s="12">
        <f>N37</f>
        <v>0</v>
      </c>
      <c r="P37" s="13" t="str">
        <f t="shared" si="2"/>
        <v>NO</v>
      </c>
      <c r="Q37">
        <f>IF(D37="INCLUIDO",IF(F37&lt;&gt;0,1,0),0)</f>
        <v>0</v>
      </c>
      <c r="R37">
        <f>IF(I37="%o Al Millar",1000,IF(I37="% Al Porciento",100,IF(I37="$ Prima",G37)))</f>
        <v>1000</v>
      </c>
      <c r="S37">
        <f t="shared" si="4"/>
        <v>1</v>
      </c>
    </row>
    <row r="38" spans="1:22" x14ac:dyDescent="0.3">
      <c r="A38" s="82">
        <v>904</v>
      </c>
      <c r="B38" s="33">
        <v>1</v>
      </c>
      <c r="C38" s="28" t="s">
        <v>1167</v>
      </c>
      <c r="D38" s="28" t="str">
        <f>$D$17</f>
        <v>INCLUIDO</v>
      </c>
      <c r="E38" s="28"/>
      <c r="F38" s="28"/>
      <c r="G38" s="28"/>
      <c r="H38" s="28"/>
      <c r="I38" s="28"/>
      <c r="J38" s="28"/>
      <c r="K38" s="28"/>
      <c r="L38" s="28"/>
      <c r="M38" s="68">
        <f>M31</f>
        <v>0.05</v>
      </c>
      <c r="N38" s="28"/>
      <c r="O38" s="83"/>
      <c r="P38" s="13" t="str">
        <f t="shared" si="2"/>
        <v>NO</v>
      </c>
      <c r="Q38" s="47">
        <f>IF(D38="INCLUIDO",IF(F39&lt;&gt;0,1,0),0)</f>
        <v>0</v>
      </c>
    </row>
    <row r="39" spans="1:22" ht="20.399999999999999" x14ac:dyDescent="0.3">
      <c r="A39" s="31" t="s">
        <v>1168</v>
      </c>
      <c r="B39" s="32" t="s">
        <v>1176</v>
      </c>
      <c r="C39" s="27" t="s">
        <v>1175</v>
      </c>
      <c r="D39" s="27" t="str">
        <f t="shared" si="5"/>
        <v>INCLUIDO</v>
      </c>
      <c r="E39" s="27" t="s">
        <v>1137</v>
      </c>
      <c r="F39" s="9">
        <f>F34</f>
        <v>0</v>
      </c>
      <c r="G39" s="10">
        <f>'COTIZACIÓN M.N.'!E62</f>
        <v>4.0000000000000008E-2</v>
      </c>
      <c r="H39" s="75">
        <f>(((IF(I39="$ Prima",G39,G39*F39/R39))*$U$9)/365)*$J$15</f>
        <v>0</v>
      </c>
      <c r="I39" s="9" t="s">
        <v>1153</v>
      </c>
      <c r="J39" s="9">
        <f>H39*$U$7</f>
        <v>0</v>
      </c>
      <c r="K39" s="9">
        <f>(H39+J39)*$K$15</f>
        <v>0</v>
      </c>
      <c r="L39" s="9">
        <f>ROUND(H39+J39+K39,2)</f>
        <v>0</v>
      </c>
      <c r="M39" s="11">
        <f>M38</f>
        <v>0.05</v>
      </c>
      <c r="N39" s="9">
        <f>H39*M39</f>
        <v>0</v>
      </c>
      <c r="O39" s="12">
        <f>N39</f>
        <v>0</v>
      </c>
      <c r="P39" s="13" t="str">
        <f t="shared" si="2"/>
        <v>NO</v>
      </c>
      <c r="Q39">
        <f>IF(D39="INCLUIDO",IF(F39&lt;&gt;0,1,0),0)</f>
        <v>0</v>
      </c>
      <c r="R39">
        <f>IF(I39="%o Al Millar",1000,IF(I39="% Al Porciento",100,IF(I39="$ Prima",G39)))</f>
        <v>1000</v>
      </c>
      <c r="S39">
        <f t="shared" si="4"/>
        <v>1</v>
      </c>
    </row>
    <row r="40" spans="1:22" s="18" customFormat="1" ht="15" thickBot="1" x14ac:dyDescent="0.35">
      <c r="A40" s="14"/>
      <c r="B40" s="25"/>
      <c r="C40" s="15" t="s">
        <v>1177</v>
      </c>
      <c r="D40" s="38" t="str">
        <f>D39</f>
        <v>INCLUIDO</v>
      </c>
      <c r="E40" s="38"/>
      <c r="F40" s="16">
        <f>SUMIF(E18:E39,"Adicional",F18:F39)</f>
        <v>0</v>
      </c>
      <c r="G40" s="17"/>
      <c r="H40" s="16">
        <f>SUM(H18:H39)</f>
        <v>0</v>
      </c>
      <c r="I40" s="16"/>
      <c r="J40" s="16">
        <f>SUM(J18:J39)</f>
        <v>0</v>
      </c>
      <c r="K40" s="16">
        <f>SUM(K18:K39)</f>
        <v>0</v>
      </c>
      <c r="L40" s="16">
        <f>SUM(L18:L39)</f>
        <v>0</v>
      </c>
      <c r="M40" s="16" t="s">
        <v>1178</v>
      </c>
      <c r="N40" s="16">
        <f>SUM(N18:N39)</f>
        <v>0</v>
      </c>
      <c r="O40" s="84">
        <f>SUM(O18:O39)</f>
        <v>0</v>
      </c>
      <c r="P40" s="13" t="str">
        <f t="shared" si="2"/>
        <v>NO</v>
      </c>
      <c r="Q40">
        <f>IF(D40="INCLUIDO",IF(H40&lt;&gt;0,1,0),0)</f>
        <v>0</v>
      </c>
    </row>
    <row r="41" spans="1:22" ht="15" thickBot="1" x14ac:dyDescent="0.35">
      <c r="A41" s="82" t="s">
        <v>1147</v>
      </c>
      <c r="B41" s="33">
        <v>2</v>
      </c>
      <c r="C41" s="28" t="s">
        <v>1179</v>
      </c>
      <c r="D41" s="28" t="str">
        <f>$D$17</f>
        <v>INCLUIDO</v>
      </c>
      <c r="E41" s="28"/>
      <c r="F41" s="113">
        <f>VLOOKUP(C15,UBCINEMEX,9,0)</f>
        <v>2914531.0700000003</v>
      </c>
      <c r="G41" s="209">
        <f>'COTIZACIÓN M.N.'!E33+'COTIZACIÓN M.N.'!E34+'COTIZACIÓN M.N.'!E35</f>
        <v>0.30781530000000001</v>
      </c>
      <c r="H41" s="28"/>
      <c r="I41" s="28"/>
      <c r="J41" s="28"/>
      <c r="K41" s="28"/>
      <c r="L41" s="28"/>
      <c r="M41" s="68">
        <f>M17</f>
        <v>0.1201</v>
      </c>
      <c r="N41" s="28"/>
      <c r="O41" s="83"/>
      <c r="P41" s="13" t="str">
        <f t="shared" si="2"/>
        <v>SI</v>
      </c>
      <c r="Q41" s="48">
        <f t="shared" ref="Q41:Q60" si="28">IF(D41="INCLUIDO",IF(F41&lt;&gt;0,1,0),0)</f>
        <v>1</v>
      </c>
      <c r="T41" s="146">
        <f>G41</f>
        <v>0.30781530000000001</v>
      </c>
      <c r="U41" s="150"/>
      <c r="V41" s="151"/>
    </row>
    <row r="42" spans="1:22" x14ac:dyDescent="0.3">
      <c r="A42" s="34" t="s">
        <v>1150</v>
      </c>
      <c r="B42" s="35" t="s">
        <v>1180</v>
      </c>
      <c r="C42" s="29" t="s">
        <v>1151</v>
      </c>
      <c r="D42" s="27" t="str">
        <f t="shared" ref="D42:D76" si="29">$D$17</f>
        <v>INCLUIDO</v>
      </c>
      <c r="E42" s="27" t="s">
        <v>1137</v>
      </c>
      <c r="F42" s="20">
        <f>$F$41*S42</f>
        <v>2914531.0700000003</v>
      </c>
      <c r="G42" s="49">
        <f>V42</f>
        <v>0.24625224000000001</v>
      </c>
      <c r="H42" s="9">
        <f>(((IF(I42="$ Prima",G42,G42*F42/R42))*$U$9)/365)*$J$15</f>
        <v>719.67613276870532</v>
      </c>
      <c r="I42" s="9" t="s">
        <v>1153</v>
      </c>
      <c r="J42" s="9">
        <f t="shared" ref="J42:J60" si="30">H42*$U$7</f>
        <v>15.185166401419682</v>
      </c>
      <c r="K42" s="9">
        <f t="shared" ref="K42:K60" si="31">(H42+J42)*$K$15</f>
        <v>117.57780786722</v>
      </c>
      <c r="L42" s="9">
        <f t="shared" ref="L42:L60" si="32">ROUND(H42+J42+K42,2)</f>
        <v>852.44</v>
      </c>
      <c r="M42" s="11">
        <f>$M$41</f>
        <v>0.1201</v>
      </c>
      <c r="N42" s="9">
        <f t="shared" ref="N42:N60" si="33">H42*M42</f>
        <v>86.433103545521504</v>
      </c>
      <c r="O42" s="12">
        <f t="shared" ref="O42:O60" si="34">N42</f>
        <v>86.433103545521504</v>
      </c>
      <c r="P42" s="13" t="str">
        <f t="shared" si="2"/>
        <v>SI</v>
      </c>
      <c r="Q42">
        <f t="shared" si="28"/>
        <v>1</v>
      </c>
      <c r="R42">
        <f t="shared" ref="R42:R60" si="35">IF(I42="%o Al Millar",1000,IF(I42="% Al Porciento",100,IF(I42="$ Prima",G42)))</f>
        <v>1000</v>
      </c>
      <c r="S42">
        <f t="shared" ref="S42:S76" si="36">IF(E42="Excluido",0,IF(D42="NO APLICA",0,1))</f>
        <v>1</v>
      </c>
      <c r="T42" s="152">
        <v>0.7</v>
      </c>
      <c r="U42">
        <f>IF(E42="Excluido",0,T41*T42)</f>
        <v>0.21547071000000001</v>
      </c>
      <c r="V42" s="153">
        <f>IF(F41=0,0,(U51-U46-U44-U50)+(T41-U51))</f>
        <v>0.24625224000000001</v>
      </c>
    </row>
    <row r="43" spans="1:22" hidden="1" x14ac:dyDescent="0.3">
      <c r="A43" s="34" t="s">
        <v>1150</v>
      </c>
      <c r="B43" s="35"/>
      <c r="C43" s="81">
        <f>$O$12</f>
        <v>0</v>
      </c>
      <c r="D43" s="27" t="str">
        <f t="shared" si="29"/>
        <v>INCLUIDO</v>
      </c>
      <c r="E43" s="27" t="str">
        <f>E42</f>
        <v>Sublimite</v>
      </c>
      <c r="F43" s="9">
        <f>(F42*$O$12)*S42</f>
        <v>0</v>
      </c>
      <c r="G43" s="10">
        <f>G42*0.35</f>
        <v>8.6188284000000004E-2</v>
      </c>
      <c r="H43" s="9">
        <f t="shared" ref="H43" si="37">(IF(I43="$ Prima",G43,G43*F43/R43))*$U$9</f>
        <v>0</v>
      </c>
      <c r="I43" s="9" t="s">
        <v>1153</v>
      </c>
      <c r="J43" s="9">
        <f t="shared" si="30"/>
        <v>0</v>
      </c>
      <c r="K43" s="9">
        <f t="shared" si="31"/>
        <v>0</v>
      </c>
      <c r="L43" s="9">
        <f t="shared" si="32"/>
        <v>0</v>
      </c>
      <c r="M43" s="11">
        <f t="shared" ref="M43:M60" si="38">$M$41</f>
        <v>0.1201</v>
      </c>
      <c r="N43" s="9">
        <f t="shared" si="33"/>
        <v>0</v>
      </c>
      <c r="O43" s="12">
        <f t="shared" si="34"/>
        <v>0</v>
      </c>
      <c r="P43" s="13" t="str">
        <f t="shared" si="2"/>
        <v>NO</v>
      </c>
      <c r="Q43">
        <f t="shared" si="28"/>
        <v>0</v>
      </c>
      <c r="R43">
        <f t="shared" si="35"/>
        <v>1000</v>
      </c>
      <c r="S43">
        <f t="shared" si="36"/>
        <v>1</v>
      </c>
      <c r="T43" s="152"/>
      <c r="V43" s="153"/>
    </row>
    <row r="44" spans="1:22" ht="20.399999999999999" x14ac:dyDescent="0.3">
      <c r="A44" s="34" t="s">
        <v>1150</v>
      </c>
      <c r="B44" s="35" t="s">
        <v>1181</v>
      </c>
      <c r="C44" s="29" t="s">
        <v>1155</v>
      </c>
      <c r="D44" s="27" t="str">
        <f t="shared" si="29"/>
        <v>INCLUIDO</v>
      </c>
      <c r="E44" s="27" t="s">
        <v>1137</v>
      </c>
      <c r="F44" s="20">
        <f>$F$41*S44</f>
        <v>2914531.0700000003</v>
      </c>
      <c r="G44" s="49">
        <f>V44</f>
        <v>3.0781530000000001E-2</v>
      </c>
      <c r="H44" s="9">
        <f>(((IF(I44="$ Prima",G44,G44*F44/R44))*$U$9)/365)*$J$15</f>
        <v>89.959516596088164</v>
      </c>
      <c r="I44" s="9" t="s">
        <v>1153</v>
      </c>
      <c r="J44" s="9">
        <f t="shared" si="30"/>
        <v>1.8981458001774603</v>
      </c>
      <c r="K44" s="9">
        <f t="shared" si="31"/>
        <v>14.6972259834025</v>
      </c>
      <c r="L44" s="9">
        <f t="shared" si="32"/>
        <v>106.55</v>
      </c>
      <c r="M44" s="11">
        <f t="shared" si="38"/>
        <v>0.1201</v>
      </c>
      <c r="N44" s="9">
        <f t="shared" si="33"/>
        <v>10.804137943190188</v>
      </c>
      <c r="O44" s="12">
        <f t="shared" si="34"/>
        <v>10.804137943190188</v>
      </c>
      <c r="P44" s="13" t="str">
        <f t="shared" si="2"/>
        <v>SI</v>
      </c>
      <c r="Q44">
        <f t="shared" si="28"/>
        <v>1</v>
      </c>
      <c r="R44">
        <f t="shared" si="35"/>
        <v>1000</v>
      </c>
      <c r="S44">
        <f t="shared" si="36"/>
        <v>1</v>
      </c>
      <c r="T44" s="152">
        <v>0.1</v>
      </c>
      <c r="U44">
        <f>IF(E44="Excluido",0,T41*T44)</f>
        <v>3.0781530000000001E-2</v>
      </c>
      <c r="V44" s="153">
        <f>IF(F41=0,0,U44)</f>
        <v>3.0781530000000001E-2</v>
      </c>
    </row>
    <row r="45" spans="1:22" hidden="1" x14ac:dyDescent="0.3">
      <c r="A45" s="34" t="s">
        <v>1150</v>
      </c>
      <c r="B45" s="35"/>
      <c r="C45" s="81">
        <f>$O$12</f>
        <v>0</v>
      </c>
      <c r="D45" s="27" t="str">
        <f t="shared" si="29"/>
        <v>INCLUIDO</v>
      </c>
      <c r="E45" s="27" t="str">
        <f>E44</f>
        <v>Sublimite</v>
      </c>
      <c r="F45" s="9">
        <f>(F44*$O$12)*S44</f>
        <v>0</v>
      </c>
      <c r="G45" s="10">
        <f>G44*0.35</f>
        <v>1.07735355E-2</v>
      </c>
      <c r="H45" s="9">
        <f t="shared" ref="H45:H58" si="39">(IF(I45="$ Prima",G45,G45*F45/R45))*$U$9</f>
        <v>0</v>
      </c>
      <c r="I45" s="9" t="s">
        <v>1153</v>
      </c>
      <c r="J45" s="9">
        <f t="shared" si="30"/>
        <v>0</v>
      </c>
      <c r="K45" s="9">
        <f t="shared" si="31"/>
        <v>0</v>
      </c>
      <c r="L45" s="9">
        <f t="shared" si="32"/>
        <v>0</v>
      </c>
      <c r="M45" s="11">
        <f t="shared" si="38"/>
        <v>0.1201</v>
      </c>
      <c r="N45" s="9">
        <f t="shared" si="33"/>
        <v>0</v>
      </c>
      <c r="O45" s="12">
        <f t="shared" si="34"/>
        <v>0</v>
      </c>
      <c r="P45" s="13" t="str">
        <f t="shared" si="2"/>
        <v>NO</v>
      </c>
      <c r="Q45">
        <f t="shared" si="28"/>
        <v>0</v>
      </c>
      <c r="R45">
        <f t="shared" si="35"/>
        <v>1000</v>
      </c>
      <c r="S45">
        <f t="shared" si="36"/>
        <v>1</v>
      </c>
      <c r="T45" s="152"/>
      <c r="V45" s="153"/>
    </row>
    <row r="46" spans="1:22" x14ac:dyDescent="0.3">
      <c r="A46" s="34" t="s">
        <v>1150</v>
      </c>
      <c r="B46" s="35" t="s">
        <v>1182</v>
      </c>
      <c r="C46" s="29" t="s">
        <v>1110</v>
      </c>
      <c r="D46" s="27" t="str">
        <f t="shared" si="29"/>
        <v>INCLUIDO</v>
      </c>
      <c r="E46" s="27" t="s">
        <v>1137</v>
      </c>
      <c r="F46" s="20">
        <f>F41</f>
        <v>2914531.0700000003</v>
      </c>
      <c r="G46" s="49">
        <f>V46</f>
        <v>3.0781530000000001E-2</v>
      </c>
      <c r="H46" s="9">
        <f>(((IF(I46="$ Prima",G46,G46*F46/R46))*$U$9)/365)*$J$15</f>
        <v>89.959516596088164</v>
      </c>
      <c r="I46" s="9" t="s">
        <v>1153</v>
      </c>
      <c r="J46" s="9">
        <f t="shared" si="30"/>
        <v>1.8981458001774603</v>
      </c>
      <c r="K46" s="9">
        <f t="shared" si="31"/>
        <v>14.6972259834025</v>
      </c>
      <c r="L46" s="9">
        <f t="shared" si="32"/>
        <v>106.55</v>
      </c>
      <c r="M46" s="11">
        <f t="shared" si="38"/>
        <v>0.1201</v>
      </c>
      <c r="N46" s="9">
        <f t="shared" si="33"/>
        <v>10.804137943190188</v>
      </c>
      <c r="O46" s="12">
        <f t="shared" si="34"/>
        <v>10.804137943190188</v>
      </c>
      <c r="P46" s="13" t="str">
        <f t="shared" si="2"/>
        <v>SI</v>
      </c>
      <c r="Q46">
        <f t="shared" si="28"/>
        <v>1</v>
      </c>
      <c r="R46">
        <f t="shared" si="35"/>
        <v>1000</v>
      </c>
      <c r="S46">
        <f t="shared" si="36"/>
        <v>1</v>
      </c>
      <c r="T46" s="152">
        <v>0.1</v>
      </c>
      <c r="U46">
        <f>IF(E46="Excluido",0,T41*T46)</f>
        <v>3.0781530000000001E-2</v>
      </c>
      <c r="V46" s="153">
        <f>IF(F41=0,0,U46)</f>
        <v>3.0781530000000001E-2</v>
      </c>
    </row>
    <row r="47" spans="1:22" hidden="1" x14ac:dyDescent="0.3">
      <c r="A47" s="34" t="s">
        <v>1150</v>
      </c>
      <c r="B47" s="35"/>
      <c r="C47" s="81">
        <f>$O$12</f>
        <v>0</v>
      </c>
      <c r="D47" s="27" t="str">
        <f t="shared" si="29"/>
        <v>INCLUIDO</v>
      </c>
      <c r="E47" s="27" t="str">
        <f>E46</f>
        <v>Sublimite</v>
      </c>
      <c r="F47" s="9">
        <f>(F46*$O$12)*S46</f>
        <v>0</v>
      </c>
      <c r="G47" s="10">
        <f>G46*0.35</f>
        <v>1.07735355E-2</v>
      </c>
      <c r="H47" s="9">
        <f t="shared" ref="H47" si="40">(IF(I47="$ Prima",G47,G47*F47/R47))*$U$9</f>
        <v>0</v>
      </c>
      <c r="I47" s="9" t="s">
        <v>1153</v>
      </c>
      <c r="J47" s="9">
        <f t="shared" si="30"/>
        <v>0</v>
      </c>
      <c r="K47" s="9">
        <f t="shared" si="31"/>
        <v>0</v>
      </c>
      <c r="L47" s="9">
        <f t="shared" si="32"/>
        <v>0</v>
      </c>
      <c r="M47" s="11">
        <f t="shared" si="38"/>
        <v>0.1201</v>
      </c>
      <c r="N47" s="9">
        <f t="shared" si="33"/>
        <v>0</v>
      </c>
      <c r="O47" s="12">
        <f t="shared" si="34"/>
        <v>0</v>
      </c>
      <c r="P47" s="13" t="str">
        <f t="shared" si="2"/>
        <v>NO</v>
      </c>
      <c r="Q47">
        <f t="shared" si="28"/>
        <v>0</v>
      </c>
      <c r="R47">
        <f t="shared" si="35"/>
        <v>1000</v>
      </c>
      <c r="S47">
        <f t="shared" si="36"/>
        <v>1</v>
      </c>
      <c r="T47" s="154"/>
      <c r="V47" s="153"/>
    </row>
    <row r="48" spans="1:22" ht="15" hidden="1" customHeight="1" x14ac:dyDescent="0.3">
      <c r="A48" s="34" t="s">
        <v>1150</v>
      </c>
      <c r="B48" s="35" t="s">
        <v>1183</v>
      </c>
      <c r="C48" s="29" t="s">
        <v>1184</v>
      </c>
      <c r="D48" s="27" t="str">
        <f t="shared" si="29"/>
        <v>INCLUIDO</v>
      </c>
      <c r="E48" s="27" t="s">
        <v>1137</v>
      </c>
      <c r="F48" s="43">
        <v>0</v>
      </c>
      <c r="G48" s="21">
        <v>0</v>
      </c>
      <c r="H48" s="9">
        <f t="shared" si="39"/>
        <v>0</v>
      </c>
      <c r="I48" s="9" t="s">
        <v>1153</v>
      </c>
      <c r="J48" s="9">
        <f t="shared" si="30"/>
        <v>0</v>
      </c>
      <c r="K48" s="9">
        <f t="shared" si="31"/>
        <v>0</v>
      </c>
      <c r="L48" s="9">
        <f t="shared" si="32"/>
        <v>0</v>
      </c>
      <c r="M48" s="11">
        <f t="shared" si="38"/>
        <v>0.1201</v>
      </c>
      <c r="N48" s="9">
        <f t="shared" si="33"/>
        <v>0</v>
      </c>
      <c r="O48" s="12">
        <f t="shared" si="34"/>
        <v>0</v>
      </c>
      <c r="P48" s="13" t="str">
        <f t="shared" si="2"/>
        <v>NO</v>
      </c>
      <c r="Q48">
        <f t="shared" si="28"/>
        <v>0</v>
      </c>
      <c r="R48">
        <f t="shared" si="35"/>
        <v>1000</v>
      </c>
      <c r="S48">
        <f t="shared" si="36"/>
        <v>1</v>
      </c>
      <c r="T48" s="154"/>
      <c r="V48" s="153"/>
    </row>
    <row r="49" spans="1:22" ht="15" hidden="1" customHeight="1" x14ac:dyDescent="0.3">
      <c r="A49" s="34" t="s">
        <v>1150</v>
      </c>
      <c r="B49" s="35"/>
      <c r="C49" s="81">
        <f>$O$12</f>
        <v>0</v>
      </c>
      <c r="D49" s="27" t="str">
        <f t="shared" si="29"/>
        <v>INCLUIDO</v>
      </c>
      <c r="E49" s="27" t="str">
        <f>E48</f>
        <v>Sublimite</v>
      </c>
      <c r="F49" s="9">
        <f>(F48*$O$12)*S48</f>
        <v>0</v>
      </c>
      <c r="G49" s="10">
        <f>G48*0.35</f>
        <v>0</v>
      </c>
      <c r="H49" s="9">
        <f t="shared" si="39"/>
        <v>0</v>
      </c>
      <c r="I49" s="9" t="s">
        <v>1153</v>
      </c>
      <c r="J49" s="9">
        <f t="shared" si="30"/>
        <v>0</v>
      </c>
      <c r="K49" s="9">
        <f t="shared" si="31"/>
        <v>0</v>
      </c>
      <c r="L49" s="9">
        <f t="shared" si="32"/>
        <v>0</v>
      </c>
      <c r="M49" s="11">
        <f t="shared" si="38"/>
        <v>0.1201</v>
      </c>
      <c r="N49" s="9">
        <f t="shared" si="33"/>
        <v>0</v>
      </c>
      <c r="O49" s="12">
        <f t="shared" si="34"/>
        <v>0</v>
      </c>
      <c r="P49" s="13" t="str">
        <f t="shared" si="2"/>
        <v>NO</v>
      </c>
      <c r="Q49">
        <f t="shared" si="28"/>
        <v>0</v>
      </c>
      <c r="R49">
        <f t="shared" si="35"/>
        <v>1000</v>
      </c>
      <c r="S49">
        <f t="shared" si="36"/>
        <v>1</v>
      </c>
      <c r="T49" s="154"/>
      <c r="V49" s="153"/>
    </row>
    <row r="50" spans="1:22" ht="15" hidden="1" customHeight="1" thickBot="1" x14ac:dyDescent="0.35">
      <c r="A50" s="34" t="s">
        <v>1150</v>
      </c>
      <c r="B50" s="35">
        <v>229</v>
      </c>
      <c r="C50" s="29" t="s">
        <v>1185</v>
      </c>
      <c r="D50" s="27" t="str">
        <f t="shared" si="29"/>
        <v>INCLUIDO</v>
      </c>
      <c r="E50" s="27" t="s">
        <v>1186</v>
      </c>
      <c r="F50" s="20">
        <f>$F$41*S50</f>
        <v>0</v>
      </c>
      <c r="G50" s="21">
        <f>V50</f>
        <v>0</v>
      </c>
      <c r="H50" s="9">
        <f t="shared" si="39"/>
        <v>0</v>
      </c>
      <c r="I50" s="9" t="s">
        <v>1153</v>
      </c>
      <c r="J50" s="9">
        <f t="shared" si="30"/>
        <v>0</v>
      </c>
      <c r="K50" s="9">
        <f t="shared" si="31"/>
        <v>0</v>
      </c>
      <c r="L50" s="9">
        <f t="shared" si="32"/>
        <v>0</v>
      </c>
      <c r="M50" s="11">
        <f t="shared" si="38"/>
        <v>0.1201</v>
      </c>
      <c r="N50" s="9">
        <f t="shared" si="33"/>
        <v>0</v>
      </c>
      <c r="O50" s="12">
        <f t="shared" si="34"/>
        <v>0</v>
      </c>
      <c r="P50" s="13" t="str">
        <f t="shared" si="2"/>
        <v>NO</v>
      </c>
      <c r="Q50">
        <f t="shared" si="28"/>
        <v>0</v>
      </c>
      <c r="R50">
        <f t="shared" si="35"/>
        <v>1000</v>
      </c>
      <c r="S50">
        <f t="shared" si="36"/>
        <v>0</v>
      </c>
      <c r="T50" s="152">
        <v>0.1</v>
      </c>
      <c r="U50">
        <f>IF(E50="Excluido",0,T41*T50)</f>
        <v>0</v>
      </c>
      <c r="V50" s="153">
        <f>IF(F41=0,0,U50)</f>
        <v>0</v>
      </c>
    </row>
    <row r="51" spans="1:22" ht="15" hidden="1" customHeight="1" thickBot="1" x14ac:dyDescent="0.35">
      <c r="A51" s="34" t="s">
        <v>1150</v>
      </c>
      <c r="B51" s="35"/>
      <c r="C51" s="81">
        <f>$O$12</f>
        <v>0</v>
      </c>
      <c r="D51" s="27" t="str">
        <f t="shared" si="29"/>
        <v>INCLUIDO</v>
      </c>
      <c r="E51" s="27" t="str">
        <f>E50</f>
        <v>Excluido</v>
      </c>
      <c r="F51" s="9">
        <f>(F50*$O$12)*S50</f>
        <v>0</v>
      </c>
      <c r="G51" s="10">
        <f>G50*0.35</f>
        <v>0</v>
      </c>
      <c r="H51" s="9">
        <f t="shared" si="39"/>
        <v>0</v>
      </c>
      <c r="I51" s="9" t="s">
        <v>1153</v>
      </c>
      <c r="J51" s="9">
        <f t="shared" si="30"/>
        <v>0</v>
      </c>
      <c r="K51" s="9">
        <f t="shared" si="31"/>
        <v>0</v>
      </c>
      <c r="L51" s="9">
        <f t="shared" si="32"/>
        <v>0</v>
      </c>
      <c r="M51" s="11">
        <f t="shared" si="38"/>
        <v>0.1201</v>
      </c>
      <c r="N51" s="9">
        <f t="shared" si="33"/>
        <v>0</v>
      </c>
      <c r="O51" s="12">
        <f t="shared" si="34"/>
        <v>0</v>
      </c>
      <c r="P51" s="13" t="str">
        <f t="shared" si="2"/>
        <v>NO</v>
      </c>
      <c r="Q51">
        <f t="shared" si="28"/>
        <v>0</v>
      </c>
      <c r="R51">
        <f t="shared" si="35"/>
        <v>1000</v>
      </c>
      <c r="S51">
        <f t="shared" si="36"/>
        <v>0</v>
      </c>
      <c r="T51" s="143">
        <f>SUM(T42:T50)</f>
        <v>0.99999999999999989</v>
      </c>
      <c r="U51" s="147">
        <f>SUM(U42:U50)</f>
        <v>0.27703377000000001</v>
      </c>
      <c r="V51" s="148">
        <f>SUM(V42:V50)</f>
        <v>0.30781530000000001</v>
      </c>
    </row>
    <row r="52" spans="1:22" ht="15" hidden="1" customHeight="1" x14ac:dyDescent="0.3">
      <c r="A52" s="34" t="s">
        <v>1150</v>
      </c>
      <c r="B52" s="35">
        <v>230</v>
      </c>
      <c r="C52" s="29" t="s">
        <v>1187</v>
      </c>
      <c r="D52" s="27" t="str">
        <f t="shared" si="29"/>
        <v>INCLUIDO</v>
      </c>
      <c r="E52" s="27" t="s">
        <v>1137</v>
      </c>
      <c r="F52" s="43">
        <v>0</v>
      </c>
      <c r="G52" s="21">
        <v>0</v>
      </c>
      <c r="H52" s="9">
        <f t="shared" si="39"/>
        <v>0</v>
      </c>
      <c r="I52" s="9" t="s">
        <v>1153</v>
      </c>
      <c r="J52" s="9">
        <f t="shared" si="30"/>
        <v>0</v>
      </c>
      <c r="K52" s="9">
        <f t="shared" si="31"/>
        <v>0</v>
      </c>
      <c r="L52" s="9">
        <f t="shared" si="32"/>
        <v>0</v>
      </c>
      <c r="M52" s="11">
        <f t="shared" si="38"/>
        <v>0.1201</v>
      </c>
      <c r="N52" s="9">
        <f t="shared" si="33"/>
        <v>0</v>
      </c>
      <c r="O52" s="12">
        <f t="shared" si="34"/>
        <v>0</v>
      </c>
      <c r="P52" s="13" t="str">
        <f t="shared" si="2"/>
        <v>NO</v>
      </c>
      <c r="Q52">
        <f t="shared" si="28"/>
        <v>0</v>
      </c>
      <c r="R52">
        <f t="shared" si="35"/>
        <v>1000</v>
      </c>
      <c r="S52">
        <f t="shared" si="36"/>
        <v>1</v>
      </c>
    </row>
    <row r="53" spans="1:22" ht="15" hidden="1" customHeight="1" x14ac:dyDescent="0.3">
      <c r="A53" s="34" t="s">
        <v>1150</v>
      </c>
      <c r="B53" s="35"/>
      <c r="C53" s="81">
        <f>$O$12</f>
        <v>0</v>
      </c>
      <c r="D53" s="27" t="str">
        <f t="shared" si="29"/>
        <v>INCLUIDO</v>
      </c>
      <c r="E53" s="27" t="str">
        <f>E52</f>
        <v>Sublimite</v>
      </c>
      <c r="F53" s="9">
        <f>(F52*$O$12)*S52</f>
        <v>0</v>
      </c>
      <c r="G53" s="10">
        <f>G52*0.35</f>
        <v>0</v>
      </c>
      <c r="H53" s="9">
        <f t="shared" si="39"/>
        <v>0</v>
      </c>
      <c r="I53" s="9" t="s">
        <v>1153</v>
      </c>
      <c r="J53" s="9">
        <f t="shared" si="30"/>
        <v>0</v>
      </c>
      <c r="K53" s="9">
        <f t="shared" si="31"/>
        <v>0</v>
      </c>
      <c r="L53" s="9">
        <f t="shared" si="32"/>
        <v>0</v>
      </c>
      <c r="M53" s="11">
        <f t="shared" si="38"/>
        <v>0.1201</v>
      </c>
      <c r="N53" s="9">
        <f t="shared" si="33"/>
        <v>0</v>
      </c>
      <c r="O53" s="12">
        <f t="shared" si="34"/>
        <v>0</v>
      </c>
      <c r="P53" s="13" t="str">
        <f t="shared" si="2"/>
        <v>NO</v>
      </c>
      <c r="Q53">
        <f t="shared" si="28"/>
        <v>0</v>
      </c>
      <c r="R53">
        <f t="shared" si="35"/>
        <v>1000</v>
      </c>
      <c r="S53">
        <f t="shared" si="36"/>
        <v>1</v>
      </c>
    </row>
    <row r="54" spans="1:22" ht="15" hidden="1" customHeight="1" x14ac:dyDescent="0.3">
      <c r="A54" s="34" t="s">
        <v>1150</v>
      </c>
      <c r="B54" s="35">
        <v>231</v>
      </c>
      <c r="C54" s="29" t="s">
        <v>1188</v>
      </c>
      <c r="D54" s="27" t="str">
        <f t="shared" si="29"/>
        <v>INCLUIDO</v>
      </c>
      <c r="E54" s="27" t="s">
        <v>1137</v>
      </c>
      <c r="F54" s="43">
        <v>0</v>
      </c>
      <c r="G54" s="21">
        <v>0</v>
      </c>
      <c r="H54" s="9">
        <f t="shared" si="39"/>
        <v>0</v>
      </c>
      <c r="I54" s="9" t="s">
        <v>1153</v>
      </c>
      <c r="J54" s="9">
        <f t="shared" si="30"/>
        <v>0</v>
      </c>
      <c r="K54" s="9">
        <f t="shared" si="31"/>
        <v>0</v>
      </c>
      <c r="L54" s="9">
        <f t="shared" si="32"/>
        <v>0</v>
      </c>
      <c r="M54" s="11">
        <f t="shared" si="38"/>
        <v>0.1201</v>
      </c>
      <c r="N54" s="9">
        <f t="shared" si="33"/>
        <v>0</v>
      </c>
      <c r="O54" s="12">
        <f t="shared" si="34"/>
        <v>0</v>
      </c>
      <c r="P54" s="13" t="str">
        <f t="shared" si="2"/>
        <v>NO</v>
      </c>
      <c r="Q54">
        <f t="shared" si="28"/>
        <v>0</v>
      </c>
      <c r="R54">
        <f t="shared" si="35"/>
        <v>1000</v>
      </c>
      <c r="S54">
        <f t="shared" si="36"/>
        <v>1</v>
      </c>
    </row>
    <row r="55" spans="1:22" ht="15" customHeight="1" x14ac:dyDescent="0.3">
      <c r="A55" s="34" t="s">
        <v>1150</v>
      </c>
      <c r="B55" s="35" t="s">
        <v>1189</v>
      </c>
      <c r="C55" s="29" t="s">
        <v>1190</v>
      </c>
      <c r="D55" s="27" t="str">
        <f t="shared" si="29"/>
        <v>INCLUIDO</v>
      </c>
      <c r="E55" s="27" t="s">
        <v>1137</v>
      </c>
      <c r="F55" s="43">
        <f>'COTIZACIÓN M.N.'!D65</f>
        <v>3000000</v>
      </c>
      <c r="G55" s="21">
        <f>'COTIZACIÓN M.N.'!E65</f>
        <v>0.25</v>
      </c>
      <c r="H55" s="75">
        <f>(((((IF(I55="$ Prima",G55,G55*F55/R55))*$U$9)/365)*$J$15)/3)/'Ubicaciones total (2)'!A366</f>
        <v>0.68869486677705871</v>
      </c>
      <c r="I55" s="9" t="s">
        <v>1153</v>
      </c>
      <c r="J55" s="9">
        <f t="shared" si="30"/>
        <v>1.4531461688995939E-2</v>
      </c>
      <c r="K55" s="9">
        <f t="shared" si="31"/>
        <v>0.11251621255456876</v>
      </c>
      <c r="L55" s="9">
        <f t="shared" si="32"/>
        <v>0.82</v>
      </c>
      <c r="M55" s="11">
        <f t="shared" si="38"/>
        <v>0.1201</v>
      </c>
      <c r="N55" s="9">
        <f t="shared" si="33"/>
        <v>8.2712253499924754E-2</v>
      </c>
      <c r="O55" s="12">
        <f t="shared" si="34"/>
        <v>8.2712253499924754E-2</v>
      </c>
      <c r="P55" s="13" t="str">
        <f t="shared" si="2"/>
        <v>SI</v>
      </c>
      <c r="Q55">
        <f t="shared" si="28"/>
        <v>1</v>
      </c>
      <c r="R55">
        <f t="shared" si="35"/>
        <v>1000</v>
      </c>
      <c r="S55">
        <f t="shared" si="36"/>
        <v>1</v>
      </c>
    </row>
    <row r="56" spans="1:22" ht="15" hidden="1" customHeight="1" x14ac:dyDescent="0.3">
      <c r="A56" s="34" t="s">
        <v>1150</v>
      </c>
      <c r="B56" s="35"/>
      <c r="C56" s="81">
        <f>$O$12</f>
        <v>0</v>
      </c>
      <c r="D56" s="27" t="str">
        <f t="shared" si="29"/>
        <v>INCLUIDO</v>
      </c>
      <c r="E56" s="27" t="str">
        <f>E55</f>
        <v>Sublimite</v>
      </c>
      <c r="F56" s="9">
        <v>0</v>
      </c>
      <c r="G56" s="10">
        <f>G55*0.35</f>
        <v>8.7499999999999994E-2</v>
      </c>
      <c r="H56" s="9">
        <f t="shared" ref="H56" si="41">(IF(I56="$ Prima",G56,G56*F56/R56))*$U$9</f>
        <v>0</v>
      </c>
      <c r="I56" s="9" t="s">
        <v>1153</v>
      </c>
      <c r="J56" s="9">
        <f t="shared" si="30"/>
        <v>0</v>
      </c>
      <c r="K56" s="9">
        <f t="shared" si="31"/>
        <v>0</v>
      </c>
      <c r="L56" s="9">
        <f t="shared" si="32"/>
        <v>0</v>
      </c>
      <c r="M56" s="11">
        <f t="shared" si="38"/>
        <v>0.1201</v>
      </c>
      <c r="N56" s="9">
        <f t="shared" si="33"/>
        <v>0</v>
      </c>
      <c r="O56" s="12">
        <f t="shared" si="34"/>
        <v>0</v>
      </c>
      <c r="P56" s="13" t="str">
        <f t="shared" si="2"/>
        <v>NO</v>
      </c>
      <c r="Q56">
        <f t="shared" si="28"/>
        <v>0</v>
      </c>
      <c r="R56">
        <f t="shared" si="35"/>
        <v>1000</v>
      </c>
      <c r="S56">
        <f t="shared" si="36"/>
        <v>1</v>
      </c>
    </row>
    <row r="57" spans="1:22" ht="15" customHeight="1" x14ac:dyDescent="0.3">
      <c r="A57" s="34" t="s">
        <v>1150</v>
      </c>
      <c r="B57" s="35" t="s">
        <v>1191</v>
      </c>
      <c r="C57" s="29" t="s">
        <v>1192</v>
      </c>
      <c r="D57" s="27" t="str">
        <f t="shared" si="29"/>
        <v>INCLUIDO</v>
      </c>
      <c r="E57" s="27" t="s">
        <v>1137</v>
      </c>
      <c r="F57" s="43">
        <f>'COTIZACIÓN M.N.'!D66</f>
        <v>150000</v>
      </c>
      <c r="G57" s="21">
        <f>'COTIZACIÓN M.N.'!E66</f>
        <v>0.2</v>
      </c>
      <c r="H57" s="75">
        <f>(((IF(I57="$ Prima",G57,G57*F57/R57))*$U$9)/365)*$J$15/'Ubicaciones total (2)'!A366</f>
        <v>8.2643384013247015E-2</v>
      </c>
      <c r="I57" s="9" t="s">
        <v>1153</v>
      </c>
      <c r="J57" s="9">
        <f t="shared" si="30"/>
        <v>1.7437754026795121E-3</v>
      </c>
      <c r="K57" s="9">
        <f t="shared" si="31"/>
        <v>1.3501945506548246E-2</v>
      </c>
      <c r="L57" s="9">
        <f t="shared" si="32"/>
        <v>0.1</v>
      </c>
      <c r="M57" s="11">
        <f t="shared" si="38"/>
        <v>0.1201</v>
      </c>
      <c r="N57" s="9">
        <f t="shared" si="33"/>
        <v>9.9254704199909661E-3</v>
      </c>
      <c r="O57" s="12">
        <f t="shared" si="34"/>
        <v>9.9254704199909661E-3</v>
      </c>
      <c r="P57" s="13" t="str">
        <f t="shared" si="2"/>
        <v>SI</v>
      </c>
      <c r="Q57">
        <f t="shared" si="28"/>
        <v>1</v>
      </c>
      <c r="R57">
        <f t="shared" si="35"/>
        <v>1000</v>
      </c>
      <c r="S57">
        <f t="shared" si="36"/>
        <v>1</v>
      </c>
    </row>
    <row r="58" spans="1:22" ht="15" hidden="1" customHeight="1" x14ac:dyDescent="0.3">
      <c r="A58" s="34" t="s">
        <v>1150</v>
      </c>
      <c r="B58" s="35"/>
      <c r="C58" s="81">
        <f>$O$12</f>
        <v>0</v>
      </c>
      <c r="D58" s="27" t="str">
        <f t="shared" si="29"/>
        <v>INCLUIDO</v>
      </c>
      <c r="E58" s="27" t="str">
        <f>E57</f>
        <v>Sublimite</v>
      </c>
      <c r="F58" s="9">
        <v>0</v>
      </c>
      <c r="G58" s="10">
        <f>G57*0.35</f>
        <v>6.9999999999999993E-2</v>
      </c>
      <c r="H58" s="9">
        <f t="shared" si="39"/>
        <v>0</v>
      </c>
      <c r="I58" s="9" t="s">
        <v>1153</v>
      </c>
      <c r="J58" s="9">
        <f t="shared" si="30"/>
        <v>0</v>
      </c>
      <c r="K58" s="9">
        <f t="shared" si="31"/>
        <v>0</v>
      </c>
      <c r="L58" s="9">
        <f t="shared" si="32"/>
        <v>0</v>
      </c>
      <c r="M58" s="11">
        <f t="shared" si="38"/>
        <v>0.1201</v>
      </c>
      <c r="N58" s="9">
        <f t="shared" si="33"/>
        <v>0</v>
      </c>
      <c r="O58" s="12">
        <f t="shared" si="34"/>
        <v>0</v>
      </c>
      <c r="P58" s="13" t="str">
        <f t="shared" si="2"/>
        <v>NO</v>
      </c>
      <c r="Q58">
        <f t="shared" si="28"/>
        <v>0</v>
      </c>
      <c r="R58">
        <f t="shared" si="35"/>
        <v>1000</v>
      </c>
      <c r="S58">
        <f t="shared" si="36"/>
        <v>1</v>
      </c>
    </row>
    <row r="59" spans="1:22" ht="15" customHeight="1" x14ac:dyDescent="0.3">
      <c r="A59" s="34" t="s">
        <v>1150</v>
      </c>
      <c r="B59" s="35" t="s">
        <v>1193</v>
      </c>
      <c r="C59" s="29" t="s">
        <v>1159</v>
      </c>
      <c r="D59" s="27" t="str">
        <f t="shared" si="29"/>
        <v>INCLUIDO</v>
      </c>
      <c r="E59" s="27" t="s">
        <v>1137</v>
      </c>
      <c r="F59" s="43">
        <f>'COTIZACIÓN M.N.'!D67</f>
        <v>5000000</v>
      </c>
      <c r="G59" s="49">
        <f>G26</f>
        <v>1.1000000000000001E-3</v>
      </c>
      <c r="H59" s="75">
        <f>(((IF(I59="$ Prima",G59,G59*F59/R59))*$U$9)*2)/'Ubicaciones total (2)'!A366</f>
        <v>3.021978021978022E-2</v>
      </c>
      <c r="I59" s="9" t="s">
        <v>1153</v>
      </c>
      <c r="J59" s="9">
        <f t="shared" si="30"/>
        <v>6.3763736263736266E-4</v>
      </c>
      <c r="K59" s="9">
        <f t="shared" si="31"/>
        <v>4.9371868131868127E-3</v>
      </c>
      <c r="L59" s="9">
        <f t="shared" si="32"/>
        <v>0.04</v>
      </c>
      <c r="M59" s="11">
        <f t="shared" si="38"/>
        <v>0.1201</v>
      </c>
      <c r="N59" s="9">
        <f t="shared" si="33"/>
        <v>3.6293956043956044E-3</v>
      </c>
      <c r="O59" s="12">
        <f t="shared" si="34"/>
        <v>3.6293956043956044E-3</v>
      </c>
      <c r="P59" s="13" t="str">
        <f t="shared" si="2"/>
        <v>SI</v>
      </c>
      <c r="Q59">
        <f t="shared" si="28"/>
        <v>1</v>
      </c>
      <c r="R59">
        <f t="shared" si="35"/>
        <v>1000</v>
      </c>
      <c r="S59">
        <f t="shared" si="36"/>
        <v>1</v>
      </c>
    </row>
    <row r="60" spans="1:22" ht="15" customHeight="1" x14ac:dyDescent="0.3">
      <c r="A60" s="34" t="s">
        <v>1150</v>
      </c>
      <c r="B60" s="35" t="s">
        <v>1194</v>
      </c>
      <c r="C60" s="29" t="s">
        <v>1161</v>
      </c>
      <c r="D60" s="27" t="str">
        <f t="shared" si="29"/>
        <v>INCLUIDO</v>
      </c>
      <c r="E60" s="27" t="s">
        <v>1137</v>
      </c>
      <c r="F60" s="43">
        <f>'COTIZACIÓN M.N.'!D68</f>
        <v>5000000</v>
      </c>
      <c r="G60" s="49">
        <f>G59</f>
        <v>1.1000000000000001E-3</v>
      </c>
      <c r="H60" s="75">
        <f>(((IF(I60="$ Prima",G60,G60*F60/R60))*$U$9)*2)/'Ubicaciones total (2)'!A366</f>
        <v>3.021978021978022E-2</v>
      </c>
      <c r="I60" s="9" t="s">
        <v>1153</v>
      </c>
      <c r="J60" s="9">
        <f t="shared" si="30"/>
        <v>6.3763736263736266E-4</v>
      </c>
      <c r="K60" s="9">
        <f t="shared" si="31"/>
        <v>4.9371868131868127E-3</v>
      </c>
      <c r="L60" s="9">
        <f t="shared" si="32"/>
        <v>0.04</v>
      </c>
      <c r="M60" s="11">
        <f t="shared" si="38"/>
        <v>0.1201</v>
      </c>
      <c r="N60" s="9">
        <f t="shared" si="33"/>
        <v>3.6293956043956044E-3</v>
      </c>
      <c r="O60" s="12">
        <f t="shared" si="34"/>
        <v>3.6293956043956044E-3</v>
      </c>
      <c r="P60" s="13" t="str">
        <f t="shared" si="2"/>
        <v>SI</v>
      </c>
      <c r="Q60">
        <f t="shared" si="28"/>
        <v>1</v>
      </c>
      <c r="R60">
        <f t="shared" si="35"/>
        <v>1000</v>
      </c>
      <c r="S60">
        <f t="shared" si="36"/>
        <v>1</v>
      </c>
    </row>
    <row r="61" spans="1:22" x14ac:dyDescent="0.3">
      <c r="A61" s="82" t="s">
        <v>1162</v>
      </c>
      <c r="B61" s="33">
        <v>2</v>
      </c>
      <c r="C61" s="28" t="s">
        <v>1195</v>
      </c>
      <c r="D61" s="28" t="str">
        <f>$D$17</f>
        <v>INCLUIDO</v>
      </c>
      <c r="E61" s="28"/>
      <c r="F61" s="28"/>
      <c r="G61" s="28"/>
      <c r="H61" s="28"/>
      <c r="I61" s="28"/>
      <c r="J61" s="28"/>
      <c r="K61" s="28"/>
      <c r="L61" s="28"/>
      <c r="M61" s="68">
        <v>0.05</v>
      </c>
      <c r="N61" s="28"/>
      <c r="O61" s="83"/>
      <c r="P61" s="13" t="str">
        <f t="shared" si="2"/>
        <v>SI</v>
      </c>
      <c r="Q61" s="47">
        <f>IF(D61="INCLUIDO",IF(F62&lt;&gt;0,1,0),0)</f>
        <v>1</v>
      </c>
      <c r="S61">
        <f t="shared" si="36"/>
        <v>1</v>
      </c>
    </row>
    <row r="62" spans="1:22" x14ac:dyDescent="0.3">
      <c r="A62" s="31" t="s">
        <v>1164</v>
      </c>
      <c r="B62" s="32" t="s">
        <v>1196</v>
      </c>
      <c r="C62" s="27" t="s">
        <v>1166</v>
      </c>
      <c r="D62" s="27" t="str">
        <f t="shared" si="29"/>
        <v>INCLUIDO</v>
      </c>
      <c r="E62" s="27" t="s">
        <v>1137</v>
      </c>
      <c r="F62" s="20">
        <f>$F$41*S62</f>
        <v>2914531.0700000003</v>
      </c>
      <c r="G62" s="49">
        <f>'COTIZACIÓN M.N.'!E37</f>
        <v>0.25</v>
      </c>
      <c r="H62" s="75">
        <f>((((IF(I62="$ Prima",G62,G62*F62/R62))*$U$9)/365)*$J$15)</f>
        <v>730.62902165753439</v>
      </c>
      <c r="I62" s="9" t="s">
        <v>1153</v>
      </c>
      <c r="J62" s="9">
        <f t="shared" ref="J62:J63" si="42">H62*$U$7</f>
        <v>15.416272356973977</v>
      </c>
      <c r="K62" s="9">
        <f t="shared" ref="K62:K63" si="43">(H62+J62)*$K$15</f>
        <v>119.36724704232134</v>
      </c>
      <c r="L62" s="9">
        <f t="shared" ref="L62:L63" si="44">ROUND(H62+J62+K62,2)</f>
        <v>865.41</v>
      </c>
      <c r="M62" s="11">
        <v>0.05</v>
      </c>
      <c r="N62" s="9">
        <f t="shared" ref="N62:N63" si="45">H62*M62</f>
        <v>36.531451082876721</v>
      </c>
      <c r="O62" s="12">
        <f t="shared" ref="O62:O63" si="46">N62</f>
        <v>36.531451082876721</v>
      </c>
      <c r="P62" s="13" t="str">
        <f t="shared" si="2"/>
        <v>SI</v>
      </c>
      <c r="Q62">
        <f>IF(D62="INCLUIDO",IF(F62&lt;&gt;0,1,0),0)</f>
        <v>1</v>
      </c>
      <c r="R62">
        <f>IF(I62="%o Al Millar",1000,IF(I62="% Al Porciento",100,IF(I62="$ Prima",G62)))</f>
        <v>1000</v>
      </c>
      <c r="S62">
        <f t="shared" si="36"/>
        <v>1</v>
      </c>
    </row>
    <row r="63" spans="1:22" hidden="1" x14ac:dyDescent="0.3">
      <c r="A63" s="31" t="s">
        <v>1164</v>
      </c>
      <c r="B63" s="32"/>
      <c r="C63" s="81">
        <f>$O$12</f>
        <v>0</v>
      </c>
      <c r="D63" s="27" t="str">
        <f t="shared" si="29"/>
        <v>INCLUIDO</v>
      </c>
      <c r="E63" s="27" t="str">
        <f>E62</f>
        <v>Sublimite</v>
      </c>
      <c r="F63" s="9">
        <f>(F62*$O$12)*S62</f>
        <v>0</v>
      </c>
      <c r="G63" s="10">
        <f>G62*35%</f>
        <v>8.7499999999999994E-2</v>
      </c>
      <c r="H63" s="9">
        <f>((IF(I63="$ Prima",G63,G63*F63/R63))*$U$9)</f>
        <v>0</v>
      </c>
      <c r="I63" s="9" t="s">
        <v>1153</v>
      </c>
      <c r="J63" s="9">
        <f t="shared" si="42"/>
        <v>0</v>
      </c>
      <c r="K63" s="9">
        <f t="shared" si="43"/>
        <v>0</v>
      </c>
      <c r="L63" s="9">
        <f t="shared" si="44"/>
        <v>0</v>
      </c>
      <c r="M63" s="11">
        <f>$M$61</f>
        <v>0.05</v>
      </c>
      <c r="N63" s="9">
        <f t="shared" si="45"/>
        <v>0</v>
      </c>
      <c r="O63" s="12">
        <f t="shared" si="46"/>
        <v>0</v>
      </c>
      <c r="P63" s="13" t="str">
        <f t="shared" si="2"/>
        <v>NO</v>
      </c>
      <c r="Q63">
        <f>IF(D63="INCLUIDO",IF(F63&lt;&gt;0,1,0),0)</f>
        <v>0</v>
      </c>
      <c r="R63">
        <f>IF(I63="%o Al Millar",1000,IF(I63="% Al Porciento",100,IF(I63="$ Prima",G63)))</f>
        <v>1000</v>
      </c>
      <c r="S63">
        <f t="shared" si="36"/>
        <v>1</v>
      </c>
    </row>
    <row r="64" spans="1:22" x14ac:dyDescent="0.3">
      <c r="A64" s="82">
        <v>904</v>
      </c>
      <c r="B64" s="33">
        <v>2</v>
      </c>
      <c r="C64" s="28" t="s">
        <v>1197</v>
      </c>
      <c r="D64" s="28" t="str">
        <f>$D$17</f>
        <v>INCLUIDO</v>
      </c>
      <c r="E64" s="28"/>
      <c r="F64" s="28"/>
      <c r="G64" s="28"/>
      <c r="H64" s="28"/>
      <c r="I64" s="28"/>
      <c r="J64" s="28"/>
      <c r="K64" s="28"/>
      <c r="L64" s="28"/>
      <c r="M64" s="68">
        <v>0.05</v>
      </c>
      <c r="N64" s="28"/>
      <c r="O64" s="83"/>
      <c r="P64" s="13" t="str">
        <f t="shared" si="2"/>
        <v>SI</v>
      </c>
      <c r="Q64" s="47">
        <f>IF(D64="INCLUIDO",IF(F65&lt;&gt;0,1,0),0)</f>
        <v>1</v>
      </c>
      <c r="S64">
        <f t="shared" si="36"/>
        <v>1</v>
      </c>
    </row>
    <row r="65" spans="1:19" x14ac:dyDescent="0.3">
      <c r="A65" s="31" t="s">
        <v>1168</v>
      </c>
      <c r="B65" s="36">
        <v>63</v>
      </c>
      <c r="C65" s="37" t="s">
        <v>1170</v>
      </c>
      <c r="D65" s="27" t="str">
        <f t="shared" si="29"/>
        <v>INCLUIDO</v>
      </c>
      <c r="E65" s="27" t="s">
        <v>1137</v>
      </c>
      <c r="F65" s="20">
        <f>F41</f>
        <v>2914531.0700000003</v>
      </c>
      <c r="G65" s="10">
        <f>'COTIZACIÓN M.N.'!E39</f>
        <v>0.2</v>
      </c>
      <c r="H65" s="75">
        <f>((((IF(I65="$ Prima",G65,G65*F65/R65))*$U$9)*O14)/365)*$J$15</f>
        <v>584.50321732602742</v>
      </c>
      <c r="I65" s="9" t="s">
        <v>1153</v>
      </c>
      <c r="J65" s="9">
        <f t="shared" ref="J65:J66" si="47">H65*$U$7</f>
        <v>12.33301788557918</v>
      </c>
      <c r="K65" s="9">
        <f t="shared" ref="K65:K66" si="48">(H65+J65)*$K$15</f>
        <v>95.493797633857056</v>
      </c>
      <c r="L65" s="9">
        <f t="shared" ref="L65:L66" si="49">ROUND(H65+J65+K65,2)</f>
        <v>692.33</v>
      </c>
      <c r="M65" s="11">
        <f>$M$64</f>
        <v>0.05</v>
      </c>
      <c r="N65" s="9">
        <f t="shared" ref="N65:N66" si="50">H65*M65</f>
        <v>29.225160866301373</v>
      </c>
      <c r="O65" s="12">
        <f t="shared" ref="O65:O66" si="51">N65</f>
        <v>29.225160866301373</v>
      </c>
      <c r="P65" s="13" t="str">
        <f t="shared" si="2"/>
        <v>SI</v>
      </c>
      <c r="Q65">
        <f>IF(D65="INCLUIDO",IF(F65&lt;&gt;0,1,0),0)</f>
        <v>1</v>
      </c>
      <c r="R65">
        <f>IF(I65="%o Al Millar",1000,IF(I65="% Al Porciento",100,IF(I65="$ Prima",G65)))</f>
        <v>1000</v>
      </c>
      <c r="S65">
        <f t="shared" si="36"/>
        <v>1</v>
      </c>
    </row>
    <row r="66" spans="1:19" hidden="1" x14ac:dyDescent="0.3">
      <c r="A66" s="31" t="s">
        <v>1168</v>
      </c>
      <c r="B66" s="32"/>
      <c r="C66" s="81">
        <f>$O$12</f>
        <v>0</v>
      </c>
      <c r="D66" s="27" t="str">
        <f t="shared" si="29"/>
        <v>INCLUIDO</v>
      </c>
      <c r="E66" s="27" t="str">
        <f>E65</f>
        <v>Sublimite</v>
      </c>
      <c r="F66" s="9">
        <f>(F65*$O$12)*S65</f>
        <v>0</v>
      </c>
      <c r="G66" s="10">
        <f>G65*0.35</f>
        <v>6.9999999999999993E-2</v>
      </c>
      <c r="H66" s="9">
        <f>((IF(I66="$ Prima",G66,G66*F66/R66))*$U$9)*O14</f>
        <v>0</v>
      </c>
      <c r="I66" s="9" t="s">
        <v>1153</v>
      </c>
      <c r="J66" s="9">
        <f t="shared" si="47"/>
        <v>0</v>
      </c>
      <c r="K66" s="9">
        <f t="shared" si="48"/>
        <v>0</v>
      </c>
      <c r="L66" s="9">
        <f t="shared" si="49"/>
        <v>0</v>
      </c>
      <c r="M66" s="11">
        <f>$M$64</f>
        <v>0.05</v>
      </c>
      <c r="N66" s="9">
        <f t="shared" si="50"/>
        <v>0</v>
      </c>
      <c r="O66" s="12">
        <f t="shared" si="51"/>
        <v>0</v>
      </c>
      <c r="P66" s="13" t="str">
        <f t="shared" si="2"/>
        <v>NO</v>
      </c>
      <c r="Q66">
        <f>IF(D66="INCLUIDO",IF(F66&lt;&gt;0,1,0),0)</f>
        <v>0</v>
      </c>
      <c r="R66">
        <f>IF(I66="%o Al Millar",1000,IF(I66="% Al Porciento",100,IF(I66="$ Prima",G66)))</f>
        <v>1000</v>
      </c>
      <c r="S66">
        <f t="shared" si="36"/>
        <v>1</v>
      </c>
    </row>
    <row r="67" spans="1:19" x14ac:dyDescent="0.3">
      <c r="A67" s="82">
        <v>902</v>
      </c>
      <c r="B67" s="33">
        <v>2</v>
      </c>
      <c r="C67" s="28" t="s">
        <v>1198</v>
      </c>
      <c r="D67" s="28" t="str">
        <f>$D$17</f>
        <v>INCLUIDO</v>
      </c>
      <c r="E67" s="28"/>
      <c r="F67" s="42">
        <f>F41*M12</f>
        <v>582906.21400000004</v>
      </c>
      <c r="G67" s="28"/>
      <c r="H67" s="28"/>
      <c r="I67" s="28"/>
      <c r="J67" s="28"/>
      <c r="K67" s="28"/>
      <c r="L67" s="28"/>
      <c r="M67" s="68">
        <f>M41</f>
        <v>0.1201</v>
      </c>
      <c r="N67" s="28"/>
      <c r="O67" s="83"/>
      <c r="P67" s="13" t="str">
        <f t="shared" si="2"/>
        <v>SI</v>
      </c>
      <c r="Q67" s="47">
        <f>IF(D67="INCLUIDO",IF(F68&lt;&gt;0,1,0),0)</f>
        <v>1</v>
      </c>
      <c r="S67">
        <f t="shared" si="36"/>
        <v>1</v>
      </c>
    </row>
    <row r="68" spans="1:19" x14ac:dyDescent="0.3">
      <c r="A68" s="31" t="s">
        <v>1150</v>
      </c>
      <c r="B68" s="36">
        <v>27</v>
      </c>
      <c r="C68" s="27" t="s">
        <v>1173</v>
      </c>
      <c r="D68" s="27" t="str">
        <f t="shared" si="29"/>
        <v>INCLUIDO</v>
      </c>
      <c r="E68" s="27" t="s">
        <v>1137</v>
      </c>
      <c r="F68" s="9">
        <f>F67*S68</f>
        <v>582906.21400000004</v>
      </c>
      <c r="G68" s="10">
        <f>'COTIZACIÓN M.N.'!E63*75%</f>
        <v>4.1836147500000004E-2</v>
      </c>
      <c r="H68" s="75">
        <f>(((IF(I68="$ Prima",G68,G68*F68/R68))*$U$9)/365)*$J$15</f>
        <v>24.453362814276243</v>
      </c>
      <c r="I68" s="9" t="s">
        <v>1153</v>
      </c>
      <c r="J68" s="9">
        <f>H68*$U$7</f>
        <v>0.5159659553812288</v>
      </c>
      <c r="K68" s="9">
        <f>(H68+J68)*$K$15</f>
        <v>3.9950926031451957</v>
      </c>
      <c r="L68" s="9">
        <f>ROUND(H68+J68+K68,2)</f>
        <v>28.96</v>
      </c>
      <c r="M68" s="11">
        <f>M67</f>
        <v>0.1201</v>
      </c>
      <c r="N68" s="9">
        <f>H68*M68</f>
        <v>2.9368488739945766</v>
      </c>
      <c r="O68" s="12">
        <f>N68</f>
        <v>2.9368488739945766</v>
      </c>
      <c r="P68" s="13" t="str">
        <f t="shared" si="2"/>
        <v>SI</v>
      </c>
      <c r="Q68">
        <f>IF(D68="INCLUIDO",IF(F68&lt;&gt;0,1,0),0)</f>
        <v>1</v>
      </c>
      <c r="R68">
        <f>IF(I68="%o Al Millar",1000,IF(I68="% Al Porciento",100,IF(I68="$ Prima",G68)))</f>
        <v>1000</v>
      </c>
      <c r="S68">
        <f t="shared" si="36"/>
        <v>1</v>
      </c>
    </row>
    <row r="69" spans="1:19" x14ac:dyDescent="0.3">
      <c r="A69" s="82" t="s">
        <v>1162</v>
      </c>
      <c r="B69" s="33">
        <v>2</v>
      </c>
      <c r="C69" s="28" t="s">
        <v>1195</v>
      </c>
      <c r="D69" s="28" t="str">
        <f>$D$17</f>
        <v>INCLUIDO</v>
      </c>
      <c r="E69" s="28"/>
      <c r="F69" s="28"/>
      <c r="G69" s="28"/>
      <c r="H69" s="28"/>
      <c r="I69" s="28"/>
      <c r="J69" s="28"/>
      <c r="K69" s="28"/>
      <c r="L69" s="28"/>
      <c r="M69" s="68">
        <f>M61</f>
        <v>0.05</v>
      </c>
      <c r="N69" s="28"/>
      <c r="O69" s="83"/>
      <c r="P69" s="13" t="str">
        <f t="shared" si="2"/>
        <v>SI</v>
      </c>
      <c r="Q69" s="47">
        <f>IF(D69="INCLUIDO",IF(F70&lt;&gt;0,1,0),0)</f>
        <v>1</v>
      </c>
      <c r="S69">
        <f t="shared" si="36"/>
        <v>1</v>
      </c>
    </row>
    <row r="70" spans="1:19" ht="20.399999999999999" x14ac:dyDescent="0.3">
      <c r="A70" s="31" t="s">
        <v>1164</v>
      </c>
      <c r="B70" s="36">
        <v>44</v>
      </c>
      <c r="C70" s="27" t="s">
        <v>1175</v>
      </c>
      <c r="D70" s="27" t="str">
        <f t="shared" si="29"/>
        <v>INCLUIDO</v>
      </c>
      <c r="E70" s="27" t="s">
        <v>1137</v>
      </c>
      <c r="F70" s="9">
        <f>F67</f>
        <v>582906.21400000004</v>
      </c>
      <c r="G70" s="10">
        <f>'COTIZACIÓN M.N.'!E63*25%</f>
        <v>1.3945382500000001E-2</v>
      </c>
      <c r="H70" s="75">
        <f>(((IF(I70="$ Prima",G70,G70*F70/R70))*$U$9)/365)*$J$15</f>
        <v>8.151120938092081</v>
      </c>
      <c r="I70" s="9" t="s">
        <v>1153</v>
      </c>
      <c r="J70" s="9">
        <f>H70*$U$7</f>
        <v>0.17198865179374292</v>
      </c>
      <c r="K70" s="9">
        <f>(H70+J70)*$K$15</f>
        <v>1.3316975343817319</v>
      </c>
      <c r="L70" s="9">
        <f>ROUND(H70+J70+K70,2)</f>
        <v>9.65</v>
      </c>
      <c r="M70" s="11">
        <f>M69</f>
        <v>0.05</v>
      </c>
      <c r="N70" s="9">
        <f>H70*M70</f>
        <v>0.40755604690460406</v>
      </c>
      <c r="O70" s="12">
        <f>N70</f>
        <v>0.40755604690460406</v>
      </c>
      <c r="P70" s="13" t="str">
        <f t="shared" si="2"/>
        <v>SI</v>
      </c>
      <c r="Q70">
        <f>IF(D70="INCLUIDO",IF(F70&lt;&gt;0,1,0),0)</f>
        <v>1</v>
      </c>
      <c r="R70">
        <f>IF(I70="%o Al Millar",1000,IF(I70="% Al Porciento",100,IF(I70="$ Prima",G70)))</f>
        <v>1000</v>
      </c>
      <c r="S70">
        <f t="shared" si="36"/>
        <v>1</v>
      </c>
    </row>
    <row r="71" spans="1:19" x14ac:dyDescent="0.3">
      <c r="A71" s="82">
        <v>904</v>
      </c>
      <c r="B71" s="33">
        <v>2</v>
      </c>
      <c r="C71" s="28" t="s">
        <v>1197</v>
      </c>
      <c r="D71" s="28" t="str">
        <f>$D$17</f>
        <v>INCLUIDO</v>
      </c>
      <c r="E71" s="28"/>
      <c r="F71" s="28"/>
      <c r="G71" s="28"/>
      <c r="H71" s="28"/>
      <c r="I71" s="28"/>
      <c r="J71" s="28"/>
      <c r="K71" s="28"/>
      <c r="L71" s="28"/>
      <c r="M71" s="68">
        <f>M64</f>
        <v>0.05</v>
      </c>
      <c r="N71" s="28"/>
      <c r="O71" s="83"/>
      <c r="P71" s="13" t="str">
        <f t="shared" si="2"/>
        <v>SI</v>
      </c>
      <c r="Q71" s="47">
        <f>IF(D71="INCLUIDO",IF(F72&lt;&gt;0,1,0),0)</f>
        <v>1</v>
      </c>
      <c r="S71">
        <f t="shared" si="36"/>
        <v>1</v>
      </c>
    </row>
    <row r="72" spans="1:19" ht="20.399999999999999" x14ac:dyDescent="0.3">
      <c r="A72" s="31" t="s">
        <v>1168</v>
      </c>
      <c r="B72" s="36">
        <v>62</v>
      </c>
      <c r="C72" s="27" t="s">
        <v>1199</v>
      </c>
      <c r="D72" s="27" t="str">
        <f t="shared" si="29"/>
        <v>INCLUIDO</v>
      </c>
      <c r="E72" s="27" t="s">
        <v>1137</v>
      </c>
      <c r="F72" s="9">
        <f>F68*S72*O14</f>
        <v>582906.21400000004</v>
      </c>
      <c r="G72" s="10">
        <f>'COTIZACIÓN M.N.'!E64</f>
        <v>2.0000000000000004E-2</v>
      </c>
      <c r="H72" s="75">
        <f>(((IF(I72="$ Prima",G72,G72*F72/R72))*$U$9)/365)*$J$15</f>
        <v>11.690064346520552</v>
      </c>
      <c r="I72" s="9" t="s">
        <v>1153</v>
      </c>
      <c r="J72" s="9">
        <f>H72*$U$7</f>
        <v>0.24666035771158365</v>
      </c>
      <c r="K72" s="9">
        <f>(H72+J72)*$K$15</f>
        <v>1.9098759526771418</v>
      </c>
      <c r="L72" s="9">
        <f>ROUND(H72+J72+K72,2)</f>
        <v>13.85</v>
      </c>
      <c r="M72" s="11">
        <f>M71</f>
        <v>0.05</v>
      </c>
      <c r="N72" s="9">
        <f>H72*M72</f>
        <v>0.58450321732602761</v>
      </c>
      <c r="O72" s="12">
        <f>N72</f>
        <v>0.58450321732602761</v>
      </c>
      <c r="P72" s="13" t="str">
        <f t="shared" si="2"/>
        <v>SI</v>
      </c>
      <c r="Q72">
        <f>IF(D72="INCLUIDO",IF(F72&lt;&gt;0,1,0),0)</f>
        <v>1</v>
      </c>
      <c r="R72">
        <f>IF(I72="%o Al Millar",1000,IF(I72="% Al Porciento",100,IF(I72="$ Prima",G72)))</f>
        <v>1000</v>
      </c>
      <c r="S72">
        <f t="shared" si="36"/>
        <v>1</v>
      </c>
    </row>
    <row r="73" spans="1:19" ht="15" customHeight="1" x14ac:dyDescent="0.3">
      <c r="A73" s="82" t="s">
        <v>1162</v>
      </c>
      <c r="B73" s="33">
        <v>2</v>
      </c>
      <c r="C73" s="28" t="s">
        <v>1195</v>
      </c>
      <c r="D73" s="28" t="str">
        <f>$D$17</f>
        <v>INCLUIDO</v>
      </c>
      <c r="E73" s="28"/>
      <c r="F73" s="28"/>
      <c r="G73" s="28"/>
      <c r="H73" s="28"/>
      <c r="I73" s="28"/>
      <c r="J73" s="28"/>
      <c r="K73" s="28"/>
      <c r="L73" s="28"/>
      <c r="M73" s="68">
        <f>M61</f>
        <v>0.05</v>
      </c>
      <c r="N73" s="28"/>
      <c r="O73" s="83"/>
      <c r="P73" s="13" t="str">
        <f t="shared" si="2"/>
        <v>SI</v>
      </c>
      <c r="Q73" s="47">
        <f>IF(D73="INCLUIDO",IF(F74&lt;&gt;0,1,0),0)</f>
        <v>1</v>
      </c>
      <c r="S73">
        <f t="shared" si="36"/>
        <v>1</v>
      </c>
    </row>
    <row r="74" spans="1:19" ht="22.5" customHeight="1" x14ac:dyDescent="0.3">
      <c r="A74" s="34" t="s">
        <v>1164</v>
      </c>
      <c r="B74" s="36" t="s">
        <v>1200</v>
      </c>
      <c r="C74" s="29" t="s">
        <v>1201</v>
      </c>
      <c r="D74" s="27" t="str">
        <f t="shared" si="29"/>
        <v>INCLUIDO</v>
      </c>
      <c r="E74" s="27" t="s">
        <v>1137</v>
      </c>
      <c r="F74" s="43">
        <f>F55</f>
        <v>3000000</v>
      </c>
      <c r="G74" s="21">
        <v>0</v>
      </c>
      <c r="H74" s="9">
        <f>H55</f>
        <v>0.68869486677705871</v>
      </c>
      <c r="I74" s="9" t="s">
        <v>1153</v>
      </c>
      <c r="J74" s="9">
        <f>H74*$U$7</f>
        <v>1.4531461688995939E-2</v>
      </c>
      <c r="K74" s="9">
        <f>(H74+J74)*$K$15</f>
        <v>0.11251621255456876</v>
      </c>
      <c r="L74" s="9">
        <f>ROUND(H74+J74+K74,2)</f>
        <v>0.82</v>
      </c>
      <c r="M74" s="11">
        <f>M73</f>
        <v>0.05</v>
      </c>
      <c r="N74" s="9">
        <f>H74*M74</f>
        <v>3.4434743338852936E-2</v>
      </c>
      <c r="O74" s="12">
        <f>N74</f>
        <v>3.4434743338852936E-2</v>
      </c>
      <c r="P74" s="13" t="str">
        <f t="shared" si="2"/>
        <v>SI</v>
      </c>
      <c r="Q74">
        <f>IF(D74="INCLUIDO",IF(F74&lt;&gt;0,1,0),0)</f>
        <v>1</v>
      </c>
      <c r="R74">
        <f>IF(I74="%o Al Millar",1000,IF(I74="% Al Porciento",100,IF(I74="$ Prima",G74)))</f>
        <v>1000</v>
      </c>
      <c r="S74">
        <f t="shared" si="36"/>
        <v>1</v>
      </c>
    </row>
    <row r="75" spans="1:19" ht="15" customHeight="1" x14ac:dyDescent="0.3">
      <c r="A75" s="82">
        <v>904</v>
      </c>
      <c r="B75" s="33">
        <v>2</v>
      </c>
      <c r="C75" s="28" t="s">
        <v>1197</v>
      </c>
      <c r="D75" s="28" t="str">
        <f>$D$17</f>
        <v>INCLUIDO</v>
      </c>
      <c r="E75" s="28"/>
      <c r="F75" s="28"/>
      <c r="G75" s="28"/>
      <c r="H75" s="28"/>
      <c r="I75" s="28"/>
      <c r="J75" s="28"/>
      <c r="K75" s="28"/>
      <c r="L75" s="28"/>
      <c r="M75" s="68">
        <f>M64</f>
        <v>0.05</v>
      </c>
      <c r="N75" s="28"/>
      <c r="O75" s="83"/>
      <c r="P75" s="13" t="str">
        <f t="shared" si="2"/>
        <v>SI</v>
      </c>
      <c r="Q75" s="47">
        <f>IF(D75="INCLUIDO",IF(F76&lt;&gt;0,1,0),0)</f>
        <v>1</v>
      </c>
      <c r="S75">
        <f t="shared" si="36"/>
        <v>1</v>
      </c>
    </row>
    <row r="76" spans="1:19" ht="22.5" customHeight="1" x14ac:dyDescent="0.3">
      <c r="A76" s="34" t="s">
        <v>1168</v>
      </c>
      <c r="B76" s="36">
        <v>58</v>
      </c>
      <c r="C76" s="29" t="s">
        <v>1202</v>
      </c>
      <c r="D76" s="27" t="str">
        <f t="shared" si="29"/>
        <v>INCLUIDO</v>
      </c>
      <c r="E76" s="27" t="s">
        <v>1137</v>
      </c>
      <c r="F76" s="43">
        <f>F74</f>
        <v>3000000</v>
      </c>
      <c r="G76" s="10">
        <v>0</v>
      </c>
      <c r="H76" s="9">
        <f>H74</f>
        <v>0.68869486677705871</v>
      </c>
      <c r="I76" s="9" t="s">
        <v>1153</v>
      </c>
      <c r="J76" s="9">
        <f>H76*$U$7</f>
        <v>1.4531461688995939E-2</v>
      </c>
      <c r="K76" s="9">
        <f>(H76+J76)*$K$15</f>
        <v>0.11251621255456876</v>
      </c>
      <c r="L76" s="9">
        <f>ROUND(H76+J76+K76,2)</f>
        <v>0.82</v>
      </c>
      <c r="M76" s="11">
        <f>M75</f>
        <v>0.05</v>
      </c>
      <c r="N76" s="9">
        <f>H76*M76</f>
        <v>3.4434743338852936E-2</v>
      </c>
      <c r="O76" s="12">
        <f>N76</f>
        <v>3.4434743338852936E-2</v>
      </c>
      <c r="P76" s="13" t="str">
        <f t="shared" si="2"/>
        <v>SI</v>
      </c>
      <c r="Q76">
        <f>IF(D76="INCLUIDO",IF(F76&lt;&gt;0,1,0),0)</f>
        <v>1</v>
      </c>
      <c r="R76">
        <f>IF(I76="%o Al Millar",1000,IF(I76="% Al Porciento",100,IF(I76="$ Prima",G76)))</f>
        <v>1000</v>
      </c>
      <c r="S76">
        <f t="shared" si="36"/>
        <v>1</v>
      </c>
    </row>
    <row r="77" spans="1:19" s="18" customFormat="1" x14ac:dyDescent="0.3">
      <c r="A77" s="24"/>
      <c r="B77" s="26"/>
      <c r="C77" s="15" t="s">
        <v>1177</v>
      </c>
      <c r="D77" s="38" t="str">
        <f>D76</f>
        <v>INCLUIDO</v>
      </c>
      <c r="E77" s="38"/>
      <c r="F77" s="16">
        <f>SUMIF(E42:E76,"Adicional",F42:F76)</f>
        <v>0</v>
      </c>
      <c r="G77" s="17"/>
      <c r="H77" s="16">
        <f>SUM(H42:H76)</f>
        <v>2261.2311205881165</v>
      </c>
      <c r="I77" s="16"/>
      <c r="J77" s="16">
        <f>SUM(J42:J76)</f>
        <v>47.711976644409248</v>
      </c>
      <c r="K77" s="16">
        <f>SUM(K42:K76)</f>
        <v>369.43089555720411</v>
      </c>
      <c r="L77" s="16">
        <f>SUM(L42:L76)</f>
        <v>2678.38</v>
      </c>
      <c r="M77" s="16" t="s">
        <v>1178</v>
      </c>
      <c r="N77" s="16">
        <f>SUM(N42:N76)</f>
        <v>177.89566552111157</v>
      </c>
      <c r="O77" s="84">
        <f>SUM(O42:O76)</f>
        <v>177.89566552111157</v>
      </c>
      <c r="P77" s="13" t="str">
        <f t="shared" si="2"/>
        <v>SI</v>
      </c>
      <c r="Q77">
        <f>IF(D77="INCLUIDO",IF(H77&lt;&gt;0,1,0),0)</f>
        <v>1</v>
      </c>
    </row>
    <row r="78" spans="1:19" ht="20.25" hidden="1" customHeight="1" x14ac:dyDescent="0.3">
      <c r="A78" s="82" t="s">
        <v>1147</v>
      </c>
      <c r="B78" s="30" t="s">
        <v>1203</v>
      </c>
      <c r="C78" s="19" t="s">
        <v>1204</v>
      </c>
      <c r="D78" s="28" t="str">
        <f>$D$17</f>
        <v>INCLUIDO</v>
      </c>
      <c r="E78" s="28"/>
      <c r="F78" s="28"/>
      <c r="G78" s="28"/>
      <c r="H78" s="28"/>
      <c r="I78" s="28"/>
      <c r="J78" s="28"/>
      <c r="K78" s="28"/>
      <c r="L78" s="28"/>
      <c r="M78" s="68">
        <f>M41</f>
        <v>0.1201</v>
      </c>
      <c r="N78" s="28"/>
      <c r="O78" s="83"/>
      <c r="P78" s="13" t="str">
        <f t="shared" si="2"/>
        <v>NO</v>
      </c>
      <c r="Q78" s="47">
        <f>IF(D78="INCLUIDO",IF(F79&lt;&gt;0,1,0),0)</f>
        <v>0</v>
      </c>
    </row>
    <row r="79" spans="1:19" ht="15" hidden="1" customHeight="1" x14ac:dyDescent="0.3">
      <c r="A79" s="34" t="s">
        <v>1150</v>
      </c>
      <c r="B79" s="36" t="s">
        <v>1205</v>
      </c>
      <c r="C79" s="29" t="s">
        <v>1206</v>
      </c>
      <c r="D79" s="27" t="str">
        <f t="shared" ref="D79:D98" si="52">$D$17</f>
        <v>INCLUIDO</v>
      </c>
      <c r="E79" s="27" t="s">
        <v>1186</v>
      </c>
      <c r="F79" s="42">
        <v>0</v>
      </c>
      <c r="G79" s="10">
        <v>0</v>
      </c>
      <c r="H79" s="9">
        <f t="shared" ref="H79:H89" si="53">(IF(I79="$ Prima",G79,G79*F79/R79))*$U$9</f>
        <v>0</v>
      </c>
      <c r="I79" s="9" t="s">
        <v>1153</v>
      </c>
      <c r="J79" s="9">
        <f t="shared" ref="J79:J89" si="54">H79*$U$7</f>
        <v>0</v>
      </c>
      <c r="K79" s="9">
        <f t="shared" ref="K79:K89" si="55">(H79+J79)*$K$15</f>
        <v>0</v>
      </c>
      <c r="L79" s="9">
        <f t="shared" ref="L79:L89" si="56">ROUND(H79+J79+K79,2)</f>
        <v>0</v>
      </c>
      <c r="M79" s="11">
        <f>$M$78</f>
        <v>0.1201</v>
      </c>
      <c r="N79" s="9">
        <f t="shared" ref="N79:N89" si="57">H79*M79</f>
        <v>0</v>
      </c>
      <c r="O79" s="12">
        <f t="shared" ref="O79:O89" si="58">N79</f>
        <v>0</v>
      </c>
      <c r="P79" s="13" t="str">
        <f t="shared" si="2"/>
        <v>NO</v>
      </c>
      <c r="Q79">
        <f t="shared" ref="Q79:Q89" si="59">IF(D79="INCLUIDO",IF(F79&lt;&gt;0,1,0),0)</f>
        <v>0</v>
      </c>
      <c r="R79">
        <f t="shared" ref="R79:R89" si="60">IF(I79="%o Al Millar",1000,IF(I79="% Al Porciento",100,IF(I79="$ Prima",G79)))</f>
        <v>1000</v>
      </c>
      <c r="S79">
        <f t="shared" ref="S79:S89" si="61">IF(E79="Excluido",0,IF(D79="NO APLICA",0,1))</f>
        <v>0</v>
      </c>
    </row>
    <row r="80" spans="1:19" ht="15" customHeight="1" x14ac:dyDescent="0.3">
      <c r="A80" s="34" t="s">
        <v>1150</v>
      </c>
      <c r="B80" s="36" t="s">
        <v>1207</v>
      </c>
      <c r="C80" s="29" t="s">
        <v>1208</v>
      </c>
      <c r="D80" s="27" t="str">
        <f t="shared" si="52"/>
        <v>INCLUIDO</v>
      </c>
      <c r="E80" s="27" t="s">
        <v>1137</v>
      </c>
      <c r="F80" s="42">
        <f>VLOOKUP(C15,UBCINEMEX,11,0)</f>
        <v>1577355.3505365564</v>
      </c>
      <c r="G80" s="10">
        <f>'COTIZACIÓN M.N.'!E42</f>
        <v>0.24625224000000001</v>
      </c>
      <c r="H80" s="9">
        <f>(((IF(I80="$ Prima",G80,G80*F80/R80))*$U$9)/365)*$J$15</f>
        <v>389.49147269724403</v>
      </c>
      <c r="I80" s="9" t="s">
        <v>1153</v>
      </c>
      <c r="J80" s="9">
        <f t="shared" si="54"/>
        <v>8.2182700739118495</v>
      </c>
      <c r="K80" s="9">
        <f t="shared" si="55"/>
        <v>63.633558843384947</v>
      </c>
      <c r="L80" s="9">
        <f t="shared" si="56"/>
        <v>461.34</v>
      </c>
      <c r="M80" s="11">
        <f t="shared" ref="M80:M89" si="62">$M$78</f>
        <v>0.1201</v>
      </c>
      <c r="N80" s="9">
        <f t="shared" si="57"/>
        <v>46.777925870939008</v>
      </c>
      <c r="O80" s="12">
        <f t="shared" si="58"/>
        <v>46.777925870939008</v>
      </c>
      <c r="P80" s="13" t="str">
        <f t="shared" si="2"/>
        <v>SI</v>
      </c>
      <c r="Q80">
        <f t="shared" si="59"/>
        <v>1</v>
      </c>
      <c r="R80">
        <f t="shared" si="60"/>
        <v>1000</v>
      </c>
      <c r="S80">
        <f t="shared" si="61"/>
        <v>1</v>
      </c>
    </row>
    <row r="81" spans="1:19" ht="15" hidden="1" customHeight="1" x14ac:dyDescent="0.3">
      <c r="A81" s="34" t="s">
        <v>1150</v>
      </c>
      <c r="B81" s="36" t="s">
        <v>1209</v>
      </c>
      <c r="C81" s="29" t="s">
        <v>1210</v>
      </c>
      <c r="D81" s="27" t="str">
        <f t="shared" si="52"/>
        <v>INCLUIDO</v>
      </c>
      <c r="E81" s="27" t="s">
        <v>1152</v>
      </c>
      <c r="F81" s="42">
        <v>0</v>
      </c>
      <c r="G81" s="10">
        <v>0</v>
      </c>
      <c r="H81" s="9">
        <f t="shared" si="53"/>
        <v>0</v>
      </c>
      <c r="I81" s="9" t="s">
        <v>1153</v>
      </c>
      <c r="J81" s="9">
        <f t="shared" si="54"/>
        <v>0</v>
      </c>
      <c r="K81" s="9">
        <f t="shared" si="55"/>
        <v>0</v>
      </c>
      <c r="L81" s="9">
        <f t="shared" si="56"/>
        <v>0</v>
      </c>
      <c r="M81" s="11">
        <f t="shared" si="62"/>
        <v>0.1201</v>
      </c>
      <c r="N81" s="9">
        <f t="shared" si="57"/>
        <v>0</v>
      </c>
      <c r="O81" s="12">
        <f t="shared" si="58"/>
        <v>0</v>
      </c>
      <c r="P81" s="13" t="str">
        <f t="shared" si="2"/>
        <v>NO</v>
      </c>
      <c r="Q81">
        <f t="shared" si="59"/>
        <v>0</v>
      </c>
      <c r="R81">
        <f t="shared" si="60"/>
        <v>1000</v>
      </c>
      <c r="S81">
        <f t="shared" si="61"/>
        <v>1</v>
      </c>
    </row>
    <row r="82" spans="1:19" ht="22.5" hidden="1" customHeight="1" x14ac:dyDescent="0.3">
      <c r="A82" s="34" t="s">
        <v>1150</v>
      </c>
      <c r="B82" s="36">
        <v>276</v>
      </c>
      <c r="C82" s="29" t="s">
        <v>1211</v>
      </c>
      <c r="D82" s="27" t="str">
        <f t="shared" si="52"/>
        <v>INCLUIDO</v>
      </c>
      <c r="E82" s="27" t="s">
        <v>1186</v>
      </c>
      <c r="F82" s="42">
        <v>0</v>
      </c>
      <c r="G82" s="10">
        <v>0</v>
      </c>
      <c r="H82" s="9">
        <f t="shared" si="53"/>
        <v>0</v>
      </c>
      <c r="I82" s="9" t="s">
        <v>1153</v>
      </c>
      <c r="J82" s="9">
        <f t="shared" si="54"/>
        <v>0</v>
      </c>
      <c r="K82" s="9">
        <f t="shared" si="55"/>
        <v>0</v>
      </c>
      <c r="L82" s="9">
        <f t="shared" si="56"/>
        <v>0</v>
      </c>
      <c r="M82" s="11">
        <f t="shared" si="62"/>
        <v>0.1201</v>
      </c>
      <c r="N82" s="9">
        <f t="shared" si="57"/>
        <v>0</v>
      </c>
      <c r="O82" s="12">
        <f t="shared" si="58"/>
        <v>0</v>
      </c>
      <c r="P82" s="13" t="str">
        <f t="shared" si="2"/>
        <v>NO</v>
      </c>
      <c r="Q82">
        <f t="shared" si="59"/>
        <v>0</v>
      </c>
      <c r="R82">
        <f t="shared" si="60"/>
        <v>1000</v>
      </c>
      <c r="S82">
        <f t="shared" si="61"/>
        <v>0</v>
      </c>
    </row>
    <row r="83" spans="1:19" ht="15" customHeight="1" x14ac:dyDescent="0.3">
      <c r="A83" s="34" t="s">
        <v>1150</v>
      </c>
      <c r="B83" s="36" t="s">
        <v>1212</v>
      </c>
      <c r="C83" s="29" t="s">
        <v>1213</v>
      </c>
      <c r="D83" s="27" t="str">
        <f t="shared" si="52"/>
        <v>INCLUIDO</v>
      </c>
      <c r="E83" s="27" t="s">
        <v>1137</v>
      </c>
      <c r="F83" s="43">
        <f>'COTIZACIÓN M.N.'!D58</f>
        <v>86937199.982531995</v>
      </c>
      <c r="G83" s="10">
        <f>'COTIZACIÓN M.N.'!E58</f>
        <v>0.11240080626426369</v>
      </c>
      <c r="H83" s="9">
        <f>(((IF(I83="$ Prima",G83,G83*F83/R83))*$U$9)/365)*$J$15/'Ubicaciones total (2)'!A366</f>
        <v>26.91918532512608</v>
      </c>
      <c r="I83" s="9" t="s">
        <v>1153</v>
      </c>
      <c r="J83" s="9">
        <f t="shared" si="54"/>
        <v>0.56799481036016031</v>
      </c>
      <c r="K83" s="9">
        <f t="shared" si="55"/>
        <v>4.3979488216777991</v>
      </c>
      <c r="L83" s="9">
        <f t="shared" si="56"/>
        <v>31.89</v>
      </c>
      <c r="M83" s="11">
        <f t="shared" si="62"/>
        <v>0.1201</v>
      </c>
      <c r="N83" s="9">
        <f t="shared" si="57"/>
        <v>3.2329941575476422</v>
      </c>
      <c r="O83" s="12">
        <f t="shared" si="58"/>
        <v>3.2329941575476422</v>
      </c>
      <c r="P83" s="13" t="str">
        <f t="shared" si="2"/>
        <v>SI</v>
      </c>
      <c r="Q83">
        <f t="shared" si="59"/>
        <v>1</v>
      </c>
      <c r="R83">
        <f t="shared" si="60"/>
        <v>1000</v>
      </c>
      <c r="S83">
        <f t="shared" si="61"/>
        <v>1</v>
      </c>
    </row>
    <row r="84" spans="1:19" ht="22.5" hidden="1" customHeight="1" x14ac:dyDescent="0.3">
      <c r="A84" s="34" t="s">
        <v>1150</v>
      </c>
      <c r="B84" s="36" t="s">
        <v>1214</v>
      </c>
      <c r="C84" s="29" t="s">
        <v>1215</v>
      </c>
      <c r="D84" s="27" t="str">
        <f t="shared" si="52"/>
        <v>INCLUIDO</v>
      </c>
      <c r="E84" s="27" t="s">
        <v>1186</v>
      </c>
      <c r="F84" s="43">
        <v>0</v>
      </c>
      <c r="G84" s="10">
        <v>0</v>
      </c>
      <c r="H84" s="9">
        <f t="shared" si="53"/>
        <v>0</v>
      </c>
      <c r="I84" s="9" t="s">
        <v>1153</v>
      </c>
      <c r="J84" s="9">
        <f t="shared" si="54"/>
        <v>0</v>
      </c>
      <c r="K84" s="9">
        <f t="shared" si="55"/>
        <v>0</v>
      </c>
      <c r="L84" s="9">
        <f t="shared" si="56"/>
        <v>0</v>
      </c>
      <c r="M84" s="11">
        <f t="shared" si="62"/>
        <v>0.1201</v>
      </c>
      <c r="N84" s="9">
        <f t="shared" si="57"/>
        <v>0</v>
      </c>
      <c r="O84" s="12">
        <f t="shared" si="58"/>
        <v>0</v>
      </c>
      <c r="P84" s="13" t="str">
        <f t="shared" si="2"/>
        <v>NO</v>
      </c>
      <c r="Q84">
        <f t="shared" si="59"/>
        <v>0</v>
      </c>
      <c r="R84">
        <f t="shared" si="60"/>
        <v>1000</v>
      </c>
      <c r="S84">
        <f t="shared" si="61"/>
        <v>0</v>
      </c>
    </row>
    <row r="85" spans="1:19" ht="15" hidden="1" customHeight="1" x14ac:dyDescent="0.3">
      <c r="A85" s="34" t="s">
        <v>1150</v>
      </c>
      <c r="B85" s="36" t="s">
        <v>1216</v>
      </c>
      <c r="C85" s="29" t="s">
        <v>1217</v>
      </c>
      <c r="D85" s="27" t="str">
        <f t="shared" si="52"/>
        <v>INCLUIDO</v>
      </c>
      <c r="E85" s="27" t="s">
        <v>1186</v>
      </c>
      <c r="F85" s="43">
        <v>0</v>
      </c>
      <c r="G85" s="21">
        <v>0</v>
      </c>
      <c r="H85" s="9">
        <f t="shared" si="53"/>
        <v>0</v>
      </c>
      <c r="I85" s="9" t="s">
        <v>1153</v>
      </c>
      <c r="J85" s="9">
        <f t="shared" si="54"/>
        <v>0</v>
      </c>
      <c r="K85" s="9">
        <f t="shared" si="55"/>
        <v>0</v>
      </c>
      <c r="L85" s="9">
        <f t="shared" si="56"/>
        <v>0</v>
      </c>
      <c r="M85" s="11">
        <f t="shared" si="62"/>
        <v>0.1201</v>
      </c>
      <c r="N85" s="9">
        <f t="shared" si="57"/>
        <v>0</v>
      </c>
      <c r="O85" s="12">
        <f t="shared" si="58"/>
        <v>0</v>
      </c>
      <c r="P85" s="13" t="str">
        <f t="shared" si="2"/>
        <v>NO</v>
      </c>
      <c r="Q85">
        <f t="shared" si="59"/>
        <v>0</v>
      </c>
      <c r="R85">
        <f t="shared" si="60"/>
        <v>1000</v>
      </c>
      <c r="S85">
        <f t="shared" si="61"/>
        <v>0</v>
      </c>
    </row>
    <row r="86" spans="1:19" ht="15" hidden="1" customHeight="1" x14ac:dyDescent="0.3">
      <c r="A86" s="34" t="s">
        <v>1150</v>
      </c>
      <c r="B86" s="36" t="s">
        <v>1218</v>
      </c>
      <c r="C86" s="29" t="s">
        <v>1219</v>
      </c>
      <c r="D86" s="27" t="str">
        <f t="shared" si="52"/>
        <v>INCLUIDO</v>
      </c>
      <c r="E86" s="27" t="s">
        <v>1186</v>
      </c>
      <c r="F86" s="43">
        <v>0</v>
      </c>
      <c r="G86" s="21">
        <v>0</v>
      </c>
      <c r="H86" s="9">
        <f t="shared" si="53"/>
        <v>0</v>
      </c>
      <c r="I86" s="9" t="s">
        <v>1153</v>
      </c>
      <c r="J86" s="9">
        <f t="shared" si="54"/>
        <v>0</v>
      </c>
      <c r="K86" s="9">
        <f t="shared" si="55"/>
        <v>0</v>
      </c>
      <c r="L86" s="9">
        <f t="shared" si="56"/>
        <v>0</v>
      </c>
      <c r="M86" s="11">
        <f t="shared" si="62"/>
        <v>0.1201</v>
      </c>
      <c r="N86" s="9">
        <f t="shared" si="57"/>
        <v>0</v>
      </c>
      <c r="O86" s="12">
        <f t="shared" si="58"/>
        <v>0</v>
      </c>
      <c r="P86" s="13" t="str">
        <f t="shared" si="2"/>
        <v>NO</v>
      </c>
      <c r="Q86">
        <f t="shared" si="59"/>
        <v>0</v>
      </c>
      <c r="R86">
        <f t="shared" si="60"/>
        <v>1000</v>
      </c>
      <c r="S86">
        <f t="shared" si="61"/>
        <v>0</v>
      </c>
    </row>
    <row r="87" spans="1:19" ht="15" hidden="1" customHeight="1" x14ac:dyDescent="0.3">
      <c r="A87" s="34" t="s">
        <v>1150</v>
      </c>
      <c r="B87" s="36">
        <v>277</v>
      </c>
      <c r="C87" s="29" t="s">
        <v>1220</v>
      </c>
      <c r="D87" s="27" t="str">
        <f t="shared" si="52"/>
        <v>INCLUIDO</v>
      </c>
      <c r="E87" s="27" t="s">
        <v>1186</v>
      </c>
      <c r="F87" s="43">
        <v>0</v>
      </c>
      <c r="G87" s="21">
        <v>0</v>
      </c>
      <c r="H87" s="9">
        <f t="shared" si="53"/>
        <v>0</v>
      </c>
      <c r="I87" s="9" t="s">
        <v>1153</v>
      </c>
      <c r="J87" s="9">
        <f t="shared" si="54"/>
        <v>0</v>
      </c>
      <c r="K87" s="9">
        <f t="shared" si="55"/>
        <v>0</v>
      </c>
      <c r="L87" s="9">
        <f t="shared" si="56"/>
        <v>0</v>
      </c>
      <c r="M87" s="11">
        <f t="shared" si="62"/>
        <v>0.1201</v>
      </c>
      <c r="N87" s="9">
        <f t="shared" si="57"/>
        <v>0</v>
      </c>
      <c r="O87" s="12">
        <f t="shared" si="58"/>
        <v>0</v>
      </c>
      <c r="P87" s="13" t="str">
        <f t="shared" si="2"/>
        <v>NO</v>
      </c>
      <c r="Q87">
        <f t="shared" si="59"/>
        <v>0</v>
      </c>
      <c r="R87">
        <f t="shared" si="60"/>
        <v>1000</v>
      </c>
      <c r="S87">
        <f t="shared" si="61"/>
        <v>0</v>
      </c>
    </row>
    <row r="88" spans="1:19" ht="15" hidden="1" customHeight="1" x14ac:dyDescent="0.3">
      <c r="A88" s="34" t="s">
        <v>1150</v>
      </c>
      <c r="B88" s="36">
        <v>278</v>
      </c>
      <c r="C88" s="29" t="s">
        <v>1221</v>
      </c>
      <c r="D88" s="27" t="str">
        <f t="shared" si="52"/>
        <v>INCLUIDO</v>
      </c>
      <c r="E88" s="27" t="s">
        <v>1186</v>
      </c>
      <c r="F88" s="43">
        <v>0</v>
      </c>
      <c r="G88" s="21">
        <v>0</v>
      </c>
      <c r="H88" s="9">
        <f t="shared" si="53"/>
        <v>0</v>
      </c>
      <c r="I88" s="9" t="s">
        <v>1153</v>
      </c>
      <c r="J88" s="9">
        <f t="shared" si="54"/>
        <v>0</v>
      </c>
      <c r="K88" s="9">
        <f t="shared" si="55"/>
        <v>0</v>
      </c>
      <c r="L88" s="9">
        <f t="shared" si="56"/>
        <v>0</v>
      </c>
      <c r="M88" s="11">
        <f t="shared" si="62"/>
        <v>0.1201</v>
      </c>
      <c r="N88" s="9">
        <f t="shared" si="57"/>
        <v>0</v>
      </c>
      <c r="O88" s="12">
        <f t="shared" si="58"/>
        <v>0</v>
      </c>
      <c r="P88" s="13" t="str">
        <f t="shared" si="2"/>
        <v>NO</v>
      </c>
      <c r="Q88">
        <f t="shared" si="59"/>
        <v>0</v>
      </c>
      <c r="R88">
        <f t="shared" si="60"/>
        <v>1000</v>
      </c>
      <c r="S88">
        <f t="shared" si="61"/>
        <v>0</v>
      </c>
    </row>
    <row r="89" spans="1:19" ht="15" hidden="1" customHeight="1" x14ac:dyDescent="0.3">
      <c r="A89" s="34" t="s">
        <v>1150</v>
      </c>
      <c r="B89" s="36">
        <v>279</v>
      </c>
      <c r="C89" s="29" t="s">
        <v>1222</v>
      </c>
      <c r="D89" s="27" t="str">
        <f t="shared" si="52"/>
        <v>INCLUIDO</v>
      </c>
      <c r="E89" s="27" t="s">
        <v>1186</v>
      </c>
      <c r="F89" s="43">
        <v>0</v>
      </c>
      <c r="G89" s="21">
        <v>0</v>
      </c>
      <c r="H89" s="9">
        <f t="shared" si="53"/>
        <v>0</v>
      </c>
      <c r="I89" s="9" t="s">
        <v>1153</v>
      </c>
      <c r="J89" s="9">
        <f t="shared" si="54"/>
        <v>0</v>
      </c>
      <c r="K89" s="9">
        <f t="shared" si="55"/>
        <v>0</v>
      </c>
      <c r="L89" s="9">
        <f t="shared" si="56"/>
        <v>0</v>
      </c>
      <c r="M89" s="11">
        <f t="shared" si="62"/>
        <v>0.1201</v>
      </c>
      <c r="N89" s="9">
        <f t="shared" si="57"/>
        <v>0</v>
      </c>
      <c r="O89" s="12">
        <f t="shared" si="58"/>
        <v>0</v>
      </c>
      <c r="P89" s="13" t="str">
        <f t="shared" si="2"/>
        <v>NO</v>
      </c>
      <c r="Q89">
        <f t="shared" si="59"/>
        <v>0</v>
      </c>
      <c r="R89">
        <f t="shared" si="60"/>
        <v>1000</v>
      </c>
      <c r="S89">
        <f t="shared" si="61"/>
        <v>0</v>
      </c>
    </row>
    <row r="90" spans="1:19" ht="15" customHeight="1" x14ac:dyDescent="0.3">
      <c r="A90" s="82" t="s">
        <v>1162</v>
      </c>
      <c r="B90" s="33">
        <v>3</v>
      </c>
      <c r="C90" s="19" t="s">
        <v>1223</v>
      </c>
      <c r="D90" s="28" t="str">
        <f>$D$17</f>
        <v>INCLUIDO</v>
      </c>
      <c r="E90" s="28"/>
      <c r="F90" s="28"/>
      <c r="G90" s="28"/>
      <c r="H90" s="28"/>
      <c r="I90" s="28"/>
      <c r="J90" s="28"/>
      <c r="K90" s="28"/>
      <c r="L90" s="28"/>
      <c r="M90" s="68">
        <f>M61</f>
        <v>0.05</v>
      </c>
      <c r="N90" s="28"/>
      <c r="O90" s="83"/>
      <c r="P90" s="13" t="str">
        <f t="shared" si="2"/>
        <v>SI</v>
      </c>
      <c r="Q90" s="47">
        <f>IF(D90="INCLUIDO",IF(F91&lt;&gt;0,1,0),0)</f>
        <v>1</v>
      </c>
    </row>
    <row r="91" spans="1:19" ht="22.5" customHeight="1" x14ac:dyDescent="0.3">
      <c r="A91" s="34" t="s">
        <v>1164</v>
      </c>
      <c r="B91" s="36">
        <v>50</v>
      </c>
      <c r="C91" s="29" t="s">
        <v>1224</v>
      </c>
      <c r="D91" s="27" t="str">
        <f t="shared" si="52"/>
        <v>INCLUIDO</v>
      </c>
      <c r="E91" s="27" t="s">
        <v>1137</v>
      </c>
      <c r="F91" s="42">
        <f>F80</f>
        <v>1577355.3505365564</v>
      </c>
      <c r="G91" s="10">
        <f>'COTIZACIÓN M.N.'!E43</f>
        <v>0.2</v>
      </c>
      <c r="H91" s="9">
        <f t="shared" ref="H91" si="63">(((IF(I91="$ Prima",G91,G91*F91/R91))*$U$9)/365)*$J$15</f>
        <v>316.33537440897516</v>
      </c>
      <c r="I91" s="9" t="s">
        <v>1153</v>
      </c>
      <c r="J91" s="9">
        <f t="shared" ref="J91:J94" si="64">H91*$U$7</f>
        <v>6.6746764000293757</v>
      </c>
      <c r="K91" s="9">
        <f t="shared" ref="K91:K94" si="65">(H91+J91)*$K$15</f>
        <v>51.681608129440733</v>
      </c>
      <c r="L91" s="9">
        <f t="shared" ref="L91:L94" si="66">ROUND(H91+J91+K91,2)</f>
        <v>374.69</v>
      </c>
      <c r="M91" s="11">
        <f>$M$90</f>
        <v>0.05</v>
      </c>
      <c r="N91" s="9">
        <f t="shared" ref="N91:N94" si="67">H91*M91</f>
        <v>15.816768720448758</v>
      </c>
      <c r="O91" s="12">
        <f t="shared" ref="O91:O94" si="68">N91</f>
        <v>15.816768720448758</v>
      </c>
      <c r="P91" s="13" t="str">
        <f t="shared" ref="P91:P154" si="69">IF(Q91=1,"SI","NO")</f>
        <v>SI</v>
      </c>
      <c r="Q91">
        <f>IF(D91="INCLUIDO",IF(F91&lt;&gt;0,1,0),0)</f>
        <v>1</v>
      </c>
      <c r="R91">
        <f>IF(I91="%o Al Millar",1000,IF(I91="% Al Porciento",100,IF(I91="$ Prima",G91)))</f>
        <v>1000</v>
      </c>
      <c r="S91">
        <f t="shared" ref="S91:S94" si="70">IF(E91="Excluido",0,IF(D91="NO APLICA",0,1))</f>
        <v>1</v>
      </c>
    </row>
    <row r="92" spans="1:19" ht="22.5" customHeight="1" x14ac:dyDescent="0.3">
      <c r="A92" s="34" t="s">
        <v>1164</v>
      </c>
      <c r="B92" s="36">
        <v>49</v>
      </c>
      <c r="C92" s="29" t="s">
        <v>1225</v>
      </c>
      <c r="D92" s="27" t="str">
        <f t="shared" si="52"/>
        <v>INCLUIDO</v>
      </c>
      <c r="E92" s="27" t="s">
        <v>1137</v>
      </c>
      <c r="F92" s="43">
        <f>'COTIZACIÓN M.N.'!D59</f>
        <v>86937199.982531995</v>
      </c>
      <c r="G92" s="10">
        <f>'COTIZACIÓN M.N.'!E59</f>
        <v>9.1289164528423131E-2</v>
      </c>
      <c r="H92" s="9">
        <f>(((IF(I92="$ Prima",G92,G92*F92/R92))*$U$9)/365)*$J$15/'Ubicaciones total (2)'!A366</f>
        <v>21.863098849477336</v>
      </c>
      <c r="I92" s="9" t="s">
        <v>1153</v>
      </c>
      <c r="J92" s="9">
        <f t="shared" si="64"/>
        <v>0.46131138572397179</v>
      </c>
      <c r="K92" s="9">
        <f t="shared" si="65"/>
        <v>3.5719056376322089</v>
      </c>
      <c r="L92" s="9">
        <f t="shared" si="66"/>
        <v>25.9</v>
      </c>
      <c r="M92" s="11">
        <f t="shared" ref="M92:M94" si="71">$M$90</f>
        <v>0.05</v>
      </c>
      <c r="N92" s="9">
        <f t="shared" si="67"/>
        <v>1.0931549424738669</v>
      </c>
      <c r="O92" s="12">
        <f t="shared" si="68"/>
        <v>1.0931549424738669</v>
      </c>
      <c r="P92" s="13" t="str">
        <f t="shared" si="69"/>
        <v>SI</v>
      </c>
      <c r="Q92">
        <f>IF(D92="INCLUIDO",IF(F92&lt;&gt;0,1,0),0)</f>
        <v>1</v>
      </c>
      <c r="R92">
        <f>IF(I92="%o Al Millar",1000,IF(I92="% Al Porciento",100,IF(I92="$ Prima",G92)))</f>
        <v>1000</v>
      </c>
      <c r="S92">
        <f t="shared" si="70"/>
        <v>1</v>
      </c>
    </row>
    <row r="93" spans="1:19" ht="22.5" hidden="1" customHeight="1" x14ac:dyDescent="0.3">
      <c r="A93" s="34" t="s">
        <v>1164</v>
      </c>
      <c r="B93" s="36">
        <v>48</v>
      </c>
      <c r="C93" s="29" t="s">
        <v>1226</v>
      </c>
      <c r="D93" s="27" t="str">
        <f t="shared" si="52"/>
        <v>INCLUIDO</v>
      </c>
      <c r="E93" s="27" t="s">
        <v>1186</v>
      </c>
      <c r="F93" s="43">
        <v>0</v>
      </c>
      <c r="G93" s="21">
        <v>0</v>
      </c>
      <c r="H93" s="9">
        <f t="shared" ref="H93:H94" si="72">(IF(I93="$ Prima",G93,G93*F93/R93))*$U$9</f>
        <v>0</v>
      </c>
      <c r="I93" s="9" t="s">
        <v>1153</v>
      </c>
      <c r="J93" s="9">
        <f t="shared" si="64"/>
        <v>0</v>
      </c>
      <c r="K93" s="9">
        <f t="shared" si="65"/>
        <v>0</v>
      </c>
      <c r="L93" s="9">
        <f t="shared" si="66"/>
        <v>0</v>
      </c>
      <c r="M93" s="11">
        <f t="shared" si="71"/>
        <v>0.05</v>
      </c>
      <c r="N93" s="9">
        <f t="shared" si="67"/>
        <v>0</v>
      </c>
      <c r="O93" s="12">
        <f t="shared" si="68"/>
        <v>0</v>
      </c>
      <c r="P93" s="13" t="str">
        <f t="shared" si="69"/>
        <v>NO</v>
      </c>
      <c r="Q93">
        <f>IF(D93="INCLUIDO",IF(F93&lt;&gt;0,1,0),0)</f>
        <v>0</v>
      </c>
      <c r="R93">
        <f>IF(I93="%o Al Millar",1000,IF(I93="% Al Porciento",100,IF(I93="$ Prima",G93)))</f>
        <v>1000</v>
      </c>
      <c r="S93">
        <f t="shared" si="70"/>
        <v>0</v>
      </c>
    </row>
    <row r="94" spans="1:19" ht="15" hidden="1" customHeight="1" x14ac:dyDescent="0.3">
      <c r="A94" s="34" t="s">
        <v>1164</v>
      </c>
      <c r="B94" s="36">
        <v>47</v>
      </c>
      <c r="C94" s="29" t="s">
        <v>1227</v>
      </c>
      <c r="D94" s="27" t="str">
        <f t="shared" si="52"/>
        <v>INCLUIDO</v>
      </c>
      <c r="E94" s="27" t="s">
        <v>1186</v>
      </c>
      <c r="F94" s="43">
        <v>0</v>
      </c>
      <c r="G94" s="21">
        <v>0</v>
      </c>
      <c r="H94" s="9">
        <f t="shared" si="72"/>
        <v>0</v>
      </c>
      <c r="I94" s="9" t="s">
        <v>1153</v>
      </c>
      <c r="J94" s="9">
        <f t="shared" si="64"/>
        <v>0</v>
      </c>
      <c r="K94" s="9">
        <f t="shared" si="65"/>
        <v>0</v>
      </c>
      <c r="L94" s="9">
        <f t="shared" si="66"/>
        <v>0</v>
      </c>
      <c r="M94" s="11">
        <f t="shared" si="71"/>
        <v>0.05</v>
      </c>
      <c r="N94" s="9">
        <f t="shared" si="67"/>
        <v>0</v>
      </c>
      <c r="O94" s="12">
        <f t="shared" si="68"/>
        <v>0</v>
      </c>
      <c r="P94" s="13" t="str">
        <f t="shared" si="69"/>
        <v>NO</v>
      </c>
      <c r="Q94">
        <f>IF(D94="INCLUIDO",IF(F94&lt;&gt;0,1,0),0)</f>
        <v>0</v>
      </c>
      <c r="R94">
        <f>IF(I94="%o Al Millar",1000,IF(I94="% Al Porciento",100,IF(I94="$ Prima",G94)))</f>
        <v>1000</v>
      </c>
      <c r="S94">
        <f t="shared" si="70"/>
        <v>0</v>
      </c>
    </row>
    <row r="95" spans="1:19" ht="15" customHeight="1" x14ac:dyDescent="0.3">
      <c r="A95" s="82">
        <v>904</v>
      </c>
      <c r="B95" s="33">
        <v>3</v>
      </c>
      <c r="C95" s="19" t="s">
        <v>1228</v>
      </c>
      <c r="D95" s="28" t="str">
        <f>$D$17</f>
        <v>INCLUIDO</v>
      </c>
      <c r="E95" s="28"/>
      <c r="F95" s="28"/>
      <c r="G95" s="28"/>
      <c r="H95" s="28"/>
      <c r="I95" s="28"/>
      <c r="J95" s="28"/>
      <c r="K95" s="28"/>
      <c r="L95" s="28"/>
      <c r="M95" s="68">
        <f>M64</f>
        <v>0.05</v>
      </c>
      <c r="N95" s="28"/>
      <c r="O95" s="83"/>
      <c r="P95" s="13" t="str">
        <f t="shared" si="69"/>
        <v>SI</v>
      </c>
      <c r="Q95" s="47">
        <f>IF(D95="INCLUIDO",IF(F96&lt;&gt;0,1,0),0)</f>
        <v>1</v>
      </c>
    </row>
    <row r="96" spans="1:19" ht="22.5" customHeight="1" x14ac:dyDescent="0.3">
      <c r="A96" s="34" t="s">
        <v>1168</v>
      </c>
      <c r="B96" s="36">
        <v>68</v>
      </c>
      <c r="C96" s="29" t="s">
        <v>1229</v>
      </c>
      <c r="D96" s="27" t="str">
        <f t="shared" si="52"/>
        <v>INCLUIDO</v>
      </c>
      <c r="E96" s="27" t="s">
        <v>1137</v>
      </c>
      <c r="F96" s="42">
        <f>F80</f>
        <v>1577355.3505365564</v>
      </c>
      <c r="G96" s="10">
        <f>'COTIZACIÓN M.N.'!E44</f>
        <v>0.32000000000000006</v>
      </c>
      <c r="H96" s="9">
        <f t="shared" ref="H96" si="73">(((IF(I96="$ Prima",G96,G96*F96/R96))*$U$9)/365)*$J$15</f>
        <v>506.13659905436032</v>
      </c>
      <c r="I96" s="9" t="s">
        <v>1153</v>
      </c>
      <c r="J96" s="9">
        <f t="shared" ref="J96:J98" si="74">H96*$U$7</f>
        <v>10.679482240047003</v>
      </c>
      <c r="K96" s="9">
        <f t="shared" ref="K96:K98" si="75">(H96+J96)*$K$15</f>
        <v>82.690573007105172</v>
      </c>
      <c r="L96" s="9">
        <f t="shared" ref="L96:L98" si="76">ROUND(H96+J96+K96,2)</f>
        <v>599.51</v>
      </c>
      <c r="M96" s="11">
        <f>$M$95</f>
        <v>0.05</v>
      </c>
      <c r="N96" s="9">
        <f t="shared" ref="N96:N98" si="77">H96*M96</f>
        <v>25.306829952718019</v>
      </c>
      <c r="O96" s="12">
        <f t="shared" ref="O96:O98" si="78">N96</f>
        <v>25.306829952718019</v>
      </c>
      <c r="P96" s="13" t="str">
        <f t="shared" si="69"/>
        <v>SI</v>
      </c>
      <c r="Q96">
        <f>IF(D96="INCLUIDO",IF(F96&lt;&gt;0,1,0),0)</f>
        <v>1</v>
      </c>
      <c r="R96">
        <f>IF(I96="%o Al Millar",1000,IF(I96="% Al Porciento",100,IF(I96="$ Prima",G96)))</f>
        <v>1000</v>
      </c>
      <c r="S96">
        <f t="shared" ref="S96:S98" si="79">IF(E96="Excluido",0,IF(D96="NO APLICA",0,1))</f>
        <v>1</v>
      </c>
    </row>
    <row r="97" spans="1:19" ht="22.5" customHeight="1" x14ac:dyDescent="0.3">
      <c r="A97" s="34" t="s">
        <v>1168</v>
      </c>
      <c r="B97" s="36">
        <v>67</v>
      </c>
      <c r="C97" s="29" t="s">
        <v>1230</v>
      </c>
      <c r="D97" s="27" t="str">
        <f t="shared" si="52"/>
        <v>INCLUIDO</v>
      </c>
      <c r="E97" s="27" t="s">
        <v>1137</v>
      </c>
      <c r="F97" s="43">
        <f>'COTIZACIÓN M.N.'!D60</f>
        <v>86937199.982531995</v>
      </c>
      <c r="G97" s="10">
        <f>'COTIZACIÓN M.N.'!E60</f>
        <v>7.304439852819071E-2</v>
      </c>
      <c r="H97" s="9">
        <f>(((IF(I97="$ Prima",G97,G97*F97/R97))*$U$9)/365)*$J$15/'Ubicaciones total (2)'!A366</f>
        <v>17.493608509531565</v>
      </c>
      <c r="I97" s="9" t="s">
        <v>1153</v>
      </c>
      <c r="J97" s="9">
        <f t="shared" si="74"/>
        <v>0.36911513955111602</v>
      </c>
      <c r="K97" s="9">
        <f t="shared" si="75"/>
        <v>2.8580357838532291</v>
      </c>
      <c r="L97" s="9">
        <f t="shared" si="76"/>
        <v>20.72</v>
      </c>
      <c r="M97" s="11">
        <f t="shared" ref="M97:M98" si="80">$M$95</f>
        <v>0.05</v>
      </c>
      <c r="N97" s="9">
        <f t="shared" si="77"/>
        <v>0.87468042547657832</v>
      </c>
      <c r="O97" s="12">
        <f t="shared" si="78"/>
        <v>0.87468042547657832</v>
      </c>
      <c r="P97" s="13" t="str">
        <f t="shared" si="69"/>
        <v>SI</v>
      </c>
      <c r="Q97">
        <f>IF(D97="INCLUIDO",IF(F97&lt;&gt;0,1,0),0)</f>
        <v>1</v>
      </c>
      <c r="R97">
        <f>IF(I97="%o Al Millar",1000,IF(I97="% Al Porciento",100,IF(I97="$ Prima",G97)))</f>
        <v>1000</v>
      </c>
      <c r="S97">
        <f t="shared" si="79"/>
        <v>1</v>
      </c>
    </row>
    <row r="98" spans="1:19" ht="22.5" hidden="1" customHeight="1" x14ac:dyDescent="0.3">
      <c r="A98" s="34" t="s">
        <v>1168</v>
      </c>
      <c r="B98" s="36">
        <v>65</v>
      </c>
      <c r="C98" s="29" t="s">
        <v>1231</v>
      </c>
      <c r="D98" s="27" t="str">
        <f t="shared" si="52"/>
        <v>INCLUIDO</v>
      </c>
      <c r="E98" s="27" t="s">
        <v>1186</v>
      </c>
      <c r="F98" s="43">
        <v>0</v>
      </c>
      <c r="G98" s="21">
        <v>0</v>
      </c>
      <c r="H98" s="9">
        <f t="shared" ref="H98" si="81">(IF(I98="$ Prima",G98,G98*F98/R98))*$U$9</f>
        <v>0</v>
      </c>
      <c r="I98" s="9" t="s">
        <v>1153</v>
      </c>
      <c r="J98" s="9">
        <f t="shared" si="74"/>
        <v>0</v>
      </c>
      <c r="K98" s="9">
        <f t="shared" si="75"/>
        <v>0</v>
      </c>
      <c r="L98" s="9">
        <f t="shared" si="76"/>
        <v>0</v>
      </c>
      <c r="M98" s="11">
        <f t="shared" si="80"/>
        <v>0.05</v>
      </c>
      <c r="N98" s="9">
        <f t="shared" si="77"/>
        <v>0</v>
      </c>
      <c r="O98" s="12">
        <f t="shared" si="78"/>
        <v>0</v>
      </c>
      <c r="P98" s="13" t="str">
        <f t="shared" si="69"/>
        <v>NO</v>
      </c>
      <c r="Q98">
        <f>IF(D98="INCLUIDO",IF(F98&lt;&gt;0,1,0),0)</f>
        <v>0</v>
      </c>
      <c r="R98">
        <f>IF(I98="%o Al Millar",1000,IF(I98="% Al Porciento",100,IF(I98="$ Prima",G98)))</f>
        <v>1000</v>
      </c>
      <c r="S98">
        <f t="shared" si="79"/>
        <v>0</v>
      </c>
    </row>
    <row r="99" spans="1:19" s="18" customFormat="1" ht="15" customHeight="1" x14ac:dyDescent="0.3">
      <c r="A99" s="24"/>
      <c r="B99" s="26"/>
      <c r="C99" s="15" t="s">
        <v>1177</v>
      </c>
      <c r="D99" s="38" t="str">
        <f>D98</f>
        <v>INCLUIDO</v>
      </c>
      <c r="E99" s="38"/>
      <c r="F99" s="16">
        <f>SUMIF(E79:E98,"Adicional",F79:F98)</f>
        <v>0</v>
      </c>
      <c r="G99" s="17"/>
      <c r="H99" s="16">
        <f>SUM(H79:H98)</f>
        <v>1278.2393388447147</v>
      </c>
      <c r="I99" s="16"/>
      <c r="J99" s="16">
        <f>SUM(J79:J98)</f>
        <v>26.970850049623476</v>
      </c>
      <c r="K99" s="16">
        <f>SUM(K79:K98)</f>
        <v>208.8336302230941</v>
      </c>
      <c r="L99" s="16">
        <f>SUM(L79:L98)</f>
        <v>1514.05</v>
      </c>
      <c r="M99" s="16" t="s">
        <v>1178</v>
      </c>
      <c r="N99" s="16">
        <f>SUM(N79:N98)</f>
        <v>93.102354069603891</v>
      </c>
      <c r="O99" s="84">
        <f>SUM(O79:O98)</f>
        <v>93.102354069603891</v>
      </c>
      <c r="P99" s="13" t="str">
        <f t="shared" si="69"/>
        <v>SI</v>
      </c>
      <c r="Q99">
        <f>IF(D99="INCLUIDO",IF(H99&lt;&gt;0,1,0),0)</f>
        <v>1</v>
      </c>
    </row>
    <row r="100" spans="1:19" ht="15" customHeight="1" x14ac:dyDescent="0.3">
      <c r="A100" s="82">
        <v>905</v>
      </c>
      <c r="B100" s="33">
        <v>1</v>
      </c>
      <c r="C100" s="19" t="s">
        <v>1232</v>
      </c>
      <c r="D100" s="23" t="str">
        <f>'Ramo Comercial'!C130</f>
        <v>INCLUIDO</v>
      </c>
      <c r="E100" s="91"/>
      <c r="F100" s="43">
        <f>'COTIZACIÓN M.N.'!D86</f>
        <v>13000</v>
      </c>
      <c r="G100" s="43">
        <f>'COTIZACIÓN M.N.'!E86/'Ubicaciones total (2)'!A366</f>
        <v>1.3736263736263736E-2</v>
      </c>
      <c r="H100" s="28"/>
      <c r="I100" s="28"/>
      <c r="J100" s="28"/>
      <c r="K100" s="28"/>
      <c r="L100" s="28"/>
      <c r="M100" s="68">
        <v>0.1</v>
      </c>
      <c r="N100" s="28"/>
      <c r="O100" s="83"/>
      <c r="P100" s="13" t="str">
        <f t="shared" si="69"/>
        <v>SI</v>
      </c>
      <c r="Q100" s="48">
        <f>IF(D100="INCLUIDO",IF(F100&lt;&gt;0,1,0),0)</f>
        <v>1</v>
      </c>
      <c r="S100">
        <f t="shared" ref="S100:S102" si="82">IF(E100="Excluido",0,IF(D100="NO APLICA",0,1))</f>
        <v>1</v>
      </c>
    </row>
    <row r="101" spans="1:19" ht="15" customHeight="1" x14ac:dyDescent="0.3">
      <c r="A101" s="34" t="s">
        <v>1233</v>
      </c>
      <c r="B101" s="36">
        <v>71</v>
      </c>
      <c r="C101" s="29" t="s">
        <v>1234</v>
      </c>
      <c r="D101" s="29" t="str">
        <f>$D$100</f>
        <v>INCLUIDO</v>
      </c>
      <c r="E101" s="27" t="s">
        <v>1152</v>
      </c>
      <c r="F101" s="20">
        <f>F100*S101</f>
        <v>13000</v>
      </c>
      <c r="G101" s="21">
        <f>G100</f>
        <v>1.3736263736263736E-2</v>
      </c>
      <c r="H101" s="9">
        <f t="shared" ref="H101" si="83">(((IF(I101="$ Prima",G101,G101*F101/R101))*$U$9)/365)*$J$15</f>
        <v>1.7906066536203522</v>
      </c>
      <c r="I101" s="9" t="s">
        <v>1235</v>
      </c>
      <c r="J101" s="9">
        <f t="shared" ref="J101:J102" si="84">H101*$U$7</f>
        <v>3.7781800391389432E-2</v>
      </c>
      <c r="K101" s="9">
        <f t="shared" ref="K101:K102" si="85">(H101+J101)*$K$15</f>
        <v>0.29254215264187866</v>
      </c>
      <c r="L101" s="9">
        <f t="shared" ref="L101:L102" si="86">ROUND(H101+J101+K101,2)</f>
        <v>2.12</v>
      </c>
      <c r="M101" s="11">
        <f>$M$100</f>
        <v>0.1</v>
      </c>
      <c r="N101" s="9">
        <f t="shared" ref="N101:N102" si="87">H101*M101</f>
        <v>0.17906066536203524</v>
      </c>
      <c r="O101" s="12">
        <f t="shared" ref="O101:O102" si="88">N101</f>
        <v>0.17906066536203524</v>
      </c>
      <c r="P101" s="13" t="str">
        <f t="shared" si="69"/>
        <v>SI</v>
      </c>
      <c r="Q101">
        <f>IF(D101="INCLUIDO",IF(F101&lt;&gt;0,1,0),0)</f>
        <v>1</v>
      </c>
      <c r="R101">
        <f>IF(I101="%o Al Millar",1000,IF(I101="% Al Porciento",100,IF(I101="$ Prima",G101)))</f>
        <v>100</v>
      </c>
      <c r="S101">
        <f t="shared" si="82"/>
        <v>1</v>
      </c>
    </row>
    <row r="102" spans="1:19" ht="15" hidden="1" customHeight="1" x14ac:dyDescent="0.3">
      <c r="A102" s="34" t="s">
        <v>1233</v>
      </c>
      <c r="B102" s="36"/>
      <c r="C102" s="81">
        <f>$O$12</f>
        <v>0</v>
      </c>
      <c r="D102" s="29" t="str">
        <f>$D$100</f>
        <v>INCLUIDO</v>
      </c>
      <c r="E102" s="27" t="s">
        <v>1186</v>
      </c>
      <c r="F102" s="9">
        <f>(F101*$O$12)*S102</f>
        <v>0</v>
      </c>
      <c r="G102" s="10">
        <f>G101*0.35</f>
        <v>4.8076923076923071E-3</v>
      </c>
      <c r="H102" s="9">
        <f t="shared" ref="H102" si="89">(IF(I102="$ Prima",G102,G102*F102/R102))*$U$9</f>
        <v>0</v>
      </c>
      <c r="I102" s="9" t="s">
        <v>1235</v>
      </c>
      <c r="J102" s="9">
        <f t="shared" si="84"/>
        <v>0</v>
      </c>
      <c r="K102" s="9">
        <f t="shared" si="85"/>
        <v>0</v>
      </c>
      <c r="L102" s="9">
        <f t="shared" si="86"/>
        <v>0</v>
      </c>
      <c r="M102" s="11">
        <f>$M$100</f>
        <v>0.1</v>
      </c>
      <c r="N102" s="9">
        <f t="shared" si="87"/>
        <v>0</v>
      </c>
      <c r="O102" s="12">
        <f t="shared" si="88"/>
        <v>0</v>
      </c>
      <c r="P102" s="13" t="str">
        <f t="shared" si="69"/>
        <v>NO</v>
      </c>
      <c r="Q102">
        <f>IF(D102="INCLUIDO",IF(F102&lt;&gt;0,1,0),0)</f>
        <v>0</v>
      </c>
      <c r="R102">
        <f>IF(I102="%o Al Millar",1000,IF(I102="% Al Porciento",100,IF(I102="$ Prima",G102)))</f>
        <v>100</v>
      </c>
      <c r="S102">
        <f t="shared" si="82"/>
        <v>0</v>
      </c>
    </row>
    <row r="103" spans="1:19" s="18" customFormat="1" ht="15" customHeight="1" x14ac:dyDescent="0.3">
      <c r="A103" s="24"/>
      <c r="B103" s="26"/>
      <c r="C103" s="15" t="s">
        <v>1177</v>
      </c>
      <c r="D103" s="38" t="str">
        <f>D102</f>
        <v>INCLUIDO</v>
      </c>
      <c r="E103" s="38"/>
      <c r="F103" s="16">
        <f>SUMIF(E101:E102,"Adicional",F101:F102)</f>
        <v>13000</v>
      </c>
      <c r="G103" s="17"/>
      <c r="H103" s="16">
        <f>SUM(H101:H102)</f>
        <v>1.7906066536203522</v>
      </c>
      <c r="I103" s="16"/>
      <c r="J103" s="16">
        <f t="shared" ref="J103:L103" si="90">SUM(J101:J102)</f>
        <v>3.7781800391389432E-2</v>
      </c>
      <c r="K103" s="16">
        <f t="shared" si="90"/>
        <v>0.29254215264187866</v>
      </c>
      <c r="L103" s="16">
        <f t="shared" si="90"/>
        <v>2.12</v>
      </c>
      <c r="M103" s="16" t="s">
        <v>1178</v>
      </c>
      <c r="N103" s="16">
        <f t="shared" ref="N103:O103" si="91">SUM(N101:N102)</f>
        <v>0.17906066536203524</v>
      </c>
      <c r="O103" s="84">
        <f t="shared" si="91"/>
        <v>0.17906066536203524</v>
      </c>
      <c r="P103" s="13" t="str">
        <f t="shared" si="69"/>
        <v>SI</v>
      </c>
      <c r="Q103">
        <f>IF(D103="INCLUIDO",IF(H103&lt;&gt;0,1,0),0)</f>
        <v>1</v>
      </c>
    </row>
    <row r="104" spans="1:19" ht="15" hidden="1" customHeight="1" x14ac:dyDescent="0.3">
      <c r="A104" s="82">
        <v>905</v>
      </c>
      <c r="B104" s="33">
        <v>2</v>
      </c>
      <c r="C104" s="19" t="s">
        <v>1236</v>
      </c>
      <c r="D104" s="23" t="str">
        <f>$D$100</f>
        <v>INCLUIDO</v>
      </c>
      <c r="E104" s="91"/>
      <c r="F104" s="43">
        <v>0</v>
      </c>
      <c r="G104" s="43">
        <v>0</v>
      </c>
      <c r="H104" s="28"/>
      <c r="I104" s="28"/>
      <c r="J104" s="28"/>
      <c r="K104" s="28"/>
      <c r="L104" s="28"/>
      <c r="M104" s="68">
        <v>0</v>
      </c>
      <c r="N104" s="28"/>
      <c r="O104" s="83"/>
      <c r="P104" s="13" t="str">
        <f t="shared" si="69"/>
        <v>NO</v>
      </c>
      <c r="Q104" s="48">
        <f>IF(D104="INCLUIDO",IF(F104&lt;&gt;0,1,0),0)</f>
        <v>0</v>
      </c>
    </row>
    <row r="105" spans="1:19" ht="15" hidden="1" customHeight="1" x14ac:dyDescent="0.3">
      <c r="A105" s="34" t="s">
        <v>1233</v>
      </c>
      <c r="B105" s="36">
        <v>73</v>
      </c>
      <c r="C105" s="29" t="s">
        <v>1234</v>
      </c>
      <c r="D105" s="29" t="str">
        <f>$D$100</f>
        <v>INCLUIDO</v>
      </c>
      <c r="E105" s="27" t="s">
        <v>1186</v>
      </c>
      <c r="F105" s="20">
        <f>F104*S105</f>
        <v>0</v>
      </c>
      <c r="G105" s="21">
        <v>0</v>
      </c>
      <c r="H105" s="9">
        <f t="shared" ref="H105:H106" si="92">(IF(I105="$ Prima",G105,G105*F105/R105))*$U$9</f>
        <v>0</v>
      </c>
      <c r="I105" s="9" t="s">
        <v>1235</v>
      </c>
      <c r="J105" s="9">
        <f t="shared" ref="J105:J106" si="93">H105*$U$7</f>
        <v>0</v>
      </c>
      <c r="K105" s="9">
        <f t="shared" ref="K105:K106" si="94">(H105+J105)*$K$15</f>
        <v>0</v>
      </c>
      <c r="L105" s="9">
        <f t="shared" ref="L105:L106" si="95">ROUND(H105+J105+K105,2)</f>
        <v>0</v>
      </c>
      <c r="M105" s="11">
        <v>0</v>
      </c>
      <c r="N105" s="9">
        <f t="shared" ref="N105:N106" si="96">H105*M105</f>
        <v>0</v>
      </c>
      <c r="O105" s="12">
        <f t="shared" ref="O105:O106" si="97">N105</f>
        <v>0</v>
      </c>
      <c r="P105" s="13" t="str">
        <f t="shared" si="69"/>
        <v>NO</v>
      </c>
      <c r="Q105">
        <f>IF(D105="INCLUIDO",IF(F105&lt;&gt;0,1,0),0)</f>
        <v>0</v>
      </c>
      <c r="R105">
        <f>IF(I105="%o Al Millar",1000,IF(I105="% Al Porciento",100,IF(I105="$ Prima",G105)))</f>
        <v>100</v>
      </c>
      <c r="S105">
        <f t="shared" ref="S105:S106" si="98">IF(E105="Excluido",0,IF(D105="NO APLICA",0,1))</f>
        <v>0</v>
      </c>
    </row>
    <row r="106" spans="1:19" ht="15" hidden="1" customHeight="1" x14ac:dyDescent="0.3">
      <c r="A106" s="34" t="s">
        <v>1233</v>
      </c>
      <c r="B106" s="36"/>
      <c r="C106" s="81">
        <f>$O$12</f>
        <v>0</v>
      </c>
      <c r="D106" s="29" t="str">
        <f>$D$100</f>
        <v>INCLUIDO</v>
      </c>
      <c r="E106" s="27" t="str">
        <f>E105</f>
        <v>Excluido</v>
      </c>
      <c r="F106" s="9">
        <f>(F105*$O$12)*S106</f>
        <v>0</v>
      </c>
      <c r="G106" s="10">
        <f>G105*0.35</f>
        <v>0</v>
      </c>
      <c r="H106" s="9">
        <f t="shared" si="92"/>
        <v>0</v>
      </c>
      <c r="I106" s="9" t="s">
        <v>1235</v>
      </c>
      <c r="J106" s="9">
        <f t="shared" si="93"/>
        <v>0</v>
      </c>
      <c r="K106" s="9">
        <f t="shared" si="94"/>
        <v>0</v>
      </c>
      <c r="L106" s="9">
        <f t="shared" si="95"/>
        <v>0</v>
      </c>
      <c r="M106" s="11">
        <v>0</v>
      </c>
      <c r="N106" s="9">
        <f t="shared" si="96"/>
        <v>0</v>
      </c>
      <c r="O106" s="12">
        <f t="shared" si="97"/>
        <v>0</v>
      </c>
      <c r="P106" s="13" t="str">
        <f t="shared" si="69"/>
        <v>NO</v>
      </c>
      <c r="Q106">
        <f>IF(D106="INCLUIDO",IF(F106&lt;&gt;0,1,0),0)</f>
        <v>0</v>
      </c>
      <c r="R106">
        <f>IF(I106="%o Al Millar",1000,IF(I106="% Al Porciento",100,IF(I106="$ Prima",G106)))</f>
        <v>100</v>
      </c>
      <c r="S106">
        <f t="shared" si="98"/>
        <v>0</v>
      </c>
    </row>
    <row r="107" spans="1:19" s="18" customFormat="1" ht="15" hidden="1" customHeight="1" x14ac:dyDescent="0.3">
      <c r="A107" s="24"/>
      <c r="B107" s="26"/>
      <c r="C107" s="15" t="s">
        <v>1177</v>
      </c>
      <c r="D107" s="38" t="str">
        <f>D106</f>
        <v>INCLUIDO</v>
      </c>
      <c r="E107" s="38"/>
      <c r="F107" s="16">
        <f>SUMIF(E105:E106,"Adicional",F105:F106)</f>
        <v>0</v>
      </c>
      <c r="G107" s="17"/>
      <c r="H107" s="16">
        <f>SUM(H105:H106)</f>
        <v>0</v>
      </c>
      <c r="I107" s="16"/>
      <c r="J107" s="16">
        <f t="shared" ref="J107:L107" si="99">SUM(J105:J106)</f>
        <v>0</v>
      </c>
      <c r="K107" s="16">
        <f t="shared" si="99"/>
        <v>0</v>
      </c>
      <c r="L107" s="16">
        <f t="shared" si="99"/>
        <v>0</v>
      </c>
      <c r="M107" s="16" t="s">
        <v>1178</v>
      </c>
      <c r="N107" s="16">
        <f t="shared" ref="N107:O107" si="100">SUM(N105:N106)</f>
        <v>0</v>
      </c>
      <c r="O107" s="84">
        <f t="shared" si="100"/>
        <v>0</v>
      </c>
      <c r="P107" s="13" t="str">
        <f t="shared" si="69"/>
        <v>NO</v>
      </c>
      <c r="Q107">
        <f>IF(D107="INCLUIDO",IF(H107&lt;&gt;0,1,0),0)</f>
        <v>0</v>
      </c>
    </row>
    <row r="108" spans="1:19" ht="15" hidden="1" customHeight="1" x14ac:dyDescent="0.3">
      <c r="A108" s="82">
        <v>905</v>
      </c>
      <c r="B108" s="33">
        <v>3</v>
      </c>
      <c r="C108" s="19" t="s">
        <v>1237</v>
      </c>
      <c r="D108" s="23" t="str">
        <f>$D$100</f>
        <v>INCLUIDO</v>
      </c>
      <c r="E108" s="91"/>
      <c r="F108" s="43">
        <v>0</v>
      </c>
      <c r="G108" s="43">
        <v>0</v>
      </c>
      <c r="H108" s="28"/>
      <c r="I108" s="28"/>
      <c r="J108" s="28"/>
      <c r="K108" s="28"/>
      <c r="L108" s="28"/>
      <c r="M108" s="68">
        <v>0</v>
      </c>
      <c r="N108" s="28"/>
      <c r="O108" s="83"/>
      <c r="P108" s="13" t="str">
        <f t="shared" si="69"/>
        <v>NO</v>
      </c>
      <c r="Q108" s="48">
        <f>IF(D108="INCLUIDO",IF(F108&lt;&gt;0,1,0),0)</f>
        <v>0</v>
      </c>
    </row>
    <row r="109" spans="1:19" ht="15" hidden="1" customHeight="1" x14ac:dyDescent="0.3">
      <c r="A109" s="34" t="s">
        <v>1233</v>
      </c>
      <c r="B109" s="36">
        <v>74</v>
      </c>
      <c r="C109" s="29" t="s">
        <v>1237</v>
      </c>
      <c r="D109" s="29" t="str">
        <f>$D$100</f>
        <v>INCLUIDO</v>
      </c>
      <c r="E109" s="27" t="s">
        <v>1186</v>
      </c>
      <c r="F109" s="20">
        <f>F108*S109</f>
        <v>0</v>
      </c>
      <c r="G109" s="21">
        <v>0</v>
      </c>
      <c r="H109" s="9">
        <f t="shared" ref="H109:H110" si="101">(IF(I109="$ Prima",G109,G109*F109/R109))*$U$9</f>
        <v>0</v>
      </c>
      <c r="I109" s="9" t="s">
        <v>1235</v>
      </c>
      <c r="J109" s="9">
        <f t="shared" ref="J109:J110" si="102">H109*$U$7</f>
        <v>0</v>
      </c>
      <c r="K109" s="9">
        <f t="shared" ref="K109:K110" si="103">(H109+J109)*$K$15</f>
        <v>0</v>
      </c>
      <c r="L109" s="9">
        <f t="shared" ref="L109:L110" si="104">ROUND(H109+J109+K109,2)</f>
        <v>0</v>
      </c>
      <c r="M109" s="11">
        <f>$M$108</f>
        <v>0</v>
      </c>
      <c r="N109" s="9">
        <f t="shared" ref="N109:N110" si="105">H109*M109</f>
        <v>0</v>
      </c>
      <c r="O109" s="12">
        <f t="shared" ref="O109:O110" si="106">N109</f>
        <v>0</v>
      </c>
      <c r="P109" s="13" t="str">
        <f t="shared" si="69"/>
        <v>NO</v>
      </c>
      <c r="Q109">
        <f>IF(D109="INCLUIDO",IF(F109&lt;&gt;0,1,0),0)</f>
        <v>0</v>
      </c>
      <c r="R109">
        <f>IF(I109="%o Al Millar",1000,IF(I109="% Al Porciento",100,IF(I109="$ Prima",G109)))</f>
        <v>100</v>
      </c>
      <c r="S109">
        <f t="shared" ref="S109:S110" si="107">IF(E109="Excluido",0,IF(D109="NO APLICA",0,1))</f>
        <v>0</v>
      </c>
    </row>
    <row r="110" spans="1:19" ht="15" hidden="1" customHeight="1" x14ac:dyDescent="0.3">
      <c r="A110" s="34" t="s">
        <v>1233</v>
      </c>
      <c r="B110" s="36"/>
      <c r="C110" s="81">
        <f>$O$12</f>
        <v>0</v>
      </c>
      <c r="D110" s="29" t="str">
        <f>$D$100</f>
        <v>INCLUIDO</v>
      </c>
      <c r="E110" s="27" t="str">
        <f>E109</f>
        <v>Excluido</v>
      </c>
      <c r="F110" s="9">
        <f>(F109*$O$12)*S110</f>
        <v>0</v>
      </c>
      <c r="G110" s="10">
        <f>G109*0.35</f>
        <v>0</v>
      </c>
      <c r="H110" s="9">
        <f t="shared" si="101"/>
        <v>0</v>
      </c>
      <c r="I110" s="9" t="s">
        <v>1235</v>
      </c>
      <c r="J110" s="9">
        <f t="shared" si="102"/>
        <v>0</v>
      </c>
      <c r="K110" s="9">
        <f t="shared" si="103"/>
        <v>0</v>
      </c>
      <c r="L110" s="9">
        <f t="shared" si="104"/>
        <v>0</v>
      </c>
      <c r="M110" s="11">
        <f>$M$108</f>
        <v>0</v>
      </c>
      <c r="N110" s="9">
        <f t="shared" si="105"/>
        <v>0</v>
      </c>
      <c r="O110" s="12">
        <f t="shared" si="106"/>
        <v>0</v>
      </c>
      <c r="P110" s="13" t="str">
        <f t="shared" si="69"/>
        <v>NO</v>
      </c>
      <c r="Q110">
        <f>IF(D110="INCLUIDO",IF(F110&lt;&gt;0,1,0),0)</f>
        <v>0</v>
      </c>
      <c r="R110">
        <f>IF(I110="%o Al Millar",1000,IF(I110="% Al Porciento",100,IF(I110="$ Prima",G110)))</f>
        <v>100</v>
      </c>
      <c r="S110">
        <f t="shared" si="107"/>
        <v>0</v>
      </c>
    </row>
    <row r="111" spans="1:19" s="18" customFormat="1" ht="15" hidden="1" customHeight="1" x14ac:dyDescent="0.3">
      <c r="A111" s="24"/>
      <c r="B111" s="26"/>
      <c r="C111" s="15" t="s">
        <v>1177</v>
      </c>
      <c r="D111" s="38" t="str">
        <f>D110</f>
        <v>INCLUIDO</v>
      </c>
      <c r="E111" s="38"/>
      <c r="F111" s="16">
        <f>SUMIF(E109:E110,"Adicional",F109:F110)</f>
        <v>0</v>
      </c>
      <c r="G111" s="17"/>
      <c r="H111" s="16">
        <f>SUM(H109:H110)</f>
        <v>0</v>
      </c>
      <c r="I111" s="16"/>
      <c r="J111" s="16">
        <f t="shared" ref="J111:L111" si="108">SUM(J109:J110)</f>
        <v>0</v>
      </c>
      <c r="K111" s="16">
        <f t="shared" si="108"/>
        <v>0</v>
      </c>
      <c r="L111" s="16">
        <f t="shared" si="108"/>
        <v>0</v>
      </c>
      <c r="M111" s="16" t="s">
        <v>1178</v>
      </c>
      <c r="N111" s="16">
        <f t="shared" ref="N111:O111" si="109">SUM(N109:N110)</f>
        <v>0</v>
      </c>
      <c r="O111" s="84">
        <f t="shared" si="109"/>
        <v>0</v>
      </c>
      <c r="P111" s="13" t="str">
        <f t="shared" si="69"/>
        <v>NO</v>
      </c>
      <c r="Q111">
        <f>IF(D111="INCLUIDO",IF(H111&lt;&gt;0,1,0),0)</f>
        <v>0</v>
      </c>
    </row>
    <row r="112" spans="1:19" ht="15" customHeight="1" x14ac:dyDescent="0.3">
      <c r="A112" s="82">
        <v>905</v>
      </c>
      <c r="B112" s="33">
        <v>4</v>
      </c>
      <c r="C112" s="19" t="s">
        <v>1238</v>
      </c>
      <c r="D112" s="23" t="str">
        <f>$D$100</f>
        <v>INCLUIDO</v>
      </c>
      <c r="E112" s="91"/>
      <c r="F112" s="43">
        <f>'COTIZACIÓN M.N.'!D89</f>
        <v>13000</v>
      </c>
      <c r="G112" s="43">
        <f>'COTIZACIÓN M.N.'!E89/'Ubicaciones total (2)'!A366</f>
        <v>1.098901098901099E-2</v>
      </c>
      <c r="H112" s="28"/>
      <c r="I112" s="28"/>
      <c r="J112" s="28"/>
      <c r="K112" s="28"/>
      <c r="L112" s="28"/>
      <c r="M112" s="68">
        <f>M100</f>
        <v>0.1</v>
      </c>
      <c r="N112" s="28"/>
      <c r="O112" s="83"/>
      <c r="P112" s="13" t="str">
        <f t="shared" si="69"/>
        <v>SI</v>
      </c>
      <c r="Q112" s="48">
        <f>IF(D112="INCLUIDO",IF(F112&lt;&gt;0,1,0),0)</f>
        <v>1</v>
      </c>
    </row>
    <row r="113" spans="1:22" ht="15" customHeight="1" x14ac:dyDescent="0.3">
      <c r="A113" s="34" t="s">
        <v>1233</v>
      </c>
      <c r="B113" s="36">
        <v>76</v>
      </c>
      <c r="C113" s="29" t="s">
        <v>1237</v>
      </c>
      <c r="D113" s="29" t="str">
        <f>$D$100</f>
        <v>INCLUIDO</v>
      </c>
      <c r="E113" s="27" t="s">
        <v>1152</v>
      </c>
      <c r="F113" s="20">
        <f>F112*S113</f>
        <v>13000</v>
      </c>
      <c r="G113" s="21">
        <f>G112</f>
        <v>1.098901098901099E-2</v>
      </c>
      <c r="H113" s="9">
        <f t="shared" ref="H113:H114" si="110">(IF(I113="$ Prima",G113,G113*F113/R113))*$U$9</f>
        <v>1.4285714285714286</v>
      </c>
      <c r="I113" s="9" t="s">
        <v>1235</v>
      </c>
      <c r="J113" s="9">
        <f t="shared" ref="J113:J114" si="111">H113*$U$7</f>
        <v>3.0142857142857145E-2</v>
      </c>
      <c r="K113" s="9">
        <f t="shared" ref="K113:K114" si="112">(H113+J113)*$K$15</f>
        <v>0.23339428571428575</v>
      </c>
      <c r="L113" s="9">
        <f t="shared" ref="L113:L114" si="113">ROUND(H113+J113+K113,2)</f>
        <v>1.69</v>
      </c>
      <c r="M113" s="11">
        <f>$M$112</f>
        <v>0.1</v>
      </c>
      <c r="N113" s="9">
        <f t="shared" ref="N113:N114" si="114">H113*M113</f>
        <v>0.14285714285714288</v>
      </c>
      <c r="O113" s="12">
        <f t="shared" ref="O113:O114" si="115">N113</f>
        <v>0.14285714285714288</v>
      </c>
      <c r="P113" s="13" t="str">
        <f t="shared" si="69"/>
        <v>SI</v>
      </c>
      <c r="Q113">
        <f>IF(D113="INCLUIDO",IF(F113&lt;&gt;0,1,0),0)</f>
        <v>1</v>
      </c>
      <c r="R113">
        <f>IF(I113="%o Al Millar",1000,IF(I113="% Al Porciento",100,IF(I113="$ Prima",G113)))</f>
        <v>100</v>
      </c>
      <c r="S113">
        <f t="shared" ref="S113:S114" si="116">IF(E113="Excluido",0,IF(D113="NO APLICA",0,1))</f>
        <v>1</v>
      </c>
    </row>
    <row r="114" spans="1:22" ht="15" hidden="1" customHeight="1" x14ac:dyDescent="0.3">
      <c r="A114" s="34" t="s">
        <v>1233</v>
      </c>
      <c r="B114" s="36"/>
      <c r="C114" s="81">
        <f>$O$12</f>
        <v>0</v>
      </c>
      <c r="D114" s="29" t="str">
        <f>$D$100</f>
        <v>INCLUIDO</v>
      </c>
      <c r="E114" s="27" t="str">
        <f>E113</f>
        <v>Adicional</v>
      </c>
      <c r="F114" s="9">
        <f>(F113*$O$12)*S114</f>
        <v>0</v>
      </c>
      <c r="G114" s="10">
        <f>G113*0.35</f>
        <v>3.8461538461538464E-3</v>
      </c>
      <c r="H114" s="9">
        <f t="shared" si="110"/>
        <v>0</v>
      </c>
      <c r="I114" s="9" t="s">
        <v>1235</v>
      </c>
      <c r="J114" s="9">
        <f t="shared" si="111"/>
        <v>0</v>
      </c>
      <c r="K114" s="9">
        <f t="shared" si="112"/>
        <v>0</v>
      </c>
      <c r="L114" s="9">
        <f t="shared" si="113"/>
        <v>0</v>
      </c>
      <c r="M114" s="11">
        <f>$M$112</f>
        <v>0.1</v>
      </c>
      <c r="N114" s="9">
        <f t="shared" si="114"/>
        <v>0</v>
      </c>
      <c r="O114" s="12">
        <f t="shared" si="115"/>
        <v>0</v>
      </c>
      <c r="P114" s="13" t="str">
        <f t="shared" si="69"/>
        <v>NO</v>
      </c>
      <c r="Q114">
        <f>IF(D114="INCLUIDO",IF(F114&lt;&gt;0,1,0),0)</f>
        <v>0</v>
      </c>
      <c r="R114">
        <f>IF(I114="%o Al Millar",1000,IF(I114="% Al Porciento",100,IF(I114="$ Prima",G114)))</f>
        <v>100</v>
      </c>
      <c r="S114">
        <f t="shared" si="116"/>
        <v>1</v>
      </c>
    </row>
    <row r="115" spans="1:22" s="18" customFormat="1" ht="15" customHeight="1" thickBot="1" x14ac:dyDescent="0.35">
      <c r="A115" s="24"/>
      <c r="B115" s="26"/>
      <c r="C115" s="15" t="s">
        <v>1177</v>
      </c>
      <c r="D115" s="38" t="str">
        <f>D114</f>
        <v>INCLUIDO</v>
      </c>
      <c r="E115" s="38"/>
      <c r="F115" s="16">
        <f>SUMIF(E113:E114,"Adicional",F113:F114)</f>
        <v>13000</v>
      </c>
      <c r="G115" s="17"/>
      <c r="H115" s="16">
        <f>SUM(H113:H114)</f>
        <v>1.4285714285714286</v>
      </c>
      <c r="I115" s="16"/>
      <c r="J115" s="16">
        <f t="shared" ref="J115:L115" si="117">SUM(J113:J114)</f>
        <v>3.0142857142857145E-2</v>
      </c>
      <c r="K115" s="16">
        <f t="shared" si="117"/>
        <v>0.23339428571428575</v>
      </c>
      <c r="L115" s="16">
        <f t="shared" si="117"/>
        <v>1.69</v>
      </c>
      <c r="M115" s="16" t="s">
        <v>1178</v>
      </c>
      <c r="N115" s="16">
        <f t="shared" ref="N115:O115" si="118">SUM(N113:N114)</f>
        <v>0.14285714285714288</v>
      </c>
      <c r="O115" s="84">
        <f t="shared" si="118"/>
        <v>0.14285714285714288</v>
      </c>
      <c r="P115" s="13" t="str">
        <f t="shared" si="69"/>
        <v>SI</v>
      </c>
      <c r="Q115">
        <f>IF(D115="INCLUIDO",IF(H115&lt;&gt;0,1,0),0)</f>
        <v>1</v>
      </c>
    </row>
    <row r="116" spans="1:22" ht="15" thickBot="1" x14ac:dyDescent="0.35">
      <c r="A116" s="82">
        <v>905</v>
      </c>
      <c r="B116" s="33">
        <v>5</v>
      </c>
      <c r="C116" s="19" t="s">
        <v>1239</v>
      </c>
      <c r="D116" s="23" t="str">
        <f>$D$100</f>
        <v>INCLUIDO</v>
      </c>
      <c r="E116" s="91"/>
      <c r="F116" s="132">
        <f>'COTIZACIÓN M.N.'!D85</f>
        <v>270000</v>
      </c>
      <c r="G116" s="132">
        <f>'COTIZACIÓN M.N.'!E85/'Ubicaciones total (2)'!A366</f>
        <v>6.3945054945054938E-3</v>
      </c>
      <c r="H116" s="28"/>
      <c r="I116" s="28"/>
      <c r="J116" s="28"/>
      <c r="K116" s="28"/>
      <c r="L116" s="28"/>
      <c r="M116" s="68">
        <f>M100</f>
        <v>0.1</v>
      </c>
      <c r="N116" s="28"/>
      <c r="O116" s="83"/>
      <c r="P116" s="13" t="str">
        <f t="shared" si="69"/>
        <v>SI</v>
      </c>
      <c r="Q116" s="48">
        <f t="shared" ref="Q116:Q121" si="119">IF(D116="INCLUIDO",IF(F116&lt;&gt;0,1,0),0)</f>
        <v>1</v>
      </c>
      <c r="T116" s="142">
        <f>G116</f>
        <v>6.3945054945054938E-3</v>
      </c>
    </row>
    <row r="117" spans="1:22" x14ac:dyDescent="0.3">
      <c r="A117" s="34" t="s">
        <v>1233</v>
      </c>
      <c r="B117" s="36">
        <v>82</v>
      </c>
      <c r="C117" s="29" t="s">
        <v>1240</v>
      </c>
      <c r="D117" s="29" t="str">
        <f>$D$100</f>
        <v>INCLUIDO</v>
      </c>
      <c r="E117" s="27" t="s">
        <v>1152</v>
      </c>
      <c r="F117" s="20">
        <f>$F$116*S117</f>
        <v>270000</v>
      </c>
      <c r="G117" s="21">
        <f>V117</f>
        <v>2.557802197802197E-3</v>
      </c>
      <c r="H117" s="9">
        <f t="shared" ref="H117:H119" si="120">(((IF(I117="$ Prima",G117,G117*F117/R117))*$U$9)/365)*$J$15</f>
        <v>6.9249866626524144</v>
      </c>
      <c r="I117" s="9" t="s">
        <v>1235</v>
      </c>
      <c r="J117" s="9">
        <f t="shared" ref="J117:J121" si="121">H117*$U$7</f>
        <v>0.14611721858196594</v>
      </c>
      <c r="K117" s="9">
        <f t="shared" ref="K117:K121" si="122">(H117+J117)*$K$15</f>
        <v>1.1313766209975009</v>
      </c>
      <c r="L117" s="9">
        <f t="shared" ref="L117:L121" si="123">ROUND(H117+J117+K117,2)</f>
        <v>8.1999999999999993</v>
      </c>
      <c r="M117" s="11">
        <f>$M$116</f>
        <v>0.1</v>
      </c>
      <c r="N117" s="9">
        <f t="shared" ref="N117:N121" si="124">H117*M117</f>
        <v>0.69249866626524148</v>
      </c>
      <c r="O117" s="12">
        <f t="shared" ref="O117:O121" si="125">N117</f>
        <v>0.69249866626524148</v>
      </c>
      <c r="P117" s="13" t="str">
        <f t="shared" si="69"/>
        <v>SI</v>
      </c>
      <c r="Q117">
        <f t="shared" si="119"/>
        <v>1</v>
      </c>
      <c r="R117">
        <f>IF(I117="%o Al Millar",1000,IF(I117="% Al Porciento",100,IF(I117="$ Prima",G117)))</f>
        <v>100</v>
      </c>
      <c r="S117">
        <f t="shared" ref="S117:S121" si="126">IF(E117="Excluido",0,IF(D117="NO APLICA",0,1))</f>
        <v>1</v>
      </c>
      <c r="T117" s="110">
        <v>0.4</v>
      </c>
      <c r="U117" s="111">
        <f>IF(E117="Excluido",0,$T$116*T117)</f>
        <v>2.5578021978021979E-3</v>
      </c>
      <c r="V117" s="111">
        <f>IF(F116=0,0,(U120-U118-U119)+(T116-U120))</f>
        <v>2.557802197802197E-3</v>
      </c>
    </row>
    <row r="118" spans="1:22" x14ac:dyDescent="0.3">
      <c r="A118" s="34" t="s">
        <v>1233</v>
      </c>
      <c r="B118" s="36">
        <v>83</v>
      </c>
      <c r="C118" s="29" t="s">
        <v>1241</v>
      </c>
      <c r="D118" s="29" t="str">
        <f>$D$100</f>
        <v>INCLUIDO</v>
      </c>
      <c r="E118" s="27" t="s">
        <v>1137</v>
      </c>
      <c r="F118" s="20">
        <f>$F$117*S118</f>
        <v>270000</v>
      </c>
      <c r="G118" s="21">
        <f t="shared" ref="G118:G119" si="127">V118</f>
        <v>2.5578021978021979E-3</v>
      </c>
      <c r="H118" s="9">
        <f t="shared" si="120"/>
        <v>6.924986662652417</v>
      </c>
      <c r="I118" s="9" t="str">
        <f>I117</f>
        <v>% Al Porciento</v>
      </c>
      <c r="J118" s="9">
        <f t="shared" si="121"/>
        <v>0.146117218581966</v>
      </c>
      <c r="K118" s="9">
        <f t="shared" si="122"/>
        <v>1.1313766209975014</v>
      </c>
      <c r="L118" s="9">
        <f t="shared" si="123"/>
        <v>8.1999999999999993</v>
      </c>
      <c r="M118" s="11">
        <f t="shared" ref="M118:M121" si="128">$M$116</f>
        <v>0.1</v>
      </c>
      <c r="N118" s="9">
        <f t="shared" si="124"/>
        <v>0.6924986662652417</v>
      </c>
      <c r="O118" s="12">
        <f t="shared" si="125"/>
        <v>0.6924986662652417</v>
      </c>
      <c r="P118" s="13" t="str">
        <f t="shared" si="69"/>
        <v>SI</v>
      </c>
      <c r="Q118">
        <f t="shared" si="119"/>
        <v>1</v>
      </c>
      <c r="R118">
        <f>IF(I118="%o Al Millar",1000,IF(I118="% Al Porciento",100,IF(I118="$ Prima",G118)))</f>
        <v>100</v>
      </c>
      <c r="S118">
        <f t="shared" si="126"/>
        <v>1</v>
      </c>
      <c r="T118" s="110">
        <v>0.4</v>
      </c>
      <c r="U118" s="111">
        <f t="shared" ref="U118:U119" si="129">IF(E118="Excluido",0,$T$116*T118)</f>
        <v>2.5578021978021979E-3</v>
      </c>
      <c r="V118" s="111">
        <f>IF($F$116=0,0,U118)</f>
        <v>2.5578021978021979E-3</v>
      </c>
    </row>
    <row r="119" spans="1:22" x14ac:dyDescent="0.3">
      <c r="A119" s="34" t="s">
        <v>1233</v>
      </c>
      <c r="B119" s="36">
        <v>79</v>
      </c>
      <c r="C119" s="29" t="s">
        <v>1242</v>
      </c>
      <c r="D119" s="29" t="str">
        <f t="shared" ref="D119:D121" si="130">$D$100</f>
        <v>INCLUIDO</v>
      </c>
      <c r="E119" s="27" t="s">
        <v>1137</v>
      </c>
      <c r="F119" s="20">
        <f>$F$117*S119</f>
        <v>270000</v>
      </c>
      <c r="G119" s="21">
        <f t="shared" si="127"/>
        <v>1.2789010989010989E-3</v>
      </c>
      <c r="H119" s="9">
        <f t="shared" si="120"/>
        <v>3.4624933313262085</v>
      </c>
      <c r="I119" s="9" t="str">
        <f>I117</f>
        <v>% Al Porciento</v>
      </c>
      <c r="J119" s="9">
        <f t="shared" si="121"/>
        <v>7.3058609290982998E-2</v>
      </c>
      <c r="K119" s="9">
        <f t="shared" si="122"/>
        <v>0.56568831049875068</v>
      </c>
      <c r="L119" s="9">
        <f t="shared" si="123"/>
        <v>4.0999999999999996</v>
      </c>
      <c r="M119" s="11">
        <f t="shared" si="128"/>
        <v>0.1</v>
      </c>
      <c r="N119" s="9">
        <f t="shared" si="124"/>
        <v>0.34624933313262085</v>
      </c>
      <c r="O119" s="12">
        <f t="shared" si="125"/>
        <v>0.34624933313262085</v>
      </c>
      <c r="P119" s="13" t="str">
        <f t="shared" si="69"/>
        <v>SI</v>
      </c>
      <c r="Q119">
        <f t="shared" si="119"/>
        <v>1</v>
      </c>
      <c r="R119">
        <f>IF(I119="%o Al Millar",1000,IF(I119="% Al Porciento",100,IF(I119="$ Prima",G119)))</f>
        <v>100</v>
      </c>
      <c r="S119">
        <f t="shared" si="126"/>
        <v>1</v>
      </c>
      <c r="T119" s="110">
        <v>0.2</v>
      </c>
      <c r="U119" s="111">
        <f t="shared" si="129"/>
        <v>1.2789010989010989E-3</v>
      </c>
      <c r="V119" s="111">
        <f>IF($F$116=0,0,U119)</f>
        <v>1.2789010989010989E-3</v>
      </c>
    </row>
    <row r="120" spans="1:22" ht="15" hidden="1" customHeight="1" thickBot="1" x14ac:dyDescent="0.35">
      <c r="A120" s="34" t="s">
        <v>1233</v>
      </c>
      <c r="B120" s="36">
        <v>80</v>
      </c>
      <c r="C120" s="29" t="s">
        <v>1243</v>
      </c>
      <c r="D120" s="29" t="str">
        <f t="shared" si="130"/>
        <v>INCLUIDO</v>
      </c>
      <c r="E120" s="27" t="s">
        <v>1186</v>
      </c>
      <c r="F120" s="43">
        <v>0</v>
      </c>
      <c r="G120" s="42">
        <v>0</v>
      </c>
      <c r="H120" s="9">
        <f t="shared" ref="H120:H121" si="131">(IF(I120="$ Prima",G120,G120*F120/R120))*$U$9</f>
        <v>0</v>
      </c>
      <c r="I120" s="9" t="s">
        <v>1235</v>
      </c>
      <c r="J120" s="9">
        <f t="shared" si="121"/>
        <v>0</v>
      </c>
      <c r="K120" s="9">
        <f t="shared" si="122"/>
        <v>0</v>
      </c>
      <c r="L120" s="9">
        <f t="shared" si="123"/>
        <v>0</v>
      </c>
      <c r="M120" s="11">
        <f t="shared" si="128"/>
        <v>0.1</v>
      </c>
      <c r="N120" s="9">
        <f t="shared" si="124"/>
        <v>0</v>
      </c>
      <c r="O120" s="12">
        <f t="shared" si="125"/>
        <v>0</v>
      </c>
      <c r="P120" s="13" t="str">
        <f t="shared" si="69"/>
        <v>NO</v>
      </c>
      <c r="Q120" s="48">
        <f t="shared" si="119"/>
        <v>0</v>
      </c>
      <c r="R120">
        <f>IF(I120="%o Al Millar",1000,IF(I120="% Al Porciento",100,IF(I120="$ Prima",G120)))</f>
        <v>100</v>
      </c>
      <c r="S120">
        <f t="shared" si="126"/>
        <v>0</v>
      </c>
      <c r="T120" s="143">
        <f>SUM(T117:T119)</f>
        <v>1</v>
      </c>
      <c r="U120" s="144">
        <f>SUM(U117:U119)</f>
        <v>6.3945054945054947E-3</v>
      </c>
      <c r="V120" s="145">
        <f>SUM(V117:V119)</f>
        <v>6.3945054945054938E-3</v>
      </c>
    </row>
    <row r="121" spans="1:22" ht="15" hidden="1" customHeight="1" x14ac:dyDescent="0.3">
      <c r="A121" s="34" t="s">
        <v>1233</v>
      </c>
      <c r="B121" s="36">
        <v>78</v>
      </c>
      <c r="C121" s="29" t="s">
        <v>1244</v>
      </c>
      <c r="D121" s="29" t="str">
        <f t="shared" si="130"/>
        <v>INCLUIDO</v>
      </c>
      <c r="E121" s="27" t="s">
        <v>1186</v>
      </c>
      <c r="F121" s="43">
        <v>0</v>
      </c>
      <c r="G121" s="42">
        <v>0</v>
      </c>
      <c r="H121" s="9">
        <f t="shared" si="131"/>
        <v>0</v>
      </c>
      <c r="I121" s="9" t="s">
        <v>1235</v>
      </c>
      <c r="J121" s="9">
        <f t="shared" si="121"/>
        <v>0</v>
      </c>
      <c r="K121" s="9">
        <f t="shared" si="122"/>
        <v>0</v>
      </c>
      <c r="L121" s="9">
        <f t="shared" si="123"/>
        <v>0</v>
      </c>
      <c r="M121" s="11">
        <f t="shared" si="128"/>
        <v>0.1</v>
      </c>
      <c r="N121" s="9">
        <f t="shared" si="124"/>
        <v>0</v>
      </c>
      <c r="O121" s="12">
        <f t="shared" si="125"/>
        <v>0</v>
      </c>
      <c r="P121" s="13" t="str">
        <f t="shared" si="69"/>
        <v>NO</v>
      </c>
      <c r="Q121" s="48">
        <f t="shared" si="119"/>
        <v>0</v>
      </c>
      <c r="R121">
        <f>IF(I121="%o Al Millar",1000,IF(I121="% Al Porciento",100,IF(I121="$ Prima",G121)))</f>
        <v>100</v>
      </c>
      <c r="S121">
        <f t="shared" si="126"/>
        <v>0</v>
      </c>
    </row>
    <row r="122" spans="1:22" s="18" customFormat="1" x14ac:dyDescent="0.3">
      <c r="A122" s="24"/>
      <c r="B122" s="26"/>
      <c r="C122" s="15" t="s">
        <v>1177</v>
      </c>
      <c r="D122" s="38" t="str">
        <f>D121</f>
        <v>INCLUIDO</v>
      </c>
      <c r="E122" s="38"/>
      <c r="F122" s="16">
        <f>SUMIF(E117:E121,"Adicional",F117:F121)</f>
        <v>270000</v>
      </c>
      <c r="G122" s="17"/>
      <c r="H122" s="16">
        <f>SUM(H117:H121)</f>
        <v>17.312466656631038</v>
      </c>
      <c r="I122" s="16"/>
      <c r="J122" s="16">
        <f t="shared" ref="J122:L122" si="132">SUM(J117:J121)</f>
        <v>0.36529304645491495</v>
      </c>
      <c r="K122" s="16">
        <f t="shared" si="132"/>
        <v>2.8284415524937527</v>
      </c>
      <c r="L122" s="16">
        <f t="shared" si="132"/>
        <v>20.5</v>
      </c>
      <c r="M122" s="16" t="s">
        <v>1178</v>
      </c>
      <c r="N122" s="16">
        <f t="shared" ref="N122:O122" si="133">SUM(N117:N121)</f>
        <v>1.731246665663104</v>
      </c>
      <c r="O122" s="84">
        <f t="shared" si="133"/>
        <v>1.731246665663104</v>
      </c>
      <c r="P122" s="13" t="str">
        <f t="shared" si="69"/>
        <v>SI</v>
      </c>
      <c r="Q122">
        <f>IF(D122="INCLUIDO",IF(H122&lt;&gt;0,1,0),0)</f>
        <v>1</v>
      </c>
    </row>
    <row r="123" spans="1:22" ht="15" hidden="1" thickBot="1" x14ac:dyDescent="0.35">
      <c r="A123" s="82">
        <v>905</v>
      </c>
      <c r="B123" s="33">
        <v>6</v>
      </c>
      <c r="C123" s="19" t="s">
        <v>1245</v>
      </c>
      <c r="D123" s="23" t="str">
        <f>$D$100</f>
        <v>INCLUIDO</v>
      </c>
      <c r="E123" s="91"/>
      <c r="F123" s="132">
        <v>0</v>
      </c>
      <c r="G123" s="132">
        <v>0</v>
      </c>
      <c r="H123" s="28"/>
      <c r="I123" s="28"/>
      <c r="J123" s="28"/>
      <c r="K123" s="28"/>
      <c r="L123" s="28"/>
      <c r="M123" s="68">
        <v>0</v>
      </c>
      <c r="N123" s="28"/>
      <c r="O123" s="83"/>
      <c r="P123" s="13" t="str">
        <f t="shared" si="69"/>
        <v>NO</v>
      </c>
      <c r="Q123" s="48">
        <f t="shared" ref="Q123:Q128" si="134">IF(D123="INCLUIDO",IF(F123&lt;&gt;0,1,0),0)</f>
        <v>0</v>
      </c>
      <c r="S123">
        <f t="shared" ref="S123:S128" si="135">IF(E123="Excluido",0,IF(D123="NO APLICA",0,1))</f>
        <v>1</v>
      </c>
      <c r="T123" s="142">
        <f>G123</f>
        <v>0</v>
      </c>
    </row>
    <row r="124" spans="1:22" ht="15" hidden="1" customHeight="1" x14ac:dyDescent="0.3">
      <c r="A124" s="34" t="s">
        <v>1233</v>
      </c>
      <c r="B124" s="36">
        <v>88</v>
      </c>
      <c r="C124" s="29" t="s">
        <v>1240</v>
      </c>
      <c r="D124" s="29" t="str">
        <f>$D$100</f>
        <v>INCLUIDO</v>
      </c>
      <c r="E124" s="27" t="s">
        <v>1186</v>
      </c>
      <c r="F124" s="20">
        <f>$F$123*S124</f>
        <v>0</v>
      </c>
      <c r="G124" s="21">
        <f>V124</f>
        <v>0</v>
      </c>
      <c r="H124" s="9">
        <f t="shared" ref="H124:H128" si="136">(IF(I124="$ Prima",G124,G124*F124/R124))*$U$9</f>
        <v>0</v>
      </c>
      <c r="I124" s="9" t="s">
        <v>1235</v>
      </c>
      <c r="J124" s="9">
        <f t="shared" ref="J124:J128" si="137">H124*$U$7</f>
        <v>0</v>
      </c>
      <c r="K124" s="9">
        <f t="shared" ref="K124:K128" si="138">(H124+J124)*$K$15</f>
        <v>0</v>
      </c>
      <c r="L124" s="9">
        <f t="shared" ref="L124:L128" si="139">ROUND(H124+J124+K124,2)</f>
        <v>0</v>
      </c>
      <c r="M124" s="11">
        <f>$M$123</f>
        <v>0</v>
      </c>
      <c r="N124" s="9">
        <f t="shared" ref="N124:N128" si="140">H124*M124</f>
        <v>0</v>
      </c>
      <c r="O124" s="12">
        <f t="shared" ref="O124:O128" si="141">N124</f>
        <v>0</v>
      </c>
      <c r="P124" s="13" t="str">
        <f t="shared" si="69"/>
        <v>NO</v>
      </c>
      <c r="Q124">
        <f t="shared" si="134"/>
        <v>0</v>
      </c>
      <c r="R124">
        <f>IF(I124="%o Al Millar",1000,IF(I124="% Al Porciento",100,IF(I124="$ Prima",G124)))</f>
        <v>100</v>
      </c>
      <c r="S124">
        <f t="shared" si="135"/>
        <v>0</v>
      </c>
      <c r="T124" s="110">
        <v>0.9</v>
      </c>
      <c r="U124" s="111">
        <f>IF(E124="Excluido",0,$T$123*T124)</f>
        <v>0</v>
      </c>
      <c r="V124" s="111">
        <f>IF(F123=0,0,(U127-U125-U126)+(T123-U127))</f>
        <v>0</v>
      </c>
    </row>
    <row r="125" spans="1:22" ht="15" hidden="1" customHeight="1" x14ac:dyDescent="0.3">
      <c r="A125" s="34" t="s">
        <v>1233</v>
      </c>
      <c r="B125" s="36">
        <v>89</v>
      </c>
      <c r="C125" s="29" t="s">
        <v>1241</v>
      </c>
      <c r="D125" s="29" t="str">
        <f>$D$100</f>
        <v>INCLUIDO</v>
      </c>
      <c r="E125" s="27" t="s">
        <v>1186</v>
      </c>
      <c r="F125" s="20">
        <f>$F$124*S125</f>
        <v>0</v>
      </c>
      <c r="G125" s="21">
        <f t="shared" ref="G125:G126" si="142">V125</f>
        <v>0</v>
      </c>
      <c r="H125" s="9">
        <f t="shared" si="136"/>
        <v>0</v>
      </c>
      <c r="I125" s="9" t="s">
        <v>1235</v>
      </c>
      <c r="J125" s="9">
        <f t="shared" si="137"/>
        <v>0</v>
      </c>
      <c r="K125" s="9">
        <f t="shared" si="138"/>
        <v>0</v>
      </c>
      <c r="L125" s="9">
        <f t="shared" si="139"/>
        <v>0</v>
      </c>
      <c r="M125" s="11">
        <f t="shared" ref="M125:M128" si="143">$M$123</f>
        <v>0</v>
      </c>
      <c r="N125" s="9">
        <f t="shared" si="140"/>
        <v>0</v>
      </c>
      <c r="O125" s="12">
        <f t="shared" si="141"/>
        <v>0</v>
      </c>
      <c r="P125" s="13" t="str">
        <f t="shared" si="69"/>
        <v>NO</v>
      </c>
      <c r="Q125">
        <f t="shared" si="134"/>
        <v>0</v>
      </c>
      <c r="R125">
        <f>IF(I125="%o Al Millar",1000,IF(I125="% Al Porciento",100,IF(I125="$ Prima",G125)))</f>
        <v>100</v>
      </c>
      <c r="S125">
        <f t="shared" si="135"/>
        <v>0</v>
      </c>
      <c r="T125" s="110">
        <v>0.05</v>
      </c>
      <c r="U125" s="111">
        <f t="shared" ref="U125:U126" si="144">IF(E125="Excluido",0,$T$123*T125)</f>
        <v>0</v>
      </c>
      <c r="V125" s="111">
        <f>IF($F$123=0,0,U125)</f>
        <v>0</v>
      </c>
    </row>
    <row r="126" spans="1:22" ht="15" hidden="1" customHeight="1" thickBot="1" x14ac:dyDescent="0.35">
      <c r="A126" s="34" t="s">
        <v>1233</v>
      </c>
      <c r="B126" s="36">
        <v>85</v>
      </c>
      <c r="C126" s="29" t="s">
        <v>1242</v>
      </c>
      <c r="D126" s="29" t="str">
        <f t="shared" ref="D126:D128" si="145">$D$100</f>
        <v>INCLUIDO</v>
      </c>
      <c r="E126" s="27" t="s">
        <v>1186</v>
      </c>
      <c r="F126" s="20">
        <f>$F$124*S126</f>
        <v>0</v>
      </c>
      <c r="G126" s="21">
        <f t="shared" si="142"/>
        <v>0</v>
      </c>
      <c r="H126" s="9">
        <f t="shared" si="136"/>
        <v>0</v>
      </c>
      <c r="I126" s="9" t="s">
        <v>1235</v>
      </c>
      <c r="J126" s="9">
        <f t="shared" si="137"/>
        <v>0</v>
      </c>
      <c r="K126" s="9">
        <f t="shared" si="138"/>
        <v>0</v>
      </c>
      <c r="L126" s="9">
        <f t="shared" si="139"/>
        <v>0</v>
      </c>
      <c r="M126" s="11">
        <f t="shared" si="143"/>
        <v>0</v>
      </c>
      <c r="N126" s="9">
        <f t="shared" si="140"/>
        <v>0</v>
      </c>
      <c r="O126" s="12">
        <f t="shared" si="141"/>
        <v>0</v>
      </c>
      <c r="P126" s="13" t="str">
        <f t="shared" si="69"/>
        <v>NO</v>
      </c>
      <c r="Q126">
        <f t="shared" si="134"/>
        <v>0</v>
      </c>
      <c r="R126">
        <f>IF(I126="%o Al Millar",1000,IF(I126="% Al Porciento",100,IF(I126="$ Prima",G126)))</f>
        <v>100</v>
      </c>
      <c r="S126">
        <f t="shared" si="135"/>
        <v>0</v>
      </c>
      <c r="T126" s="110">
        <v>0.05</v>
      </c>
      <c r="U126" s="111">
        <f t="shared" si="144"/>
        <v>0</v>
      </c>
      <c r="V126" s="111">
        <f>IF($F$123=0,0,U126)</f>
        <v>0</v>
      </c>
    </row>
    <row r="127" spans="1:22" ht="15" hidden="1" customHeight="1" thickBot="1" x14ac:dyDescent="0.35">
      <c r="A127" s="34" t="s">
        <v>1233</v>
      </c>
      <c r="B127" s="36">
        <v>86</v>
      </c>
      <c r="C127" s="29" t="s">
        <v>1243</v>
      </c>
      <c r="D127" s="29" t="str">
        <f t="shared" si="145"/>
        <v>INCLUIDO</v>
      </c>
      <c r="E127" s="27" t="s">
        <v>1186</v>
      </c>
      <c r="F127" s="43">
        <v>0</v>
      </c>
      <c r="G127" s="113">
        <v>0</v>
      </c>
      <c r="H127" s="9">
        <f t="shared" si="136"/>
        <v>0</v>
      </c>
      <c r="I127" s="9" t="s">
        <v>1235</v>
      </c>
      <c r="J127" s="9">
        <f t="shared" si="137"/>
        <v>0</v>
      </c>
      <c r="K127" s="9">
        <f t="shared" si="138"/>
        <v>0</v>
      </c>
      <c r="L127" s="9">
        <f t="shared" si="139"/>
        <v>0</v>
      </c>
      <c r="M127" s="11">
        <f t="shared" si="143"/>
        <v>0</v>
      </c>
      <c r="N127" s="9">
        <f t="shared" si="140"/>
        <v>0</v>
      </c>
      <c r="O127" s="12">
        <f t="shared" si="141"/>
        <v>0</v>
      </c>
      <c r="P127" s="13" t="str">
        <f t="shared" si="69"/>
        <v>NO</v>
      </c>
      <c r="Q127" s="48">
        <f t="shared" si="134"/>
        <v>0</v>
      </c>
      <c r="R127">
        <f>IF(I127="%o Al Millar",1000,IF(I127="% Al Porciento",100,IF(I127="$ Prima",G127)))</f>
        <v>100</v>
      </c>
      <c r="S127">
        <f t="shared" si="135"/>
        <v>0</v>
      </c>
      <c r="T127" s="143">
        <f>SUM(T124:T126)</f>
        <v>1</v>
      </c>
      <c r="U127" s="144">
        <f>SUM(U124:U126)</f>
        <v>0</v>
      </c>
      <c r="V127" s="145">
        <f>SUM(V124:V126)</f>
        <v>0</v>
      </c>
    </row>
    <row r="128" spans="1:22" ht="15" hidden="1" customHeight="1" x14ac:dyDescent="0.3">
      <c r="A128" s="34" t="s">
        <v>1233</v>
      </c>
      <c r="B128" s="36">
        <v>84</v>
      </c>
      <c r="C128" s="29" t="s">
        <v>1244</v>
      </c>
      <c r="D128" s="29" t="str">
        <f t="shared" si="145"/>
        <v>INCLUIDO</v>
      </c>
      <c r="E128" s="27" t="s">
        <v>1186</v>
      </c>
      <c r="F128" s="43">
        <v>0</v>
      </c>
      <c r="G128" s="113">
        <v>0</v>
      </c>
      <c r="H128" s="9">
        <f t="shared" si="136"/>
        <v>0</v>
      </c>
      <c r="I128" s="9" t="s">
        <v>1235</v>
      </c>
      <c r="J128" s="9">
        <f t="shared" si="137"/>
        <v>0</v>
      </c>
      <c r="K128" s="9">
        <f t="shared" si="138"/>
        <v>0</v>
      </c>
      <c r="L128" s="9">
        <f t="shared" si="139"/>
        <v>0</v>
      </c>
      <c r="M128" s="11">
        <f t="shared" si="143"/>
        <v>0</v>
      </c>
      <c r="N128" s="9">
        <f t="shared" si="140"/>
        <v>0</v>
      </c>
      <c r="O128" s="12">
        <f t="shared" si="141"/>
        <v>0</v>
      </c>
      <c r="P128" s="13" t="str">
        <f t="shared" si="69"/>
        <v>NO</v>
      </c>
      <c r="Q128" s="48">
        <f t="shared" si="134"/>
        <v>0</v>
      </c>
      <c r="R128">
        <f>IF(I128="%o Al Millar",1000,IF(I128="% Al Porciento",100,IF(I128="$ Prima",G128)))</f>
        <v>100</v>
      </c>
      <c r="S128">
        <f t="shared" si="135"/>
        <v>0</v>
      </c>
    </row>
    <row r="129" spans="1:19" s="18" customFormat="1" ht="15" hidden="1" customHeight="1" x14ac:dyDescent="0.3">
      <c r="A129" s="24"/>
      <c r="B129" s="26"/>
      <c r="C129" s="15" t="s">
        <v>1177</v>
      </c>
      <c r="D129" s="38" t="str">
        <f>D128</f>
        <v>INCLUIDO</v>
      </c>
      <c r="E129" s="38"/>
      <c r="F129" s="16">
        <f>SUMIF(E124:E128,"Adicional",F124:F128)</f>
        <v>0</v>
      </c>
      <c r="G129" s="17"/>
      <c r="H129" s="16">
        <f>SUM(H124:H128)</f>
        <v>0</v>
      </c>
      <c r="I129" s="16"/>
      <c r="J129" s="16">
        <f t="shared" ref="J129:L129" si="146">SUM(J124:J128)</f>
        <v>0</v>
      </c>
      <c r="K129" s="16">
        <f t="shared" si="146"/>
        <v>0</v>
      </c>
      <c r="L129" s="16">
        <f t="shared" si="146"/>
        <v>0</v>
      </c>
      <c r="M129" s="16" t="s">
        <v>1178</v>
      </c>
      <c r="N129" s="16">
        <f t="shared" ref="N129:O129" si="147">SUM(N124:N128)</f>
        <v>0</v>
      </c>
      <c r="O129" s="84">
        <f t="shared" si="147"/>
        <v>0</v>
      </c>
      <c r="P129" s="13" t="str">
        <f t="shared" si="69"/>
        <v>NO</v>
      </c>
      <c r="Q129">
        <f>IF(D129="INCLUIDO",IF(H129&lt;&gt;0,1,0),0)</f>
        <v>0</v>
      </c>
    </row>
    <row r="130" spans="1:19" x14ac:dyDescent="0.3">
      <c r="A130" s="82">
        <v>905</v>
      </c>
      <c r="B130" s="33">
        <v>7</v>
      </c>
      <c r="C130" s="19" t="s">
        <v>1246</v>
      </c>
      <c r="D130" s="23" t="str">
        <f>$D$100</f>
        <v>INCLUIDO</v>
      </c>
      <c r="E130" s="91"/>
      <c r="F130" s="208">
        <f>'COTIZACIÓN M.N.'!D88</f>
        <v>54000</v>
      </c>
      <c r="G130" s="28">
        <f>'COTIZACIÓN M.N.'!E88/'Ubicaciones total (2)'!A366</f>
        <v>3.2967032967032968E-2</v>
      </c>
      <c r="H130" s="28"/>
      <c r="I130" s="28"/>
      <c r="J130" s="28"/>
      <c r="K130" s="28"/>
      <c r="L130" s="28"/>
      <c r="M130" s="68">
        <f>M100</f>
        <v>0.1</v>
      </c>
      <c r="N130" s="28"/>
      <c r="O130" s="83"/>
      <c r="P130" s="13" t="str">
        <f t="shared" si="69"/>
        <v>SI</v>
      </c>
      <c r="Q130" s="47">
        <f>IF(D130="INCLUIDO",IF(F131&lt;&gt;0,1,0),0)</f>
        <v>1</v>
      </c>
    </row>
    <row r="131" spans="1:19" x14ac:dyDescent="0.3">
      <c r="A131" s="34" t="s">
        <v>1233</v>
      </c>
      <c r="B131" s="36">
        <v>92</v>
      </c>
      <c r="C131" s="29" t="s">
        <v>1247</v>
      </c>
      <c r="D131" s="29" t="str">
        <f>$D$100</f>
        <v>INCLUIDO</v>
      </c>
      <c r="E131" s="27" t="s">
        <v>1152</v>
      </c>
      <c r="F131" s="43">
        <f>F130</f>
        <v>54000</v>
      </c>
      <c r="G131" s="43">
        <f>G130</f>
        <v>3.2967032967032968E-2</v>
      </c>
      <c r="H131" s="9">
        <f>(((IF(I131="$ Prima",G131,G131*F131/R131))*$U$9)/365)*$J$15</f>
        <v>17.850970946861359</v>
      </c>
      <c r="I131" s="9" t="s">
        <v>1235</v>
      </c>
      <c r="J131" s="9">
        <f t="shared" ref="J131:J136" si="148">H131*$U$7</f>
        <v>0.37665548697877471</v>
      </c>
      <c r="K131" s="9">
        <f t="shared" ref="K131:K136" si="149">(H131+J131)*$K$15</f>
        <v>2.9164202294144213</v>
      </c>
      <c r="L131" s="9">
        <f t="shared" ref="L131:L136" si="150">ROUND(H131+J131+K131,2)</f>
        <v>21.14</v>
      </c>
      <c r="M131" s="11">
        <f>$M$130</f>
        <v>0.1</v>
      </c>
      <c r="N131" s="9">
        <f t="shared" ref="N131:N136" si="151">H131*M131</f>
        <v>1.785097094686136</v>
      </c>
      <c r="O131" s="12">
        <f t="shared" ref="O131:O136" si="152">N131</f>
        <v>1.785097094686136</v>
      </c>
      <c r="P131" s="13" t="str">
        <f t="shared" si="69"/>
        <v>SI</v>
      </c>
      <c r="Q131" s="48">
        <f t="shared" ref="Q131:Q136" si="153">IF(D131="INCLUIDO",IF(F131&lt;&gt;0,1,0),0)</f>
        <v>1</v>
      </c>
      <c r="R131">
        <f t="shared" ref="R131:R136" si="154">IF(I131="%o Al Millar",1000,IF(I131="% Al Porciento",100,IF(I131="$ Prima",G131)))</f>
        <v>100</v>
      </c>
      <c r="S131">
        <f t="shared" ref="S131:S136" si="155">IF(E131="Excluido",0,IF(D131="NO APLICA",0,1))</f>
        <v>1</v>
      </c>
    </row>
    <row r="132" spans="1:19" ht="15" hidden="1" customHeight="1" x14ac:dyDescent="0.3">
      <c r="A132" s="34" t="s">
        <v>1233</v>
      </c>
      <c r="B132" s="36">
        <v>91</v>
      </c>
      <c r="C132" s="29" t="s">
        <v>1248</v>
      </c>
      <c r="D132" s="29" t="str">
        <f>$D$100</f>
        <v>INCLUIDO</v>
      </c>
      <c r="E132" s="27" t="s">
        <v>1186</v>
      </c>
      <c r="F132" s="43">
        <v>0</v>
      </c>
      <c r="G132" s="42">
        <v>0</v>
      </c>
      <c r="H132" s="9">
        <f t="shared" ref="H132:H136" si="156">(IF(I132="$ Prima",G132,G132*F132/R132))*$U$9</f>
        <v>0</v>
      </c>
      <c r="I132" s="9" t="s">
        <v>1235</v>
      </c>
      <c r="J132" s="9">
        <f t="shared" si="148"/>
        <v>0</v>
      </c>
      <c r="K132" s="9">
        <f t="shared" si="149"/>
        <v>0</v>
      </c>
      <c r="L132" s="9">
        <f t="shared" si="150"/>
        <v>0</v>
      </c>
      <c r="M132" s="11">
        <f t="shared" ref="M132:M136" si="157">$M$130</f>
        <v>0.1</v>
      </c>
      <c r="N132" s="9">
        <f t="shared" si="151"/>
        <v>0</v>
      </c>
      <c r="O132" s="12">
        <f t="shared" si="152"/>
        <v>0</v>
      </c>
      <c r="P132" s="13" t="str">
        <f t="shared" si="69"/>
        <v>NO</v>
      </c>
      <c r="Q132" s="48">
        <f t="shared" si="153"/>
        <v>0</v>
      </c>
      <c r="R132">
        <f t="shared" si="154"/>
        <v>100</v>
      </c>
      <c r="S132">
        <f t="shared" si="155"/>
        <v>0</v>
      </c>
    </row>
    <row r="133" spans="1:19" ht="15" hidden="1" customHeight="1" x14ac:dyDescent="0.3">
      <c r="A133" s="34" t="s">
        <v>1233</v>
      </c>
      <c r="B133" s="36">
        <v>96</v>
      </c>
      <c r="C133" s="29" t="s">
        <v>1249</v>
      </c>
      <c r="D133" s="29" t="str">
        <f t="shared" ref="D133:D136" si="158">$D$100</f>
        <v>INCLUIDO</v>
      </c>
      <c r="E133" s="27" t="s">
        <v>1186</v>
      </c>
      <c r="F133" s="43">
        <v>0</v>
      </c>
      <c r="G133" s="42">
        <v>0</v>
      </c>
      <c r="H133" s="9">
        <f t="shared" si="156"/>
        <v>0</v>
      </c>
      <c r="I133" s="9" t="s">
        <v>1235</v>
      </c>
      <c r="J133" s="9">
        <f t="shared" si="148"/>
        <v>0</v>
      </c>
      <c r="K133" s="9">
        <f t="shared" si="149"/>
        <v>0</v>
      </c>
      <c r="L133" s="9">
        <f t="shared" si="150"/>
        <v>0</v>
      </c>
      <c r="M133" s="11">
        <f t="shared" si="157"/>
        <v>0.1</v>
      </c>
      <c r="N133" s="9">
        <f t="shared" si="151"/>
        <v>0</v>
      </c>
      <c r="O133" s="12">
        <f t="shared" si="152"/>
        <v>0</v>
      </c>
      <c r="P133" s="13" t="str">
        <f t="shared" si="69"/>
        <v>NO</v>
      </c>
      <c r="Q133" s="48">
        <f t="shared" si="153"/>
        <v>0</v>
      </c>
      <c r="R133">
        <f t="shared" si="154"/>
        <v>100</v>
      </c>
      <c r="S133">
        <f t="shared" si="155"/>
        <v>0</v>
      </c>
    </row>
    <row r="134" spans="1:19" ht="22.5" hidden="1" customHeight="1" x14ac:dyDescent="0.3">
      <c r="A134" s="34" t="s">
        <v>1233</v>
      </c>
      <c r="B134" s="36">
        <v>94</v>
      </c>
      <c r="C134" s="29" t="s">
        <v>1250</v>
      </c>
      <c r="D134" s="29" t="str">
        <f t="shared" si="158"/>
        <v>INCLUIDO</v>
      </c>
      <c r="E134" s="27" t="s">
        <v>1186</v>
      </c>
      <c r="F134" s="43">
        <v>0</v>
      </c>
      <c r="G134" s="42">
        <v>0</v>
      </c>
      <c r="H134" s="9">
        <f t="shared" si="156"/>
        <v>0</v>
      </c>
      <c r="I134" s="9" t="s">
        <v>1235</v>
      </c>
      <c r="J134" s="9">
        <f t="shared" si="148"/>
        <v>0</v>
      </c>
      <c r="K134" s="9">
        <f t="shared" si="149"/>
        <v>0</v>
      </c>
      <c r="L134" s="9">
        <f t="shared" si="150"/>
        <v>0</v>
      </c>
      <c r="M134" s="11">
        <f t="shared" si="157"/>
        <v>0.1</v>
      </c>
      <c r="N134" s="9">
        <f t="shared" si="151"/>
        <v>0</v>
      </c>
      <c r="O134" s="12">
        <f t="shared" si="152"/>
        <v>0</v>
      </c>
      <c r="P134" s="13" t="str">
        <f t="shared" si="69"/>
        <v>NO</v>
      </c>
      <c r="Q134" s="48">
        <f t="shared" si="153"/>
        <v>0</v>
      </c>
      <c r="R134">
        <f t="shared" si="154"/>
        <v>100</v>
      </c>
      <c r="S134">
        <f t="shared" si="155"/>
        <v>0</v>
      </c>
    </row>
    <row r="135" spans="1:19" ht="15" hidden="1" customHeight="1" x14ac:dyDescent="0.3">
      <c r="A135" s="34" t="s">
        <v>1233</v>
      </c>
      <c r="B135" s="36">
        <v>93</v>
      </c>
      <c r="C135" s="29" t="s">
        <v>1251</v>
      </c>
      <c r="D135" s="29" t="str">
        <f t="shared" si="158"/>
        <v>INCLUIDO</v>
      </c>
      <c r="E135" s="27" t="s">
        <v>1186</v>
      </c>
      <c r="F135" s="43">
        <v>0</v>
      </c>
      <c r="G135" s="42">
        <v>0</v>
      </c>
      <c r="H135" s="9">
        <f t="shared" si="156"/>
        <v>0</v>
      </c>
      <c r="I135" s="9" t="s">
        <v>1235</v>
      </c>
      <c r="J135" s="9">
        <f t="shared" si="148"/>
        <v>0</v>
      </c>
      <c r="K135" s="9">
        <f t="shared" si="149"/>
        <v>0</v>
      </c>
      <c r="L135" s="9">
        <f t="shared" si="150"/>
        <v>0</v>
      </c>
      <c r="M135" s="11">
        <f t="shared" si="157"/>
        <v>0.1</v>
      </c>
      <c r="N135" s="9">
        <f t="shared" si="151"/>
        <v>0</v>
      </c>
      <c r="O135" s="12">
        <f t="shared" si="152"/>
        <v>0</v>
      </c>
      <c r="P135" s="13" t="str">
        <f t="shared" si="69"/>
        <v>NO</v>
      </c>
      <c r="Q135" s="48">
        <f t="shared" si="153"/>
        <v>0</v>
      </c>
      <c r="R135">
        <f t="shared" si="154"/>
        <v>100</v>
      </c>
      <c r="S135">
        <f t="shared" si="155"/>
        <v>0</v>
      </c>
    </row>
    <row r="136" spans="1:19" ht="15" hidden="1" customHeight="1" x14ac:dyDescent="0.3">
      <c r="A136" s="34" t="s">
        <v>1233</v>
      </c>
      <c r="B136" s="36">
        <v>95</v>
      </c>
      <c r="C136" s="29" t="s">
        <v>1252</v>
      </c>
      <c r="D136" s="29" t="str">
        <f t="shared" si="158"/>
        <v>INCLUIDO</v>
      </c>
      <c r="E136" s="27" t="s">
        <v>1186</v>
      </c>
      <c r="F136" s="43">
        <v>0</v>
      </c>
      <c r="G136" s="42">
        <v>0</v>
      </c>
      <c r="H136" s="9">
        <f t="shared" si="156"/>
        <v>0</v>
      </c>
      <c r="I136" s="9" t="s">
        <v>1235</v>
      </c>
      <c r="J136" s="9">
        <f t="shared" si="148"/>
        <v>0</v>
      </c>
      <c r="K136" s="9">
        <f t="shared" si="149"/>
        <v>0</v>
      </c>
      <c r="L136" s="9">
        <f t="shared" si="150"/>
        <v>0</v>
      </c>
      <c r="M136" s="11">
        <f t="shared" si="157"/>
        <v>0.1</v>
      </c>
      <c r="N136" s="9">
        <f t="shared" si="151"/>
        <v>0</v>
      </c>
      <c r="O136" s="12">
        <f t="shared" si="152"/>
        <v>0</v>
      </c>
      <c r="P136" s="13" t="str">
        <f t="shared" si="69"/>
        <v>NO</v>
      </c>
      <c r="Q136" s="48">
        <f t="shared" si="153"/>
        <v>0</v>
      </c>
      <c r="R136">
        <f t="shared" si="154"/>
        <v>100</v>
      </c>
      <c r="S136">
        <f t="shared" si="155"/>
        <v>0</v>
      </c>
    </row>
    <row r="137" spans="1:19" s="18" customFormat="1" ht="15" thickBot="1" x14ac:dyDescent="0.35">
      <c r="A137" s="24"/>
      <c r="B137" s="26"/>
      <c r="C137" s="15" t="s">
        <v>1177</v>
      </c>
      <c r="D137" s="38" t="str">
        <f>D136</f>
        <v>INCLUIDO</v>
      </c>
      <c r="E137" s="38"/>
      <c r="F137" s="16">
        <f>SUMIF(E131:E136,"Adicional",F131:F136)</f>
        <v>54000</v>
      </c>
      <c r="G137" s="17"/>
      <c r="H137" s="16">
        <f>SUM(H131:H136)</f>
        <v>17.850970946861359</v>
      </c>
      <c r="I137" s="16"/>
      <c r="J137" s="16">
        <f t="shared" ref="J137:L137" si="159">SUM(J131:J136)</f>
        <v>0.37665548697877471</v>
      </c>
      <c r="K137" s="16">
        <f t="shared" si="159"/>
        <v>2.9164202294144213</v>
      </c>
      <c r="L137" s="16">
        <f t="shared" si="159"/>
        <v>21.14</v>
      </c>
      <c r="M137" s="16" t="s">
        <v>1178</v>
      </c>
      <c r="N137" s="16">
        <f t="shared" ref="N137:O137" si="160">SUM(N131:N136)</f>
        <v>1.785097094686136</v>
      </c>
      <c r="O137" s="84">
        <f t="shared" si="160"/>
        <v>1.785097094686136</v>
      </c>
      <c r="P137" s="13" t="str">
        <f t="shared" si="69"/>
        <v>SI</v>
      </c>
      <c r="Q137">
        <f>IF(D137="INCLUIDO",IF(H137&lt;&gt;0,1,0),0)</f>
        <v>1</v>
      </c>
    </row>
    <row r="138" spans="1:19" ht="15" hidden="1" customHeight="1" x14ac:dyDescent="0.3">
      <c r="A138" s="82">
        <v>905</v>
      </c>
      <c r="B138" s="33">
        <v>8</v>
      </c>
      <c r="C138" s="19" t="s">
        <v>1253</v>
      </c>
      <c r="D138" s="23" t="str">
        <f>$D$100</f>
        <v>INCLUIDO</v>
      </c>
      <c r="E138" s="91"/>
      <c r="F138" s="28"/>
      <c r="G138" s="28"/>
      <c r="H138" s="28"/>
      <c r="I138" s="28"/>
      <c r="J138" s="28"/>
      <c r="K138" s="28"/>
      <c r="L138" s="28"/>
      <c r="M138" s="68">
        <v>0</v>
      </c>
      <c r="N138" s="28"/>
      <c r="O138" s="83"/>
      <c r="P138" s="13" t="str">
        <f t="shared" si="69"/>
        <v>NO</v>
      </c>
      <c r="Q138" s="47">
        <f>IF(D138="INCLUIDO",IF(F139&lt;&gt;0,1,0),0)</f>
        <v>0</v>
      </c>
    </row>
    <row r="139" spans="1:19" ht="15" hidden="1" customHeight="1" x14ac:dyDescent="0.3">
      <c r="A139" s="34" t="s">
        <v>1233</v>
      </c>
      <c r="B139" s="36">
        <v>99</v>
      </c>
      <c r="C139" s="29" t="s">
        <v>1247</v>
      </c>
      <c r="D139" s="29" t="str">
        <f>$D$100</f>
        <v>INCLUIDO</v>
      </c>
      <c r="E139" s="27" t="s">
        <v>1186</v>
      </c>
      <c r="F139" s="43">
        <v>0</v>
      </c>
      <c r="G139" s="43">
        <v>0</v>
      </c>
      <c r="H139" s="9">
        <f t="shared" ref="H139:H144" si="161">(IF(I139="$ Prima",G139,G139*F139/R139))*$U$9</f>
        <v>0</v>
      </c>
      <c r="I139" s="9" t="s">
        <v>1235</v>
      </c>
      <c r="J139" s="9">
        <f t="shared" ref="J139:J144" si="162">H139*$U$7</f>
        <v>0</v>
      </c>
      <c r="K139" s="9">
        <f t="shared" ref="K139:K144" si="163">(H139+J139)*$K$15</f>
        <v>0</v>
      </c>
      <c r="L139" s="9">
        <f t="shared" ref="L139:L144" si="164">ROUND(H139+J139+K139,2)</f>
        <v>0</v>
      </c>
      <c r="M139" s="11">
        <f>$M$138</f>
        <v>0</v>
      </c>
      <c r="N139" s="9">
        <f t="shared" ref="N139:N144" si="165">H139*M139</f>
        <v>0</v>
      </c>
      <c r="O139" s="12">
        <f t="shared" ref="O139:O144" si="166">N139</f>
        <v>0</v>
      </c>
      <c r="P139" s="13" t="str">
        <f t="shared" si="69"/>
        <v>NO</v>
      </c>
      <c r="Q139" s="48">
        <f t="shared" ref="Q139:Q144" si="167">IF(D139="INCLUIDO",IF(F139&lt;&gt;0,1,0),0)</f>
        <v>0</v>
      </c>
      <c r="R139">
        <f t="shared" ref="R139:R144" si="168">IF(I139="%o Al Millar",1000,IF(I139="% Al Porciento",100,IF(I139="$ Prima",G139)))</f>
        <v>100</v>
      </c>
      <c r="S139">
        <f t="shared" ref="S139:S144" si="169">IF(E139="Excluido",0,IF(D139="NO APLICA",0,1))</f>
        <v>0</v>
      </c>
    </row>
    <row r="140" spans="1:19" ht="15" hidden="1" customHeight="1" x14ac:dyDescent="0.3">
      <c r="A140" s="34" t="s">
        <v>1233</v>
      </c>
      <c r="B140" s="36">
        <v>98</v>
      </c>
      <c r="C140" s="29" t="s">
        <v>1248</v>
      </c>
      <c r="D140" s="29" t="str">
        <f>$D$100</f>
        <v>INCLUIDO</v>
      </c>
      <c r="E140" s="27" t="s">
        <v>1186</v>
      </c>
      <c r="F140" s="43">
        <v>0</v>
      </c>
      <c r="G140" s="42">
        <v>0</v>
      </c>
      <c r="H140" s="9">
        <f t="shared" si="161"/>
        <v>0</v>
      </c>
      <c r="I140" s="9" t="s">
        <v>1235</v>
      </c>
      <c r="J140" s="9">
        <f t="shared" si="162"/>
        <v>0</v>
      </c>
      <c r="K140" s="9">
        <f t="shared" si="163"/>
        <v>0</v>
      </c>
      <c r="L140" s="9">
        <f t="shared" si="164"/>
        <v>0</v>
      </c>
      <c r="M140" s="11">
        <f t="shared" ref="M140:M144" si="170">$M$138</f>
        <v>0</v>
      </c>
      <c r="N140" s="9">
        <f t="shared" si="165"/>
        <v>0</v>
      </c>
      <c r="O140" s="12">
        <f t="shared" si="166"/>
        <v>0</v>
      </c>
      <c r="P140" s="13" t="str">
        <f t="shared" si="69"/>
        <v>NO</v>
      </c>
      <c r="Q140" s="48">
        <f t="shared" si="167"/>
        <v>0</v>
      </c>
      <c r="R140">
        <f t="shared" si="168"/>
        <v>100</v>
      </c>
      <c r="S140">
        <f t="shared" si="169"/>
        <v>0</v>
      </c>
    </row>
    <row r="141" spans="1:19" ht="15" hidden="1" customHeight="1" x14ac:dyDescent="0.3">
      <c r="A141" s="34" t="s">
        <v>1233</v>
      </c>
      <c r="B141" s="36">
        <v>103</v>
      </c>
      <c r="C141" s="29" t="s">
        <v>1249</v>
      </c>
      <c r="D141" s="29" t="str">
        <f t="shared" ref="D141:D144" si="171">$D$100</f>
        <v>INCLUIDO</v>
      </c>
      <c r="E141" s="27" t="s">
        <v>1186</v>
      </c>
      <c r="F141" s="43">
        <v>0</v>
      </c>
      <c r="G141" s="42">
        <v>0</v>
      </c>
      <c r="H141" s="9">
        <f t="shared" si="161"/>
        <v>0</v>
      </c>
      <c r="I141" s="9" t="s">
        <v>1235</v>
      </c>
      <c r="J141" s="9">
        <f t="shared" si="162"/>
        <v>0</v>
      </c>
      <c r="K141" s="9">
        <f t="shared" si="163"/>
        <v>0</v>
      </c>
      <c r="L141" s="9">
        <f t="shared" si="164"/>
        <v>0</v>
      </c>
      <c r="M141" s="11">
        <f t="shared" si="170"/>
        <v>0</v>
      </c>
      <c r="N141" s="9">
        <f t="shared" si="165"/>
        <v>0</v>
      </c>
      <c r="O141" s="12">
        <f t="shared" si="166"/>
        <v>0</v>
      </c>
      <c r="P141" s="13" t="str">
        <f t="shared" si="69"/>
        <v>NO</v>
      </c>
      <c r="Q141" s="48">
        <f t="shared" si="167"/>
        <v>0</v>
      </c>
      <c r="R141">
        <f t="shared" si="168"/>
        <v>100</v>
      </c>
      <c r="S141">
        <f t="shared" si="169"/>
        <v>0</v>
      </c>
    </row>
    <row r="142" spans="1:19" ht="22.5" hidden="1" customHeight="1" x14ac:dyDescent="0.3">
      <c r="A142" s="34" t="s">
        <v>1233</v>
      </c>
      <c r="B142" s="36">
        <v>101</v>
      </c>
      <c r="C142" s="29" t="s">
        <v>1250</v>
      </c>
      <c r="D142" s="29" t="str">
        <f t="shared" si="171"/>
        <v>INCLUIDO</v>
      </c>
      <c r="E142" s="27" t="s">
        <v>1186</v>
      </c>
      <c r="F142" s="43">
        <v>0</v>
      </c>
      <c r="G142" s="42">
        <v>0</v>
      </c>
      <c r="H142" s="9">
        <f t="shared" si="161"/>
        <v>0</v>
      </c>
      <c r="I142" s="9" t="s">
        <v>1235</v>
      </c>
      <c r="J142" s="9">
        <f t="shared" si="162"/>
        <v>0</v>
      </c>
      <c r="K142" s="9">
        <f t="shared" si="163"/>
        <v>0</v>
      </c>
      <c r="L142" s="9">
        <f t="shared" si="164"/>
        <v>0</v>
      </c>
      <c r="M142" s="11">
        <f t="shared" si="170"/>
        <v>0</v>
      </c>
      <c r="N142" s="9">
        <f t="shared" si="165"/>
        <v>0</v>
      </c>
      <c r="O142" s="12">
        <f t="shared" si="166"/>
        <v>0</v>
      </c>
      <c r="P142" s="13" t="str">
        <f t="shared" si="69"/>
        <v>NO</v>
      </c>
      <c r="Q142" s="48">
        <f t="shared" si="167"/>
        <v>0</v>
      </c>
      <c r="R142">
        <f t="shared" si="168"/>
        <v>100</v>
      </c>
      <c r="S142">
        <f t="shared" si="169"/>
        <v>0</v>
      </c>
    </row>
    <row r="143" spans="1:19" ht="15" hidden="1" customHeight="1" x14ac:dyDescent="0.3">
      <c r="A143" s="34" t="s">
        <v>1233</v>
      </c>
      <c r="B143" s="36">
        <v>102</v>
      </c>
      <c r="C143" s="29" t="s">
        <v>1252</v>
      </c>
      <c r="D143" s="29" t="str">
        <f t="shared" si="171"/>
        <v>INCLUIDO</v>
      </c>
      <c r="E143" s="27" t="s">
        <v>1186</v>
      </c>
      <c r="F143" s="43">
        <v>0</v>
      </c>
      <c r="G143" s="42">
        <v>0</v>
      </c>
      <c r="H143" s="9">
        <f t="shared" si="161"/>
        <v>0</v>
      </c>
      <c r="I143" s="9" t="s">
        <v>1235</v>
      </c>
      <c r="J143" s="9">
        <f t="shared" si="162"/>
        <v>0</v>
      </c>
      <c r="K143" s="9">
        <f t="shared" si="163"/>
        <v>0</v>
      </c>
      <c r="L143" s="9">
        <f t="shared" si="164"/>
        <v>0</v>
      </c>
      <c r="M143" s="11">
        <f t="shared" si="170"/>
        <v>0</v>
      </c>
      <c r="N143" s="9">
        <f t="shared" si="165"/>
        <v>0</v>
      </c>
      <c r="O143" s="12">
        <f t="shared" si="166"/>
        <v>0</v>
      </c>
      <c r="P143" s="13" t="str">
        <f t="shared" si="69"/>
        <v>NO</v>
      </c>
      <c r="Q143" s="48">
        <f t="shared" si="167"/>
        <v>0</v>
      </c>
      <c r="R143">
        <f t="shared" si="168"/>
        <v>100</v>
      </c>
      <c r="S143">
        <f t="shared" si="169"/>
        <v>0</v>
      </c>
    </row>
    <row r="144" spans="1:19" ht="15" hidden="1" customHeight="1" x14ac:dyDescent="0.3">
      <c r="A144" s="34" t="s">
        <v>1233</v>
      </c>
      <c r="B144" s="36">
        <v>100</v>
      </c>
      <c r="C144" s="29" t="s">
        <v>1251</v>
      </c>
      <c r="D144" s="29" t="str">
        <f t="shared" si="171"/>
        <v>INCLUIDO</v>
      </c>
      <c r="E144" s="27" t="s">
        <v>1186</v>
      </c>
      <c r="F144" s="43">
        <v>0</v>
      </c>
      <c r="G144" s="42">
        <v>0</v>
      </c>
      <c r="H144" s="9">
        <f t="shared" si="161"/>
        <v>0</v>
      </c>
      <c r="I144" s="9" t="s">
        <v>1235</v>
      </c>
      <c r="J144" s="9">
        <f t="shared" si="162"/>
        <v>0</v>
      </c>
      <c r="K144" s="9">
        <f t="shared" si="163"/>
        <v>0</v>
      </c>
      <c r="L144" s="9">
        <f t="shared" si="164"/>
        <v>0</v>
      </c>
      <c r="M144" s="11">
        <f t="shared" si="170"/>
        <v>0</v>
      </c>
      <c r="N144" s="9">
        <f t="shared" si="165"/>
        <v>0</v>
      </c>
      <c r="O144" s="12">
        <f t="shared" si="166"/>
        <v>0</v>
      </c>
      <c r="P144" s="13" t="str">
        <f t="shared" si="69"/>
        <v>NO</v>
      </c>
      <c r="Q144" s="48">
        <f t="shared" si="167"/>
        <v>0</v>
      </c>
      <c r="R144">
        <f t="shared" si="168"/>
        <v>100</v>
      </c>
      <c r="S144">
        <f t="shared" si="169"/>
        <v>0</v>
      </c>
    </row>
    <row r="145" spans="1:19" s="18" customFormat="1" ht="15" hidden="1" customHeight="1" x14ac:dyDescent="0.3">
      <c r="A145" s="24"/>
      <c r="B145" s="26"/>
      <c r="C145" s="15" t="s">
        <v>1177</v>
      </c>
      <c r="D145" s="38" t="str">
        <f>'Ramo Comercial'!C174</f>
        <v>INCLUIDO</v>
      </c>
      <c r="E145" s="38"/>
      <c r="F145" s="16">
        <f>SUMIF(E139:E144,"Adicional",F139:F144)</f>
        <v>0</v>
      </c>
      <c r="G145" s="17"/>
      <c r="H145" s="16">
        <f>SUM(H139:H144)</f>
        <v>0</v>
      </c>
      <c r="I145" s="16"/>
      <c r="J145" s="16">
        <f t="shared" ref="J145:L145" si="172">SUM(J139:J144)</f>
        <v>0</v>
      </c>
      <c r="K145" s="16">
        <f t="shared" si="172"/>
        <v>0</v>
      </c>
      <c r="L145" s="16">
        <f t="shared" si="172"/>
        <v>0</v>
      </c>
      <c r="M145" s="16" t="s">
        <v>1178</v>
      </c>
      <c r="N145" s="16">
        <f t="shared" ref="N145:O145" si="173">SUM(N139:N144)</f>
        <v>0</v>
      </c>
      <c r="O145" s="84">
        <f t="shared" si="173"/>
        <v>0</v>
      </c>
      <c r="P145" s="13" t="str">
        <f t="shared" si="69"/>
        <v>NO</v>
      </c>
      <c r="Q145">
        <f>IF(D145="INCLUIDO",IF(H145&lt;&gt;0,1,0),0)</f>
        <v>0</v>
      </c>
    </row>
    <row r="146" spans="1:19" ht="15" hidden="1" customHeight="1" x14ac:dyDescent="0.3">
      <c r="A146" s="82">
        <v>905</v>
      </c>
      <c r="B146" s="33">
        <v>9</v>
      </c>
      <c r="C146" s="19" t="s">
        <v>1254</v>
      </c>
      <c r="D146" s="23" t="str">
        <f>$D$100</f>
        <v>INCLUIDO</v>
      </c>
      <c r="E146" s="91"/>
      <c r="F146" s="42">
        <v>0</v>
      </c>
      <c r="G146" s="28"/>
      <c r="H146" s="28"/>
      <c r="I146" s="28"/>
      <c r="J146" s="28"/>
      <c r="K146" s="28"/>
      <c r="L146" s="28"/>
      <c r="M146" s="68">
        <v>0</v>
      </c>
      <c r="N146" s="28"/>
      <c r="O146" s="83"/>
      <c r="P146" s="13" t="str">
        <f t="shared" si="69"/>
        <v>NO</v>
      </c>
      <c r="Q146" s="48">
        <f>IF(D146="INCLUIDO",IF(F146&lt;&gt;0,1,0),0)</f>
        <v>0</v>
      </c>
    </row>
    <row r="147" spans="1:19" ht="15" hidden="1" customHeight="1" x14ac:dyDescent="0.3">
      <c r="A147" s="34" t="s">
        <v>1233</v>
      </c>
      <c r="B147" s="36">
        <v>104</v>
      </c>
      <c r="C147" s="29" t="s">
        <v>1255</v>
      </c>
      <c r="D147" s="29" t="str">
        <f>D146</f>
        <v>INCLUIDO</v>
      </c>
      <c r="E147" s="27" t="s">
        <v>1186</v>
      </c>
      <c r="F147" s="20">
        <v>0</v>
      </c>
      <c r="G147" s="21">
        <v>0</v>
      </c>
      <c r="H147" s="9">
        <f>(IF(I147="$ Prima",G147,G147*F147/R147))*$U$9</f>
        <v>0</v>
      </c>
      <c r="I147" s="9" t="s">
        <v>1235</v>
      </c>
      <c r="J147" s="9">
        <f>H147*$U$7</f>
        <v>0</v>
      </c>
      <c r="K147" s="9">
        <f>(H147+J147)*$K$15</f>
        <v>0</v>
      </c>
      <c r="L147" s="9">
        <f>ROUND(H147+J147+K147,2)</f>
        <v>0</v>
      </c>
      <c r="M147" s="11">
        <f>M146</f>
        <v>0</v>
      </c>
      <c r="N147" s="9">
        <f>H147*M147</f>
        <v>0</v>
      </c>
      <c r="O147" s="12">
        <f>N147</f>
        <v>0</v>
      </c>
      <c r="P147" s="13" t="str">
        <f t="shared" si="69"/>
        <v>NO</v>
      </c>
      <c r="Q147">
        <f>IF(D147="INCLUIDO",IF(F147&lt;&gt;0,1,0),0)</f>
        <v>0</v>
      </c>
      <c r="R147">
        <f>IF(I147="%o Al Millar",1000,IF(I147="% Al Porciento",100,IF(I147="$ Prima",G147)))</f>
        <v>100</v>
      </c>
      <c r="S147">
        <f t="shared" ref="S147" si="174">IF(E147="Excluido",0,IF(D147="NO APLICA",0,1))</f>
        <v>0</v>
      </c>
    </row>
    <row r="148" spans="1:19" s="18" customFormat="1" ht="15" hidden="1" customHeight="1" x14ac:dyDescent="0.3">
      <c r="A148" s="24"/>
      <c r="B148" s="26"/>
      <c r="C148" s="15" t="s">
        <v>1177</v>
      </c>
      <c r="D148" s="38" t="str">
        <f>D147</f>
        <v>INCLUIDO</v>
      </c>
      <c r="E148" s="38"/>
      <c r="F148" s="16">
        <f>F147</f>
        <v>0</v>
      </c>
      <c r="G148" s="17"/>
      <c r="H148" s="16">
        <f>SUM(H147)</f>
        <v>0</v>
      </c>
      <c r="I148" s="16"/>
      <c r="J148" s="16">
        <f t="shared" ref="J148:L148" si="175">SUM(J147)</f>
        <v>0</v>
      </c>
      <c r="K148" s="16">
        <f t="shared" si="175"/>
        <v>0</v>
      </c>
      <c r="L148" s="16">
        <f t="shared" si="175"/>
        <v>0</v>
      </c>
      <c r="M148" s="16" t="s">
        <v>1178</v>
      </c>
      <c r="N148" s="16">
        <f t="shared" ref="N148:O148" si="176">SUM(N147)</f>
        <v>0</v>
      </c>
      <c r="O148" s="84">
        <f t="shared" si="176"/>
        <v>0</v>
      </c>
      <c r="P148" s="13" t="str">
        <f t="shared" si="69"/>
        <v>NO</v>
      </c>
      <c r="Q148">
        <f>IF(D148="INCLUIDO",IF(H148&lt;&gt;0,1,0),0)</f>
        <v>0</v>
      </c>
    </row>
    <row r="149" spans="1:19" ht="22.5" hidden="1" customHeight="1" x14ac:dyDescent="0.3">
      <c r="A149" s="82">
        <v>905</v>
      </c>
      <c r="B149" s="33">
        <v>10</v>
      </c>
      <c r="C149" s="19" t="s">
        <v>1256</v>
      </c>
      <c r="D149" s="23" t="str">
        <f>'Ramo Comercial'!C176</f>
        <v>NO APLICA</v>
      </c>
      <c r="E149" s="91"/>
      <c r="F149" s="28"/>
      <c r="G149" s="28"/>
      <c r="H149" s="28"/>
      <c r="I149" s="28"/>
      <c r="J149" s="28"/>
      <c r="K149" s="28"/>
      <c r="L149" s="28"/>
      <c r="M149" s="68">
        <v>0</v>
      </c>
      <c r="N149" s="28"/>
      <c r="O149" s="83"/>
      <c r="P149" s="13" t="str">
        <f t="shared" si="69"/>
        <v>NO</v>
      </c>
      <c r="Q149" s="47">
        <f>IF(D149="INCLUIDO",IF(F150&lt;&gt;0,1,0),0)</f>
        <v>0</v>
      </c>
    </row>
    <row r="150" spans="1:19" ht="15" hidden="1" customHeight="1" x14ac:dyDescent="0.3">
      <c r="A150" s="34" t="s">
        <v>1233</v>
      </c>
      <c r="B150" s="36">
        <v>105</v>
      </c>
      <c r="C150" s="29" t="s">
        <v>1256</v>
      </c>
      <c r="D150" s="29" t="str">
        <f>D149</f>
        <v>NO APLICA</v>
      </c>
      <c r="E150" s="27" t="s">
        <v>1152</v>
      </c>
      <c r="F150" s="20">
        <v>0</v>
      </c>
      <c r="G150" s="21">
        <v>0</v>
      </c>
      <c r="H150" s="9">
        <f>(IF(I150="$ Prima",G150,G150*F150/R150))*$U$9</f>
        <v>0</v>
      </c>
      <c r="I150" s="9" t="s">
        <v>1153</v>
      </c>
      <c r="J150" s="9">
        <f>H150*$U$7</f>
        <v>0</v>
      </c>
      <c r="K150" s="9">
        <f>(H150+J150)*$K$15</f>
        <v>0</v>
      </c>
      <c r="L150" s="9">
        <f>ROUND(H150+J150+K150,2)</f>
        <v>0</v>
      </c>
      <c r="M150" s="11">
        <f>M149</f>
        <v>0</v>
      </c>
      <c r="N150" s="9">
        <f>H150*M150</f>
        <v>0</v>
      </c>
      <c r="O150" s="12">
        <f>N150</f>
        <v>0</v>
      </c>
      <c r="P150" s="13" t="str">
        <f t="shared" si="69"/>
        <v>NO</v>
      </c>
      <c r="Q150">
        <f>IF(D150="INCLUIDO",IF(F150&lt;&gt;0,1,0),0)</f>
        <v>0</v>
      </c>
      <c r="R150">
        <f>IF(I150="%o Al Millar",1000,IF(I150="% Al Porciento",100,IF(I150="$ Prima",G150)))</f>
        <v>1000</v>
      </c>
      <c r="S150">
        <f t="shared" ref="S150" si="177">IF(E150="Excluido",0,IF(D150="NO APLICA",0,1))</f>
        <v>0</v>
      </c>
    </row>
    <row r="151" spans="1:19" s="18" customFormat="1" ht="15" hidden="1" customHeight="1" x14ac:dyDescent="0.3">
      <c r="A151" s="24"/>
      <c r="B151" s="26"/>
      <c r="C151" s="15" t="s">
        <v>1177</v>
      </c>
      <c r="D151" s="38" t="str">
        <f>D150</f>
        <v>NO APLICA</v>
      </c>
      <c r="E151" s="38"/>
      <c r="F151" s="16">
        <f>F150</f>
        <v>0</v>
      </c>
      <c r="G151" s="17"/>
      <c r="H151" s="16">
        <f>SUM(H150)</f>
        <v>0</v>
      </c>
      <c r="I151" s="16"/>
      <c r="J151" s="16">
        <f t="shared" ref="J151:L151" si="178">SUM(J150)</f>
        <v>0</v>
      </c>
      <c r="K151" s="16">
        <f t="shared" si="178"/>
        <v>0</v>
      </c>
      <c r="L151" s="16">
        <f t="shared" si="178"/>
        <v>0</v>
      </c>
      <c r="M151" s="16" t="s">
        <v>1178</v>
      </c>
      <c r="N151" s="16">
        <f t="shared" ref="N151:O151" si="179">SUM(N150)</f>
        <v>0</v>
      </c>
      <c r="O151" s="84">
        <f t="shared" si="179"/>
        <v>0</v>
      </c>
      <c r="P151" s="13" t="str">
        <f t="shared" si="69"/>
        <v>NO</v>
      </c>
      <c r="Q151">
        <f>IF(D151="INCLUIDO",IF(H151&lt;&gt;0,1,0),0)</f>
        <v>0</v>
      </c>
    </row>
    <row r="152" spans="1:19" ht="15" hidden="1" customHeight="1" x14ac:dyDescent="0.3">
      <c r="A152" s="82">
        <v>905</v>
      </c>
      <c r="B152" s="33">
        <v>11</v>
      </c>
      <c r="C152" s="19" t="s">
        <v>1257</v>
      </c>
      <c r="D152" s="23" t="str">
        <f>'Ramo Comercial'!C177</f>
        <v>NO APLICA</v>
      </c>
      <c r="E152" s="91"/>
      <c r="F152" s="42">
        <v>0</v>
      </c>
      <c r="G152" s="28"/>
      <c r="H152" s="28"/>
      <c r="I152" s="28"/>
      <c r="J152" s="28"/>
      <c r="K152" s="28"/>
      <c r="L152" s="28"/>
      <c r="M152" s="68">
        <v>0</v>
      </c>
      <c r="N152" s="28"/>
      <c r="O152" s="83"/>
      <c r="P152" s="13" t="str">
        <f t="shared" si="69"/>
        <v>NO</v>
      </c>
      <c r="Q152" s="48">
        <f>IF(D152="INCLUIDO",IF(F152&lt;&gt;0,1,0),0)</f>
        <v>0</v>
      </c>
    </row>
    <row r="153" spans="1:19" ht="15" hidden="1" customHeight="1" x14ac:dyDescent="0.3">
      <c r="A153" s="34" t="s">
        <v>1233</v>
      </c>
      <c r="B153" s="36">
        <v>224</v>
      </c>
      <c r="C153" s="29" t="s">
        <v>1257</v>
      </c>
      <c r="D153" s="29" t="str">
        <f>D152</f>
        <v>NO APLICA</v>
      </c>
      <c r="E153" s="27" t="s">
        <v>1152</v>
      </c>
      <c r="F153" s="20">
        <f>F152</f>
        <v>0</v>
      </c>
      <c r="G153" s="21">
        <v>0</v>
      </c>
      <c r="H153" s="9">
        <f>(IF(I153="$ Prima",G153,G153*F153/R153))*$U$9</f>
        <v>0</v>
      </c>
      <c r="I153" s="9" t="s">
        <v>1235</v>
      </c>
      <c r="J153" s="9">
        <f>H153*$U$7</f>
        <v>0</v>
      </c>
      <c r="K153" s="9">
        <f>(H153+J153)*$K$15</f>
        <v>0</v>
      </c>
      <c r="L153" s="9">
        <f>ROUND(H153+J153+K153,2)</f>
        <v>0</v>
      </c>
      <c r="M153" s="11">
        <f>M152</f>
        <v>0</v>
      </c>
      <c r="N153" s="9">
        <f>H153*M153</f>
        <v>0</v>
      </c>
      <c r="O153" s="12">
        <f>N153</f>
        <v>0</v>
      </c>
      <c r="P153" s="13" t="str">
        <f t="shared" si="69"/>
        <v>NO</v>
      </c>
      <c r="Q153">
        <f>IF(D153="INCLUIDO",IF(F153&lt;&gt;0,1,0),0)</f>
        <v>0</v>
      </c>
      <c r="R153">
        <f>IF(I153="%o Al Millar",1000,IF(I153="% Al Porciento",100,IF(I153="$ Prima",G153)))</f>
        <v>100</v>
      </c>
      <c r="S153">
        <f t="shared" ref="S153" si="180">IF(E153="Excluido",0,IF(D153="NO APLICA",0,1))</f>
        <v>0</v>
      </c>
    </row>
    <row r="154" spans="1:19" s="18" customFormat="1" ht="15" hidden="1" customHeight="1" x14ac:dyDescent="0.3">
      <c r="A154" s="24"/>
      <c r="B154" s="26"/>
      <c r="C154" s="15" t="s">
        <v>1177</v>
      </c>
      <c r="D154" s="38" t="str">
        <f>D153</f>
        <v>NO APLICA</v>
      </c>
      <c r="E154" s="38"/>
      <c r="F154" s="16">
        <f>F153</f>
        <v>0</v>
      </c>
      <c r="G154" s="17"/>
      <c r="H154" s="16">
        <f>SUM(H153)</f>
        <v>0</v>
      </c>
      <c r="I154" s="16"/>
      <c r="J154" s="16">
        <f t="shared" ref="J154:L154" si="181">SUM(J153)</f>
        <v>0</v>
      </c>
      <c r="K154" s="16">
        <f t="shared" si="181"/>
        <v>0</v>
      </c>
      <c r="L154" s="16">
        <f t="shared" si="181"/>
        <v>0</v>
      </c>
      <c r="M154" s="16" t="s">
        <v>1178</v>
      </c>
      <c r="N154" s="16">
        <f t="shared" ref="N154:O154" si="182">SUM(N153)</f>
        <v>0</v>
      </c>
      <c r="O154" s="84">
        <f t="shared" si="182"/>
        <v>0</v>
      </c>
      <c r="P154" s="13" t="str">
        <f t="shared" si="69"/>
        <v>NO</v>
      </c>
      <c r="Q154">
        <f>IF(D154="INCLUIDO",IF(H154&lt;&gt;0,1,0),0)</f>
        <v>0</v>
      </c>
    </row>
    <row r="155" spans="1:19" ht="15" hidden="1" customHeight="1" x14ac:dyDescent="0.3">
      <c r="A155" s="82">
        <v>905</v>
      </c>
      <c r="B155" s="33">
        <v>12</v>
      </c>
      <c r="C155" s="19" t="s">
        <v>1258</v>
      </c>
      <c r="D155" s="23" t="str">
        <f>'Ramo Comercial'!C181</f>
        <v>NO APLICA</v>
      </c>
      <c r="E155" s="91"/>
      <c r="F155" s="97">
        <f>F154</f>
        <v>0</v>
      </c>
      <c r="G155" s="28"/>
      <c r="H155" s="28"/>
      <c r="I155" s="28"/>
      <c r="J155" s="28"/>
      <c r="K155" s="28"/>
      <c r="L155" s="28"/>
      <c r="M155" s="68">
        <v>0</v>
      </c>
      <c r="N155" s="28"/>
      <c r="O155" s="83"/>
      <c r="P155" s="13" t="str">
        <f t="shared" ref="P155:P218" si="183">IF(Q155=1,"SI","NO")</f>
        <v>NO</v>
      </c>
      <c r="Q155" s="47">
        <f>IF(D155="INCLUIDO",IF(F156&lt;&gt;0,1,0),0)</f>
        <v>0</v>
      </c>
    </row>
    <row r="156" spans="1:19" ht="15" hidden="1" customHeight="1" x14ac:dyDescent="0.3">
      <c r="A156" s="34" t="s">
        <v>1233</v>
      </c>
      <c r="B156" s="36">
        <v>259</v>
      </c>
      <c r="C156" s="29" t="s">
        <v>1258</v>
      </c>
      <c r="D156" s="29" t="str">
        <f>D155</f>
        <v>NO APLICA</v>
      </c>
      <c r="E156" s="27" t="s">
        <v>1152</v>
      </c>
      <c r="F156" s="20">
        <v>0</v>
      </c>
      <c r="G156" s="21">
        <v>0</v>
      </c>
      <c r="H156" s="9">
        <f>(IF(I156="$ Prima",G156,G156*F156/R156))*$U$9</f>
        <v>0</v>
      </c>
      <c r="I156" s="9" t="s">
        <v>1235</v>
      </c>
      <c r="J156" s="9">
        <f>H156*$U$7</f>
        <v>0</v>
      </c>
      <c r="K156" s="9">
        <f>(H156+J156)*$K$15</f>
        <v>0</v>
      </c>
      <c r="L156" s="9">
        <f>ROUND(H156+J156+K156,2)</f>
        <v>0</v>
      </c>
      <c r="M156" s="11">
        <f>M155</f>
        <v>0</v>
      </c>
      <c r="N156" s="9">
        <f>H156*M156</f>
        <v>0</v>
      </c>
      <c r="O156" s="12">
        <f>N156</f>
        <v>0</v>
      </c>
      <c r="P156" s="13" t="str">
        <f t="shared" si="183"/>
        <v>NO</v>
      </c>
      <c r="Q156">
        <f>IF(D156="INCLUIDO",IF(F156&lt;&gt;0,1,0),0)</f>
        <v>0</v>
      </c>
      <c r="R156">
        <f>IF(I156="%o Al Millar",1000,IF(I156="% Al Porciento",100,IF(I156="$ Prima",G156)))</f>
        <v>100</v>
      </c>
      <c r="S156">
        <f t="shared" ref="S156" si="184">IF(E156="Excluido",0,IF(D156="NO APLICA",0,1))</f>
        <v>0</v>
      </c>
    </row>
    <row r="157" spans="1:19" s="18" customFormat="1" ht="15" hidden="1" customHeight="1" x14ac:dyDescent="0.3">
      <c r="A157" s="24"/>
      <c r="B157" s="26"/>
      <c r="C157" s="15" t="s">
        <v>1177</v>
      </c>
      <c r="D157" s="38" t="str">
        <f>D156</f>
        <v>NO APLICA</v>
      </c>
      <c r="E157" s="38"/>
      <c r="F157" s="16">
        <f>F156</f>
        <v>0</v>
      </c>
      <c r="G157" s="17"/>
      <c r="H157" s="16">
        <f>SUM(H156)</f>
        <v>0</v>
      </c>
      <c r="I157" s="16"/>
      <c r="J157" s="16">
        <f t="shared" ref="J157:L157" si="185">SUM(J156)</f>
        <v>0</v>
      </c>
      <c r="K157" s="16">
        <f t="shared" si="185"/>
        <v>0</v>
      </c>
      <c r="L157" s="16">
        <f t="shared" si="185"/>
        <v>0</v>
      </c>
      <c r="M157" s="16" t="s">
        <v>1178</v>
      </c>
      <c r="N157" s="16">
        <f t="shared" ref="N157:O157" si="186">SUM(N156)</f>
        <v>0</v>
      </c>
      <c r="O157" s="84">
        <f t="shared" si="186"/>
        <v>0</v>
      </c>
      <c r="P157" s="13" t="str">
        <f t="shared" si="183"/>
        <v>NO</v>
      </c>
      <c r="Q157">
        <f>IF(D157="INCLUIDO",IF(H157&lt;&gt;0,1,0),0)</f>
        <v>0</v>
      </c>
    </row>
    <row r="158" spans="1:19" ht="15" hidden="1" customHeight="1" x14ac:dyDescent="0.3">
      <c r="A158" s="82">
        <v>905</v>
      </c>
      <c r="B158" s="33">
        <v>13</v>
      </c>
      <c r="C158" s="19" t="s">
        <v>1259</v>
      </c>
      <c r="D158" s="23" t="str">
        <f>'Ramo Comercial'!C180</f>
        <v>INCLUIDO</v>
      </c>
      <c r="E158" s="91"/>
      <c r="F158" s="42">
        <v>0</v>
      </c>
      <c r="G158" s="28"/>
      <c r="H158" s="28"/>
      <c r="I158" s="28"/>
      <c r="J158" s="28"/>
      <c r="K158" s="28"/>
      <c r="L158" s="28"/>
      <c r="M158" s="68">
        <v>0</v>
      </c>
      <c r="N158" s="28"/>
      <c r="O158" s="83"/>
      <c r="P158" s="13" t="str">
        <f t="shared" si="183"/>
        <v>NO</v>
      </c>
      <c r="Q158" s="48">
        <f>IF(D158="INCLUIDO",IF(F158&lt;&gt;0,1,0),0)</f>
        <v>0</v>
      </c>
    </row>
    <row r="159" spans="1:19" ht="15" hidden="1" customHeight="1" x14ac:dyDescent="0.3">
      <c r="A159" s="34" t="s">
        <v>1233</v>
      </c>
      <c r="B159" s="36">
        <v>260</v>
      </c>
      <c r="C159" s="29" t="s">
        <v>1259</v>
      </c>
      <c r="D159" s="29" t="str">
        <f>D158</f>
        <v>INCLUIDO</v>
      </c>
      <c r="E159" s="27" t="s">
        <v>1186</v>
      </c>
      <c r="F159" s="20">
        <f>F158</f>
        <v>0</v>
      </c>
      <c r="G159" s="21">
        <v>0</v>
      </c>
      <c r="H159" s="9">
        <f>(IF(I159="$ Prima",G159,G159*F159/R159))*$U$9</f>
        <v>0</v>
      </c>
      <c r="I159" s="9" t="s">
        <v>1235</v>
      </c>
      <c r="J159" s="9">
        <f>H159*$U$7</f>
        <v>0</v>
      </c>
      <c r="K159" s="9">
        <f>(H159+J159)*$K$15</f>
        <v>0</v>
      </c>
      <c r="L159" s="9">
        <f>ROUND(H159+J159+K159,2)</f>
        <v>0</v>
      </c>
      <c r="M159" s="11">
        <f>M158</f>
        <v>0</v>
      </c>
      <c r="N159" s="9">
        <f>H159*M159</f>
        <v>0</v>
      </c>
      <c r="O159" s="12">
        <f>N159</f>
        <v>0</v>
      </c>
      <c r="P159" s="13" t="str">
        <f t="shared" si="183"/>
        <v>NO</v>
      </c>
      <c r="Q159">
        <f>IF(D159="INCLUIDO",IF(F159&lt;&gt;0,1,0),0)</f>
        <v>0</v>
      </c>
      <c r="R159">
        <f>IF(I159="%o Al Millar",1000,IF(I159="% Al Porciento",100,IF(I159="$ Prima",G159)))</f>
        <v>100</v>
      </c>
      <c r="S159">
        <f t="shared" ref="S159" si="187">IF(E159="Excluido",0,IF(D159="NO APLICA",0,1))</f>
        <v>0</v>
      </c>
    </row>
    <row r="160" spans="1:19" s="18" customFormat="1" ht="15" hidden="1" customHeight="1" thickBot="1" x14ac:dyDescent="0.35">
      <c r="A160" s="24"/>
      <c r="B160" s="26"/>
      <c r="C160" s="15" t="s">
        <v>1177</v>
      </c>
      <c r="D160" s="38" t="str">
        <f>D159</f>
        <v>INCLUIDO</v>
      </c>
      <c r="E160" s="38"/>
      <c r="F160" s="16">
        <f>F159</f>
        <v>0</v>
      </c>
      <c r="G160" s="17"/>
      <c r="H160" s="16">
        <f>SUM(H159)</f>
        <v>0</v>
      </c>
      <c r="I160" s="16"/>
      <c r="J160" s="16">
        <f t="shared" ref="J160:L160" si="188">SUM(J159)</f>
        <v>0</v>
      </c>
      <c r="K160" s="16">
        <f t="shared" si="188"/>
        <v>0</v>
      </c>
      <c r="L160" s="16">
        <f t="shared" si="188"/>
        <v>0</v>
      </c>
      <c r="M160" s="16" t="s">
        <v>1178</v>
      </c>
      <c r="N160" s="16">
        <f t="shared" ref="N160:O160" si="189">SUM(N159)</f>
        <v>0</v>
      </c>
      <c r="O160" s="84">
        <f t="shared" si="189"/>
        <v>0</v>
      </c>
      <c r="P160" s="13" t="str">
        <f t="shared" si="183"/>
        <v>NO</v>
      </c>
      <c r="Q160">
        <f>IF(D160="INCLUIDO",IF(H160&lt;&gt;0,1,0),0)</f>
        <v>0</v>
      </c>
    </row>
    <row r="161" spans="1:22" ht="21" hidden="1" customHeight="1" thickBot="1" x14ac:dyDescent="0.35">
      <c r="A161" s="82">
        <v>906</v>
      </c>
      <c r="B161" s="33">
        <v>1</v>
      </c>
      <c r="C161" s="19" t="s">
        <v>1260</v>
      </c>
      <c r="D161" s="23" t="str">
        <f>'Ramo Comercial'!C138</f>
        <v>INCLUIDO</v>
      </c>
      <c r="E161" s="91"/>
      <c r="F161" s="132">
        <f>'COTIZACIÓN M.N.'!D75</f>
        <v>0</v>
      </c>
      <c r="G161" s="132">
        <f>'COTIZACIÓN M.N.'!E75</f>
        <v>1.6</v>
      </c>
      <c r="H161" s="28"/>
      <c r="I161" s="28"/>
      <c r="J161" s="28"/>
      <c r="K161" s="28"/>
      <c r="L161" s="28"/>
      <c r="M161" s="68">
        <v>5.8000000000000003E-2</v>
      </c>
      <c r="N161" s="28"/>
      <c r="O161" s="83"/>
      <c r="P161" s="13" t="str">
        <f t="shared" si="183"/>
        <v>NO</v>
      </c>
      <c r="Q161" s="48">
        <f>IF(D161="INCLUIDO",IF(F161&lt;&gt;0,1,0),0)</f>
        <v>0</v>
      </c>
      <c r="T161" s="155">
        <f>G161</f>
        <v>1.6</v>
      </c>
    </row>
    <row r="162" spans="1:22" ht="15" hidden="1" customHeight="1" x14ac:dyDescent="0.3">
      <c r="A162" s="34" t="s">
        <v>1261</v>
      </c>
      <c r="B162" s="36">
        <v>107</v>
      </c>
      <c r="C162" s="29" t="s">
        <v>1151</v>
      </c>
      <c r="D162" s="29" t="str">
        <f>D161</f>
        <v>INCLUIDO</v>
      </c>
      <c r="E162" s="27" t="s">
        <v>1152</v>
      </c>
      <c r="F162" s="20">
        <f>$F$161*S162</f>
        <v>0</v>
      </c>
      <c r="G162" s="21">
        <f>V162</f>
        <v>1.1200000000000001</v>
      </c>
      <c r="H162" s="9">
        <f t="shared" ref="H162:H165" si="190">(IF(I162="$ Prima",G162,G162*F162/R162))*$U$9</f>
        <v>0</v>
      </c>
      <c r="I162" s="9" t="s">
        <v>1153</v>
      </c>
      <c r="J162" s="9">
        <f t="shared" ref="J162:J165" si="191">H162*$U$7</f>
        <v>0</v>
      </c>
      <c r="K162" s="9">
        <f t="shared" ref="K162:K165" si="192">(H162+J162)*$K$15</f>
        <v>0</v>
      </c>
      <c r="L162" s="9">
        <f t="shared" ref="L162:L165" si="193">ROUND(H162+J162+K162,2)</f>
        <v>0</v>
      </c>
      <c r="M162" s="11">
        <f>$M$161</f>
        <v>5.8000000000000003E-2</v>
      </c>
      <c r="N162" s="9">
        <f t="shared" ref="N162:N165" si="194">H162*M162</f>
        <v>0</v>
      </c>
      <c r="O162" s="12">
        <f t="shared" ref="O162:O165" si="195">N162</f>
        <v>0</v>
      </c>
      <c r="P162" s="13" t="str">
        <f t="shared" si="183"/>
        <v>NO</v>
      </c>
      <c r="Q162">
        <f>IF(D162="INCLUIDO",IF(F162&lt;&gt;0,1,0),0)</f>
        <v>0</v>
      </c>
      <c r="R162">
        <f>IF(I162="%o Al Millar",1000,IF(I162="% Al Porciento",100,IF(I162="$ Prima",G162)))</f>
        <v>1000</v>
      </c>
      <c r="S162">
        <f t="shared" ref="S162:S165" si="196">IF(E162="Excluido",0,IF(D162="NO APLICA",0,1))</f>
        <v>1</v>
      </c>
      <c r="T162" s="156">
        <v>0.7</v>
      </c>
      <c r="U162" s="157">
        <f>IF(E162="Excluido",0,T161*T162)</f>
        <v>1.1199999999999999</v>
      </c>
      <c r="V162" s="158">
        <f>IF(D161="NO APLICA",0,(U166-U164)+(T161-U166))</f>
        <v>1.1200000000000001</v>
      </c>
    </row>
    <row r="163" spans="1:22" ht="15" hidden="1" customHeight="1" x14ac:dyDescent="0.3">
      <c r="A163" s="34" t="s">
        <v>1261</v>
      </c>
      <c r="B163" s="36"/>
      <c r="C163" s="81">
        <f>$O$12</f>
        <v>0</v>
      </c>
      <c r="D163" s="29" t="str">
        <f t="shared" ref="D163:D175" si="197">$D$161</f>
        <v>INCLUIDO</v>
      </c>
      <c r="E163" s="27" t="s">
        <v>1186</v>
      </c>
      <c r="F163" s="9">
        <f>(F162*$O$12)*S163</f>
        <v>0</v>
      </c>
      <c r="G163" s="10">
        <f>G162*0.35</f>
        <v>0.39200000000000002</v>
      </c>
      <c r="H163" s="9">
        <f t="shared" si="190"/>
        <v>0</v>
      </c>
      <c r="I163" s="9" t="s">
        <v>1153</v>
      </c>
      <c r="J163" s="9">
        <f t="shared" si="191"/>
        <v>0</v>
      </c>
      <c r="K163" s="9">
        <f t="shared" si="192"/>
        <v>0</v>
      </c>
      <c r="L163" s="9">
        <f t="shared" si="193"/>
        <v>0</v>
      </c>
      <c r="M163" s="11">
        <f t="shared" ref="M163:M165" si="198">$M$161</f>
        <v>5.8000000000000003E-2</v>
      </c>
      <c r="N163" s="9">
        <f t="shared" si="194"/>
        <v>0</v>
      </c>
      <c r="O163" s="12">
        <f t="shared" si="195"/>
        <v>0</v>
      </c>
      <c r="P163" s="13" t="str">
        <f t="shared" si="183"/>
        <v>NO</v>
      </c>
      <c r="Q163">
        <f>IF(D163="INCLUIDO",IF(F163&lt;&gt;0,1,0),0)</f>
        <v>0</v>
      </c>
      <c r="R163">
        <f>IF(I163="%o Al Millar",1000,IF(I163="% Al Porciento",100,IF(I163="$ Prima",G163)))</f>
        <v>1000</v>
      </c>
      <c r="S163">
        <f t="shared" si="196"/>
        <v>0</v>
      </c>
      <c r="T163" s="152"/>
      <c r="U163" s="159"/>
      <c r="V163" s="160"/>
    </row>
    <row r="164" spans="1:22" ht="15" hidden="1" customHeight="1" x14ac:dyDescent="0.3">
      <c r="A164" s="34" t="s">
        <v>1261</v>
      </c>
      <c r="B164" s="36">
        <v>106</v>
      </c>
      <c r="C164" s="29" t="s">
        <v>1262</v>
      </c>
      <c r="D164" s="29" t="str">
        <f t="shared" si="197"/>
        <v>INCLUIDO</v>
      </c>
      <c r="E164" s="27" t="s">
        <v>1137</v>
      </c>
      <c r="F164" s="20">
        <f>$F$161*S164</f>
        <v>0</v>
      </c>
      <c r="G164" s="21">
        <f>V164</f>
        <v>0</v>
      </c>
      <c r="H164" s="9">
        <f t="shared" si="190"/>
        <v>0</v>
      </c>
      <c r="I164" s="9" t="s">
        <v>1153</v>
      </c>
      <c r="J164" s="9">
        <f t="shared" si="191"/>
        <v>0</v>
      </c>
      <c r="K164" s="9">
        <f t="shared" si="192"/>
        <v>0</v>
      </c>
      <c r="L164" s="9">
        <f t="shared" si="193"/>
        <v>0</v>
      </c>
      <c r="M164" s="11">
        <f t="shared" si="198"/>
        <v>5.8000000000000003E-2</v>
      </c>
      <c r="N164" s="9">
        <f t="shared" si="194"/>
        <v>0</v>
      </c>
      <c r="O164" s="12">
        <f t="shared" si="195"/>
        <v>0</v>
      </c>
      <c r="P164" s="13" t="str">
        <f t="shared" si="183"/>
        <v>NO</v>
      </c>
      <c r="Q164">
        <f>IF(D164="INCLUIDO",IF(F164&lt;&gt;0,1,0),0)</f>
        <v>0</v>
      </c>
      <c r="R164">
        <f>IF(I164="%o Al Millar",1000,IF(I164="% Al Porciento",100,IF(I164="$ Prima",G164)))</f>
        <v>1000</v>
      </c>
      <c r="S164">
        <f t="shared" si="196"/>
        <v>1</v>
      </c>
      <c r="T164" s="152">
        <v>0.3</v>
      </c>
      <c r="U164" s="159">
        <f>IF(E164="Excluido",0,$T$161*T164)</f>
        <v>0.48</v>
      </c>
      <c r="V164" s="160">
        <f>IF($F164=0,0,U164)</f>
        <v>0</v>
      </c>
    </row>
    <row r="165" spans="1:22" ht="15" hidden="1" customHeight="1" thickBot="1" x14ac:dyDescent="0.35">
      <c r="A165" s="34" t="s">
        <v>1261</v>
      </c>
      <c r="B165" s="36"/>
      <c r="C165" s="81">
        <f>$O$12</f>
        <v>0</v>
      </c>
      <c r="D165" s="29" t="str">
        <f t="shared" si="197"/>
        <v>INCLUIDO</v>
      </c>
      <c r="E165" s="27" t="s">
        <v>1186</v>
      </c>
      <c r="F165" s="9">
        <f>(F164*$O$12)*S165</f>
        <v>0</v>
      </c>
      <c r="G165" s="10">
        <f>G164*0.35</f>
        <v>0</v>
      </c>
      <c r="H165" s="9">
        <f t="shared" si="190"/>
        <v>0</v>
      </c>
      <c r="I165" s="9" t="s">
        <v>1153</v>
      </c>
      <c r="J165" s="9">
        <f t="shared" si="191"/>
        <v>0</v>
      </c>
      <c r="K165" s="9">
        <f t="shared" si="192"/>
        <v>0</v>
      </c>
      <c r="L165" s="9">
        <f t="shared" si="193"/>
        <v>0</v>
      </c>
      <c r="M165" s="11">
        <f t="shared" si="198"/>
        <v>5.8000000000000003E-2</v>
      </c>
      <c r="N165" s="9">
        <f t="shared" si="194"/>
        <v>0</v>
      </c>
      <c r="O165" s="12">
        <f t="shared" si="195"/>
        <v>0</v>
      </c>
      <c r="P165" s="13" t="str">
        <f t="shared" si="183"/>
        <v>NO</v>
      </c>
      <c r="Q165">
        <f>IF(D165="INCLUIDO",IF(F165&lt;&gt;0,1,0),0)</f>
        <v>0</v>
      </c>
      <c r="R165">
        <f>IF(I165="%o Al Millar",1000,IF(I165="% Al Porciento",100,IF(I165="$ Prima",G165)))</f>
        <v>1000</v>
      </c>
      <c r="S165">
        <f t="shared" si="196"/>
        <v>0</v>
      </c>
      <c r="T165" s="154"/>
      <c r="V165" s="153"/>
    </row>
    <row r="166" spans="1:22" s="18" customFormat="1" ht="15" hidden="1" customHeight="1" thickBot="1" x14ac:dyDescent="0.35">
      <c r="A166" s="24"/>
      <c r="B166" s="26"/>
      <c r="C166" s="15" t="s">
        <v>1177</v>
      </c>
      <c r="D166" s="38" t="str">
        <f>D165</f>
        <v>INCLUIDO</v>
      </c>
      <c r="E166" s="38"/>
      <c r="F166" s="16">
        <f>SUMIF(E162:E165,"Adicional",F162:F165)</f>
        <v>0</v>
      </c>
      <c r="G166" s="17"/>
      <c r="H166" s="16">
        <f>SUM(H162:H165)</f>
        <v>0</v>
      </c>
      <c r="I166" s="16"/>
      <c r="J166" s="16">
        <f t="shared" ref="J166:L166" si="199">SUM(J162:J165)</f>
        <v>0</v>
      </c>
      <c r="K166" s="16">
        <f t="shared" si="199"/>
        <v>0</v>
      </c>
      <c r="L166" s="16">
        <f t="shared" si="199"/>
        <v>0</v>
      </c>
      <c r="M166" s="16" t="s">
        <v>1178</v>
      </c>
      <c r="N166" s="16">
        <f t="shared" ref="N166:O166" si="200">SUM(N162:N165)</f>
        <v>0</v>
      </c>
      <c r="O166" s="84">
        <f t="shared" si="200"/>
        <v>0</v>
      </c>
      <c r="P166" s="13" t="str">
        <f t="shared" si="183"/>
        <v>NO</v>
      </c>
      <c r="Q166">
        <f>IF(D166="INCLUIDO",IF(H166&lt;&gt;0,1,0),0)</f>
        <v>0</v>
      </c>
      <c r="T166" s="161">
        <f>SUM(T162:T165)</f>
        <v>1</v>
      </c>
      <c r="U166" s="162">
        <f>SUM(U162:U164)</f>
        <v>1.5999999999999999</v>
      </c>
      <c r="V166" s="163">
        <f>SUM(V162:V164)</f>
        <v>1.1200000000000001</v>
      </c>
    </row>
    <row r="167" spans="1:22" ht="15" thickBot="1" x14ac:dyDescent="0.35">
      <c r="A167" s="82">
        <v>906</v>
      </c>
      <c r="B167" s="33">
        <v>2</v>
      </c>
      <c r="C167" s="19" t="s">
        <v>1263</v>
      </c>
      <c r="D167" s="23" t="str">
        <f>'Ramo Comercial'!C139</f>
        <v>INCLUIDO</v>
      </c>
      <c r="E167" s="91"/>
      <c r="F167" s="132">
        <f>'COTIZACIÓN M.N.'!D73</f>
        <v>250000</v>
      </c>
      <c r="G167" s="132">
        <f>'COTIZACIÓN M.N.'!E73/'Ubicaciones total (2)'!A366</f>
        <v>1.3736263736263736E-2</v>
      </c>
      <c r="H167" s="28"/>
      <c r="I167" s="28"/>
      <c r="J167" s="28"/>
      <c r="K167" s="28"/>
      <c r="L167" s="28"/>
      <c r="M167" s="68">
        <v>0.1</v>
      </c>
      <c r="N167" s="28"/>
      <c r="O167" s="83"/>
      <c r="P167" s="13" t="str">
        <f t="shared" si="183"/>
        <v>SI</v>
      </c>
      <c r="Q167" s="48">
        <f>IF(D167="INCLUIDO",IF(F167&lt;&gt;0,1,0),0)</f>
        <v>1</v>
      </c>
      <c r="T167" s="142">
        <f>G167</f>
        <v>1.3736263736263736E-2</v>
      </c>
      <c r="U167" s="150"/>
      <c r="V167" s="151"/>
    </row>
    <row r="168" spans="1:22" x14ac:dyDescent="0.3">
      <c r="A168" s="34" t="s">
        <v>1261</v>
      </c>
      <c r="B168" s="36">
        <v>110</v>
      </c>
      <c r="C168" s="29" t="s">
        <v>1151</v>
      </c>
      <c r="D168" s="29" t="str">
        <f>D167</f>
        <v>INCLUIDO</v>
      </c>
      <c r="E168" s="27" t="s">
        <v>1152</v>
      </c>
      <c r="F168" s="20">
        <f>$F$167*S168</f>
        <v>250000</v>
      </c>
      <c r="G168" s="21">
        <f>V168</f>
        <v>9.6153846153846159E-3</v>
      </c>
      <c r="H168" s="9">
        <f t="shared" ref="H168:H171" si="201">(IF(I168="$ Prima",G168,G168*F168/R168))*$U$9</f>
        <v>2.4038461538461537</v>
      </c>
      <c r="I168" s="9" t="s">
        <v>1153</v>
      </c>
      <c r="J168" s="9">
        <f t="shared" ref="J168:J171" si="202">H168*$U$7</f>
        <v>5.0721153846153846E-2</v>
      </c>
      <c r="K168" s="9">
        <f t="shared" ref="K168:K171" si="203">(H168+J168)*$K$15</f>
        <v>0.39273076923076922</v>
      </c>
      <c r="L168" s="9">
        <f t="shared" ref="L168:L171" si="204">ROUND(H168+J168+K168,2)</f>
        <v>2.85</v>
      </c>
      <c r="M168" s="11">
        <f>$M$167</f>
        <v>0.1</v>
      </c>
      <c r="N168" s="9">
        <f t="shared" ref="N168:N171" si="205">H168*M168</f>
        <v>0.24038461538461539</v>
      </c>
      <c r="O168" s="12">
        <f t="shared" ref="O168:O171" si="206">N168</f>
        <v>0.24038461538461539</v>
      </c>
      <c r="P168" s="13" t="str">
        <f t="shared" si="183"/>
        <v>SI</v>
      </c>
      <c r="Q168">
        <f>IF(D168="INCLUIDO",IF(F168&lt;&gt;0,1,0),0)</f>
        <v>1</v>
      </c>
      <c r="R168">
        <f>IF(I168="%o Al Millar",1000,IF(I168="% Al Porciento",100,IF(I168="$ Prima",G168)))</f>
        <v>1000</v>
      </c>
      <c r="S168">
        <f t="shared" ref="S168:S171" si="207">IF(E168="Excluido",0,IF(D168="NO APLICA",0,1))</f>
        <v>1</v>
      </c>
      <c r="T168" s="152">
        <v>0.7</v>
      </c>
      <c r="U168" s="159">
        <f>IF(E168="Excluido",0,T167*T168)</f>
        <v>9.6153846153846142E-3</v>
      </c>
      <c r="V168" s="160">
        <f>IF(D167="NO APLICA",0,(U172-U170)+(T167-U172))</f>
        <v>9.6153846153846159E-3</v>
      </c>
    </row>
    <row r="169" spans="1:22" hidden="1" x14ac:dyDescent="0.3">
      <c r="A169" s="34" t="s">
        <v>1261</v>
      </c>
      <c r="B169" s="36"/>
      <c r="C169" s="81">
        <f>$O$12</f>
        <v>0</v>
      </c>
      <c r="D169" s="29" t="str">
        <f t="shared" si="197"/>
        <v>INCLUIDO</v>
      </c>
      <c r="E169" s="27" t="s">
        <v>1186</v>
      </c>
      <c r="F169" s="9">
        <f>(F168*$O$12)*S169</f>
        <v>0</v>
      </c>
      <c r="G169" s="10">
        <f>G168*0.35</f>
        <v>3.3653846153846156E-3</v>
      </c>
      <c r="H169" s="9">
        <f t="shared" si="201"/>
        <v>0</v>
      </c>
      <c r="I169" s="9" t="s">
        <v>1153</v>
      </c>
      <c r="J169" s="9">
        <f t="shared" si="202"/>
        <v>0</v>
      </c>
      <c r="K169" s="9">
        <f t="shared" si="203"/>
        <v>0</v>
      </c>
      <c r="L169" s="9">
        <f t="shared" si="204"/>
        <v>0</v>
      </c>
      <c r="M169" s="11">
        <f>M168</f>
        <v>0.1</v>
      </c>
      <c r="N169" s="9">
        <f t="shared" si="205"/>
        <v>0</v>
      </c>
      <c r="O169" s="12">
        <f t="shared" si="206"/>
        <v>0</v>
      </c>
      <c r="P169" s="13" t="str">
        <f t="shared" si="183"/>
        <v>NO</v>
      </c>
      <c r="Q169">
        <f>IF(D169="INCLUIDO",IF(F169&lt;&gt;0,1,0),0)</f>
        <v>0</v>
      </c>
      <c r="R169">
        <f>IF(I169="%o Al Millar",1000,IF(I169="% Al Porciento",100,IF(I169="$ Prima",G169)))</f>
        <v>1000</v>
      </c>
      <c r="S169">
        <f t="shared" si="207"/>
        <v>0</v>
      </c>
      <c r="T169" s="152"/>
      <c r="U169" s="159"/>
      <c r="V169" s="160"/>
    </row>
    <row r="170" spans="1:22" ht="15" customHeight="1" thickBot="1" x14ac:dyDescent="0.35">
      <c r="A170" s="34" t="s">
        <v>1261</v>
      </c>
      <c r="B170" s="36">
        <v>109</v>
      </c>
      <c r="C170" s="29" t="s">
        <v>1262</v>
      </c>
      <c r="D170" s="29" t="str">
        <f>D167</f>
        <v>INCLUIDO</v>
      </c>
      <c r="E170" s="27" t="s">
        <v>1137</v>
      </c>
      <c r="F170" s="20">
        <f>$F$167*S170</f>
        <v>250000</v>
      </c>
      <c r="G170" s="21">
        <f>V170</f>
        <v>4.120879120879121E-3</v>
      </c>
      <c r="H170" s="9">
        <f t="shared" si="201"/>
        <v>1.0302197802197801</v>
      </c>
      <c r="I170" s="9" t="s">
        <v>1153</v>
      </c>
      <c r="J170" s="9">
        <f t="shared" si="202"/>
        <v>2.1737637362637362E-2</v>
      </c>
      <c r="K170" s="9">
        <f t="shared" si="203"/>
        <v>0.16831318681318683</v>
      </c>
      <c r="L170" s="9">
        <f t="shared" si="204"/>
        <v>1.22</v>
      </c>
      <c r="M170" s="11">
        <f t="shared" ref="M170:M171" si="208">$M$167</f>
        <v>0.1</v>
      </c>
      <c r="N170" s="9">
        <f t="shared" si="205"/>
        <v>0.10302197802197802</v>
      </c>
      <c r="O170" s="12">
        <f t="shared" si="206"/>
        <v>0.10302197802197802</v>
      </c>
      <c r="P170" s="13" t="str">
        <f t="shared" si="183"/>
        <v>SI</v>
      </c>
      <c r="Q170">
        <f>IF(D170="INCLUIDO",IF(F170&lt;&gt;0,1,0),0)</f>
        <v>1</v>
      </c>
      <c r="R170">
        <f>IF(I170="%o Al Millar",1000,IF(I170="% Al Porciento",100,IF(I170="$ Prima",G170)))</f>
        <v>1000</v>
      </c>
      <c r="S170">
        <f t="shared" si="207"/>
        <v>1</v>
      </c>
      <c r="T170" s="152">
        <v>0.3</v>
      </c>
      <c r="U170" s="159">
        <f>IF(E170="Excluido",0,$T$167*T170)</f>
        <v>4.120879120879121E-3</v>
      </c>
      <c r="V170" s="160">
        <f>IF($F170=0,0,U170)</f>
        <v>4.120879120879121E-3</v>
      </c>
    </row>
    <row r="171" spans="1:22" ht="15" hidden="1" customHeight="1" thickBot="1" x14ac:dyDescent="0.35">
      <c r="A171" s="34" t="s">
        <v>1261</v>
      </c>
      <c r="B171" s="36"/>
      <c r="C171" s="81">
        <f>$O$12</f>
        <v>0</v>
      </c>
      <c r="D171" s="29" t="str">
        <f>D167</f>
        <v>INCLUIDO</v>
      </c>
      <c r="E171" s="27" t="s">
        <v>1186</v>
      </c>
      <c r="F171" s="9">
        <f>(F170*$O$12)*S171</f>
        <v>0</v>
      </c>
      <c r="G171" s="10">
        <f>G170*0.35</f>
        <v>1.4423076923076922E-3</v>
      </c>
      <c r="H171" s="9">
        <f t="shared" si="201"/>
        <v>0</v>
      </c>
      <c r="I171" s="9" t="s">
        <v>1153</v>
      </c>
      <c r="J171" s="9">
        <f t="shared" si="202"/>
        <v>0</v>
      </c>
      <c r="K171" s="9">
        <f t="shared" si="203"/>
        <v>0</v>
      </c>
      <c r="L171" s="9">
        <f t="shared" si="204"/>
        <v>0</v>
      </c>
      <c r="M171" s="11">
        <f t="shared" si="208"/>
        <v>0.1</v>
      </c>
      <c r="N171" s="9">
        <f t="shared" si="205"/>
        <v>0</v>
      </c>
      <c r="O171" s="12">
        <f t="shared" si="206"/>
        <v>0</v>
      </c>
      <c r="P171" s="13" t="str">
        <f t="shared" si="183"/>
        <v>NO</v>
      </c>
      <c r="Q171">
        <f>IF(D171="INCLUIDO",IF(F171&lt;&gt;0,1,0),0)</f>
        <v>0</v>
      </c>
      <c r="R171">
        <f>IF(I171="%o Al Millar",1000,IF(I171="% Al Porciento",100,IF(I171="$ Prima",G171)))</f>
        <v>1000</v>
      </c>
      <c r="S171">
        <f t="shared" si="207"/>
        <v>0</v>
      </c>
      <c r="T171" s="164"/>
      <c r="U171" s="165"/>
      <c r="V171" s="166"/>
    </row>
    <row r="172" spans="1:22" s="18" customFormat="1" ht="15" thickBot="1" x14ac:dyDescent="0.35">
      <c r="A172" s="24"/>
      <c r="B172" s="26"/>
      <c r="C172" s="15" t="s">
        <v>1177</v>
      </c>
      <c r="D172" s="38" t="str">
        <f>D171</f>
        <v>INCLUIDO</v>
      </c>
      <c r="E172" s="38"/>
      <c r="F172" s="16">
        <f>SUMIF(E168:E171,"Adicional",F168:F171)</f>
        <v>250000</v>
      </c>
      <c r="G172" s="17"/>
      <c r="H172" s="16">
        <f>SUM(H168:H171)</f>
        <v>3.4340659340659339</v>
      </c>
      <c r="I172" s="16"/>
      <c r="J172" s="16">
        <f t="shared" ref="J172:L172" si="209">SUM(J168:J171)</f>
        <v>7.2458791208791201E-2</v>
      </c>
      <c r="K172" s="16">
        <f t="shared" si="209"/>
        <v>0.56104395604395607</v>
      </c>
      <c r="L172" s="16">
        <f t="shared" si="209"/>
        <v>4.07</v>
      </c>
      <c r="M172" s="16" t="s">
        <v>1178</v>
      </c>
      <c r="N172" s="16">
        <f t="shared" ref="N172:O172" si="210">SUM(N168:N171)</f>
        <v>0.34340659340659341</v>
      </c>
      <c r="O172" s="84">
        <f t="shared" si="210"/>
        <v>0.34340659340659341</v>
      </c>
      <c r="P172" s="13" t="str">
        <f t="shared" si="183"/>
        <v>SI</v>
      </c>
      <c r="Q172">
        <f>IF(D172="INCLUIDO",IF(H172&lt;&gt;0,1,0),0)</f>
        <v>1</v>
      </c>
      <c r="T172" s="143">
        <f>SUM(T168:T171)</f>
        <v>1</v>
      </c>
      <c r="U172" s="144">
        <f>SUM(U168:U170)</f>
        <v>1.3736263736263736E-2</v>
      </c>
      <c r="V172" s="145">
        <f>SUM(V168:V170)</f>
        <v>1.3736263736263736E-2</v>
      </c>
    </row>
    <row r="173" spans="1:22" ht="15" hidden="1" customHeight="1" thickBot="1" x14ac:dyDescent="0.35">
      <c r="A173" s="82">
        <v>906</v>
      </c>
      <c r="B173" s="33">
        <v>3</v>
      </c>
      <c r="C173" s="19" t="s">
        <v>1264</v>
      </c>
      <c r="D173" s="23" t="str">
        <f>'Ramo Comercial'!C140</f>
        <v>INCLUIDO</v>
      </c>
      <c r="E173" s="91"/>
      <c r="F173" s="132">
        <v>0</v>
      </c>
      <c r="G173" s="132">
        <v>1</v>
      </c>
      <c r="H173" s="28"/>
      <c r="I173" s="28"/>
      <c r="J173" s="28"/>
      <c r="K173" s="28"/>
      <c r="L173" s="28"/>
      <c r="M173" s="68">
        <v>0</v>
      </c>
      <c r="N173" s="28"/>
      <c r="O173" s="83"/>
      <c r="P173" s="13" t="str">
        <f t="shared" si="183"/>
        <v>NO</v>
      </c>
      <c r="Q173" s="48">
        <f>IF(D173="INCLUIDO",IF(F173&lt;&gt;0,1,0),0)</f>
        <v>0</v>
      </c>
      <c r="T173" s="142">
        <f>G173</f>
        <v>1</v>
      </c>
      <c r="V173" s="153"/>
    </row>
    <row r="174" spans="1:22" ht="15" hidden="1" customHeight="1" x14ac:dyDescent="0.3">
      <c r="A174" s="34" t="s">
        <v>1261</v>
      </c>
      <c r="B174" s="36">
        <v>114</v>
      </c>
      <c r="C174" s="29" t="s">
        <v>1151</v>
      </c>
      <c r="D174" s="29" t="str">
        <f>D173</f>
        <v>INCLUIDO</v>
      </c>
      <c r="E174" s="27" t="s">
        <v>1186</v>
      </c>
      <c r="F174" s="20">
        <f>$F$173*S174</f>
        <v>0</v>
      </c>
      <c r="G174" s="21">
        <f>V174</f>
        <v>1</v>
      </c>
      <c r="H174" s="9">
        <f t="shared" ref="H174:H177" si="211">(IF(I174="$ Prima",G174,G174*F174/R174))*$U$9</f>
        <v>0</v>
      </c>
      <c r="I174" s="9" t="s">
        <v>1235</v>
      </c>
      <c r="J174" s="9">
        <f t="shared" ref="J174:J177" si="212">H174*$U$7</f>
        <v>0</v>
      </c>
      <c r="K174" s="9">
        <f t="shared" ref="K174:K177" si="213">(H174+J174)*$K$15</f>
        <v>0</v>
      </c>
      <c r="L174" s="9">
        <f t="shared" ref="L174:L177" si="214">ROUND(H174+J174+K174,2)</f>
        <v>0</v>
      </c>
      <c r="M174" s="11">
        <f>$M$173</f>
        <v>0</v>
      </c>
      <c r="N174" s="9">
        <f t="shared" ref="N174:N177" si="215">H174*M174</f>
        <v>0</v>
      </c>
      <c r="O174" s="12">
        <f t="shared" ref="O174:O177" si="216">N174</f>
        <v>0</v>
      </c>
      <c r="P174" s="13" t="str">
        <f t="shared" si="183"/>
        <v>NO</v>
      </c>
      <c r="Q174">
        <f>IF(D174="INCLUIDO",IF(F174&lt;&gt;0,1,0),0)</f>
        <v>0</v>
      </c>
      <c r="R174">
        <f>IF(I174="%o Al Millar",1000,IF(I174="% Al Porciento",100,IF(I174="$ Prima",G174)))</f>
        <v>100</v>
      </c>
      <c r="S174">
        <f t="shared" ref="S174:S177" si="217">IF(E174="Excluido",0,IF(D174="NO APLICA",0,1))</f>
        <v>0</v>
      </c>
      <c r="T174" s="152">
        <v>0.4</v>
      </c>
      <c r="U174" s="159">
        <f>IF(E174="Excluido",0,T173*T174)</f>
        <v>0</v>
      </c>
      <c r="V174" s="160">
        <f>IF(D173="NO APLICA",0,(U186-U176-U180-U184)+(T173-U186))</f>
        <v>1</v>
      </c>
    </row>
    <row r="175" spans="1:22" ht="15" hidden="1" customHeight="1" x14ac:dyDescent="0.3">
      <c r="A175" s="34" t="s">
        <v>1261</v>
      </c>
      <c r="B175" s="36"/>
      <c r="C175" s="81">
        <f>$O$12</f>
        <v>0</v>
      </c>
      <c r="D175" s="29" t="str">
        <f t="shared" si="197"/>
        <v>INCLUIDO</v>
      </c>
      <c r="E175" s="27" t="str">
        <f>E174</f>
        <v>Excluido</v>
      </c>
      <c r="F175" s="9">
        <f>(F174*$O$12)*S175</f>
        <v>0</v>
      </c>
      <c r="G175" s="10">
        <f>G174*0.35</f>
        <v>0.35</v>
      </c>
      <c r="H175" s="9">
        <f t="shared" si="211"/>
        <v>0</v>
      </c>
      <c r="I175" s="9" t="s">
        <v>1235</v>
      </c>
      <c r="J175" s="9">
        <f t="shared" si="212"/>
        <v>0</v>
      </c>
      <c r="K175" s="9">
        <f t="shared" si="213"/>
        <v>0</v>
      </c>
      <c r="L175" s="9">
        <f t="shared" si="214"/>
        <v>0</v>
      </c>
      <c r="M175" s="11">
        <f t="shared" ref="M175" si="218">$M$161</f>
        <v>5.8000000000000003E-2</v>
      </c>
      <c r="N175" s="9">
        <f t="shared" si="215"/>
        <v>0</v>
      </c>
      <c r="O175" s="12">
        <f t="shared" si="216"/>
        <v>0</v>
      </c>
      <c r="P175" s="13" t="str">
        <f t="shared" si="183"/>
        <v>NO</v>
      </c>
      <c r="Q175">
        <f>IF(D175="INCLUIDO",IF(F175&lt;&gt;0,1,0),0)</f>
        <v>0</v>
      </c>
      <c r="R175">
        <f>IF(I175="%o Al Millar",1000,IF(I175="% Al Porciento",100,IF(I175="$ Prima",G175)))</f>
        <v>100</v>
      </c>
      <c r="S175">
        <f t="shared" si="217"/>
        <v>0</v>
      </c>
      <c r="T175" s="152"/>
      <c r="U175" s="159"/>
      <c r="V175" s="160"/>
    </row>
    <row r="176" spans="1:22" ht="15" hidden="1" customHeight="1" x14ac:dyDescent="0.3">
      <c r="A176" s="34" t="s">
        <v>1261</v>
      </c>
      <c r="B176" s="36">
        <v>113</v>
      </c>
      <c r="C176" s="29" t="s">
        <v>1262</v>
      </c>
      <c r="D176" s="29" t="str">
        <f>D173</f>
        <v>INCLUIDO</v>
      </c>
      <c r="E176" s="27" t="s">
        <v>1186</v>
      </c>
      <c r="F176" s="20">
        <f>$F$173*S176</f>
        <v>0</v>
      </c>
      <c r="G176" s="21">
        <f>V176</f>
        <v>0</v>
      </c>
      <c r="H176" s="9">
        <f t="shared" si="211"/>
        <v>0</v>
      </c>
      <c r="I176" s="9" t="s">
        <v>1235</v>
      </c>
      <c r="J176" s="9">
        <f t="shared" si="212"/>
        <v>0</v>
      </c>
      <c r="K176" s="9">
        <f t="shared" si="213"/>
        <v>0</v>
      </c>
      <c r="L176" s="9">
        <f t="shared" si="214"/>
        <v>0</v>
      </c>
      <c r="M176" s="11">
        <f t="shared" ref="M176:M177" si="219">$M$173</f>
        <v>0</v>
      </c>
      <c r="N176" s="9">
        <f t="shared" si="215"/>
        <v>0</v>
      </c>
      <c r="O176" s="12">
        <f t="shared" si="216"/>
        <v>0</v>
      </c>
      <c r="P176" s="13" t="str">
        <f t="shared" si="183"/>
        <v>NO</v>
      </c>
      <c r="Q176">
        <f>IF(D176="INCLUIDO",IF(F176&lt;&gt;0,1,0),0)</f>
        <v>0</v>
      </c>
      <c r="R176">
        <f>IF(I176="%o Al Millar",1000,IF(I176="% Al Porciento",100,IF(I176="$ Prima",G176)))</f>
        <v>100</v>
      </c>
      <c r="S176">
        <f t="shared" si="217"/>
        <v>0</v>
      </c>
      <c r="T176" s="152">
        <v>0.1</v>
      </c>
      <c r="U176" s="159">
        <f>IF(E176="Excluido",0,$T$173*T176)</f>
        <v>0</v>
      </c>
      <c r="V176" s="160">
        <f>IF($F176=0,0,U176)</f>
        <v>0</v>
      </c>
    </row>
    <row r="177" spans="1:22" ht="15" hidden="1" customHeight="1" x14ac:dyDescent="0.3">
      <c r="A177" s="34" t="s">
        <v>1261</v>
      </c>
      <c r="B177" s="36"/>
      <c r="C177" s="81">
        <f>$O$12</f>
        <v>0</v>
      </c>
      <c r="D177" s="29" t="str">
        <f>D173</f>
        <v>INCLUIDO</v>
      </c>
      <c r="E177" s="27" t="str">
        <f>E176</f>
        <v>Excluido</v>
      </c>
      <c r="F177" s="9">
        <f>(F176*$O$12)*S177</f>
        <v>0</v>
      </c>
      <c r="G177" s="21">
        <v>0</v>
      </c>
      <c r="H177" s="9">
        <f t="shared" si="211"/>
        <v>0</v>
      </c>
      <c r="I177" s="9" t="s">
        <v>1235</v>
      </c>
      <c r="J177" s="9">
        <f t="shared" si="212"/>
        <v>0</v>
      </c>
      <c r="K177" s="9">
        <f t="shared" si="213"/>
        <v>0</v>
      </c>
      <c r="L177" s="9">
        <f t="shared" si="214"/>
        <v>0</v>
      </c>
      <c r="M177" s="11">
        <f t="shared" si="219"/>
        <v>0</v>
      </c>
      <c r="N177" s="9">
        <f t="shared" si="215"/>
        <v>0</v>
      </c>
      <c r="O177" s="12">
        <f t="shared" si="216"/>
        <v>0</v>
      </c>
      <c r="P177" s="13" t="str">
        <f t="shared" si="183"/>
        <v>NO</v>
      </c>
      <c r="Q177">
        <f>IF(D177="INCLUIDO",IF(F177&lt;&gt;0,1,0),0)</f>
        <v>0</v>
      </c>
      <c r="R177">
        <f>IF(I177="%o Al Millar",1000,IF(I177="% Al Porciento",100,IF(I177="$ Prima",G177)))</f>
        <v>100</v>
      </c>
      <c r="S177">
        <f t="shared" si="217"/>
        <v>0</v>
      </c>
      <c r="T177" s="154"/>
      <c r="V177" s="153"/>
    </row>
    <row r="178" spans="1:22" s="18" customFormat="1" ht="15" hidden="1" customHeight="1" x14ac:dyDescent="0.3">
      <c r="A178" s="24"/>
      <c r="B178" s="26"/>
      <c r="C178" s="15" t="s">
        <v>1177</v>
      </c>
      <c r="D178" s="38" t="str">
        <f>D177</f>
        <v>INCLUIDO</v>
      </c>
      <c r="E178" s="38"/>
      <c r="F178" s="16"/>
      <c r="G178" s="17"/>
      <c r="H178" s="16">
        <f>SUM(H174:H177)</f>
        <v>0</v>
      </c>
      <c r="I178" s="16"/>
      <c r="J178" s="16">
        <f t="shared" ref="J178:L178" si="220">SUM(J174:J177)</f>
        <v>0</v>
      </c>
      <c r="K178" s="16">
        <f t="shared" si="220"/>
        <v>0</v>
      </c>
      <c r="L178" s="16">
        <f t="shared" si="220"/>
        <v>0</v>
      </c>
      <c r="M178" s="16" t="s">
        <v>1178</v>
      </c>
      <c r="N178" s="16">
        <f t="shared" ref="N178:O178" si="221">SUM(N174:N177)</f>
        <v>0</v>
      </c>
      <c r="O178" s="84">
        <f t="shared" si="221"/>
        <v>0</v>
      </c>
      <c r="P178" s="13" t="str">
        <f t="shared" si="183"/>
        <v>NO</v>
      </c>
      <c r="Q178">
        <f>IF(D178="INCLUIDO",IF(H178&lt;&gt;0,1,0),0)</f>
        <v>0</v>
      </c>
      <c r="T178" s="167"/>
      <c r="V178" s="168"/>
    </row>
    <row r="179" spans="1:22" ht="15" hidden="1" customHeight="1" x14ac:dyDescent="0.3">
      <c r="A179" s="82">
        <v>906</v>
      </c>
      <c r="B179" s="33">
        <v>4</v>
      </c>
      <c r="C179" s="19" t="s">
        <v>1265</v>
      </c>
      <c r="D179" s="23" t="str">
        <f>D173</f>
        <v>INCLUIDO</v>
      </c>
      <c r="E179" s="91"/>
      <c r="F179" s="113">
        <v>0</v>
      </c>
      <c r="G179" s="132"/>
      <c r="H179" s="28"/>
      <c r="I179" s="28"/>
      <c r="J179" s="28"/>
      <c r="K179" s="28"/>
      <c r="L179" s="28"/>
      <c r="M179" s="68">
        <v>0</v>
      </c>
      <c r="N179" s="28"/>
      <c r="O179" s="83"/>
      <c r="P179" s="13" t="str">
        <f t="shared" si="183"/>
        <v>NO</v>
      </c>
      <c r="Q179" s="48">
        <f>IF(D179="INCLUIDO",IF(F179&lt;&gt;0,1,0),0)</f>
        <v>0</v>
      </c>
      <c r="T179" s="154"/>
      <c r="V179" s="153"/>
    </row>
    <row r="180" spans="1:22" ht="15" hidden="1" customHeight="1" x14ac:dyDescent="0.3">
      <c r="A180" s="34" t="s">
        <v>1261</v>
      </c>
      <c r="B180" s="36">
        <v>115</v>
      </c>
      <c r="C180" s="29" t="s">
        <v>1170</v>
      </c>
      <c r="D180" s="29" t="str">
        <f>D173</f>
        <v>INCLUIDO</v>
      </c>
      <c r="E180" s="27" t="s">
        <v>1186</v>
      </c>
      <c r="F180" s="20">
        <f>F179*S180</f>
        <v>0</v>
      </c>
      <c r="G180" s="21">
        <f>V180</f>
        <v>0</v>
      </c>
      <c r="H180" s="9">
        <f t="shared" ref="H180:H181" si="222">(IF(I180="$ Prima",G180,G180*F180/R180))*$U$9</f>
        <v>0</v>
      </c>
      <c r="I180" s="9" t="s">
        <v>1235</v>
      </c>
      <c r="J180" s="9">
        <f t="shared" ref="J180:J181" si="223">H180*$U$7</f>
        <v>0</v>
      </c>
      <c r="K180" s="9">
        <f t="shared" ref="K180:K181" si="224">(H180+J180)*$K$15</f>
        <v>0</v>
      </c>
      <c r="L180" s="9">
        <f t="shared" ref="L180:L181" si="225">ROUND(H180+J180+K180,2)</f>
        <v>0</v>
      </c>
      <c r="M180" s="11">
        <f>$M$179</f>
        <v>0</v>
      </c>
      <c r="N180" s="9">
        <f t="shared" ref="N180:N181" si="226">H180*M180</f>
        <v>0</v>
      </c>
      <c r="O180" s="12">
        <f t="shared" ref="O180:O181" si="227">N180</f>
        <v>0</v>
      </c>
      <c r="P180" s="13" t="str">
        <f t="shared" si="183"/>
        <v>NO</v>
      </c>
      <c r="Q180">
        <f>IF(D180="INCLUIDO",IF(F180&lt;&gt;0,1,0),0)</f>
        <v>0</v>
      </c>
      <c r="R180">
        <f>IF(I180="%o Al Millar",1000,IF(I180="% Al Porciento",100,IF(I180="$ Prima",G180)))</f>
        <v>100</v>
      </c>
      <c r="S180">
        <f t="shared" ref="S180:S181" si="228">IF(E180="Excluido",0,IF(D180="NO APLICA",0,1))</f>
        <v>0</v>
      </c>
      <c r="T180" s="152">
        <v>0.25</v>
      </c>
      <c r="U180" s="159">
        <f>IF(E180="Excluido",0,$T$173*T180)</f>
        <v>0</v>
      </c>
      <c r="V180" s="160">
        <f>IF($F180=0,0,U180)</f>
        <v>0</v>
      </c>
    </row>
    <row r="181" spans="1:22" ht="15" hidden="1" customHeight="1" x14ac:dyDescent="0.3">
      <c r="A181" s="34" t="s">
        <v>1261</v>
      </c>
      <c r="B181" s="36"/>
      <c r="C181" s="81">
        <f>$O$12</f>
        <v>0</v>
      </c>
      <c r="D181" s="29" t="str">
        <f>D173</f>
        <v>INCLUIDO</v>
      </c>
      <c r="E181" s="27" t="str">
        <f>E180</f>
        <v>Excluido</v>
      </c>
      <c r="F181" s="9">
        <f>(F180*$O$12)*S181</f>
        <v>0</v>
      </c>
      <c r="G181" s="21">
        <v>0</v>
      </c>
      <c r="H181" s="9">
        <f t="shared" si="222"/>
        <v>0</v>
      </c>
      <c r="I181" s="9" t="s">
        <v>1235</v>
      </c>
      <c r="J181" s="9">
        <f t="shared" si="223"/>
        <v>0</v>
      </c>
      <c r="K181" s="9">
        <f t="shared" si="224"/>
        <v>0</v>
      </c>
      <c r="L181" s="9">
        <f t="shared" si="225"/>
        <v>0</v>
      </c>
      <c r="M181" s="11">
        <f>$M$179</f>
        <v>0</v>
      </c>
      <c r="N181" s="9">
        <f t="shared" si="226"/>
        <v>0</v>
      </c>
      <c r="O181" s="12">
        <f t="shared" si="227"/>
        <v>0</v>
      </c>
      <c r="P181" s="13" t="str">
        <f t="shared" si="183"/>
        <v>NO</v>
      </c>
      <c r="Q181">
        <f>IF(D181="INCLUIDO",IF(F181&lt;&gt;0,1,0),0)</f>
        <v>0</v>
      </c>
      <c r="R181">
        <f>IF(I181="%o Al Millar",1000,IF(I181="% Al Porciento",100,IF(I181="$ Prima",G181)))</f>
        <v>100</v>
      </c>
      <c r="S181">
        <f t="shared" si="228"/>
        <v>0</v>
      </c>
      <c r="T181" s="154"/>
      <c r="V181" s="153"/>
    </row>
    <row r="182" spans="1:22" s="18" customFormat="1" ht="15" hidden="1" customHeight="1" x14ac:dyDescent="0.3">
      <c r="A182" s="24"/>
      <c r="B182" s="26"/>
      <c r="C182" s="15" t="s">
        <v>1177</v>
      </c>
      <c r="D182" s="38" t="str">
        <f>D181</f>
        <v>INCLUIDO</v>
      </c>
      <c r="E182" s="38"/>
      <c r="F182" s="16"/>
      <c r="G182" s="17"/>
      <c r="H182" s="16">
        <f>SUM(H180:H181)</f>
        <v>0</v>
      </c>
      <c r="I182" s="16"/>
      <c r="J182" s="16">
        <f t="shared" ref="J182:L182" si="229">SUM(J180:J181)</f>
        <v>0</v>
      </c>
      <c r="K182" s="16">
        <f t="shared" si="229"/>
        <v>0</v>
      </c>
      <c r="L182" s="16">
        <f t="shared" si="229"/>
        <v>0</v>
      </c>
      <c r="M182" s="16" t="s">
        <v>1178</v>
      </c>
      <c r="N182" s="16">
        <f t="shared" ref="N182:O182" si="230">SUM(N180:N181)</f>
        <v>0</v>
      </c>
      <c r="O182" s="84">
        <f t="shared" si="230"/>
        <v>0</v>
      </c>
      <c r="P182" s="13" t="str">
        <f t="shared" si="183"/>
        <v>NO</v>
      </c>
      <c r="Q182">
        <f>IF(D182="INCLUIDO",IF(H182&lt;&gt;0,1,0),0)</f>
        <v>0</v>
      </c>
      <c r="T182" s="167"/>
      <c r="V182" s="168"/>
    </row>
    <row r="183" spans="1:22" ht="15" hidden="1" customHeight="1" x14ac:dyDescent="0.3">
      <c r="A183" s="82">
        <v>906</v>
      </c>
      <c r="B183" s="33">
        <v>5</v>
      </c>
      <c r="C183" s="19" t="s">
        <v>1266</v>
      </c>
      <c r="D183" s="23" t="str">
        <f>D173</f>
        <v>INCLUIDO</v>
      </c>
      <c r="E183" s="91"/>
      <c r="F183" s="42">
        <v>0</v>
      </c>
      <c r="G183" s="43"/>
      <c r="H183" s="28"/>
      <c r="I183" s="28"/>
      <c r="J183" s="28"/>
      <c r="K183" s="28"/>
      <c r="L183" s="28"/>
      <c r="M183" s="68">
        <v>0</v>
      </c>
      <c r="N183" s="28"/>
      <c r="O183" s="83"/>
      <c r="P183" s="13" t="str">
        <f t="shared" si="183"/>
        <v>NO</v>
      </c>
      <c r="Q183" s="48">
        <f>IF(D183="INCLUIDO",IF(F183&lt;&gt;0,1,0),0)</f>
        <v>0</v>
      </c>
      <c r="T183" s="154"/>
      <c r="V183" s="153"/>
    </row>
    <row r="184" spans="1:22" ht="15" hidden="1" customHeight="1" x14ac:dyDescent="0.3">
      <c r="A184" s="34" t="s">
        <v>1261</v>
      </c>
      <c r="B184" s="36">
        <v>116</v>
      </c>
      <c r="C184" s="29" t="s">
        <v>1267</v>
      </c>
      <c r="D184" s="29" t="str">
        <f>D173</f>
        <v>INCLUIDO</v>
      </c>
      <c r="E184" s="27" t="s">
        <v>1186</v>
      </c>
      <c r="F184" s="20">
        <f>F183*S184</f>
        <v>0</v>
      </c>
      <c r="G184" s="21">
        <f>V184</f>
        <v>0</v>
      </c>
      <c r="H184" s="9">
        <f t="shared" ref="H184:H185" si="231">(IF(I184="$ Prima",G184,G184*F184/R184))*$U$9</f>
        <v>0</v>
      </c>
      <c r="I184" s="9" t="s">
        <v>1235</v>
      </c>
      <c r="J184" s="9">
        <f t="shared" ref="J184:J185" si="232">H184*$U$7</f>
        <v>0</v>
      </c>
      <c r="K184" s="9">
        <f t="shared" ref="K184:K185" si="233">(H184+J184)*$K$15</f>
        <v>0</v>
      </c>
      <c r="L184" s="9">
        <f t="shared" ref="L184:L185" si="234">ROUND(H184+J184+K184,2)</f>
        <v>0</v>
      </c>
      <c r="M184" s="11">
        <f>$M$183</f>
        <v>0</v>
      </c>
      <c r="N184" s="9">
        <f t="shared" ref="N184:N185" si="235">H184*M184</f>
        <v>0</v>
      </c>
      <c r="O184" s="12">
        <f t="shared" ref="O184:O185" si="236">N184</f>
        <v>0</v>
      </c>
      <c r="P184" s="13" t="str">
        <f t="shared" si="183"/>
        <v>NO</v>
      </c>
      <c r="Q184">
        <f>IF(D184="INCLUIDO",IF(F184&lt;&gt;0,1,0),0)</f>
        <v>0</v>
      </c>
      <c r="R184">
        <f>IF(I184="%o Al Millar",1000,IF(I184="% Al Porciento",100,IF(I184="$ Prima",G184)))</f>
        <v>100</v>
      </c>
      <c r="S184">
        <f t="shared" ref="S184:S185" si="237">IF(E184="Excluido",0,IF(D184="NO APLICA",0,1))</f>
        <v>0</v>
      </c>
      <c r="T184" s="152">
        <v>0.25</v>
      </c>
      <c r="U184" s="159">
        <f>IF(E184="Excluido",0,$T$173*T184)</f>
        <v>0</v>
      </c>
      <c r="V184" s="160">
        <f>IF($F184=0,0,U184)</f>
        <v>0</v>
      </c>
    </row>
    <row r="185" spans="1:22" ht="15" hidden="1" customHeight="1" thickBot="1" x14ac:dyDescent="0.35">
      <c r="A185" s="34" t="s">
        <v>1261</v>
      </c>
      <c r="B185" s="36"/>
      <c r="C185" s="81">
        <f>$O$12</f>
        <v>0</v>
      </c>
      <c r="D185" s="29" t="str">
        <f>D173</f>
        <v>INCLUIDO</v>
      </c>
      <c r="E185" s="27" t="str">
        <f>E184</f>
        <v>Excluido</v>
      </c>
      <c r="F185" s="9">
        <f>(F184*$O$12)*S185</f>
        <v>0</v>
      </c>
      <c r="G185" s="21">
        <v>0</v>
      </c>
      <c r="H185" s="9">
        <f t="shared" si="231"/>
        <v>0</v>
      </c>
      <c r="I185" s="9" t="s">
        <v>1235</v>
      </c>
      <c r="J185" s="9">
        <f t="shared" si="232"/>
        <v>0</v>
      </c>
      <c r="K185" s="9">
        <f t="shared" si="233"/>
        <v>0</v>
      </c>
      <c r="L185" s="9">
        <f t="shared" si="234"/>
        <v>0</v>
      </c>
      <c r="M185" s="11">
        <f>$M$183</f>
        <v>0</v>
      </c>
      <c r="N185" s="9">
        <f t="shared" si="235"/>
        <v>0</v>
      </c>
      <c r="O185" s="12">
        <f t="shared" si="236"/>
        <v>0</v>
      </c>
      <c r="P185" s="13" t="str">
        <f t="shared" si="183"/>
        <v>NO</v>
      </c>
      <c r="Q185">
        <f>IF(D185="INCLUIDO",IF(F185&lt;&gt;0,1,0),0)</f>
        <v>0</v>
      </c>
      <c r="R185">
        <f>IF(I185="%o Al Millar",1000,IF(I185="% Al Porciento",100,IF(I185="$ Prima",G185)))</f>
        <v>100</v>
      </c>
      <c r="S185">
        <f t="shared" si="237"/>
        <v>0</v>
      </c>
      <c r="T185" s="154"/>
      <c r="V185" s="153"/>
    </row>
    <row r="186" spans="1:22" s="18" customFormat="1" ht="15" hidden="1" customHeight="1" thickBot="1" x14ac:dyDescent="0.35">
      <c r="A186" s="24"/>
      <c r="B186" s="26"/>
      <c r="C186" s="15" t="s">
        <v>1177</v>
      </c>
      <c r="D186" s="38" t="str">
        <f>D185</f>
        <v>INCLUIDO</v>
      </c>
      <c r="E186" s="38"/>
      <c r="F186" s="16">
        <f>SUMIF(E174:E185,"Adicional",F174:F185)</f>
        <v>0</v>
      </c>
      <c r="G186" s="17"/>
      <c r="H186" s="16">
        <f>SUM(H184:H185)</f>
        <v>0</v>
      </c>
      <c r="I186" s="16"/>
      <c r="J186" s="16">
        <f t="shared" ref="J186:L186" si="238">SUM(J184:J185)</f>
        <v>0</v>
      </c>
      <c r="K186" s="16">
        <f t="shared" si="238"/>
        <v>0</v>
      </c>
      <c r="L186" s="16">
        <f t="shared" si="238"/>
        <v>0</v>
      </c>
      <c r="M186" s="16" t="s">
        <v>1178</v>
      </c>
      <c r="N186" s="16">
        <f t="shared" ref="N186:O186" si="239">SUM(N184:N185)</f>
        <v>0</v>
      </c>
      <c r="O186" s="84">
        <f t="shared" si="239"/>
        <v>0</v>
      </c>
      <c r="P186" s="13" t="str">
        <f t="shared" si="183"/>
        <v>NO</v>
      </c>
      <c r="Q186">
        <f>IF(D186="INCLUIDO",IF(H186&lt;&gt;0,1,0),0)</f>
        <v>0</v>
      </c>
      <c r="T186" s="143">
        <f>SUM(T174:T185)</f>
        <v>1</v>
      </c>
      <c r="U186" s="144">
        <f t="shared" ref="U186:V186" si="240">SUM(U174:U185)</f>
        <v>0</v>
      </c>
      <c r="V186" s="145">
        <f t="shared" si="240"/>
        <v>1</v>
      </c>
    </row>
    <row r="187" spans="1:22" ht="15" thickBot="1" x14ac:dyDescent="0.35">
      <c r="A187" s="82">
        <v>906</v>
      </c>
      <c r="B187" s="33">
        <v>6</v>
      </c>
      <c r="C187" s="19" t="s">
        <v>1268</v>
      </c>
      <c r="D187" s="23" t="str">
        <f>'Ramo Comercial'!C145</f>
        <v>INCLUIDO</v>
      </c>
      <c r="E187" s="91"/>
      <c r="F187" s="43">
        <f>'COTIZACIÓN M.N.'!D80</f>
        <v>6500000</v>
      </c>
      <c r="G187" s="211">
        <f>'COTIZACIÓN M.N.'!E80/'Ubicaciones total (2)'!A366</f>
        <v>4.9450549450549448E-2</v>
      </c>
      <c r="H187" s="28"/>
      <c r="I187" s="28"/>
      <c r="J187" s="28"/>
      <c r="K187" s="28"/>
      <c r="L187" s="28"/>
      <c r="M187" s="68">
        <f>M167</f>
        <v>0.1</v>
      </c>
      <c r="N187" s="28"/>
      <c r="O187" s="83"/>
      <c r="P187" s="13" t="str">
        <f t="shared" si="183"/>
        <v>SI</v>
      </c>
      <c r="Q187" s="47">
        <f>IF(D187="INCLUIDO",IF(F188&lt;&gt;0,1,0),0)</f>
        <v>1</v>
      </c>
      <c r="T187" s="142">
        <f>G187</f>
        <v>4.9450549450549448E-2</v>
      </c>
      <c r="U187" s="150"/>
      <c r="V187" s="151"/>
    </row>
    <row r="188" spans="1:22" x14ac:dyDescent="0.3">
      <c r="A188" s="34" t="s">
        <v>1261</v>
      </c>
      <c r="B188" s="36">
        <v>256</v>
      </c>
      <c r="C188" s="29" t="s">
        <v>1269</v>
      </c>
      <c r="D188" s="29" t="str">
        <f>$D$187</f>
        <v>INCLUIDO</v>
      </c>
      <c r="E188" s="27" t="s">
        <v>1152</v>
      </c>
      <c r="F188" s="9">
        <f>F187*S188</f>
        <v>6500000</v>
      </c>
      <c r="G188" s="21">
        <f>V188</f>
        <v>3.6098901098901105E-2</v>
      </c>
      <c r="H188" s="479">
        <f>(((IF(I188="$ Prima",G188,G188*F188/R188))*$U$9)/365)*$J$15+80.55</f>
        <v>315.83571428571435</v>
      </c>
      <c r="I188" s="9" t="s">
        <v>1153</v>
      </c>
      <c r="J188" s="9">
        <f t="shared" ref="J188:J201" si="241">H188*$U$7</f>
        <v>6.6641335714285725</v>
      </c>
      <c r="K188" s="9">
        <f t="shared" ref="K188:K201" si="242">(H188+J188)*$K$15</f>
        <v>51.59997565714287</v>
      </c>
      <c r="L188" s="9">
        <f t="shared" ref="L188:L201" si="243">ROUND(H188+J188+K188,2)</f>
        <v>374.1</v>
      </c>
      <c r="M188" s="11">
        <f>$M$187</f>
        <v>0.1</v>
      </c>
      <c r="N188" s="9">
        <f t="shared" ref="N188:N201" si="244">H188*M188</f>
        <v>31.583571428571435</v>
      </c>
      <c r="O188" s="12">
        <f t="shared" ref="O188:O201" si="245">N188</f>
        <v>31.583571428571435</v>
      </c>
      <c r="P188" s="13" t="str">
        <f t="shared" si="183"/>
        <v>SI</v>
      </c>
      <c r="Q188">
        <f t="shared" ref="Q188:Q201" si="246">IF(D188="INCLUIDO",IF(F188&lt;&gt;0,1,0),0)</f>
        <v>1</v>
      </c>
      <c r="R188">
        <f t="shared" ref="R188:R201" si="247">IF(I188="%o Al Millar",1000,IF(I188="% Al Porciento",100,IF(I188="$ Prima",G188)))</f>
        <v>1000</v>
      </c>
      <c r="S188">
        <f t="shared" ref="S188:S201" si="248">IF(E188="Excluido",0,IF(D188="NO APLICA",0,1))</f>
        <v>1</v>
      </c>
      <c r="T188" s="152">
        <v>0.73</v>
      </c>
      <c r="U188" s="159">
        <f>IF(E188="Excluido",0,$T$187*T188)</f>
        <v>3.6098901098901098E-2</v>
      </c>
      <c r="V188" s="160">
        <f>IF(D187="NO APLICA",0,(U210-U192-U194-U196-U198-U204-U208)+(T187-U210))</f>
        <v>3.6098901098901105E-2</v>
      </c>
    </row>
    <row r="189" spans="1:22" hidden="1" x14ac:dyDescent="0.3">
      <c r="A189" s="34" t="s">
        <v>1261</v>
      </c>
      <c r="B189" s="36"/>
      <c r="C189" s="81">
        <f>$O$12</f>
        <v>0</v>
      </c>
      <c r="D189" s="29" t="str">
        <f t="shared" ref="D189:D201" si="249">$D$187</f>
        <v>INCLUIDO</v>
      </c>
      <c r="E189" s="27" t="s">
        <v>1186</v>
      </c>
      <c r="F189" s="9">
        <f>(F188*$O$12)*S189</f>
        <v>0</v>
      </c>
      <c r="G189" s="21">
        <f>(G188*0.35)*S189</f>
        <v>0</v>
      </c>
      <c r="H189" s="9">
        <f t="shared" ref="H189:H201" si="250">(IF(I189="$ Prima",G189,G189*F189/R189))*$U$9</f>
        <v>0</v>
      </c>
      <c r="I189" s="9" t="s">
        <v>1153</v>
      </c>
      <c r="J189" s="9">
        <f t="shared" si="241"/>
        <v>0</v>
      </c>
      <c r="K189" s="9">
        <f t="shared" si="242"/>
        <v>0</v>
      </c>
      <c r="L189" s="9">
        <f t="shared" si="243"/>
        <v>0</v>
      </c>
      <c r="M189" s="11">
        <f>M188</f>
        <v>0.1</v>
      </c>
      <c r="N189" s="9">
        <f t="shared" si="244"/>
        <v>0</v>
      </c>
      <c r="O189" s="12">
        <f t="shared" si="245"/>
        <v>0</v>
      </c>
      <c r="P189" s="13" t="str">
        <f t="shared" si="183"/>
        <v>NO</v>
      </c>
      <c r="Q189">
        <f>IF(D189="INCLUIDO",IF(F189&lt;&gt;0,1,0),0)</f>
        <v>0</v>
      </c>
      <c r="R189">
        <f>IF(I189="%o Al Millar",1000,IF(I189="% Al Porciento",100,IF(I189="$ Prima",G189)))</f>
        <v>1000</v>
      </c>
      <c r="S189">
        <f t="shared" si="248"/>
        <v>0</v>
      </c>
      <c r="T189" s="152"/>
      <c r="U189" s="159"/>
      <c r="V189" s="160"/>
    </row>
    <row r="190" spans="1:22" ht="15" customHeight="1" x14ac:dyDescent="0.3">
      <c r="A190" s="34" t="s">
        <v>1261</v>
      </c>
      <c r="B190" s="36">
        <v>257</v>
      </c>
      <c r="C190" s="29" t="s">
        <v>1270</v>
      </c>
      <c r="D190" s="29" t="str">
        <f t="shared" si="249"/>
        <v>INCLUIDO</v>
      </c>
      <c r="E190" s="27" t="s">
        <v>1137</v>
      </c>
      <c r="F190" s="43">
        <f>'COTIZACIÓN M.N.'!D81</f>
        <v>785000</v>
      </c>
      <c r="G190" s="132">
        <f>'COTIZACIÓN M.N.'!E81/'Ubicaciones total (2)'!A366</f>
        <v>2.7472527472527472E-2</v>
      </c>
      <c r="H190" s="479">
        <f>(IF(I190="$ Prima",G190,G190*F190/R190))*$U$9+26</f>
        <v>47.565934065934066</v>
      </c>
      <c r="I190" s="9" t="s">
        <v>1153</v>
      </c>
      <c r="J190" s="9">
        <f t="shared" si="241"/>
        <v>1.0036412087912088</v>
      </c>
      <c r="K190" s="9">
        <f t="shared" si="242"/>
        <v>7.7711320439560438</v>
      </c>
      <c r="L190" s="9">
        <f t="shared" si="243"/>
        <v>56.34</v>
      </c>
      <c r="M190" s="11">
        <f>$M$187</f>
        <v>0.1</v>
      </c>
      <c r="N190" s="9">
        <f t="shared" si="244"/>
        <v>4.7565934065934066</v>
      </c>
      <c r="O190" s="12">
        <f t="shared" si="245"/>
        <v>4.7565934065934066</v>
      </c>
      <c r="P190" s="13" t="str">
        <f t="shared" si="183"/>
        <v>SI</v>
      </c>
      <c r="Q190">
        <f t="shared" si="246"/>
        <v>1</v>
      </c>
      <c r="R190">
        <f t="shared" si="247"/>
        <v>1000</v>
      </c>
      <c r="S190">
        <f t="shared" si="248"/>
        <v>1</v>
      </c>
      <c r="T190" s="152"/>
      <c r="U190" s="159"/>
      <c r="V190" s="160"/>
    </row>
    <row r="191" spans="1:22" ht="15" hidden="1" customHeight="1" x14ac:dyDescent="0.3">
      <c r="A191" s="34" t="s">
        <v>1261</v>
      </c>
      <c r="B191" s="36"/>
      <c r="C191" s="81">
        <f>$O$12</f>
        <v>0</v>
      </c>
      <c r="D191" s="29" t="str">
        <f t="shared" si="249"/>
        <v>INCLUIDO</v>
      </c>
      <c r="E191" s="27" t="s">
        <v>1186</v>
      </c>
      <c r="F191" s="9">
        <f>(F190*$O$12)*S191</f>
        <v>0</v>
      </c>
      <c r="G191" s="21">
        <f>G190*0.35</f>
        <v>9.6153846153846142E-3</v>
      </c>
      <c r="H191" s="9">
        <f t="shared" ref="H191" si="251">(IF(I191="$ Prima",G191,G191*F191/R191))*$U$9</f>
        <v>0</v>
      </c>
      <c r="I191" s="9" t="s">
        <v>1153</v>
      </c>
      <c r="J191" s="9">
        <f t="shared" si="241"/>
        <v>0</v>
      </c>
      <c r="K191" s="9">
        <f t="shared" si="242"/>
        <v>0</v>
      </c>
      <c r="L191" s="9">
        <f t="shared" si="243"/>
        <v>0</v>
      </c>
      <c r="M191" s="11">
        <f>$M$179</f>
        <v>0</v>
      </c>
      <c r="N191" s="9">
        <f t="shared" si="244"/>
        <v>0</v>
      </c>
      <c r="O191" s="12">
        <f t="shared" si="245"/>
        <v>0</v>
      </c>
      <c r="P191" s="13" t="str">
        <f t="shared" si="183"/>
        <v>NO</v>
      </c>
      <c r="Q191">
        <f>IF(D191="INCLUIDO",IF(F191&lt;&gt;0,1,0),0)</f>
        <v>0</v>
      </c>
      <c r="R191">
        <f>IF(I191="%o Al Millar",1000,IF(I191="% Al Porciento",100,IF(I191="$ Prima",G191)))</f>
        <v>1000</v>
      </c>
      <c r="S191">
        <f t="shared" si="248"/>
        <v>0</v>
      </c>
      <c r="T191" s="154"/>
      <c r="V191" s="153"/>
    </row>
    <row r="192" spans="1:22" x14ac:dyDescent="0.3">
      <c r="A192" s="34" t="s">
        <v>1261</v>
      </c>
      <c r="B192" s="36">
        <v>120</v>
      </c>
      <c r="C192" s="29" t="s">
        <v>1271</v>
      </c>
      <c r="D192" s="29" t="str">
        <f t="shared" si="249"/>
        <v>INCLUIDO</v>
      </c>
      <c r="E192" s="27" t="s">
        <v>1137</v>
      </c>
      <c r="F192" s="20">
        <f>(IF($E$190="Sublimite",$F$188,$F$188+$F$190))*S192</f>
        <v>6500000</v>
      </c>
      <c r="G192" s="21">
        <f>V192</f>
        <v>4.9450549450549448E-3</v>
      </c>
      <c r="H192" s="9">
        <f t="shared" si="250"/>
        <v>32.142857142857139</v>
      </c>
      <c r="I192" s="9" t="s">
        <v>1153</v>
      </c>
      <c r="J192" s="9">
        <f t="shared" si="241"/>
        <v>0.67821428571428566</v>
      </c>
      <c r="K192" s="9">
        <f t="shared" si="242"/>
        <v>5.2513714285714279</v>
      </c>
      <c r="L192" s="9">
        <f t="shared" si="243"/>
        <v>38.07</v>
      </c>
      <c r="M192" s="11">
        <f>$M$187</f>
        <v>0.1</v>
      </c>
      <c r="N192" s="9">
        <f t="shared" si="244"/>
        <v>3.214285714285714</v>
      </c>
      <c r="O192" s="12">
        <f t="shared" si="245"/>
        <v>3.214285714285714</v>
      </c>
      <c r="P192" s="13" t="str">
        <f t="shared" si="183"/>
        <v>SI</v>
      </c>
      <c r="Q192">
        <f t="shared" si="246"/>
        <v>1</v>
      </c>
      <c r="R192">
        <f t="shared" si="247"/>
        <v>1000</v>
      </c>
      <c r="S192">
        <f t="shared" si="248"/>
        <v>1</v>
      </c>
      <c r="T192" s="152">
        <v>0.1</v>
      </c>
      <c r="U192" s="159">
        <f>IF(E192="Excluido",0,$T$187*T192)</f>
        <v>4.9450549450549448E-3</v>
      </c>
      <c r="V192" s="160">
        <f>IF($F$187=0,0,U192)</f>
        <v>4.9450549450549448E-3</v>
      </c>
    </row>
    <row r="193" spans="1:22" hidden="1" x14ac:dyDescent="0.3">
      <c r="A193" s="34" t="s">
        <v>1261</v>
      </c>
      <c r="B193" s="36"/>
      <c r="C193" s="81">
        <f>$O$12</f>
        <v>0</v>
      </c>
      <c r="D193" s="29" t="str">
        <f t="shared" si="249"/>
        <v>INCLUIDO</v>
      </c>
      <c r="E193" s="27" t="s">
        <v>1186</v>
      </c>
      <c r="F193" s="9">
        <f>(F192*$O$12)*S193</f>
        <v>0</v>
      </c>
      <c r="G193" s="21">
        <f>G192*0.35</f>
        <v>1.7307692307692306E-3</v>
      </c>
      <c r="H193" s="9">
        <f t="shared" si="250"/>
        <v>0</v>
      </c>
      <c r="I193" s="9" t="s">
        <v>1153</v>
      </c>
      <c r="J193" s="9">
        <f t="shared" si="241"/>
        <v>0</v>
      </c>
      <c r="K193" s="9">
        <f t="shared" si="242"/>
        <v>0</v>
      </c>
      <c r="L193" s="9">
        <f t="shared" si="243"/>
        <v>0</v>
      </c>
      <c r="M193" s="11">
        <f>M192</f>
        <v>0.1</v>
      </c>
      <c r="N193" s="9">
        <f t="shared" si="244"/>
        <v>0</v>
      </c>
      <c r="O193" s="12">
        <f t="shared" si="245"/>
        <v>0</v>
      </c>
      <c r="P193" s="13" t="str">
        <f>IF(Q193=1,"SI","NO")</f>
        <v>NO</v>
      </c>
      <c r="Q193">
        <f>IF(D193="INCLUIDO",IF(F193&lt;&gt;0,1,0),0)</f>
        <v>0</v>
      </c>
      <c r="R193">
        <f>IF(I193="%o Al Millar",1000,IF(I193="% Al Porciento",100,IF(I193="$ Prima",G193)))</f>
        <v>1000</v>
      </c>
      <c r="S193">
        <f t="shared" si="248"/>
        <v>0</v>
      </c>
      <c r="T193" s="154"/>
      <c r="V193" s="153"/>
    </row>
    <row r="194" spans="1:22" x14ac:dyDescent="0.3">
      <c r="A194" s="34" t="s">
        <v>1261</v>
      </c>
      <c r="B194" s="36">
        <v>121</v>
      </c>
      <c r="C194" s="29" t="s">
        <v>1272</v>
      </c>
      <c r="D194" s="29" t="str">
        <f t="shared" si="249"/>
        <v>INCLUIDO</v>
      </c>
      <c r="E194" s="27" t="s">
        <v>1137</v>
      </c>
      <c r="F194" s="20">
        <f>(IF($E$190="Sublimite",$F$188,$F$188+$F$190))*S194</f>
        <v>6500000</v>
      </c>
      <c r="G194" s="21">
        <f>V194</f>
        <v>2.4725274725274724E-3</v>
      </c>
      <c r="H194" s="9">
        <f t="shared" si="250"/>
        <v>16.071428571428569</v>
      </c>
      <c r="I194" s="9" t="s">
        <v>1153</v>
      </c>
      <c r="J194" s="9">
        <f t="shared" si="241"/>
        <v>0.33910714285714283</v>
      </c>
      <c r="K194" s="9">
        <f t="shared" si="242"/>
        <v>2.625685714285714</v>
      </c>
      <c r="L194" s="9">
        <f t="shared" si="243"/>
        <v>19.04</v>
      </c>
      <c r="M194" s="11">
        <f>$M$187</f>
        <v>0.1</v>
      </c>
      <c r="N194" s="9">
        <f t="shared" si="244"/>
        <v>1.607142857142857</v>
      </c>
      <c r="O194" s="12">
        <f t="shared" si="245"/>
        <v>1.607142857142857</v>
      </c>
      <c r="P194" s="13" t="str">
        <f t="shared" si="183"/>
        <v>SI</v>
      </c>
      <c r="Q194">
        <f t="shared" si="246"/>
        <v>1</v>
      </c>
      <c r="R194">
        <f t="shared" si="247"/>
        <v>1000</v>
      </c>
      <c r="S194">
        <f t="shared" si="248"/>
        <v>1</v>
      </c>
      <c r="T194" s="152">
        <v>0.05</v>
      </c>
      <c r="U194" s="159">
        <f>IF(E194="Excluido",0,$T$187*T194)</f>
        <v>2.4725274725274724E-3</v>
      </c>
      <c r="V194" s="160">
        <f>IF($F$187=0,0,U194)</f>
        <v>2.4725274725274724E-3</v>
      </c>
    </row>
    <row r="195" spans="1:22" hidden="1" x14ac:dyDescent="0.3">
      <c r="A195" s="34" t="s">
        <v>1261</v>
      </c>
      <c r="B195" s="36"/>
      <c r="C195" s="81">
        <f>$O$12</f>
        <v>0</v>
      </c>
      <c r="D195" s="29" t="str">
        <f t="shared" si="249"/>
        <v>INCLUIDO</v>
      </c>
      <c r="E195" s="27" t="s">
        <v>1186</v>
      </c>
      <c r="F195" s="9">
        <f>(F194*$O$12)*S195</f>
        <v>0</v>
      </c>
      <c r="G195" s="21">
        <f>G194*0.35</f>
        <v>8.653846153846153E-4</v>
      </c>
      <c r="H195" s="9">
        <f t="shared" si="250"/>
        <v>0</v>
      </c>
      <c r="I195" s="9" t="s">
        <v>1153</v>
      </c>
      <c r="J195" s="9">
        <f t="shared" si="241"/>
        <v>0</v>
      </c>
      <c r="K195" s="9">
        <f t="shared" si="242"/>
        <v>0</v>
      </c>
      <c r="L195" s="9">
        <f t="shared" si="243"/>
        <v>0</v>
      </c>
      <c r="M195" s="11">
        <f>M194</f>
        <v>0.1</v>
      </c>
      <c r="N195" s="9">
        <f t="shared" si="244"/>
        <v>0</v>
      </c>
      <c r="O195" s="12">
        <f t="shared" si="245"/>
        <v>0</v>
      </c>
      <c r="P195" s="13" t="str">
        <f>IF(Q195=1,"SI","NO")</f>
        <v>NO</v>
      </c>
      <c r="Q195">
        <f>IF(D195="INCLUIDO",IF(F195&lt;&gt;0,1,0),0)</f>
        <v>0</v>
      </c>
      <c r="R195">
        <f>IF(I195="%o Al Millar",1000,IF(I195="% Al Porciento",100,IF(I195="$ Prima",G195)))</f>
        <v>1000</v>
      </c>
      <c r="S195">
        <f t="shared" si="248"/>
        <v>0</v>
      </c>
      <c r="T195" s="154"/>
      <c r="V195" s="153"/>
    </row>
    <row r="196" spans="1:22" x14ac:dyDescent="0.3">
      <c r="A196" s="34" t="s">
        <v>1261</v>
      </c>
      <c r="B196" s="36">
        <v>122</v>
      </c>
      <c r="C196" s="29" t="s">
        <v>1273</v>
      </c>
      <c r="D196" s="29" t="str">
        <f t="shared" si="249"/>
        <v>INCLUIDO</v>
      </c>
      <c r="E196" s="27" t="s">
        <v>1137</v>
      </c>
      <c r="F196" s="20">
        <f>(IF($E$190="Sublimite",$F$188,$F$188+$F$190))*S196</f>
        <v>6500000</v>
      </c>
      <c r="G196" s="21">
        <f>V196</f>
        <v>2.4725274725274724E-3</v>
      </c>
      <c r="H196" s="9">
        <f t="shared" si="250"/>
        <v>16.071428571428569</v>
      </c>
      <c r="I196" s="9" t="s">
        <v>1153</v>
      </c>
      <c r="J196" s="9">
        <f t="shared" si="241"/>
        <v>0.33910714285714283</v>
      </c>
      <c r="K196" s="9">
        <f t="shared" si="242"/>
        <v>2.625685714285714</v>
      </c>
      <c r="L196" s="9">
        <f t="shared" si="243"/>
        <v>19.04</v>
      </c>
      <c r="M196" s="11">
        <f>$M$187</f>
        <v>0.1</v>
      </c>
      <c r="N196" s="9">
        <f t="shared" si="244"/>
        <v>1.607142857142857</v>
      </c>
      <c r="O196" s="12">
        <f t="shared" si="245"/>
        <v>1.607142857142857</v>
      </c>
      <c r="P196" s="13" t="str">
        <f t="shared" si="183"/>
        <v>SI</v>
      </c>
      <c r="Q196">
        <f t="shared" si="246"/>
        <v>1</v>
      </c>
      <c r="R196">
        <f t="shared" si="247"/>
        <v>1000</v>
      </c>
      <c r="S196">
        <f t="shared" si="248"/>
        <v>1</v>
      </c>
      <c r="T196" s="152">
        <v>0.05</v>
      </c>
      <c r="U196" s="159">
        <f>IF(E196="Excluido",0,$T$187*T196)</f>
        <v>2.4725274725274724E-3</v>
      </c>
      <c r="V196" s="160">
        <f>IF($F$187=0,0,U196)</f>
        <v>2.4725274725274724E-3</v>
      </c>
    </row>
    <row r="197" spans="1:22" hidden="1" x14ac:dyDescent="0.3">
      <c r="A197" s="34" t="s">
        <v>1261</v>
      </c>
      <c r="B197" s="36"/>
      <c r="C197" s="81">
        <f>$O$12</f>
        <v>0</v>
      </c>
      <c r="D197" s="29" t="str">
        <f t="shared" si="249"/>
        <v>INCLUIDO</v>
      </c>
      <c r="E197" s="27" t="s">
        <v>1186</v>
      </c>
      <c r="F197" s="9">
        <f>(F196*$O$12)*S197</f>
        <v>0</v>
      </c>
      <c r="G197" s="21">
        <f>G196*0.35</f>
        <v>8.653846153846153E-4</v>
      </c>
      <c r="H197" s="9">
        <f t="shared" si="250"/>
        <v>0</v>
      </c>
      <c r="I197" s="9" t="s">
        <v>1153</v>
      </c>
      <c r="J197" s="9">
        <f t="shared" si="241"/>
        <v>0</v>
      </c>
      <c r="K197" s="9">
        <f t="shared" si="242"/>
        <v>0</v>
      </c>
      <c r="L197" s="9">
        <f t="shared" si="243"/>
        <v>0</v>
      </c>
      <c r="M197" s="11">
        <f>M196</f>
        <v>0.1</v>
      </c>
      <c r="N197" s="9">
        <f t="shared" si="244"/>
        <v>0</v>
      </c>
      <c r="O197" s="12">
        <f t="shared" si="245"/>
        <v>0</v>
      </c>
      <c r="P197" s="13" t="str">
        <f>IF(Q197=1,"SI","NO")</f>
        <v>NO</v>
      </c>
      <c r="Q197">
        <f>IF(D197="INCLUIDO",IF(F197&lt;&gt;0,1,0),0)</f>
        <v>0</v>
      </c>
      <c r="R197">
        <f>IF(I197="%o Al Millar",1000,IF(I197="% Al Porciento",100,IF(I197="$ Prima",G197)))</f>
        <v>1000</v>
      </c>
      <c r="S197">
        <f t="shared" si="248"/>
        <v>0</v>
      </c>
      <c r="T197" s="154"/>
      <c r="V197" s="153"/>
    </row>
    <row r="198" spans="1:22" ht="20.399999999999999" x14ac:dyDescent="0.3">
      <c r="A198" s="34" t="s">
        <v>1261</v>
      </c>
      <c r="B198" s="36">
        <v>119</v>
      </c>
      <c r="C198" s="29" t="s">
        <v>1274</v>
      </c>
      <c r="D198" s="29" t="str">
        <f t="shared" si="249"/>
        <v>INCLUIDO</v>
      </c>
      <c r="E198" s="27" t="s">
        <v>1137</v>
      </c>
      <c r="F198" s="20">
        <f>(IF($E$190="Sublimite",$F$188,$F$188+$F$190))*S198</f>
        <v>6500000</v>
      </c>
      <c r="G198" s="21">
        <f>V198</f>
        <v>2.4725274725274724E-3</v>
      </c>
      <c r="H198" s="9">
        <f t="shared" si="250"/>
        <v>16.071428571428569</v>
      </c>
      <c r="I198" s="9" t="s">
        <v>1153</v>
      </c>
      <c r="J198" s="9">
        <f t="shared" si="241"/>
        <v>0.33910714285714283</v>
      </c>
      <c r="K198" s="9">
        <f t="shared" si="242"/>
        <v>2.625685714285714</v>
      </c>
      <c r="L198" s="9">
        <f t="shared" si="243"/>
        <v>19.04</v>
      </c>
      <c r="M198" s="11">
        <f>$M$187</f>
        <v>0.1</v>
      </c>
      <c r="N198" s="9">
        <f t="shared" si="244"/>
        <v>1.607142857142857</v>
      </c>
      <c r="O198" s="12">
        <f t="shared" si="245"/>
        <v>1.607142857142857</v>
      </c>
      <c r="P198" s="13" t="str">
        <f t="shared" si="183"/>
        <v>SI</v>
      </c>
      <c r="Q198">
        <f t="shared" si="246"/>
        <v>1</v>
      </c>
      <c r="R198">
        <f t="shared" si="247"/>
        <v>1000</v>
      </c>
      <c r="S198">
        <f t="shared" si="248"/>
        <v>1</v>
      </c>
      <c r="T198" s="152">
        <v>0.05</v>
      </c>
      <c r="U198" s="159">
        <f>IF(E198="Excluido",0,$T$187*T198)</f>
        <v>2.4725274725274724E-3</v>
      </c>
      <c r="V198" s="160">
        <f>IF($F$187=0,0,U198)</f>
        <v>2.4725274725274724E-3</v>
      </c>
    </row>
    <row r="199" spans="1:22" hidden="1" x14ac:dyDescent="0.3">
      <c r="A199" s="34" t="s">
        <v>1261</v>
      </c>
      <c r="B199" s="36"/>
      <c r="C199" s="81">
        <f>$O$12</f>
        <v>0</v>
      </c>
      <c r="D199" s="29" t="str">
        <f t="shared" si="249"/>
        <v>INCLUIDO</v>
      </c>
      <c r="E199" s="27" t="s">
        <v>1186</v>
      </c>
      <c r="F199" s="9">
        <f>(F198*$O$12)*S199</f>
        <v>0</v>
      </c>
      <c r="G199" s="21">
        <f>G198*0.35</f>
        <v>8.653846153846153E-4</v>
      </c>
      <c r="H199" s="9">
        <f t="shared" si="250"/>
        <v>0</v>
      </c>
      <c r="I199" s="9" t="s">
        <v>1153</v>
      </c>
      <c r="J199" s="9">
        <f t="shared" si="241"/>
        <v>0</v>
      </c>
      <c r="K199" s="9">
        <f t="shared" si="242"/>
        <v>0</v>
      </c>
      <c r="L199" s="9">
        <f t="shared" si="243"/>
        <v>0</v>
      </c>
      <c r="M199" s="11">
        <f>M198</f>
        <v>0.1</v>
      </c>
      <c r="N199" s="9">
        <f t="shared" si="244"/>
        <v>0</v>
      </c>
      <c r="O199" s="12">
        <f t="shared" si="245"/>
        <v>0</v>
      </c>
      <c r="P199" s="13" t="str">
        <f>IF(Q199=1,"SI","NO")</f>
        <v>NO</v>
      </c>
      <c r="Q199">
        <f>IF(D199="INCLUIDO",IF(F199&lt;&gt;0,1,0),0)</f>
        <v>0</v>
      </c>
      <c r="R199">
        <f>IF(I199="%o Al Millar",1000,IF(I199="% Al Porciento",100,IF(I199="$ Prima",G199)))</f>
        <v>1000</v>
      </c>
      <c r="S199">
        <f t="shared" si="248"/>
        <v>0</v>
      </c>
      <c r="T199" s="154"/>
      <c r="V199" s="153"/>
    </row>
    <row r="200" spans="1:22" ht="15" hidden="1" customHeight="1" x14ac:dyDescent="0.3">
      <c r="A200" s="34" t="s">
        <v>1261</v>
      </c>
      <c r="B200" s="36">
        <v>258</v>
      </c>
      <c r="C200" s="29" t="s">
        <v>1275</v>
      </c>
      <c r="D200" s="29" t="str">
        <f t="shared" si="249"/>
        <v>INCLUIDO</v>
      </c>
      <c r="E200" s="27" t="s">
        <v>1186</v>
      </c>
      <c r="F200" s="20">
        <v>0</v>
      </c>
      <c r="G200" s="43">
        <v>0</v>
      </c>
      <c r="H200" s="9">
        <f t="shared" si="250"/>
        <v>0</v>
      </c>
      <c r="I200" s="9" t="s">
        <v>1153</v>
      </c>
      <c r="J200" s="9">
        <f t="shared" si="241"/>
        <v>0</v>
      </c>
      <c r="K200" s="9">
        <f t="shared" si="242"/>
        <v>0</v>
      </c>
      <c r="L200" s="9">
        <f t="shared" si="243"/>
        <v>0</v>
      </c>
      <c r="M200" s="11">
        <f>$M$187</f>
        <v>0.1</v>
      </c>
      <c r="N200" s="9">
        <f t="shared" si="244"/>
        <v>0</v>
      </c>
      <c r="O200" s="12">
        <f t="shared" si="245"/>
        <v>0</v>
      </c>
      <c r="P200" s="13" t="str">
        <f t="shared" si="183"/>
        <v>NO</v>
      </c>
      <c r="Q200">
        <f t="shared" si="246"/>
        <v>0</v>
      </c>
      <c r="R200">
        <f t="shared" si="247"/>
        <v>1000</v>
      </c>
      <c r="S200">
        <f t="shared" si="248"/>
        <v>0</v>
      </c>
      <c r="T200" s="152"/>
      <c r="U200" s="159"/>
      <c r="V200" s="160"/>
    </row>
    <row r="201" spans="1:22" ht="15" hidden="1" customHeight="1" x14ac:dyDescent="0.3">
      <c r="A201" s="34" t="s">
        <v>1261</v>
      </c>
      <c r="B201" s="36"/>
      <c r="C201" s="81">
        <f>$O$12</f>
        <v>0</v>
      </c>
      <c r="D201" s="29" t="str">
        <f t="shared" si="249"/>
        <v>INCLUIDO</v>
      </c>
      <c r="E201" s="27" t="s">
        <v>1186</v>
      </c>
      <c r="F201" s="9">
        <f>(F200*$O$12)*S201</f>
        <v>0</v>
      </c>
      <c r="G201" s="21">
        <f>G200*0.35</f>
        <v>0</v>
      </c>
      <c r="H201" s="9">
        <f t="shared" si="250"/>
        <v>0</v>
      </c>
      <c r="I201" s="9" t="s">
        <v>1153</v>
      </c>
      <c r="J201" s="9">
        <f t="shared" si="241"/>
        <v>0</v>
      </c>
      <c r="K201" s="9">
        <f t="shared" si="242"/>
        <v>0</v>
      </c>
      <c r="L201" s="9">
        <f t="shared" si="243"/>
        <v>0</v>
      </c>
      <c r="M201" s="11">
        <f>$M$187</f>
        <v>0.1</v>
      </c>
      <c r="N201" s="9">
        <f t="shared" si="244"/>
        <v>0</v>
      </c>
      <c r="O201" s="12">
        <f t="shared" si="245"/>
        <v>0</v>
      </c>
      <c r="P201" s="13" t="str">
        <f t="shared" si="183"/>
        <v>NO</v>
      </c>
      <c r="Q201">
        <f t="shared" si="246"/>
        <v>0</v>
      </c>
      <c r="R201">
        <f t="shared" si="247"/>
        <v>1000</v>
      </c>
      <c r="S201">
        <f t="shared" si="248"/>
        <v>0</v>
      </c>
      <c r="T201" s="154"/>
      <c r="V201" s="153"/>
    </row>
    <row r="202" spans="1:22" s="18" customFormat="1" x14ac:dyDescent="0.3">
      <c r="A202" s="24"/>
      <c r="B202" s="26"/>
      <c r="C202" s="15" t="s">
        <v>1177</v>
      </c>
      <c r="D202" s="38" t="str">
        <f>D201</f>
        <v>INCLUIDO</v>
      </c>
      <c r="E202" s="38"/>
      <c r="F202" s="16">
        <v>0</v>
      </c>
      <c r="G202" s="17"/>
      <c r="H202" s="16">
        <f>SUM(H188:H201)</f>
        <v>443.75879120879119</v>
      </c>
      <c r="I202" s="16"/>
      <c r="J202" s="16">
        <f>SUM(J188:J201)</f>
        <v>9.3633104945054964</v>
      </c>
      <c r="K202" s="16">
        <f>SUM(K188:K201)</f>
        <v>72.499536272527465</v>
      </c>
      <c r="L202" s="16">
        <f>SUM(L188:L201)</f>
        <v>525.63000000000011</v>
      </c>
      <c r="M202" s="16" t="s">
        <v>1178</v>
      </c>
      <c r="N202" s="16">
        <f>SUM(N188:N201)</f>
        <v>44.375879120879119</v>
      </c>
      <c r="O202" s="84">
        <f>SUM(O188:O201)</f>
        <v>44.375879120879119</v>
      </c>
      <c r="P202" s="13" t="str">
        <f t="shared" si="183"/>
        <v>SI</v>
      </c>
      <c r="Q202">
        <f>IF(D202="INCLUIDO",IF(H202&lt;&gt;0,1,0),0)</f>
        <v>1</v>
      </c>
      <c r="T202" s="167"/>
      <c r="V202" s="168"/>
    </row>
    <row r="203" spans="1:22" x14ac:dyDescent="0.3">
      <c r="A203" s="82">
        <v>906</v>
      </c>
      <c r="B203" s="33">
        <v>7</v>
      </c>
      <c r="C203" s="19" t="s">
        <v>1276</v>
      </c>
      <c r="D203" s="23" t="str">
        <f>D187</f>
        <v>INCLUIDO</v>
      </c>
      <c r="E203" s="91"/>
      <c r="F203" s="28"/>
      <c r="G203" s="28"/>
      <c r="H203" s="28"/>
      <c r="I203" s="28"/>
      <c r="J203" s="28"/>
      <c r="K203" s="28"/>
      <c r="L203" s="28"/>
      <c r="M203" s="68">
        <v>0.1</v>
      </c>
      <c r="N203" s="28"/>
      <c r="O203" s="83"/>
      <c r="P203" s="13" t="str">
        <f t="shared" si="183"/>
        <v>SI</v>
      </c>
      <c r="Q203" s="47">
        <f>IF(D203="INCLUIDO",IF(F204&lt;&gt;0,1,0),0)</f>
        <v>1</v>
      </c>
      <c r="T203" s="154"/>
      <c r="V203" s="153"/>
    </row>
    <row r="204" spans="1:22" x14ac:dyDescent="0.3">
      <c r="A204" s="34" t="s">
        <v>1261</v>
      </c>
      <c r="B204" s="36">
        <v>126</v>
      </c>
      <c r="C204" s="29" t="s">
        <v>1170</v>
      </c>
      <c r="D204" s="29" t="str">
        <f t="shared" ref="D204:D205" si="252">$D$187</f>
        <v>INCLUIDO</v>
      </c>
      <c r="E204" s="27" t="s">
        <v>1137</v>
      </c>
      <c r="F204" s="20">
        <f>(IF($E$190="Sublimite",$F$188,$F$188+$F$190))*S204</f>
        <v>6500000</v>
      </c>
      <c r="G204" s="49">
        <f>G187*T204</f>
        <v>4.9450549450549451E-4</v>
      </c>
      <c r="H204" s="9">
        <f>(((IF(I204="$ Prima",G204,G204*F204/R204))*$U$9)/365)*$J$15</f>
        <v>3.2230919765166339</v>
      </c>
      <c r="I204" s="9" t="s">
        <v>1153</v>
      </c>
      <c r="J204" s="9">
        <f t="shared" ref="J204:J205" si="253">H204*$U$7</f>
        <v>6.8007240704500982E-2</v>
      </c>
      <c r="K204" s="9">
        <f t="shared" ref="K204:K205" si="254">(H204+J204)*$K$15</f>
        <v>0.52657587475538159</v>
      </c>
      <c r="L204" s="9">
        <f t="shared" ref="L204:L205" si="255">ROUND(H204+J204+K204,2)</f>
        <v>3.82</v>
      </c>
      <c r="M204" s="11">
        <f>$M$203</f>
        <v>0.1</v>
      </c>
      <c r="N204" s="9">
        <f t="shared" ref="N204:N205" si="256">H204*M204</f>
        <v>0.32230919765166344</v>
      </c>
      <c r="O204" s="12">
        <f t="shared" ref="O204:O205" si="257">N204</f>
        <v>0.32230919765166344</v>
      </c>
      <c r="P204" s="13" t="str">
        <f t="shared" si="183"/>
        <v>SI</v>
      </c>
      <c r="Q204">
        <f>IF(D204="INCLUIDO",IF(F204&lt;&gt;0,1,0),0)</f>
        <v>1</v>
      </c>
      <c r="R204">
        <f>IF(I204="%o Al Millar",1000,IF(I204="% Al Porciento",100,IF(I204="$ Prima",G204)))</f>
        <v>1000</v>
      </c>
      <c r="S204">
        <f t="shared" ref="S204:S205" si="258">IF(E204="Excluido",0,IF(D204="NO APLICA",0,1))</f>
        <v>1</v>
      </c>
      <c r="T204" s="152">
        <v>0.01</v>
      </c>
      <c r="U204" s="159">
        <f>IF(E204="Excluido",0,$T$187*T204)</f>
        <v>4.9450549450549451E-4</v>
      </c>
      <c r="V204" s="160">
        <f>IF($F$187=0,0,U204)</f>
        <v>4.9450549450549451E-4</v>
      </c>
    </row>
    <row r="205" spans="1:22" hidden="1" x14ac:dyDescent="0.3">
      <c r="A205" s="34" t="s">
        <v>1261</v>
      </c>
      <c r="B205" s="36"/>
      <c r="C205" s="81">
        <f>$O$12</f>
        <v>0</v>
      </c>
      <c r="D205" s="29" t="str">
        <f t="shared" si="252"/>
        <v>INCLUIDO</v>
      </c>
      <c r="E205" s="27" t="s">
        <v>1186</v>
      </c>
      <c r="F205" s="9">
        <f>(F204*$O$12)*S205</f>
        <v>0</v>
      </c>
      <c r="G205" s="21">
        <f>G204*0.35</f>
        <v>1.7307692307692307E-4</v>
      </c>
      <c r="H205" s="9">
        <f t="shared" ref="H205" si="259">(IF(I205="$ Prima",G205,G205*F205/R205))*$U$9</f>
        <v>0</v>
      </c>
      <c r="I205" s="9" t="s">
        <v>1153</v>
      </c>
      <c r="J205" s="9">
        <f t="shared" si="253"/>
        <v>0</v>
      </c>
      <c r="K205" s="9">
        <f t="shared" si="254"/>
        <v>0</v>
      </c>
      <c r="L205" s="9">
        <f t="shared" si="255"/>
        <v>0</v>
      </c>
      <c r="M205" s="11">
        <f>$M$203</f>
        <v>0.1</v>
      </c>
      <c r="N205" s="9">
        <f t="shared" si="256"/>
        <v>0</v>
      </c>
      <c r="O205" s="12">
        <f t="shared" si="257"/>
        <v>0</v>
      </c>
      <c r="P205" s="13" t="str">
        <f t="shared" si="183"/>
        <v>NO</v>
      </c>
      <c r="Q205">
        <f>IF(D205="INCLUIDO",IF(F205&lt;&gt;0,1,0),0)</f>
        <v>0</v>
      </c>
      <c r="R205">
        <f>IF(I205="%o Al Millar",1000,IF(I205="% Al Porciento",100,IF(I205="$ Prima",G205)))</f>
        <v>1000</v>
      </c>
      <c r="S205">
        <f t="shared" si="258"/>
        <v>0</v>
      </c>
      <c r="T205" s="154"/>
      <c r="V205" s="153"/>
    </row>
    <row r="206" spans="1:22" s="18" customFormat="1" x14ac:dyDescent="0.3">
      <c r="A206" s="24"/>
      <c r="B206" s="26"/>
      <c r="C206" s="15" t="s">
        <v>1177</v>
      </c>
      <c r="D206" s="38" t="str">
        <f>D187</f>
        <v>INCLUIDO</v>
      </c>
      <c r="E206" s="38"/>
      <c r="F206" s="16">
        <f>SUMIF(E204:E205,"Adicional",F204:F205)</f>
        <v>0</v>
      </c>
      <c r="G206" s="17"/>
      <c r="H206" s="16">
        <f>SUM(H204:H205)</f>
        <v>3.2230919765166339</v>
      </c>
      <c r="I206" s="16"/>
      <c r="J206" s="16">
        <f t="shared" ref="J206:L206" si="260">SUM(J204:J205)</f>
        <v>6.8007240704500982E-2</v>
      </c>
      <c r="K206" s="16">
        <f t="shared" si="260"/>
        <v>0.52657587475538159</v>
      </c>
      <c r="L206" s="16">
        <f t="shared" si="260"/>
        <v>3.82</v>
      </c>
      <c r="M206" s="16" t="s">
        <v>1178</v>
      </c>
      <c r="N206" s="16">
        <f t="shared" ref="N206:O206" si="261">SUM(N204:N205)</f>
        <v>0.32230919765166344</v>
      </c>
      <c r="O206" s="84">
        <f t="shared" si="261"/>
        <v>0.32230919765166344</v>
      </c>
      <c r="P206" s="13" t="str">
        <f t="shared" si="183"/>
        <v>SI</v>
      </c>
      <c r="Q206">
        <f>IF(D206="INCLUIDO",IF(H206&lt;&gt;0,1,0),0)</f>
        <v>1</v>
      </c>
      <c r="T206" s="167"/>
      <c r="V206" s="168"/>
    </row>
    <row r="207" spans="1:22" x14ac:dyDescent="0.3">
      <c r="A207" s="82">
        <v>906</v>
      </c>
      <c r="B207" s="33">
        <v>8</v>
      </c>
      <c r="C207" s="19" t="s">
        <v>1277</v>
      </c>
      <c r="D207" s="23" t="str">
        <f>$D$187</f>
        <v>INCLUIDO</v>
      </c>
      <c r="E207" s="91"/>
      <c r="F207" s="28"/>
      <c r="G207" s="28"/>
      <c r="H207" s="28"/>
      <c r="I207" s="28"/>
      <c r="J207" s="28"/>
      <c r="K207" s="28"/>
      <c r="L207" s="28"/>
      <c r="M207" s="68">
        <v>0.1</v>
      </c>
      <c r="N207" s="28"/>
      <c r="O207" s="83"/>
      <c r="P207" s="13" t="str">
        <f t="shared" si="183"/>
        <v>SI</v>
      </c>
      <c r="Q207" s="47">
        <f>IF(D207="INCLUIDO",IF(F208&lt;&gt;0,1,0),0)</f>
        <v>1</v>
      </c>
      <c r="T207" s="154"/>
      <c r="V207" s="153"/>
    </row>
    <row r="208" spans="1:22" ht="15" thickBot="1" x14ac:dyDescent="0.35">
      <c r="A208" s="34" t="s">
        <v>1261</v>
      </c>
      <c r="B208" s="36">
        <v>127</v>
      </c>
      <c r="C208" s="29" t="s">
        <v>1267</v>
      </c>
      <c r="D208" s="29" t="str">
        <f t="shared" ref="D208:D209" si="262">$D$187</f>
        <v>INCLUIDO</v>
      </c>
      <c r="E208" s="27" t="s">
        <v>1137</v>
      </c>
      <c r="F208" s="20">
        <f>(IF($E$190="Sublimite",$F$188,$F$188+$F$190))*S208</f>
        <v>6500000</v>
      </c>
      <c r="G208" s="49">
        <f>G187*T208</f>
        <v>4.9450549450549451E-4</v>
      </c>
      <c r="H208" s="9">
        <f>(((IF(I208="$ Prima",G208,G208*F208/R208))*$U$9)/365)*$J$15</f>
        <v>3.2230919765166339</v>
      </c>
      <c r="I208" s="9" t="s">
        <v>1153</v>
      </c>
      <c r="J208" s="9">
        <f t="shared" ref="J208:J209" si="263">H208*$U$7</f>
        <v>6.8007240704500982E-2</v>
      </c>
      <c r="K208" s="9">
        <f t="shared" ref="K208:K209" si="264">(H208+J208)*$K$15</f>
        <v>0.52657587475538159</v>
      </c>
      <c r="L208" s="9">
        <f t="shared" ref="L208:L209" si="265">ROUND(H208+J208+K208,2)</f>
        <v>3.82</v>
      </c>
      <c r="M208" s="11">
        <f>$M$207</f>
        <v>0.1</v>
      </c>
      <c r="N208" s="9">
        <f t="shared" ref="N208:N209" si="266">H208*M208</f>
        <v>0.32230919765166344</v>
      </c>
      <c r="O208" s="12">
        <f t="shared" ref="O208:O209" si="267">N208</f>
        <v>0.32230919765166344</v>
      </c>
      <c r="P208" s="13" t="str">
        <f t="shared" si="183"/>
        <v>SI</v>
      </c>
      <c r="Q208">
        <f>IF(D208="INCLUIDO",IF(F208&lt;&gt;0,1,0),0)</f>
        <v>1</v>
      </c>
      <c r="R208">
        <f>IF(I208="%o Al Millar",1000,IF(I208="% Al Porciento",100,IF(I208="$ Prima",G208)))</f>
        <v>1000</v>
      </c>
      <c r="S208">
        <f t="shared" ref="S208:S209" si="268">IF(E208="Excluido",0,IF(D208="NO APLICA",0,1))</f>
        <v>1</v>
      </c>
      <c r="T208" s="152">
        <v>0.01</v>
      </c>
      <c r="U208" s="159">
        <f>IF(E208="Excluido",0,$T$187*T208)</f>
        <v>4.9450549450549451E-4</v>
      </c>
      <c r="V208" s="160">
        <f>IF($F$187=0,0,U208)</f>
        <v>4.9450549450549451E-4</v>
      </c>
    </row>
    <row r="209" spans="1:22" ht="15" hidden="1" thickBot="1" x14ac:dyDescent="0.35">
      <c r="A209" s="34" t="s">
        <v>1261</v>
      </c>
      <c r="B209" s="36"/>
      <c r="C209" s="81">
        <f>$O$12</f>
        <v>0</v>
      </c>
      <c r="D209" s="29" t="str">
        <f t="shared" si="262"/>
        <v>INCLUIDO</v>
      </c>
      <c r="E209" s="27" t="s">
        <v>1186</v>
      </c>
      <c r="F209" s="9">
        <f>(F208*$O$12)*S209</f>
        <v>0</v>
      </c>
      <c r="G209" s="21">
        <f>G208*0.35</f>
        <v>1.7307692307692307E-4</v>
      </c>
      <c r="H209" s="9">
        <f t="shared" ref="H209" si="269">(IF(I209="$ Prima",G209,G209*F209/R209))*$U$9</f>
        <v>0</v>
      </c>
      <c r="I209" s="9" t="s">
        <v>1153</v>
      </c>
      <c r="J209" s="9">
        <f t="shared" si="263"/>
        <v>0</v>
      </c>
      <c r="K209" s="9">
        <f t="shared" si="264"/>
        <v>0</v>
      </c>
      <c r="L209" s="9">
        <f t="shared" si="265"/>
        <v>0</v>
      </c>
      <c r="M209" s="11">
        <f>$M$207</f>
        <v>0.1</v>
      </c>
      <c r="N209" s="9">
        <f t="shared" si="266"/>
        <v>0</v>
      </c>
      <c r="O209" s="12">
        <f t="shared" si="267"/>
        <v>0</v>
      </c>
      <c r="P209" s="13" t="str">
        <f t="shared" si="183"/>
        <v>NO</v>
      </c>
      <c r="Q209">
        <f>IF(D209="INCLUIDO",IF(F209&lt;&gt;0,1,0),0)</f>
        <v>0</v>
      </c>
      <c r="R209">
        <f>IF(I209="%o Al Millar",1000,IF(I209="% Al Porciento",100,IF(I209="$ Prima",G209)))</f>
        <v>1000</v>
      </c>
      <c r="S209">
        <f t="shared" si="268"/>
        <v>0</v>
      </c>
      <c r="T209" s="164"/>
      <c r="U209" s="165"/>
      <c r="V209" s="166"/>
    </row>
    <row r="210" spans="1:22" s="18" customFormat="1" ht="15" thickBot="1" x14ac:dyDescent="0.35">
      <c r="A210" s="24"/>
      <c r="B210" s="26"/>
      <c r="C210" s="15" t="s">
        <v>1177</v>
      </c>
      <c r="D210" s="38" t="str">
        <f>D209</f>
        <v>INCLUIDO</v>
      </c>
      <c r="E210" s="38"/>
      <c r="F210" s="16">
        <f>SUMIF(E208:E209,"Adicional",F208:F209)</f>
        <v>0</v>
      </c>
      <c r="G210" s="17"/>
      <c r="H210" s="16">
        <f>SUM(H208:H209)</f>
        <v>3.2230919765166339</v>
      </c>
      <c r="I210" s="16"/>
      <c r="J210" s="16">
        <f t="shared" ref="J210:L210" si="270">SUM(J208:J209)</f>
        <v>6.8007240704500982E-2</v>
      </c>
      <c r="K210" s="16">
        <f t="shared" si="270"/>
        <v>0.52657587475538159</v>
      </c>
      <c r="L210" s="16">
        <f t="shared" si="270"/>
        <v>3.82</v>
      </c>
      <c r="M210" s="16" t="s">
        <v>1178</v>
      </c>
      <c r="N210" s="16">
        <f t="shared" ref="N210:O210" si="271">SUM(N208:N209)</f>
        <v>0.32230919765166344</v>
      </c>
      <c r="O210" s="84">
        <f t="shared" si="271"/>
        <v>0.32230919765166344</v>
      </c>
      <c r="P210" s="13" t="str">
        <f t="shared" si="183"/>
        <v>SI</v>
      </c>
      <c r="Q210">
        <f>IF(D210="INCLUIDO",IF(H210&lt;&gt;0,1,0),0)</f>
        <v>1</v>
      </c>
      <c r="T210" s="143">
        <f>SUM(T188:T209)</f>
        <v>1</v>
      </c>
      <c r="U210" s="144">
        <f>SUM(U188:U209)</f>
        <v>4.9450549450549434E-2</v>
      </c>
      <c r="V210" s="145">
        <f>SUM(V188:V209)</f>
        <v>4.9450549450549448E-2</v>
      </c>
    </row>
    <row r="211" spans="1:22" ht="15" hidden="1" customHeight="1" x14ac:dyDescent="0.3">
      <c r="A211" s="82">
        <v>906</v>
      </c>
      <c r="B211" s="33">
        <v>9</v>
      </c>
      <c r="C211" s="19" t="s">
        <v>1278</v>
      </c>
      <c r="D211" s="23" t="str">
        <f>$D$187</f>
        <v>INCLUIDO</v>
      </c>
      <c r="E211" s="91"/>
      <c r="F211" s="43">
        <v>0</v>
      </c>
      <c r="G211" s="43">
        <v>0</v>
      </c>
      <c r="H211" s="28"/>
      <c r="I211" s="28"/>
      <c r="J211" s="28"/>
      <c r="K211" s="28"/>
      <c r="L211" s="28"/>
      <c r="M211" s="68">
        <v>0</v>
      </c>
      <c r="N211" s="28"/>
      <c r="O211" s="83"/>
      <c r="P211" s="13" t="str">
        <f t="shared" si="183"/>
        <v>NO</v>
      </c>
      <c r="Q211" s="48">
        <f>IF(D211="INCLUIDO",IF(F211&lt;&gt;0,1,0),0)</f>
        <v>0</v>
      </c>
    </row>
    <row r="212" spans="1:22" ht="15" hidden="1" customHeight="1" x14ac:dyDescent="0.3">
      <c r="A212" s="34" t="s">
        <v>1261</v>
      </c>
      <c r="B212" s="36">
        <v>128</v>
      </c>
      <c r="C212" s="29" t="s">
        <v>1279</v>
      </c>
      <c r="D212" s="29" t="str">
        <f>$D$187</f>
        <v>INCLUIDO</v>
      </c>
      <c r="E212" s="27" t="s">
        <v>1186</v>
      </c>
      <c r="F212" s="20">
        <f>F211*S212</f>
        <v>0</v>
      </c>
      <c r="G212" s="21">
        <v>0</v>
      </c>
      <c r="H212" s="9">
        <f>(IF(I212="$ Prima",G212,G212*F212/R212))*$U$9</f>
        <v>0</v>
      </c>
      <c r="I212" s="9" t="s">
        <v>1153</v>
      </c>
      <c r="J212" s="9">
        <f>H212*$U$7</f>
        <v>0</v>
      </c>
      <c r="K212" s="9">
        <f>(H212+J212)*$K$15</f>
        <v>0</v>
      </c>
      <c r="L212" s="9">
        <f>ROUND(H212+J212+K212,2)</f>
        <v>0</v>
      </c>
      <c r="M212" s="11">
        <f>M211</f>
        <v>0</v>
      </c>
      <c r="N212" s="9">
        <f>H212*M212</f>
        <v>0</v>
      </c>
      <c r="O212" s="12">
        <f>N212</f>
        <v>0</v>
      </c>
      <c r="P212" s="13" t="str">
        <f t="shared" si="183"/>
        <v>NO</v>
      </c>
      <c r="Q212">
        <f>IF(D212="INCLUIDO",IF(F212&lt;&gt;0,1,0),0)</f>
        <v>0</v>
      </c>
      <c r="R212">
        <f>IF(I212="%o Al Millar",1000,IF(I212="% Al Porciento",100,IF(I212="$ Prima",G212)))</f>
        <v>1000</v>
      </c>
      <c r="S212">
        <f t="shared" ref="S212" si="272">IF(E212="Excluido",0,IF(D212="NO APLICA",0,1))</f>
        <v>0</v>
      </c>
    </row>
    <row r="213" spans="1:22" s="18" customFormat="1" ht="15" hidden="1" customHeight="1" x14ac:dyDescent="0.3">
      <c r="A213" s="24"/>
      <c r="B213" s="26"/>
      <c r="C213" s="15" t="s">
        <v>1177</v>
      </c>
      <c r="D213" s="38" t="str">
        <f>D212</f>
        <v>INCLUIDO</v>
      </c>
      <c r="E213" s="38"/>
      <c r="F213" s="16">
        <f>SUMIF(E212,"Adicional",F212)</f>
        <v>0</v>
      </c>
      <c r="G213" s="17"/>
      <c r="H213" s="16">
        <f>SUM(H212)</f>
        <v>0</v>
      </c>
      <c r="I213" s="16"/>
      <c r="J213" s="16">
        <f t="shared" ref="J213:L213" si="273">SUM(J212)</f>
        <v>0</v>
      </c>
      <c r="K213" s="16">
        <f t="shared" si="273"/>
        <v>0</v>
      </c>
      <c r="L213" s="16">
        <f t="shared" si="273"/>
        <v>0</v>
      </c>
      <c r="M213" s="16" t="s">
        <v>1178</v>
      </c>
      <c r="N213" s="16">
        <f t="shared" ref="N213:O213" si="274">SUM(N212)</f>
        <v>0</v>
      </c>
      <c r="O213" s="84">
        <f t="shared" si="274"/>
        <v>0</v>
      </c>
      <c r="P213" s="13" t="str">
        <f t="shared" si="183"/>
        <v>NO</v>
      </c>
      <c r="Q213">
        <f>IF(D213="INCLUIDO",IF(H213&lt;&gt;0,1,0),0)</f>
        <v>0</v>
      </c>
    </row>
    <row r="214" spans="1:22" ht="15" hidden="1" customHeight="1" x14ac:dyDescent="0.3">
      <c r="A214" s="82">
        <v>906</v>
      </c>
      <c r="B214" s="33">
        <v>10</v>
      </c>
      <c r="C214" s="19" t="s">
        <v>1280</v>
      </c>
      <c r="D214" s="23" t="str">
        <f>$D$187</f>
        <v>INCLUIDO</v>
      </c>
      <c r="E214" s="91"/>
      <c r="F214" s="43">
        <v>0</v>
      </c>
      <c r="G214" s="43">
        <v>0</v>
      </c>
      <c r="H214" s="28"/>
      <c r="I214" s="28"/>
      <c r="J214" s="28"/>
      <c r="K214" s="28"/>
      <c r="L214" s="28"/>
      <c r="M214" s="68">
        <v>0</v>
      </c>
      <c r="N214" s="28"/>
      <c r="O214" s="83"/>
      <c r="P214" s="13" t="str">
        <f t="shared" si="183"/>
        <v>NO</v>
      </c>
      <c r="Q214" s="48">
        <f>IF(D214="INCLUIDO",IF(F214&lt;&gt;0,1,0),0)</f>
        <v>0</v>
      </c>
    </row>
    <row r="215" spans="1:22" ht="15" hidden="1" customHeight="1" x14ac:dyDescent="0.3">
      <c r="A215" s="34" t="s">
        <v>1281</v>
      </c>
      <c r="B215" s="36">
        <v>129</v>
      </c>
      <c r="C215" s="29" t="s">
        <v>1282</v>
      </c>
      <c r="D215" s="29" t="str">
        <f t="shared" ref="D215" si="275">$D$187</f>
        <v>INCLUIDO</v>
      </c>
      <c r="E215" s="27" t="s">
        <v>1186</v>
      </c>
      <c r="F215" s="20">
        <f>F214*S215</f>
        <v>0</v>
      </c>
      <c r="G215" s="21">
        <v>0</v>
      </c>
      <c r="H215" s="9">
        <f>(IF(I215="$ Prima",G215,G215*F215/R215))*$U$9</f>
        <v>0</v>
      </c>
      <c r="I215" s="9" t="s">
        <v>1153</v>
      </c>
      <c r="J215" s="9">
        <f>H215*$U$7</f>
        <v>0</v>
      </c>
      <c r="K215" s="9">
        <f>(H215+J215)*$K$15</f>
        <v>0</v>
      </c>
      <c r="L215" s="9">
        <f>ROUND(H215+J215+K215,2)</f>
        <v>0</v>
      </c>
      <c r="M215" s="11">
        <f>M214</f>
        <v>0</v>
      </c>
      <c r="N215" s="9">
        <f>H215*M215</f>
        <v>0</v>
      </c>
      <c r="O215" s="12">
        <f>N215</f>
        <v>0</v>
      </c>
      <c r="P215" s="13" t="str">
        <f t="shared" si="183"/>
        <v>NO</v>
      </c>
      <c r="Q215">
        <f>IF(D215="INCLUIDO",IF(F215&lt;&gt;0,1,0),0)</f>
        <v>0</v>
      </c>
      <c r="R215">
        <f>IF(I215="%o Al Millar",1000,IF(I215="% Al Porciento",100,IF(I215="$ Prima",G215)))</f>
        <v>1000</v>
      </c>
      <c r="S215">
        <f t="shared" ref="S215" si="276">IF(E215="Excluido",0,IF(D215="NO APLICA",0,1))</f>
        <v>0</v>
      </c>
    </row>
    <row r="216" spans="1:22" s="18" customFormat="1" ht="15" hidden="1" customHeight="1" x14ac:dyDescent="0.3">
      <c r="A216" s="24"/>
      <c r="B216" s="26"/>
      <c r="C216" s="15" t="s">
        <v>1177</v>
      </c>
      <c r="D216" s="38" t="str">
        <f>D215</f>
        <v>INCLUIDO</v>
      </c>
      <c r="E216" s="38"/>
      <c r="F216" s="16">
        <f>SUMIF(E188:E215,"Adicional",F188:F215)</f>
        <v>6500000</v>
      </c>
      <c r="G216" s="17"/>
      <c r="H216" s="16">
        <f>SUM(H215)</f>
        <v>0</v>
      </c>
      <c r="I216" s="16"/>
      <c r="J216" s="16">
        <f t="shared" ref="J216:L216" si="277">SUM(J215)</f>
        <v>0</v>
      </c>
      <c r="K216" s="16">
        <f t="shared" si="277"/>
        <v>0</v>
      </c>
      <c r="L216" s="16">
        <f t="shared" si="277"/>
        <v>0</v>
      </c>
      <c r="M216" s="16" t="s">
        <v>1178</v>
      </c>
      <c r="N216" s="16">
        <f t="shared" ref="N216:O216" si="278">SUM(N215)</f>
        <v>0</v>
      </c>
      <c r="O216" s="84">
        <f t="shared" si="278"/>
        <v>0</v>
      </c>
      <c r="P216" s="13" t="str">
        <f t="shared" si="183"/>
        <v>NO</v>
      </c>
      <c r="Q216">
        <f>IF(D216="INCLUIDO",IF(H216&lt;&gt;0,1,0),0)</f>
        <v>0</v>
      </c>
    </row>
    <row r="217" spans="1:22" ht="15" hidden="1" customHeight="1" thickBot="1" x14ac:dyDescent="0.35">
      <c r="A217" s="82">
        <v>906</v>
      </c>
      <c r="B217" s="33">
        <v>11</v>
      </c>
      <c r="C217" s="19" t="s">
        <v>1283</v>
      </c>
      <c r="D217" s="23" t="str">
        <f>'Ramo Comercial'!C152</f>
        <v>NO APLICA</v>
      </c>
      <c r="E217" s="91"/>
      <c r="F217" s="113">
        <v>0</v>
      </c>
      <c r="G217" s="113">
        <v>1.2</v>
      </c>
      <c r="H217" s="28"/>
      <c r="I217" s="28"/>
      <c r="J217" s="28"/>
      <c r="K217" s="28"/>
      <c r="L217" s="28"/>
      <c r="M217" s="68">
        <v>0</v>
      </c>
      <c r="N217" s="28"/>
      <c r="O217" s="83"/>
      <c r="P217" s="13" t="str">
        <f t="shared" si="183"/>
        <v>NO</v>
      </c>
      <c r="Q217">
        <f>IF(D217="INCLUIDO",IF(F217&lt;&gt;0,1,0),0)</f>
        <v>0</v>
      </c>
      <c r="T217" s="142">
        <f>G217</f>
        <v>1.2</v>
      </c>
      <c r="U217" s="150"/>
      <c r="V217" s="151"/>
    </row>
    <row r="218" spans="1:22" ht="15" hidden="1" customHeight="1" x14ac:dyDescent="0.3">
      <c r="A218" s="34" t="s">
        <v>1261</v>
      </c>
      <c r="B218" s="36">
        <v>131</v>
      </c>
      <c r="C218" s="29" t="s">
        <v>1151</v>
      </c>
      <c r="D218" s="29" t="str">
        <f>$D$217</f>
        <v>NO APLICA</v>
      </c>
      <c r="E218" s="27" t="s">
        <v>1152</v>
      </c>
      <c r="F218" s="20">
        <f>F217*S218</f>
        <v>0</v>
      </c>
      <c r="G218" s="21">
        <f>V218</f>
        <v>0</v>
      </c>
      <c r="H218" s="9">
        <f t="shared" ref="H218:H219" si="279">(IF(I218="$ Prima",G218,G218*F218/R218))*$U$9</f>
        <v>0</v>
      </c>
      <c r="I218" s="9" t="s">
        <v>1153</v>
      </c>
      <c r="J218" s="9">
        <f t="shared" ref="J218:J219" si="280">H218*$U$7</f>
        <v>0</v>
      </c>
      <c r="K218" s="9">
        <f t="shared" ref="K218:K219" si="281">(H218+J218)*$K$15</f>
        <v>0</v>
      </c>
      <c r="L218" s="9">
        <f t="shared" ref="L218:L219" si="282">ROUND(H218+J218+K218,2)</f>
        <v>0</v>
      </c>
      <c r="M218" s="11">
        <f>$M$217</f>
        <v>0</v>
      </c>
      <c r="N218" s="9">
        <f t="shared" ref="N218:N219" si="283">H218*M218</f>
        <v>0</v>
      </c>
      <c r="O218" s="12">
        <f t="shared" ref="O218:O219" si="284">N218</f>
        <v>0</v>
      </c>
      <c r="P218" s="13" t="str">
        <f t="shared" si="183"/>
        <v>NO</v>
      </c>
      <c r="Q218" s="48">
        <f>IF(D218="INCLUIDO",IF(F218&lt;&gt;0,1,0),0)</f>
        <v>0</v>
      </c>
      <c r="R218">
        <f>IF(I218="%o Al Millar",1000,IF(I218="% Al Porciento",100,IF(I218="$ Prima",G218)))</f>
        <v>1000</v>
      </c>
      <c r="S218">
        <f t="shared" ref="S218:S219" si="285">IF(E218="Excluido",0,IF(D218="NO APLICA",0,1))</f>
        <v>0</v>
      </c>
      <c r="T218" s="152">
        <v>0.7</v>
      </c>
      <c r="U218" s="159">
        <f>IF(E218="Excluido",0,T217*T218)</f>
        <v>0.84</v>
      </c>
      <c r="V218" s="160">
        <f>IF(D217="NO APLICA",0,(U220-U219)+(T217-U220))</f>
        <v>0</v>
      </c>
    </row>
    <row r="219" spans="1:22" ht="15" hidden="1" customHeight="1" thickBot="1" x14ac:dyDescent="0.35">
      <c r="A219" s="34" t="s">
        <v>1261</v>
      </c>
      <c r="B219" s="36">
        <v>130</v>
      </c>
      <c r="C219" s="29" t="s">
        <v>1262</v>
      </c>
      <c r="D219" s="29" t="str">
        <f>$D$217</f>
        <v>NO APLICA</v>
      </c>
      <c r="E219" s="27" t="s">
        <v>1137</v>
      </c>
      <c r="F219" s="20">
        <f>F218*S219</f>
        <v>0</v>
      </c>
      <c r="G219" s="21">
        <f>V219</f>
        <v>0</v>
      </c>
      <c r="H219" s="9">
        <f t="shared" si="279"/>
        <v>0</v>
      </c>
      <c r="I219" s="9" t="s">
        <v>1153</v>
      </c>
      <c r="J219" s="9">
        <f t="shared" si="280"/>
        <v>0</v>
      </c>
      <c r="K219" s="9">
        <f t="shared" si="281"/>
        <v>0</v>
      </c>
      <c r="L219" s="9">
        <f t="shared" si="282"/>
        <v>0</v>
      </c>
      <c r="M219" s="11">
        <f>$M$217</f>
        <v>0</v>
      </c>
      <c r="N219" s="9">
        <f t="shared" si="283"/>
        <v>0</v>
      </c>
      <c r="O219" s="12">
        <f t="shared" si="284"/>
        <v>0</v>
      </c>
      <c r="P219" s="13" t="str">
        <f t="shared" ref="P219:P289" si="286">IF(Q219=1,"SI","NO")</f>
        <v>NO</v>
      </c>
      <c r="Q219">
        <f>IF(D219="INCLUIDO",IF(F219&lt;&gt;0,1,0),0)</f>
        <v>0</v>
      </c>
      <c r="R219">
        <f>IF(I219="%o Al Millar",1000,IF(I219="% Al Porciento",100,IF(I219="$ Prima",G219)))</f>
        <v>1000</v>
      </c>
      <c r="S219">
        <f t="shared" si="285"/>
        <v>0</v>
      </c>
      <c r="T219" s="152">
        <v>0.3</v>
      </c>
      <c r="U219" s="159">
        <f>IF(E219="Excluido",0,T217*T219)</f>
        <v>0.36</v>
      </c>
      <c r="V219" s="160">
        <f>IF($F219=0,0,U219)</f>
        <v>0</v>
      </c>
    </row>
    <row r="220" spans="1:22" s="18" customFormat="1" ht="15" hidden="1" customHeight="1" thickBot="1" x14ac:dyDescent="0.35">
      <c r="A220" s="24"/>
      <c r="B220" s="26"/>
      <c r="C220" s="15" t="s">
        <v>1177</v>
      </c>
      <c r="D220" s="38" t="str">
        <f>D219</f>
        <v>NO APLICA</v>
      </c>
      <c r="E220" s="38"/>
      <c r="F220" s="16">
        <v>0</v>
      </c>
      <c r="G220" s="17"/>
      <c r="H220" s="16">
        <f>SUM(H218:H219)</f>
        <v>0</v>
      </c>
      <c r="I220" s="16"/>
      <c r="J220" s="16">
        <f t="shared" ref="J220:L220" si="287">SUM(J218:J219)</f>
        <v>0</v>
      </c>
      <c r="K220" s="16">
        <f t="shared" si="287"/>
        <v>0</v>
      </c>
      <c r="L220" s="16">
        <f t="shared" si="287"/>
        <v>0</v>
      </c>
      <c r="M220" s="16" t="s">
        <v>1178</v>
      </c>
      <c r="N220" s="16">
        <f t="shared" ref="N220:O220" si="288">SUM(N218:N219)</f>
        <v>0</v>
      </c>
      <c r="O220" s="84">
        <f t="shared" si="288"/>
        <v>0</v>
      </c>
      <c r="P220" s="13" t="str">
        <f t="shared" si="286"/>
        <v>NO</v>
      </c>
      <c r="Q220">
        <f>IF(D220="INCLUIDO",IF(H220&lt;&gt;0,1,0),0)</f>
        <v>0</v>
      </c>
      <c r="T220" s="143">
        <f>SUM(T218:T219)</f>
        <v>1</v>
      </c>
      <c r="U220" s="144">
        <f>SUM(U218:U219)</f>
        <v>1.2</v>
      </c>
      <c r="V220" s="145">
        <f>SUM(V218:V219)</f>
        <v>0</v>
      </c>
    </row>
    <row r="221" spans="1:22" ht="15" hidden="1" customHeight="1" x14ac:dyDescent="0.3">
      <c r="A221" s="82">
        <v>906</v>
      </c>
      <c r="B221" s="33">
        <v>12</v>
      </c>
      <c r="C221" s="19" t="s">
        <v>1284</v>
      </c>
      <c r="D221" s="23" t="str">
        <f>D217</f>
        <v>NO APLICA</v>
      </c>
      <c r="E221" s="91"/>
      <c r="F221" s="28"/>
      <c r="G221" s="28"/>
      <c r="H221" s="28"/>
      <c r="I221" s="28"/>
      <c r="J221" s="28"/>
      <c r="K221" s="28"/>
      <c r="L221" s="28"/>
      <c r="M221" s="68">
        <v>0</v>
      </c>
      <c r="N221" s="28"/>
      <c r="O221" s="83"/>
      <c r="P221" s="13" t="str">
        <f t="shared" si="286"/>
        <v>NO</v>
      </c>
      <c r="Q221" s="47">
        <f>IF(D221="INCLUIDO",IF(F222&lt;&gt;0,1,0),0)</f>
        <v>0</v>
      </c>
    </row>
    <row r="222" spans="1:22" ht="15" hidden="1" customHeight="1" x14ac:dyDescent="0.3">
      <c r="A222" s="34" t="s">
        <v>1261</v>
      </c>
      <c r="B222" s="36">
        <v>132</v>
      </c>
      <c r="C222" s="29" t="s">
        <v>1170</v>
      </c>
      <c r="D222" s="29" t="str">
        <f>$D$217</f>
        <v>NO APLICA</v>
      </c>
      <c r="E222" s="27" t="s">
        <v>1186</v>
      </c>
      <c r="F222" s="20">
        <f>F218*S222</f>
        <v>0</v>
      </c>
      <c r="G222" s="21">
        <v>0</v>
      </c>
      <c r="H222" s="9">
        <f>(IF(I222="$ Prima",G222,G222*F222/R222))*$U$9</f>
        <v>0</v>
      </c>
      <c r="I222" s="9" t="s">
        <v>1153</v>
      </c>
      <c r="J222" s="9">
        <f>H222*$U$7</f>
        <v>0</v>
      </c>
      <c r="K222" s="9">
        <f>(H222+J222)*$K$15</f>
        <v>0</v>
      </c>
      <c r="L222" s="9">
        <f>ROUND(H222+J222+K222,2)</f>
        <v>0</v>
      </c>
      <c r="M222" s="11">
        <f>M221</f>
        <v>0</v>
      </c>
      <c r="N222" s="9">
        <f>H222*M222</f>
        <v>0</v>
      </c>
      <c r="O222" s="12">
        <f>N222</f>
        <v>0</v>
      </c>
      <c r="P222" s="13" t="str">
        <f t="shared" si="286"/>
        <v>NO</v>
      </c>
      <c r="Q222">
        <f>IF(D222="INCLUIDO",IF(F222&lt;&gt;0,1,0),0)</f>
        <v>0</v>
      </c>
      <c r="R222">
        <f>IF(I222="%o Al Millar",1000,IF(I222="% Al Porciento",100,IF(I222="$ Prima",G222)))</f>
        <v>1000</v>
      </c>
      <c r="S222">
        <f t="shared" ref="S222" si="289">IF(E222="Excluido",0,IF(D222="NO APLICA",0,1))</f>
        <v>0</v>
      </c>
    </row>
    <row r="223" spans="1:22" s="18" customFormat="1" ht="15" hidden="1" customHeight="1" x14ac:dyDescent="0.3">
      <c r="A223" s="24"/>
      <c r="B223" s="26"/>
      <c r="C223" s="15" t="s">
        <v>1177</v>
      </c>
      <c r="D223" s="38" t="str">
        <f>D222</f>
        <v>NO APLICA</v>
      </c>
      <c r="E223" s="38"/>
      <c r="F223" s="16">
        <f>SUMIF(E222,"Adicional",F222)</f>
        <v>0</v>
      </c>
      <c r="G223" s="17"/>
      <c r="H223" s="16">
        <f>SUM(H222)</f>
        <v>0</v>
      </c>
      <c r="I223" s="16"/>
      <c r="J223" s="16">
        <f t="shared" ref="J223:L223" si="290">SUM(J222)</f>
        <v>0</v>
      </c>
      <c r="K223" s="16">
        <f t="shared" si="290"/>
        <v>0</v>
      </c>
      <c r="L223" s="16">
        <f t="shared" si="290"/>
        <v>0</v>
      </c>
      <c r="M223" s="16" t="s">
        <v>1178</v>
      </c>
      <c r="N223" s="16">
        <f t="shared" ref="N223:O223" si="291">SUM(N222)</f>
        <v>0</v>
      </c>
      <c r="O223" s="84">
        <f t="shared" si="291"/>
        <v>0</v>
      </c>
      <c r="P223" s="13" t="str">
        <f t="shared" si="286"/>
        <v>NO</v>
      </c>
      <c r="Q223">
        <f>IF(D223="INCLUIDO",IF(H223&lt;&gt;0,1,0),0)</f>
        <v>0</v>
      </c>
    </row>
    <row r="224" spans="1:22" ht="15" hidden="1" customHeight="1" x14ac:dyDescent="0.3">
      <c r="A224" s="82">
        <v>906</v>
      </c>
      <c r="B224" s="33">
        <v>13</v>
      </c>
      <c r="C224" s="19" t="s">
        <v>1285</v>
      </c>
      <c r="D224" s="23" t="str">
        <f>D217</f>
        <v>NO APLICA</v>
      </c>
      <c r="E224" s="91"/>
      <c r="F224" s="28"/>
      <c r="G224" s="28"/>
      <c r="H224" s="28"/>
      <c r="I224" s="28"/>
      <c r="J224" s="28"/>
      <c r="K224" s="28"/>
      <c r="L224" s="28"/>
      <c r="M224" s="68">
        <v>0</v>
      </c>
      <c r="N224" s="28"/>
      <c r="O224" s="83"/>
      <c r="P224" s="13" t="str">
        <f t="shared" si="286"/>
        <v>NO</v>
      </c>
      <c r="Q224" s="47">
        <f>IF(D224="INCLUIDO",IF(F225&lt;&gt;0,1,0),0)</f>
        <v>0</v>
      </c>
    </row>
    <row r="225" spans="1:22" ht="15" hidden="1" customHeight="1" x14ac:dyDescent="0.3">
      <c r="A225" s="34" t="s">
        <v>1261</v>
      </c>
      <c r="B225" s="36">
        <v>133</v>
      </c>
      <c r="C225" s="29" t="s">
        <v>1267</v>
      </c>
      <c r="D225" s="29" t="str">
        <f>$D$217</f>
        <v>NO APLICA</v>
      </c>
      <c r="E225" s="27" t="s">
        <v>1186</v>
      </c>
      <c r="F225" s="20">
        <f>F218*S225</f>
        <v>0</v>
      </c>
      <c r="G225" s="21">
        <v>0</v>
      </c>
      <c r="H225" s="9">
        <f>(IF(I225="$ Prima",G225,G225*F225/R225))*$U$9</f>
        <v>0</v>
      </c>
      <c r="I225" s="9" t="s">
        <v>1153</v>
      </c>
      <c r="J225" s="9">
        <f>H225*$U$7</f>
        <v>0</v>
      </c>
      <c r="K225" s="9">
        <f>(H225+J225)*$K$15</f>
        <v>0</v>
      </c>
      <c r="L225" s="9">
        <f>ROUND(H225+J225+K225,2)</f>
        <v>0</v>
      </c>
      <c r="M225" s="11">
        <f>M224</f>
        <v>0</v>
      </c>
      <c r="N225" s="9">
        <f>H225*M225</f>
        <v>0</v>
      </c>
      <c r="O225" s="12">
        <f>N225</f>
        <v>0</v>
      </c>
      <c r="P225" s="13" t="str">
        <f t="shared" si="286"/>
        <v>NO</v>
      </c>
      <c r="Q225">
        <f>IF(D225="INCLUIDO",IF(F225&lt;&gt;0,1,0),0)</f>
        <v>0</v>
      </c>
      <c r="R225">
        <f>IF(I225="%o Al Millar",1000,IF(I225="% Al Porciento",100,IF(I225="$ Prima",G225)))</f>
        <v>1000</v>
      </c>
      <c r="S225">
        <f t="shared" ref="S225" si="292">IF(E225="Excluido",0,IF(D225="NO APLICA",0,1))</f>
        <v>0</v>
      </c>
    </row>
    <row r="226" spans="1:22" s="18" customFormat="1" ht="15" hidden="1" customHeight="1" thickBot="1" x14ac:dyDescent="0.35">
      <c r="A226" s="24"/>
      <c r="B226" s="26"/>
      <c r="C226" s="15" t="s">
        <v>1177</v>
      </c>
      <c r="D226" s="38" t="str">
        <f>D225</f>
        <v>NO APLICA</v>
      </c>
      <c r="E226" s="38"/>
      <c r="F226" s="16">
        <f>SUMIF(E218:E225,"Adicional",F218:F225)</f>
        <v>0</v>
      </c>
      <c r="G226" s="17"/>
      <c r="H226" s="16">
        <f>SUM(H225)</f>
        <v>0</v>
      </c>
      <c r="I226" s="16"/>
      <c r="J226" s="16">
        <f t="shared" ref="J226:L226" si="293">SUM(J225)</f>
        <v>0</v>
      </c>
      <c r="K226" s="16">
        <f t="shared" si="293"/>
        <v>0</v>
      </c>
      <c r="L226" s="16">
        <f t="shared" si="293"/>
        <v>0</v>
      </c>
      <c r="M226" s="16" t="s">
        <v>1178</v>
      </c>
      <c r="N226" s="16">
        <f t="shared" ref="N226:O226" si="294">SUM(N225)</f>
        <v>0</v>
      </c>
      <c r="O226" s="84">
        <f t="shared" si="294"/>
        <v>0</v>
      </c>
      <c r="P226" s="13" t="str">
        <f t="shared" si="286"/>
        <v>NO</v>
      </c>
      <c r="Q226">
        <f>IF(D226="INCLUIDO",IF(H226&lt;&gt;0,1,0),0)</f>
        <v>0</v>
      </c>
    </row>
    <row r="227" spans="1:22" ht="15" hidden="1" customHeight="1" thickBot="1" x14ac:dyDescent="0.35">
      <c r="A227" s="82">
        <v>906</v>
      </c>
      <c r="B227" s="33">
        <v>14</v>
      </c>
      <c r="C227" s="19" t="s">
        <v>1286</v>
      </c>
      <c r="D227" s="23" t="str">
        <f>'Ramo Comercial'!C157</f>
        <v>NO APLICA</v>
      </c>
      <c r="E227" s="91"/>
      <c r="F227" s="113">
        <v>0</v>
      </c>
      <c r="G227" s="113">
        <v>1.2</v>
      </c>
      <c r="H227" s="28"/>
      <c r="I227" s="28"/>
      <c r="J227" s="28"/>
      <c r="K227" s="28"/>
      <c r="L227" s="28"/>
      <c r="M227" s="68">
        <v>0.15</v>
      </c>
      <c r="N227" s="28"/>
      <c r="O227" s="83"/>
      <c r="P227" s="13" t="str">
        <f t="shared" si="286"/>
        <v>NO</v>
      </c>
      <c r="Q227" s="48">
        <f>IF(D227="INCLUIDO",IF(F227&lt;&gt;0,1,0),0)</f>
        <v>0</v>
      </c>
      <c r="T227" s="142">
        <f>G227</f>
        <v>1.2</v>
      </c>
      <c r="U227" s="150"/>
      <c r="V227" s="151"/>
    </row>
    <row r="228" spans="1:22" ht="15" hidden="1" customHeight="1" x14ac:dyDescent="0.3">
      <c r="A228" s="34" t="s">
        <v>1261</v>
      </c>
      <c r="B228" s="36">
        <v>134</v>
      </c>
      <c r="C228" s="29" t="s">
        <v>1151</v>
      </c>
      <c r="D228" s="29" t="str">
        <f>$D$227</f>
        <v>NO APLICA</v>
      </c>
      <c r="E228" s="27" t="s">
        <v>1152</v>
      </c>
      <c r="F228" s="20">
        <f>F227*S228</f>
        <v>0</v>
      </c>
      <c r="G228" s="21">
        <f>V228</f>
        <v>0</v>
      </c>
      <c r="H228" s="9">
        <f>(IF(I228="$ Prima",G228,G228*F228/R228))*$U$9</f>
        <v>0</v>
      </c>
      <c r="I228" s="9" t="s">
        <v>1287</v>
      </c>
      <c r="J228" s="9">
        <f t="shared" ref="J228:J229" si="295">H228*$U$7</f>
        <v>0</v>
      </c>
      <c r="K228" s="9">
        <f t="shared" ref="K228:K229" si="296">(H228+J228)*$K$15</f>
        <v>0</v>
      </c>
      <c r="L228" s="9">
        <f t="shared" ref="L228:L229" si="297">ROUND(H228+J228+K228,2)</f>
        <v>0</v>
      </c>
      <c r="M228" s="11">
        <f>$M$227</f>
        <v>0.15</v>
      </c>
      <c r="N228" s="9">
        <f t="shared" ref="N228:N229" si="298">H228*M228</f>
        <v>0</v>
      </c>
      <c r="O228" s="12">
        <f t="shared" ref="O228:O229" si="299">N228</f>
        <v>0</v>
      </c>
      <c r="P228" s="13" t="str">
        <f t="shared" si="286"/>
        <v>NO</v>
      </c>
      <c r="Q228">
        <f>IF(D228="INCLUIDO",IF(F228&lt;&gt;0,1,0),0)</f>
        <v>0</v>
      </c>
      <c r="R228">
        <f>IF(I228="%o Al Millar",1000,IF(I228="% Al Porciento",100,IF(I228="$ Prima",G228)))</f>
        <v>0</v>
      </c>
      <c r="S228">
        <f t="shared" ref="S228:S229" si="300">IF(E228="Excluido",0,IF(D228="NO APLICA",0,1))</f>
        <v>0</v>
      </c>
      <c r="T228" s="152">
        <v>0.7</v>
      </c>
      <c r="U228" s="159">
        <f>IF(E228="Excluido",0,T227*T228)</f>
        <v>0.84</v>
      </c>
      <c r="V228" s="160">
        <f>IF(D227="NO APLICA",0,(U230-U229)+(T227-U230))</f>
        <v>0</v>
      </c>
    </row>
    <row r="229" spans="1:22" ht="15" hidden="1" customHeight="1" thickBot="1" x14ac:dyDescent="0.35">
      <c r="A229" s="34" t="s">
        <v>1261</v>
      </c>
      <c r="B229" s="36">
        <v>135</v>
      </c>
      <c r="C229" s="29" t="s">
        <v>1262</v>
      </c>
      <c r="D229" s="29" t="str">
        <f>$D$227</f>
        <v>NO APLICA</v>
      </c>
      <c r="E229" s="27" t="s">
        <v>1137</v>
      </c>
      <c r="F229" s="20">
        <f>F228*S229</f>
        <v>0</v>
      </c>
      <c r="G229" s="21">
        <f>V229</f>
        <v>0</v>
      </c>
      <c r="H229" s="9">
        <f>(IF(I229="$ Prima",G229,G229*F229/R229))*$U$9</f>
        <v>0</v>
      </c>
      <c r="I229" s="9" t="s">
        <v>1153</v>
      </c>
      <c r="J229" s="9">
        <f t="shared" si="295"/>
        <v>0</v>
      </c>
      <c r="K229" s="9">
        <f t="shared" si="296"/>
        <v>0</v>
      </c>
      <c r="L229" s="9">
        <f t="shared" si="297"/>
        <v>0</v>
      </c>
      <c r="M229" s="11">
        <f>$M$227</f>
        <v>0.15</v>
      </c>
      <c r="N229" s="9">
        <f t="shared" si="298"/>
        <v>0</v>
      </c>
      <c r="O229" s="12">
        <f t="shared" si="299"/>
        <v>0</v>
      </c>
      <c r="P229" s="13" t="str">
        <f t="shared" si="286"/>
        <v>NO</v>
      </c>
      <c r="Q229">
        <f>IF(D229="INCLUIDO",IF(F229&lt;&gt;0,1,0),0)</f>
        <v>0</v>
      </c>
      <c r="R229">
        <f>IF(I229="%o Al Millar",1000,IF(I229="% Al Porciento",100,IF(I229="$ Prima",G229)))</f>
        <v>1000</v>
      </c>
      <c r="S229">
        <f t="shared" si="300"/>
        <v>0</v>
      </c>
      <c r="T229" s="152">
        <v>0.3</v>
      </c>
      <c r="U229" s="159">
        <f>IF(E229="Excluido",0,T227*T229)</f>
        <v>0.36</v>
      </c>
      <c r="V229" s="160">
        <f>IF($F229=0,0,U229)</f>
        <v>0</v>
      </c>
    </row>
    <row r="230" spans="1:22" s="18" customFormat="1" ht="15" hidden="1" customHeight="1" thickBot="1" x14ac:dyDescent="0.35">
      <c r="A230" s="24"/>
      <c r="B230" s="26"/>
      <c r="C230" s="15" t="s">
        <v>1177</v>
      </c>
      <c r="D230" s="38" t="str">
        <f>D229</f>
        <v>NO APLICA</v>
      </c>
      <c r="E230" s="38"/>
      <c r="F230" s="16">
        <v>0</v>
      </c>
      <c r="G230" s="17"/>
      <c r="H230" s="16">
        <f>SUM(H228:H229)</f>
        <v>0</v>
      </c>
      <c r="I230" s="16"/>
      <c r="J230" s="16">
        <f t="shared" ref="J230:L230" si="301">SUM(J228:J229)</f>
        <v>0</v>
      </c>
      <c r="K230" s="16">
        <f t="shared" si="301"/>
        <v>0</v>
      </c>
      <c r="L230" s="16">
        <f t="shared" si="301"/>
        <v>0</v>
      </c>
      <c r="M230" s="16" t="s">
        <v>1178</v>
      </c>
      <c r="N230" s="16">
        <f t="shared" ref="N230:O230" si="302">SUM(N228:N229)</f>
        <v>0</v>
      </c>
      <c r="O230" s="84">
        <f t="shared" si="302"/>
        <v>0</v>
      </c>
      <c r="P230" s="13" t="str">
        <f t="shared" si="286"/>
        <v>NO</v>
      </c>
      <c r="Q230">
        <f>IF(D230="INCLUIDO",IF(H230&lt;&gt;0,1,0),0)</f>
        <v>0</v>
      </c>
      <c r="T230" s="143">
        <f>SUM(T228:T229)</f>
        <v>1</v>
      </c>
      <c r="U230" s="144">
        <f>SUM(U228:U229)</f>
        <v>1.2</v>
      </c>
      <c r="V230" s="145">
        <f>SUM(V228:V229)</f>
        <v>0</v>
      </c>
    </row>
    <row r="231" spans="1:22" ht="15" hidden="1" customHeight="1" x14ac:dyDescent="0.3">
      <c r="A231" s="82">
        <v>906</v>
      </c>
      <c r="B231" s="33">
        <v>15</v>
      </c>
      <c r="C231" s="19" t="s">
        <v>1288</v>
      </c>
      <c r="D231" s="23" t="str">
        <f>D227</f>
        <v>NO APLICA</v>
      </c>
      <c r="E231" s="91"/>
      <c r="F231" s="28"/>
      <c r="G231" s="28"/>
      <c r="H231" s="28"/>
      <c r="I231" s="28"/>
      <c r="J231" s="28"/>
      <c r="K231" s="28"/>
      <c r="L231" s="28"/>
      <c r="M231" s="68">
        <v>0.05</v>
      </c>
      <c r="N231" s="28"/>
      <c r="O231" s="83"/>
      <c r="P231" s="13" t="str">
        <f t="shared" si="286"/>
        <v>NO</v>
      </c>
      <c r="Q231" s="47">
        <f>IF(D231="INCLUIDO",IF(F232&lt;&gt;0,1,0),0)</f>
        <v>0</v>
      </c>
    </row>
    <row r="232" spans="1:22" ht="15" hidden="1" customHeight="1" x14ac:dyDescent="0.3">
      <c r="A232" s="34" t="s">
        <v>1261</v>
      </c>
      <c r="B232" s="36">
        <v>136</v>
      </c>
      <c r="C232" s="29" t="s">
        <v>1170</v>
      </c>
      <c r="D232" s="29" t="str">
        <f>$D$227</f>
        <v>NO APLICA</v>
      </c>
      <c r="E232" s="27" t="s">
        <v>1137</v>
      </c>
      <c r="F232" s="20">
        <f>F228*S232</f>
        <v>0</v>
      </c>
      <c r="G232" s="21">
        <v>0</v>
      </c>
      <c r="H232" s="9">
        <f>(IF(I232="$ Prima",G232,G232*F232/R232))*$U$9</f>
        <v>0</v>
      </c>
      <c r="I232" s="9" t="s">
        <v>1287</v>
      </c>
      <c r="J232" s="9">
        <f>H232*$U$7</f>
        <v>0</v>
      </c>
      <c r="K232" s="9">
        <f>(H232+J232)*$K$15</f>
        <v>0</v>
      </c>
      <c r="L232" s="9">
        <f>ROUND(H232+J232+K232,2)</f>
        <v>0</v>
      </c>
      <c r="M232" s="11">
        <f>M231</f>
        <v>0.05</v>
      </c>
      <c r="N232" s="9">
        <f>H232*M232</f>
        <v>0</v>
      </c>
      <c r="O232" s="12">
        <f>N232</f>
        <v>0</v>
      </c>
      <c r="P232" s="13" t="str">
        <f t="shared" si="286"/>
        <v>NO</v>
      </c>
      <c r="Q232">
        <f>IF(D232="INCLUIDO",IF(F232&lt;&gt;0,1,0),0)</f>
        <v>0</v>
      </c>
      <c r="R232">
        <f>IF(I232="%o Al Millar",1000,IF(I232="% Al Porciento",100,IF(I232="$ Prima",G232)))</f>
        <v>0</v>
      </c>
      <c r="S232">
        <f t="shared" ref="S232" si="303">IF(E232="Excluido",0,IF(D232="NO APLICA",0,1))</f>
        <v>0</v>
      </c>
    </row>
    <row r="233" spans="1:22" s="18" customFormat="1" ht="15" hidden="1" customHeight="1" x14ac:dyDescent="0.3">
      <c r="A233" s="24"/>
      <c r="B233" s="26"/>
      <c r="C233" s="15" t="s">
        <v>1177</v>
      </c>
      <c r="D233" s="38" t="str">
        <f>D232</f>
        <v>NO APLICA</v>
      </c>
      <c r="E233" s="38"/>
      <c r="F233" s="16">
        <f>SUMIF(E232,"Adicional",F232)</f>
        <v>0</v>
      </c>
      <c r="G233" s="17"/>
      <c r="H233" s="16">
        <f>SUM(H232)</f>
        <v>0</v>
      </c>
      <c r="I233" s="16"/>
      <c r="J233" s="16">
        <f t="shared" ref="J233:L233" si="304">SUM(J232)</f>
        <v>0</v>
      </c>
      <c r="K233" s="16">
        <f t="shared" si="304"/>
        <v>0</v>
      </c>
      <c r="L233" s="16">
        <f t="shared" si="304"/>
        <v>0</v>
      </c>
      <c r="M233" s="16" t="s">
        <v>1178</v>
      </c>
      <c r="N233" s="16">
        <f t="shared" ref="N233:O233" si="305">SUM(N232)</f>
        <v>0</v>
      </c>
      <c r="O233" s="84">
        <f t="shared" si="305"/>
        <v>0</v>
      </c>
      <c r="P233" s="13" t="str">
        <f t="shared" si="286"/>
        <v>NO</v>
      </c>
      <c r="Q233">
        <f>IF(D233="INCLUIDO",IF(H233&lt;&gt;0,1,0),0)</f>
        <v>0</v>
      </c>
    </row>
    <row r="234" spans="1:22" ht="15" hidden="1" customHeight="1" x14ac:dyDescent="0.3">
      <c r="A234" s="82">
        <v>906</v>
      </c>
      <c r="B234" s="33">
        <v>16</v>
      </c>
      <c r="C234" s="19" t="s">
        <v>1289</v>
      </c>
      <c r="D234" s="23" t="str">
        <f>D227</f>
        <v>NO APLICA</v>
      </c>
      <c r="E234" s="91"/>
      <c r="F234" s="28"/>
      <c r="G234" s="28"/>
      <c r="H234" s="28"/>
      <c r="I234" s="28"/>
      <c r="J234" s="28"/>
      <c r="K234" s="28"/>
      <c r="L234" s="28"/>
      <c r="M234" s="68">
        <v>0.05</v>
      </c>
      <c r="N234" s="28"/>
      <c r="O234" s="83"/>
      <c r="P234" s="13" t="str">
        <f t="shared" si="286"/>
        <v>NO</v>
      </c>
      <c r="Q234" s="47" t="b">
        <f>IF(D234="INCLUIDO",IF(F235&lt;&gt;0,1,0))</f>
        <v>0</v>
      </c>
    </row>
    <row r="235" spans="1:22" ht="15" hidden="1" customHeight="1" x14ac:dyDescent="0.3">
      <c r="A235" s="34" t="s">
        <v>1261</v>
      </c>
      <c r="B235" s="36">
        <v>137</v>
      </c>
      <c r="C235" s="29" t="s">
        <v>1267</v>
      </c>
      <c r="D235" s="29" t="str">
        <f>$D$227</f>
        <v>NO APLICA</v>
      </c>
      <c r="E235" s="27" t="s">
        <v>1137</v>
      </c>
      <c r="F235" s="20">
        <f>F228*S235</f>
        <v>0</v>
      </c>
      <c r="G235" s="21">
        <v>0</v>
      </c>
      <c r="H235" s="9">
        <f>(IF(I235="$ Prima",G235,G235*F235/R235))*$U$9</f>
        <v>0</v>
      </c>
      <c r="I235" s="9" t="s">
        <v>1287</v>
      </c>
      <c r="J235" s="9">
        <f>H235*$U$7</f>
        <v>0</v>
      </c>
      <c r="K235" s="9">
        <f>(H235+J235)*$K$15</f>
        <v>0</v>
      </c>
      <c r="L235" s="9">
        <f>ROUND(H235+J235+K235,2)</f>
        <v>0</v>
      </c>
      <c r="M235" s="11">
        <f>M234</f>
        <v>0.05</v>
      </c>
      <c r="N235" s="9">
        <f>H235*M235</f>
        <v>0</v>
      </c>
      <c r="O235" s="12">
        <f>N235</f>
        <v>0</v>
      </c>
      <c r="P235" s="13" t="str">
        <f t="shared" si="286"/>
        <v>NO</v>
      </c>
      <c r="Q235">
        <f>IF(D235="INCLUIDO",IF(F235&lt;&gt;0,1,0),0)</f>
        <v>0</v>
      </c>
      <c r="R235">
        <f>IF(I235="%o Al Millar",1000,IF(I235="% Al Porciento",100,IF(I235="$ Prima",G235)))</f>
        <v>0</v>
      </c>
      <c r="S235">
        <f t="shared" ref="S235" si="306">IF(E235="Excluido",0,IF(D235="NO APLICA",0,1))</f>
        <v>0</v>
      </c>
    </row>
    <row r="236" spans="1:22" s="18" customFormat="1" ht="15" hidden="1" customHeight="1" thickBot="1" x14ac:dyDescent="0.35">
      <c r="A236" s="24"/>
      <c r="B236" s="26"/>
      <c r="C236" s="15" t="s">
        <v>1177</v>
      </c>
      <c r="D236" s="38" t="str">
        <f>D235</f>
        <v>NO APLICA</v>
      </c>
      <c r="E236" s="38"/>
      <c r="F236" s="16">
        <f>SUMIF(E228:E235,"Adicional",F228:F235)</f>
        <v>0</v>
      </c>
      <c r="G236" s="17"/>
      <c r="H236" s="16">
        <f>SUM(H235)</f>
        <v>0</v>
      </c>
      <c r="I236" s="16"/>
      <c r="J236" s="16">
        <f t="shared" ref="J236:L236" si="307">SUM(J235)</f>
        <v>0</v>
      </c>
      <c r="K236" s="16">
        <f t="shared" si="307"/>
        <v>0</v>
      </c>
      <c r="L236" s="16">
        <f t="shared" si="307"/>
        <v>0</v>
      </c>
      <c r="M236" s="16" t="s">
        <v>1178</v>
      </c>
      <c r="N236" s="16">
        <f t="shared" ref="N236:O236" si="308">SUM(N235)</f>
        <v>0</v>
      </c>
      <c r="O236" s="84">
        <f t="shared" si="308"/>
        <v>0</v>
      </c>
      <c r="P236" s="13" t="str">
        <f t="shared" si="286"/>
        <v>NO</v>
      </c>
      <c r="Q236">
        <f>IF(D236="INCLUIDO",IF(H236&lt;&gt;0,1,0),0)</f>
        <v>0</v>
      </c>
    </row>
    <row r="237" spans="1:22" ht="15" hidden="1" customHeight="1" thickBot="1" x14ac:dyDescent="0.35">
      <c r="A237" s="82">
        <v>908</v>
      </c>
      <c r="B237" s="33">
        <v>1</v>
      </c>
      <c r="C237" s="19" t="s">
        <v>1290</v>
      </c>
      <c r="D237" s="23" t="str">
        <f>'Ramo Comercial'!C168</f>
        <v>NO APLICA</v>
      </c>
      <c r="E237" s="91"/>
      <c r="F237" s="113">
        <v>0</v>
      </c>
      <c r="G237" s="113">
        <v>1.2</v>
      </c>
      <c r="H237" s="28"/>
      <c r="I237" s="28"/>
      <c r="J237" s="28"/>
      <c r="K237" s="28"/>
      <c r="L237" s="28"/>
      <c r="M237" s="68">
        <v>0</v>
      </c>
      <c r="N237" s="28"/>
      <c r="O237" s="83"/>
      <c r="P237" s="13" t="str">
        <f t="shared" si="286"/>
        <v>NO</v>
      </c>
      <c r="Q237" s="48">
        <f>IF(D237="INCLUIDO",IF(F237&lt;&gt;0,1,0),0)</f>
        <v>0</v>
      </c>
      <c r="T237" s="142">
        <f>G237</f>
        <v>1.2</v>
      </c>
      <c r="U237" s="150"/>
      <c r="V237" s="151"/>
    </row>
    <row r="238" spans="1:22" ht="15" hidden="1" customHeight="1" x14ac:dyDescent="0.3">
      <c r="A238" s="34" t="s">
        <v>1291</v>
      </c>
      <c r="B238" s="36">
        <v>138</v>
      </c>
      <c r="C238" s="29" t="s">
        <v>1292</v>
      </c>
      <c r="D238" s="29" t="str">
        <f>D237</f>
        <v>NO APLICA</v>
      </c>
      <c r="E238" s="27" t="s">
        <v>1152</v>
      </c>
      <c r="F238" s="20">
        <f>F237*S238</f>
        <v>0</v>
      </c>
      <c r="G238" s="21">
        <f>V238</f>
        <v>0</v>
      </c>
      <c r="H238" s="9">
        <f t="shared" ref="H238:H239" si="309">(IF(I238="$ Prima",G238,G238*F238/R238))*$U$9</f>
        <v>0</v>
      </c>
      <c r="I238" s="9" t="s">
        <v>1287</v>
      </c>
      <c r="J238" s="9">
        <f t="shared" ref="J238:J239" si="310">H238*$U$7</f>
        <v>0</v>
      </c>
      <c r="K238" s="9">
        <f t="shared" ref="K238:K239" si="311">(H238+J238)*$K$15</f>
        <v>0</v>
      </c>
      <c r="L238" s="9">
        <f t="shared" ref="L238:L239" si="312">ROUND(H238+J238+K238,2)</f>
        <v>0</v>
      </c>
      <c r="M238" s="11">
        <f>$M$237</f>
        <v>0</v>
      </c>
      <c r="N238" s="9">
        <f t="shared" ref="N238:N239" si="313">H238*M238</f>
        <v>0</v>
      </c>
      <c r="O238" s="12">
        <f t="shared" ref="O238:O239" si="314">N238</f>
        <v>0</v>
      </c>
      <c r="P238" s="13" t="str">
        <f t="shared" si="286"/>
        <v>NO</v>
      </c>
      <c r="Q238">
        <f>IF(D238="INCLUIDO",IF(F238&lt;&gt;0,1,0),0)</f>
        <v>0</v>
      </c>
      <c r="R238">
        <f>IF(I238="%o Al Millar",1000,IF(I238="% Al Porciento",100,IF(I238="$ Prima",G238)))</f>
        <v>0</v>
      </c>
      <c r="S238">
        <f t="shared" ref="S238:S239" si="315">IF(E238="Excluido",0,IF(D238="NO APLICA",0,1))</f>
        <v>0</v>
      </c>
      <c r="T238" s="152">
        <v>0.7</v>
      </c>
      <c r="U238" s="159">
        <f>IF(E238="Excluido",0,T237*T238)</f>
        <v>0.84</v>
      </c>
      <c r="V238" s="160">
        <f>IF(D237="NO APLICA",0,(U240-U239)+(T237-U240))</f>
        <v>0</v>
      </c>
    </row>
    <row r="239" spans="1:22" ht="15" hidden="1" customHeight="1" thickBot="1" x14ac:dyDescent="0.35">
      <c r="A239" s="34" t="s">
        <v>1291</v>
      </c>
      <c r="B239" s="36">
        <v>254</v>
      </c>
      <c r="C239" s="29" t="s">
        <v>1293</v>
      </c>
      <c r="D239" s="29" t="str">
        <f>D237</f>
        <v>NO APLICA</v>
      </c>
      <c r="E239" s="27" t="s">
        <v>1152</v>
      </c>
      <c r="F239" s="20">
        <f>F238*S239</f>
        <v>0</v>
      </c>
      <c r="G239" s="21">
        <f>V239</f>
        <v>0</v>
      </c>
      <c r="H239" s="9">
        <f t="shared" si="309"/>
        <v>0</v>
      </c>
      <c r="I239" s="9" t="s">
        <v>1287</v>
      </c>
      <c r="J239" s="9">
        <f t="shared" si="310"/>
        <v>0</v>
      </c>
      <c r="K239" s="9">
        <f t="shared" si="311"/>
        <v>0</v>
      </c>
      <c r="L239" s="9">
        <f t="shared" si="312"/>
        <v>0</v>
      </c>
      <c r="M239" s="11">
        <f>$M$237</f>
        <v>0</v>
      </c>
      <c r="N239" s="9">
        <f t="shared" si="313"/>
        <v>0</v>
      </c>
      <c r="O239" s="12">
        <f t="shared" si="314"/>
        <v>0</v>
      </c>
      <c r="P239" s="13" t="str">
        <f t="shared" si="286"/>
        <v>NO</v>
      </c>
      <c r="Q239">
        <f>IF(D239="INCLUIDO",IF(F239&lt;&gt;0,1,0),0)</f>
        <v>0</v>
      </c>
      <c r="R239">
        <f>IF(I239="%o Al Millar",1000,IF(I239="% Al Porciento",100,IF(I239="$ Prima",G239)))</f>
        <v>0</v>
      </c>
      <c r="S239">
        <f t="shared" si="315"/>
        <v>0</v>
      </c>
      <c r="T239" s="152">
        <v>0.3</v>
      </c>
      <c r="U239" s="159">
        <f>IF(E239="Excluido",0,T237*T239)</f>
        <v>0.36</v>
      </c>
      <c r="V239" s="160">
        <f>IF($F239=0,0,U239)</f>
        <v>0</v>
      </c>
    </row>
    <row r="240" spans="1:22" s="18" customFormat="1" ht="15" hidden="1" customHeight="1" thickBot="1" x14ac:dyDescent="0.35">
      <c r="A240" s="24"/>
      <c r="B240" s="26"/>
      <c r="C240" s="15" t="s">
        <v>1177</v>
      </c>
      <c r="D240" s="38" t="str">
        <f>D239</f>
        <v>NO APLICA</v>
      </c>
      <c r="E240" s="38"/>
      <c r="F240" s="16">
        <f>SUMIF(E238:E239,"Adicional",F238:F239)</f>
        <v>0</v>
      </c>
      <c r="G240" s="17"/>
      <c r="H240" s="16">
        <f>SUM(H238:H239)</f>
        <v>0</v>
      </c>
      <c r="I240" s="16"/>
      <c r="J240" s="16">
        <f t="shared" ref="J240:L240" si="316">SUM(J238:J239)</f>
        <v>0</v>
      </c>
      <c r="K240" s="16">
        <f t="shared" si="316"/>
        <v>0</v>
      </c>
      <c r="L240" s="16">
        <f t="shared" si="316"/>
        <v>0</v>
      </c>
      <c r="M240" s="16" t="s">
        <v>1178</v>
      </c>
      <c r="N240" s="16">
        <f t="shared" ref="N240:O240" si="317">SUM(N238:N239)</f>
        <v>0</v>
      </c>
      <c r="O240" s="84">
        <f t="shared" si="317"/>
        <v>0</v>
      </c>
      <c r="P240" s="13" t="str">
        <f t="shared" si="286"/>
        <v>NO</v>
      </c>
      <c r="Q240">
        <f>IF(D240="INCLUIDO",IF(H240&lt;&gt;0,1,0),0)</f>
        <v>0</v>
      </c>
      <c r="T240" s="143">
        <f>SUM(T238:T239)</f>
        <v>1</v>
      </c>
      <c r="U240" s="144">
        <f>SUM(U238:U239)</f>
        <v>1.2</v>
      </c>
      <c r="V240" s="145">
        <f>SUM(V238:V239)</f>
        <v>0</v>
      </c>
    </row>
    <row r="241" spans="1:29" hidden="1" x14ac:dyDescent="0.3">
      <c r="A241" s="82">
        <v>909</v>
      </c>
      <c r="B241" s="33">
        <v>1</v>
      </c>
      <c r="C241" s="19" t="s">
        <v>1294</v>
      </c>
      <c r="D241" s="23" t="str">
        <f>'Ramo Comercial'!E162</f>
        <v>INCLUIDO</v>
      </c>
      <c r="E241" s="91"/>
      <c r="F241" s="132">
        <f>'COTIZACIÓN M.N.'!D91</f>
        <v>0</v>
      </c>
      <c r="G241" s="132">
        <f>'COTIZACIÓN M.N.'!F91</f>
        <v>0</v>
      </c>
      <c r="H241" s="28"/>
      <c r="I241" s="28"/>
      <c r="J241" s="28"/>
      <c r="K241" s="28"/>
      <c r="L241" s="28"/>
      <c r="M241" s="68">
        <f>'COTIZACIÓN M.N.'!G91</f>
        <v>0.1</v>
      </c>
      <c r="N241" s="28"/>
      <c r="O241" s="83"/>
      <c r="P241" s="13" t="str">
        <f t="shared" si="286"/>
        <v>NO</v>
      </c>
      <c r="Q241" s="47">
        <f>IF(D241="INCLUIDO",IF(F242&lt;&gt;0,1,0),0)</f>
        <v>0</v>
      </c>
      <c r="T241" s="112">
        <f>G241*T272</f>
        <v>0</v>
      </c>
    </row>
    <row r="242" spans="1:29" hidden="1" x14ac:dyDescent="0.3">
      <c r="A242" s="34" t="s">
        <v>1295</v>
      </c>
      <c r="B242" s="36">
        <v>139</v>
      </c>
      <c r="C242" s="29" t="s">
        <v>1296</v>
      </c>
      <c r="D242" s="29" t="str">
        <f>'Ramo Comercial'!C162</f>
        <v>INCLUIDO</v>
      </c>
      <c r="E242" s="27" t="s">
        <v>1137</v>
      </c>
      <c r="F242" s="43">
        <f>F$241*S242</f>
        <v>0</v>
      </c>
      <c r="G242" s="114">
        <f>V242</f>
        <v>0</v>
      </c>
      <c r="H242" s="9">
        <f t="shared" ref="H242:H271" si="318">(IF(I242="$ Prima",G242,G242*F242/R242))*$U$9</f>
        <v>0</v>
      </c>
      <c r="I242" s="9" t="s">
        <v>1287</v>
      </c>
      <c r="J242" s="9">
        <f t="shared" ref="J242:J271" si="319">H242*$U$7</f>
        <v>0</v>
      </c>
      <c r="K242" s="9">
        <f t="shared" ref="K242:K271" si="320">(H242+J242)*$K$15</f>
        <v>0</v>
      </c>
      <c r="L242" s="9">
        <f t="shared" ref="L242:L271" si="321">ROUND(H242+J242+K242,2)</f>
        <v>0</v>
      </c>
      <c r="M242" s="11">
        <f>$M$241</f>
        <v>0.1</v>
      </c>
      <c r="N242" s="9">
        <f t="shared" ref="N242:N271" si="322">H242*M242</f>
        <v>0</v>
      </c>
      <c r="O242" s="12">
        <f t="shared" ref="O242:O271" si="323">N242</f>
        <v>0</v>
      </c>
      <c r="P242" s="13" t="str">
        <f t="shared" si="286"/>
        <v>NO</v>
      </c>
      <c r="Q242">
        <f t="shared" ref="Q242:Q271" si="324">IF(D242="INCLUIDO",IF(F242&lt;&gt;0,1,0),0)</f>
        <v>0</v>
      </c>
      <c r="R242">
        <f t="shared" ref="R242:R271" si="325">IF(I242="%o Al Millar",1000,IF(I242="% Al Porciento",100,IF(I242="$ Prima",G242)))</f>
        <v>0</v>
      </c>
      <c r="S242">
        <f t="shared" ref="S242:S271" si="326">IF(E242="Excluido",0,IF(D242="NO APLICA",0,1))</f>
        <v>1</v>
      </c>
      <c r="T242" s="110">
        <f>VLOOKUP(B242,DesgloseRC!$E$48:$F$88,2,FALSE)</f>
        <v>0.25</v>
      </c>
      <c r="U242" s="111">
        <f>IF(E242="Excluido",0,T241*T242)</f>
        <v>0</v>
      </c>
      <c r="V242" s="160">
        <f>IF(D241="NO APLICA",0,(U272-(SUM(U243:U271))+(T241-U272)))</f>
        <v>0</v>
      </c>
      <c r="W242" s="110"/>
      <c r="X242" s="110"/>
      <c r="Y242" s="110"/>
      <c r="Z242" s="110"/>
      <c r="AA242" s="110"/>
      <c r="AB242" s="110"/>
      <c r="AC242" s="110"/>
    </row>
    <row r="243" spans="1:29" ht="15" hidden="1" customHeight="1" x14ac:dyDescent="0.3">
      <c r="A243" s="34" t="s">
        <v>1295</v>
      </c>
      <c r="B243" s="36">
        <v>140</v>
      </c>
      <c r="C243" s="29" t="s">
        <v>1297</v>
      </c>
      <c r="D243" s="29" t="str">
        <f>$D$242</f>
        <v>INCLUIDO</v>
      </c>
      <c r="E243" s="27" t="s">
        <v>1186</v>
      </c>
      <c r="F243" s="43">
        <f t="shared" ref="F243:F271" si="327">F$241*S243</f>
        <v>0</v>
      </c>
      <c r="G243" s="114">
        <f t="shared" ref="G243:G271" si="328">V243</f>
        <v>0</v>
      </c>
      <c r="H243" s="9">
        <f t="shared" si="318"/>
        <v>0</v>
      </c>
      <c r="I243" s="9" t="s">
        <v>1287</v>
      </c>
      <c r="J243" s="9">
        <f t="shared" si="319"/>
        <v>0</v>
      </c>
      <c r="K243" s="9">
        <f t="shared" si="320"/>
        <v>0</v>
      </c>
      <c r="L243" s="9">
        <f t="shared" si="321"/>
        <v>0</v>
      </c>
      <c r="M243" s="11">
        <f t="shared" ref="M243:M271" si="329">$M$241</f>
        <v>0.1</v>
      </c>
      <c r="N243" s="9">
        <f t="shared" si="322"/>
        <v>0</v>
      </c>
      <c r="O243" s="12">
        <f t="shared" si="323"/>
        <v>0</v>
      </c>
      <c r="P243" s="13" t="str">
        <f t="shared" si="286"/>
        <v>NO</v>
      </c>
      <c r="Q243">
        <f t="shared" si="324"/>
        <v>0</v>
      </c>
      <c r="R243">
        <f t="shared" si="325"/>
        <v>0</v>
      </c>
      <c r="S243">
        <f t="shared" si="326"/>
        <v>0</v>
      </c>
      <c r="T243" s="110">
        <f>VLOOKUP(B243,DesgloseRC!$E$48:$F$88,2,FALSE)</f>
        <v>0.05</v>
      </c>
      <c r="U243" s="111">
        <f>IF(E243="Excluido",0,$T$241*T243)</f>
        <v>0</v>
      </c>
      <c r="V243" s="111">
        <f>IF(F243=0,0,U243)</f>
        <v>0</v>
      </c>
      <c r="W243" s="110"/>
      <c r="X243" s="110"/>
      <c r="Y243" s="110"/>
      <c r="Z243" s="110"/>
      <c r="AA243" s="110"/>
      <c r="AB243" s="110"/>
      <c r="AC243" s="110"/>
    </row>
    <row r="244" spans="1:29" ht="15" hidden="1" customHeight="1" x14ac:dyDescent="0.3">
      <c r="A244" s="34" t="s">
        <v>1295</v>
      </c>
      <c r="B244" s="36">
        <v>153</v>
      </c>
      <c r="C244" s="29" t="s">
        <v>1298</v>
      </c>
      <c r="D244" s="29" t="str">
        <f t="shared" ref="D244:D269" si="330">$D$242</f>
        <v>INCLUIDO</v>
      </c>
      <c r="E244" s="27" t="s">
        <v>1186</v>
      </c>
      <c r="F244" s="43">
        <f t="shared" si="327"/>
        <v>0</v>
      </c>
      <c r="G244" s="114">
        <f t="shared" si="328"/>
        <v>0</v>
      </c>
      <c r="H244" s="9">
        <f t="shared" si="318"/>
        <v>0</v>
      </c>
      <c r="I244" s="9" t="s">
        <v>1287</v>
      </c>
      <c r="J244" s="9">
        <f t="shared" si="319"/>
        <v>0</v>
      </c>
      <c r="K244" s="9">
        <f t="shared" si="320"/>
        <v>0</v>
      </c>
      <c r="L244" s="9">
        <f t="shared" si="321"/>
        <v>0</v>
      </c>
      <c r="M244" s="11">
        <f t="shared" si="329"/>
        <v>0.1</v>
      </c>
      <c r="N244" s="9">
        <f t="shared" si="322"/>
        <v>0</v>
      </c>
      <c r="O244" s="12">
        <f t="shared" si="323"/>
        <v>0</v>
      </c>
      <c r="P244" s="13" t="str">
        <f t="shared" si="286"/>
        <v>NO</v>
      </c>
      <c r="Q244">
        <f t="shared" si="324"/>
        <v>0</v>
      </c>
      <c r="R244">
        <f t="shared" si="325"/>
        <v>0</v>
      </c>
      <c r="S244">
        <f t="shared" si="326"/>
        <v>0</v>
      </c>
      <c r="T244" s="110">
        <f>VLOOKUP(B244,DesgloseRC!$E$48:$F$88,2,FALSE)</f>
        <v>0</v>
      </c>
      <c r="U244" s="111">
        <f t="shared" ref="U244:U271" si="331">IF(E244="Excluido",0,$T$241*T244)</f>
        <v>0</v>
      </c>
      <c r="V244" s="111">
        <f t="shared" ref="V244:V271" si="332">IF(F244=0,0,U244)</f>
        <v>0</v>
      </c>
      <c r="AA244" s="110"/>
      <c r="AC244" s="110"/>
    </row>
    <row r="245" spans="1:29" ht="15" hidden="1" customHeight="1" x14ac:dyDescent="0.3">
      <c r="A245" s="34" t="s">
        <v>1295</v>
      </c>
      <c r="B245" s="36">
        <v>154</v>
      </c>
      <c r="C245" s="29" t="s">
        <v>1299</v>
      </c>
      <c r="D245" s="29" t="str">
        <f t="shared" si="330"/>
        <v>INCLUIDO</v>
      </c>
      <c r="E245" s="27" t="s">
        <v>1186</v>
      </c>
      <c r="F245" s="43">
        <f t="shared" si="327"/>
        <v>0</v>
      </c>
      <c r="G245" s="114">
        <f t="shared" si="328"/>
        <v>0</v>
      </c>
      <c r="H245" s="9">
        <f t="shared" si="318"/>
        <v>0</v>
      </c>
      <c r="I245" s="9" t="s">
        <v>1287</v>
      </c>
      <c r="J245" s="9">
        <f t="shared" si="319"/>
        <v>0</v>
      </c>
      <c r="K245" s="9">
        <f t="shared" si="320"/>
        <v>0</v>
      </c>
      <c r="L245" s="9">
        <f t="shared" si="321"/>
        <v>0</v>
      </c>
      <c r="M245" s="11">
        <f t="shared" si="329"/>
        <v>0.1</v>
      </c>
      <c r="N245" s="9">
        <f t="shared" si="322"/>
        <v>0</v>
      </c>
      <c r="O245" s="12">
        <f t="shared" si="323"/>
        <v>0</v>
      </c>
      <c r="P245" s="13" t="str">
        <f t="shared" si="286"/>
        <v>NO</v>
      </c>
      <c r="Q245">
        <f t="shared" si="324"/>
        <v>0</v>
      </c>
      <c r="R245">
        <f t="shared" si="325"/>
        <v>0</v>
      </c>
      <c r="S245">
        <f t="shared" si="326"/>
        <v>0</v>
      </c>
      <c r="T245" s="110">
        <f>VLOOKUP(B245,DesgloseRC!$E$48:$F$88,2,FALSE)</f>
        <v>0</v>
      </c>
      <c r="U245" s="111">
        <f t="shared" si="331"/>
        <v>0</v>
      </c>
      <c r="V245" s="111">
        <f t="shared" si="332"/>
        <v>0</v>
      </c>
      <c r="AA245" s="110"/>
      <c r="AC245" s="110"/>
    </row>
    <row r="246" spans="1:29" ht="22.5" hidden="1" customHeight="1" x14ac:dyDescent="0.3">
      <c r="A246" s="34" t="s">
        <v>1295</v>
      </c>
      <c r="B246" s="36">
        <v>152</v>
      </c>
      <c r="C246" s="29" t="s">
        <v>1300</v>
      </c>
      <c r="D246" s="29" t="str">
        <f t="shared" si="330"/>
        <v>INCLUIDO</v>
      </c>
      <c r="E246" s="27" t="s">
        <v>1186</v>
      </c>
      <c r="F246" s="43">
        <f t="shared" si="327"/>
        <v>0</v>
      </c>
      <c r="G246" s="114">
        <f t="shared" si="328"/>
        <v>0</v>
      </c>
      <c r="H246" s="9">
        <f t="shared" si="318"/>
        <v>0</v>
      </c>
      <c r="I246" s="9" t="s">
        <v>1287</v>
      </c>
      <c r="J246" s="9">
        <f t="shared" si="319"/>
        <v>0</v>
      </c>
      <c r="K246" s="9">
        <f t="shared" si="320"/>
        <v>0</v>
      </c>
      <c r="L246" s="9">
        <f t="shared" si="321"/>
        <v>0</v>
      </c>
      <c r="M246" s="11">
        <f t="shared" si="329"/>
        <v>0.1</v>
      </c>
      <c r="N246" s="9">
        <f t="shared" si="322"/>
        <v>0</v>
      </c>
      <c r="O246" s="12">
        <f t="shared" si="323"/>
        <v>0</v>
      </c>
      <c r="P246" s="13" t="str">
        <f t="shared" si="286"/>
        <v>NO</v>
      </c>
      <c r="Q246">
        <f t="shared" si="324"/>
        <v>0</v>
      </c>
      <c r="R246">
        <f t="shared" si="325"/>
        <v>0</v>
      </c>
      <c r="S246">
        <f t="shared" si="326"/>
        <v>0</v>
      </c>
      <c r="T246" s="110">
        <f>VLOOKUP(B246,DesgloseRC!$E$48:$F$88,2,FALSE)</f>
        <v>0</v>
      </c>
      <c r="U246" s="111">
        <f t="shared" si="331"/>
        <v>0</v>
      </c>
      <c r="V246" s="111">
        <f t="shared" si="332"/>
        <v>0</v>
      </c>
      <c r="AA246" s="110"/>
      <c r="AC246" s="110"/>
    </row>
    <row r="247" spans="1:29" ht="15" hidden="1" customHeight="1" x14ac:dyDescent="0.3">
      <c r="A247" s="34" t="s">
        <v>1295</v>
      </c>
      <c r="B247" s="36">
        <v>151</v>
      </c>
      <c r="C247" s="29" t="s">
        <v>1301</v>
      </c>
      <c r="D247" s="29" t="str">
        <f t="shared" si="330"/>
        <v>INCLUIDO</v>
      </c>
      <c r="E247" s="27" t="s">
        <v>1186</v>
      </c>
      <c r="F247" s="43">
        <f t="shared" si="327"/>
        <v>0</v>
      </c>
      <c r="G247" s="114">
        <f t="shared" si="328"/>
        <v>0</v>
      </c>
      <c r="H247" s="9">
        <f t="shared" si="318"/>
        <v>0</v>
      </c>
      <c r="I247" s="9" t="s">
        <v>1287</v>
      </c>
      <c r="J247" s="9">
        <f t="shared" si="319"/>
        <v>0</v>
      </c>
      <c r="K247" s="9">
        <f t="shared" si="320"/>
        <v>0</v>
      </c>
      <c r="L247" s="9">
        <f t="shared" si="321"/>
        <v>0</v>
      </c>
      <c r="M247" s="11">
        <f t="shared" si="329"/>
        <v>0.1</v>
      </c>
      <c r="N247" s="9">
        <f t="shared" si="322"/>
        <v>0</v>
      </c>
      <c r="O247" s="12">
        <f t="shared" si="323"/>
        <v>0</v>
      </c>
      <c r="P247" s="13" t="str">
        <f t="shared" si="286"/>
        <v>NO</v>
      </c>
      <c r="Q247">
        <f t="shared" si="324"/>
        <v>0</v>
      </c>
      <c r="R247">
        <f t="shared" si="325"/>
        <v>0</v>
      </c>
      <c r="S247">
        <f t="shared" si="326"/>
        <v>0</v>
      </c>
      <c r="T247" s="110">
        <f>VLOOKUP(B247,DesgloseRC!$E$48:$F$88,2,FALSE)</f>
        <v>0.1</v>
      </c>
      <c r="U247" s="111">
        <f t="shared" si="331"/>
        <v>0</v>
      </c>
      <c r="V247" s="111">
        <f t="shared" si="332"/>
        <v>0</v>
      </c>
      <c r="AC247" s="110"/>
    </row>
    <row r="248" spans="1:29" ht="15" hidden="1" customHeight="1" x14ac:dyDescent="0.3">
      <c r="A248" s="34" t="s">
        <v>1295</v>
      </c>
      <c r="B248" s="36">
        <v>141</v>
      </c>
      <c r="C248" s="29" t="s">
        <v>1302</v>
      </c>
      <c r="D248" s="29" t="str">
        <f t="shared" si="330"/>
        <v>INCLUIDO</v>
      </c>
      <c r="E248" s="27" t="s">
        <v>1186</v>
      </c>
      <c r="F248" s="43">
        <f t="shared" si="327"/>
        <v>0</v>
      </c>
      <c r="G248" s="114">
        <f t="shared" si="328"/>
        <v>0</v>
      </c>
      <c r="H248" s="9">
        <f t="shared" si="318"/>
        <v>0</v>
      </c>
      <c r="I248" s="9" t="s">
        <v>1287</v>
      </c>
      <c r="J248" s="9">
        <f t="shared" si="319"/>
        <v>0</v>
      </c>
      <c r="K248" s="9">
        <f t="shared" si="320"/>
        <v>0</v>
      </c>
      <c r="L248" s="9">
        <f t="shared" si="321"/>
        <v>0</v>
      </c>
      <c r="M248" s="11">
        <f t="shared" si="329"/>
        <v>0.1</v>
      </c>
      <c r="N248" s="9">
        <f t="shared" si="322"/>
        <v>0</v>
      </c>
      <c r="O248" s="12">
        <f t="shared" si="323"/>
        <v>0</v>
      </c>
      <c r="P248" s="13" t="str">
        <f t="shared" si="286"/>
        <v>NO</v>
      </c>
      <c r="Q248">
        <f t="shared" si="324"/>
        <v>0</v>
      </c>
      <c r="R248">
        <f t="shared" si="325"/>
        <v>0</v>
      </c>
      <c r="S248">
        <f t="shared" si="326"/>
        <v>0</v>
      </c>
      <c r="T248" s="110">
        <f>VLOOKUP(B248,DesgloseRC!$E$48:$F$88,2,FALSE)</f>
        <v>0.03</v>
      </c>
      <c r="U248" s="111">
        <f t="shared" si="331"/>
        <v>0</v>
      </c>
      <c r="V248" s="111">
        <f t="shared" si="332"/>
        <v>0</v>
      </c>
      <c r="Z248" s="110"/>
      <c r="AC248" s="110"/>
    </row>
    <row r="249" spans="1:29" ht="22.5" hidden="1" customHeight="1" x14ac:dyDescent="0.3">
      <c r="A249" s="34" t="s">
        <v>1295</v>
      </c>
      <c r="B249" s="36">
        <v>142</v>
      </c>
      <c r="C249" s="29" t="s">
        <v>1303</v>
      </c>
      <c r="D249" s="29" t="str">
        <f t="shared" si="330"/>
        <v>INCLUIDO</v>
      </c>
      <c r="E249" s="27" t="s">
        <v>1186</v>
      </c>
      <c r="F249" s="43">
        <f t="shared" si="327"/>
        <v>0</v>
      </c>
      <c r="G249" s="114">
        <f t="shared" si="328"/>
        <v>0</v>
      </c>
      <c r="H249" s="9">
        <f t="shared" si="318"/>
        <v>0</v>
      </c>
      <c r="I249" s="9" t="s">
        <v>1287</v>
      </c>
      <c r="J249" s="9">
        <f t="shared" si="319"/>
        <v>0</v>
      </c>
      <c r="K249" s="9">
        <f t="shared" si="320"/>
        <v>0</v>
      </c>
      <c r="L249" s="9">
        <f t="shared" si="321"/>
        <v>0</v>
      </c>
      <c r="M249" s="11">
        <f t="shared" si="329"/>
        <v>0.1</v>
      </c>
      <c r="N249" s="9">
        <f t="shared" si="322"/>
        <v>0</v>
      </c>
      <c r="O249" s="12">
        <f t="shared" si="323"/>
        <v>0</v>
      </c>
      <c r="P249" s="13" t="str">
        <f t="shared" si="286"/>
        <v>NO</v>
      </c>
      <c r="Q249">
        <f t="shared" si="324"/>
        <v>0</v>
      </c>
      <c r="R249">
        <f t="shared" si="325"/>
        <v>0</v>
      </c>
      <c r="S249">
        <f t="shared" si="326"/>
        <v>0</v>
      </c>
      <c r="T249" s="110">
        <f>VLOOKUP(B249,DesgloseRC!$E$48:$F$88,2,FALSE)</f>
        <v>0.03</v>
      </c>
      <c r="U249" s="111">
        <f t="shared" si="331"/>
        <v>0</v>
      </c>
      <c r="V249" s="111">
        <f t="shared" si="332"/>
        <v>0</v>
      </c>
      <c r="AC249" s="110"/>
    </row>
    <row r="250" spans="1:29" ht="15" hidden="1" customHeight="1" x14ac:dyDescent="0.3">
      <c r="A250" s="34" t="s">
        <v>1295</v>
      </c>
      <c r="B250" s="36">
        <v>143</v>
      </c>
      <c r="C250" s="29" t="s">
        <v>1304</v>
      </c>
      <c r="D250" s="29" t="str">
        <f t="shared" si="330"/>
        <v>INCLUIDO</v>
      </c>
      <c r="E250" s="27" t="s">
        <v>1186</v>
      </c>
      <c r="F250" s="43">
        <v>0</v>
      </c>
      <c r="G250" s="114">
        <f t="shared" si="328"/>
        <v>0</v>
      </c>
      <c r="H250" s="9">
        <f t="shared" si="318"/>
        <v>0</v>
      </c>
      <c r="I250" s="9" t="s">
        <v>1287</v>
      </c>
      <c r="J250" s="9">
        <f t="shared" si="319"/>
        <v>0</v>
      </c>
      <c r="K250" s="9">
        <f t="shared" si="320"/>
        <v>0</v>
      </c>
      <c r="L250" s="9">
        <f t="shared" si="321"/>
        <v>0</v>
      </c>
      <c r="M250" s="11">
        <f t="shared" si="329"/>
        <v>0.1</v>
      </c>
      <c r="N250" s="9">
        <f t="shared" si="322"/>
        <v>0</v>
      </c>
      <c r="O250" s="12">
        <f t="shared" si="323"/>
        <v>0</v>
      </c>
      <c r="P250" s="13" t="str">
        <f t="shared" si="286"/>
        <v>NO</v>
      </c>
      <c r="Q250">
        <f t="shared" si="324"/>
        <v>0</v>
      </c>
      <c r="R250">
        <f t="shared" si="325"/>
        <v>0</v>
      </c>
      <c r="S250">
        <f t="shared" si="326"/>
        <v>0</v>
      </c>
      <c r="T250" s="110">
        <f>VLOOKUP(B250,DesgloseRC!$E$48:$F$88,2,FALSE)</f>
        <v>0.03</v>
      </c>
      <c r="U250" s="111">
        <f t="shared" si="331"/>
        <v>0</v>
      </c>
      <c r="V250" s="111">
        <f t="shared" si="332"/>
        <v>0</v>
      </c>
      <c r="Z250" s="110"/>
      <c r="AB250" s="110"/>
      <c r="AC250" s="110"/>
    </row>
    <row r="251" spans="1:29" ht="22.5" hidden="1" customHeight="1" x14ac:dyDescent="0.3">
      <c r="A251" s="34" t="s">
        <v>1295</v>
      </c>
      <c r="B251" s="36">
        <v>144</v>
      </c>
      <c r="C251" s="29" t="s">
        <v>1305</v>
      </c>
      <c r="D251" s="29" t="str">
        <f t="shared" si="330"/>
        <v>INCLUIDO</v>
      </c>
      <c r="E251" s="27" t="s">
        <v>1186</v>
      </c>
      <c r="F251" s="43">
        <f t="shared" si="327"/>
        <v>0</v>
      </c>
      <c r="G251" s="114">
        <f t="shared" si="328"/>
        <v>0</v>
      </c>
      <c r="H251" s="9">
        <f t="shared" si="318"/>
        <v>0</v>
      </c>
      <c r="I251" s="9" t="s">
        <v>1287</v>
      </c>
      <c r="J251" s="9">
        <f t="shared" si="319"/>
        <v>0</v>
      </c>
      <c r="K251" s="9">
        <f t="shared" si="320"/>
        <v>0</v>
      </c>
      <c r="L251" s="9">
        <f t="shared" si="321"/>
        <v>0</v>
      </c>
      <c r="M251" s="11">
        <f t="shared" si="329"/>
        <v>0.1</v>
      </c>
      <c r="N251" s="9">
        <f t="shared" si="322"/>
        <v>0</v>
      </c>
      <c r="O251" s="12">
        <f t="shared" si="323"/>
        <v>0</v>
      </c>
      <c r="P251" s="13" t="str">
        <f t="shared" si="286"/>
        <v>NO</v>
      </c>
      <c r="Q251">
        <f t="shared" si="324"/>
        <v>0</v>
      </c>
      <c r="R251">
        <f t="shared" si="325"/>
        <v>0</v>
      </c>
      <c r="S251">
        <f t="shared" si="326"/>
        <v>0</v>
      </c>
      <c r="T251" s="110">
        <f>VLOOKUP(B251,DesgloseRC!$E$48:$F$88,2,FALSE)</f>
        <v>0.03</v>
      </c>
      <c r="U251" s="111">
        <f t="shared" si="331"/>
        <v>0</v>
      </c>
      <c r="V251" s="111">
        <f t="shared" si="332"/>
        <v>0</v>
      </c>
      <c r="Z251" s="110"/>
      <c r="AC251" s="110"/>
    </row>
    <row r="252" spans="1:29" ht="15" hidden="1" customHeight="1" x14ac:dyDescent="0.3">
      <c r="A252" s="34" t="s">
        <v>1295</v>
      </c>
      <c r="B252" s="36">
        <v>145</v>
      </c>
      <c r="C252" s="29" t="s">
        <v>1306</v>
      </c>
      <c r="D252" s="29" t="str">
        <f t="shared" si="330"/>
        <v>INCLUIDO</v>
      </c>
      <c r="E252" s="27" t="s">
        <v>1186</v>
      </c>
      <c r="F252" s="43">
        <f t="shared" si="327"/>
        <v>0</v>
      </c>
      <c r="G252" s="114">
        <f t="shared" si="328"/>
        <v>0</v>
      </c>
      <c r="H252" s="9">
        <f t="shared" si="318"/>
        <v>0</v>
      </c>
      <c r="I252" s="9" t="s">
        <v>1287</v>
      </c>
      <c r="J252" s="9">
        <f t="shared" si="319"/>
        <v>0</v>
      </c>
      <c r="K252" s="9">
        <f t="shared" si="320"/>
        <v>0</v>
      </c>
      <c r="L252" s="9">
        <f t="shared" si="321"/>
        <v>0</v>
      </c>
      <c r="M252" s="11">
        <f t="shared" si="329"/>
        <v>0.1</v>
      </c>
      <c r="N252" s="9">
        <f t="shared" si="322"/>
        <v>0</v>
      </c>
      <c r="O252" s="12">
        <f t="shared" si="323"/>
        <v>0</v>
      </c>
      <c r="P252" s="13" t="str">
        <f t="shared" si="286"/>
        <v>NO</v>
      </c>
      <c r="Q252">
        <f t="shared" si="324"/>
        <v>0</v>
      </c>
      <c r="R252">
        <f t="shared" si="325"/>
        <v>0</v>
      </c>
      <c r="S252">
        <f t="shared" si="326"/>
        <v>0</v>
      </c>
      <c r="T252" s="110">
        <f>VLOOKUP(B252,DesgloseRC!$E$48:$F$88,2,FALSE)</f>
        <v>0.03</v>
      </c>
      <c r="U252" s="111">
        <f t="shared" si="331"/>
        <v>0</v>
      </c>
      <c r="V252" s="111">
        <f t="shared" si="332"/>
        <v>0</v>
      </c>
      <c r="Z252" s="110"/>
      <c r="AC252" s="110"/>
    </row>
    <row r="253" spans="1:29" ht="15" hidden="1" customHeight="1" x14ac:dyDescent="0.3">
      <c r="A253" s="34" t="s">
        <v>1295</v>
      </c>
      <c r="B253" s="36">
        <v>146</v>
      </c>
      <c r="C253" s="29" t="s">
        <v>1307</v>
      </c>
      <c r="D253" s="29" t="str">
        <f t="shared" si="330"/>
        <v>INCLUIDO</v>
      </c>
      <c r="E253" s="27" t="s">
        <v>1186</v>
      </c>
      <c r="F253" s="43">
        <f t="shared" si="327"/>
        <v>0</v>
      </c>
      <c r="G253" s="114">
        <f t="shared" si="328"/>
        <v>0</v>
      </c>
      <c r="H253" s="9">
        <f t="shared" si="318"/>
        <v>0</v>
      </c>
      <c r="I253" s="9" t="s">
        <v>1287</v>
      </c>
      <c r="J253" s="9">
        <f t="shared" si="319"/>
        <v>0</v>
      </c>
      <c r="K253" s="9">
        <f t="shared" si="320"/>
        <v>0</v>
      </c>
      <c r="L253" s="9">
        <f t="shared" si="321"/>
        <v>0</v>
      </c>
      <c r="M253" s="11">
        <f t="shared" si="329"/>
        <v>0.1</v>
      </c>
      <c r="N253" s="9">
        <f t="shared" si="322"/>
        <v>0</v>
      </c>
      <c r="O253" s="12">
        <f t="shared" si="323"/>
        <v>0</v>
      </c>
      <c r="P253" s="13" t="str">
        <f t="shared" si="286"/>
        <v>NO</v>
      </c>
      <c r="Q253">
        <f t="shared" si="324"/>
        <v>0</v>
      </c>
      <c r="R253">
        <f t="shared" si="325"/>
        <v>0</v>
      </c>
      <c r="S253">
        <f t="shared" si="326"/>
        <v>0</v>
      </c>
      <c r="T253" s="110">
        <f>VLOOKUP(B253,DesgloseRC!$E$48:$F$88,2,FALSE)</f>
        <v>0</v>
      </c>
      <c r="U253" s="111">
        <f t="shared" si="331"/>
        <v>0</v>
      </c>
      <c r="V253" s="111">
        <f t="shared" si="332"/>
        <v>0</v>
      </c>
    </row>
    <row r="254" spans="1:29" ht="15" hidden="1" customHeight="1" x14ac:dyDescent="0.3">
      <c r="A254" s="34" t="s">
        <v>1295</v>
      </c>
      <c r="B254" s="36">
        <v>147</v>
      </c>
      <c r="C254" s="29" t="s">
        <v>1308</v>
      </c>
      <c r="D254" s="29" t="str">
        <f t="shared" si="330"/>
        <v>INCLUIDO</v>
      </c>
      <c r="E254" s="27" t="s">
        <v>1186</v>
      </c>
      <c r="F254" s="43">
        <f t="shared" si="327"/>
        <v>0</v>
      </c>
      <c r="G254" s="114">
        <f t="shared" si="328"/>
        <v>0</v>
      </c>
      <c r="H254" s="9">
        <f t="shared" si="318"/>
        <v>0</v>
      </c>
      <c r="I254" s="9" t="s">
        <v>1287</v>
      </c>
      <c r="J254" s="9">
        <f t="shared" si="319"/>
        <v>0</v>
      </c>
      <c r="K254" s="9">
        <f t="shared" si="320"/>
        <v>0</v>
      </c>
      <c r="L254" s="9">
        <f t="shared" si="321"/>
        <v>0</v>
      </c>
      <c r="M254" s="11">
        <f t="shared" si="329"/>
        <v>0.1</v>
      </c>
      <c r="N254" s="9">
        <f t="shared" si="322"/>
        <v>0</v>
      </c>
      <c r="O254" s="12">
        <f t="shared" si="323"/>
        <v>0</v>
      </c>
      <c r="P254" s="13" t="str">
        <f t="shared" si="286"/>
        <v>NO</v>
      </c>
      <c r="Q254">
        <f t="shared" si="324"/>
        <v>0</v>
      </c>
      <c r="R254">
        <f t="shared" si="325"/>
        <v>0</v>
      </c>
      <c r="S254">
        <f t="shared" si="326"/>
        <v>0</v>
      </c>
      <c r="T254" s="110">
        <f>VLOOKUP(B254,DesgloseRC!$E$48:$F$88,2,FALSE)</f>
        <v>0</v>
      </c>
      <c r="U254" s="111">
        <f t="shared" si="331"/>
        <v>0</v>
      </c>
      <c r="V254" s="111">
        <f t="shared" si="332"/>
        <v>0</v>
      </c>
    </row>
    <row r="255" spans="1:29" ht="15" hidden="1" customHeight="1" x14ac:dyDescent="0.3">
      <c r="A255" s="34" t="s">
        <v>1295</v>
      </c>
      <c r="B255" s="36">
        <v>148</v>
      </c>
      <c r="C255" s="29" t="s">
        <v>1309</v>
      </c>
      <c r="D255" s="29" t="str">
        <f t="shared" si="330"/>
        <v>INCLUIDO</v>
      </c>
      <c r="E255" s="27" t="s">
        <v>1186</v>
      </c>
      <c r="F255" s="43">
        <f t="shared" si="327"/>
        <v>0</v>
      </c>
      <c r="G255" s="114">
        <f t="shared" si="328"/>
        <v>0</v>
      </c>
      <c r="H255" s="9">
        <f t="shared" si="318"/>
        <v>0</v>
      </c>
      <c r="I255" s="9" t="s">
        <v>1287</v>
      </c>
      <c r="J255" s="9">
        <f t="shared" si="319"/>
        <v>0</v>
      </c>
      <c r="K255" s="9">
        <f t="shared" si="320"/>
        <v>0</v>
      </c>
      <c r="L255" s="9">
        <f t="shared" si="321"/>
        <v>0</v>
      </c>
      <c r="M255" s="11">
        <f t="shared" si="329"/>
        <v>0.1</v>
      </c>
      <c r="N255" s="9">
        <f t="shared" si="322"/>
        <v>0</v>
      </c>
      <c r="O255" s="12">
        <f t="shared" si="323"/>
        <v>0</v>
      </c>
      <c r="P255" s="13" t="str">
        <f t="shared" si="286"/>
        <v>NO</v>
      </c>
      <c r="Q255">
        <f t="shared" si="324"/>
        <v>0</v>
      </c>
      <c r="R255">
        <f t="shared" si="325"/>
        <v>0</v>
      </c>
      <c r="S255">
        <f t="shared" si="326"/>
        <v>0</v>
      </c>
      <c r="T255" s="110">
        <f>VLOOKUP(B255,DesgloseRC!$E$48:$F$88,2,FALSE)</f>
        <v>0.1</v>
      </c>
      <c r="U255" s="111">
        <f t="shared" si="331"/>
        <v>0</v>
      </c>
      <c r="V255" s="111">
        <f t="shared" si="332"/>
        <v>0</v>
      </c>
      <c r="AC255" s="110"/>
    </row>
    <row r="256" spans="1:29" ht="15" hidden="1" customHeight="1" x14ac:dyDescent="0.3">
      <c r="A256" s="34" t="s">
        <v>1295</v>
      </c>
      <c r="B256" s="36">
        <v>156</v>
      </c>
      <c r="C256" s="29" t="s">
        <v>1310</v>
      </c>
      <c r="D256" s="29" t="str">
        <f t="shared" si="330"/>
        <v>INCLUIDO</v>
      </c>
      <c r="E256" s="27" t="s">
        <v>1186</v>
      </c>
      <c r="F256" s="43">
        <v>0</v>
      </c>
      <c r="G256" s="114">
        <f t="shared" si="328"/>
        <v>0</v>
      </c>
      <c r="H256" s="9">
        <f t="shared" si="318"/>
        <v>0</v>
      </c>
      <c r="I256" s="9" t="s">
        <v>1287</v>
      </c>
      <c r="J256" s="9">
        <f t="shared" si="319"/>
        <v>0</v>
      </c>
      <c r="K256" s="9">
        <f t="shared" si="320"/>
        <v>0</v>
      </c>
      <c r="L256" s="9">
        <f t="shared" si="321"/>
        <v>0</v>
      </c>
      <c r="M256" s="11">
        <f t="shared" si="329"/>
        <v>0.1</v>
      </c>
      <c r="N256" s="9">
        <f t="shared" si="322"/>
        <v>0</v>
      </c>
      <c r="O256" s="12">
        <f t="shared" si="323"/>
        <v>0</v>
      </c>
      <c r="P256" s="13" t="str">
        <f t="shared" si="286"/>
        <v>NO</v>
      </c>
      <c r="Q256">
        <f t="shared" si="324"/>
        <v>0</v>
      </c>
      <c r="R256">
        <f t="shared" si="325"/>
        <v>0</v>
      </c>
      <c r="S256">
        <f t="shared" si="326"/>
        <v>0</v>
      </c>
      <c r="T256" s="110">
        <f>VLOOKUP(B256,DesgloseRC!$E$48:$F$88,2,FALSE)</f>
        <v>0.05</v>
      </c>
      <c r="U256" s="111">
        <f t="shared" si="331"/>
        <v>0</v>
      </c>
      <c r="V256" s="111">
        <f t="shared" si="332"/>
        <v>0</v>
      </c>
    </row>
    <row r="257" spans="1:29" ht="22.5" hidden="1" customHeight="1" x14ac:dyDescent="0.3">
      <c r="A257" s="34" t="s">
        <v>1295</v>
      </c>
      <c r="B257" s="36">
        <v>225</v>
      </c>
      <c r="C257" s="29" t="s">
        <v>1311</v>
      </c>
      <c r="D257" s="29" t="str">
        <f t="shared" si="330"/>
        <v>INCLUIDO</v>
      </c>
      <c r="E257" s="27" t="s">
        <v>1186</v>
      </c>
      <c r="F257" s="43">
        <f t="shared" si="327"/>
        <v>0</v>
      </c>
      <c r="G257" s="114">
        <f t="shared" si="328"/>
        <v>0</v>
      </c>
      <c r="H257" s="9">
        <f t="shared" si="318"/>
        <v>0</v>
      </c>
      <c r="I257" s="9" t="s">
        <v>1287</v>
      </c>
      <c r="J257" s="9">
        <f t="shared" si="319"/>
        <v>0</v>
      </c>
      <c r="K257" s="9">
        <f t="shared" si="320"/>
        <v>0</v>
      </c>
      <c r="L257" s="9">
        <f t="shared" si="321"/>
        <v>0</v>
      </c>
      <c r="M257" s="11">
        <f t="shared" si="329"/>
        <v>0.1</v>
      </c>
      <c r="N257" s="9">
        <f t="shared" si="322"/>
        <v>0</v>
      </c>
      <c r="O257" s="12">
        <f t="shared" si="323"/>
        <v>0</v>
      </c>
      <c r="P257" s="13" t="str">
        <f t="shared" si="286"/>
        <v>NO</v>
      </c>
      <c r="Q257">
        <f t="shared" si="324"/>
        <v>0</v>
      </c>
      <c r="R257">
        <f t="shared" si="325"/>
        <v>0</v>
      </c>
      <c r="S257">
        <f t="shared" si="326"/>
        <v>0</v>
      </c>
      <c r="T257" s="110">
        <f>VLOOKUP(B257,DesgloseRC!$E$48:$F$88,2,FALSE)</f>
        <v>7.0000000000000007E-2</v>
      </c>
      <c r="U257" s="111">
        <f t="shared" si="331"/>
        <v>0</v>
      </c>
      <c r="V257" s="111">
        <f t="shared" si="332"/>
        <v>0</v>
      </c>
      <c r="AA257" s="110"/>
    </row>
    <row r="258" spans="1:29" ht="15" hidden="1" customHeight="1" x14ac:dyDescent="0.3">
      <c r="A258" s="34" t="s">
        <v>1295</v>
      </c>
      <c r="B258" s="36">
        <v>226</v>
      </c>
      <c r="C258" s="29" t="s">
        <v>1312</v>
      </c>
      <c r="D258" s="29" t="str">
        <f t="shared" si="330"/>
        <v>INCLUIDO</v>
      </c>
      <c r="E258" s="27" t="s">
        <v>1186</v>
      </c>
      <c r="F258" s="43">
        <f t="shared" si="327"/>
        <v>0</v>
      </c>
      <c r="G258" s="114">
        <f t="shared" si="328"/>
        <v>0</v>
      </c>
      <c r="H258" s="9">
        <f t="shared" si="318"/>
        <v>0</v>
      </c>
      <c r="I258" s="9" t="s">
        <v>1287</v>
      </c>
      <c r="J258" s="9">
        <f t="shared" si="319"/>
        <v>0</v>
      </c>
      <c r="K258" s="9">
        <f t="shared" si="320"/>
        <v>0</v>
      </c>
      <c r="L258" s="9">
        <f t="shared" si="321"/>
        <v>0</v>
      </c>
      <c r="M258" s="11">
        <f t="shared" si="329"/>
        <v>0.1</v>
      </c>
      <c r="N258" s="9">
        <f t="shared" si="322"/>
        <v>0</v>
      </c>
      <c r="O258" s="12">
        <f t="shared" si="323"/>
        <v>0</v>
      </c>
      <c r="P258" s="13" t="str">
        <f t="shared" si="286"/>
        <v>NO</v>
      </c>
      <c r="Q258">
        <f t="shared" si="324"/>
        <v>0</v>
      </c>
      <c r="R258">
        <f t="shared" si="325"/>
        <v>0</v>
      </c>
      <c r="S258">
        <f t="shared" si="326"/>
        <v>0</v>
      </c>
      <c r="T258" s="110">
        <f>VLOOKUP(B258,DesgloseRC!$E$48:$F$88,2,FALSE)</f>
        <v>0.1</v>
      </c>
      <c r="U258" s="111">
        <f t="shared" si="331"/>
        <v>0</v>
      </c>
      <c r="V258" s="111">
        <f t="shared" si="332"/>
        <v>0</v>
      </c>
      <c r="AA258" s="110"/>
    </row>
    <row r="259" spans="1:29" ht="15" hidden="1" customHeight="1" x14ac:dyDescent="0.3">
      <c r="A259" s="34" t="s">
        <v>1295</v>
      </c>
      <c r="B259" s="36">
        <v>228</v>
      </c>
      <c r="C259" s="29" t="s">
        <v>1313</v>
      </c>
      <c r="D259" s="29" t="str">
        <f t="shared" si="330"/>
        <v>INCLUIDO</v>
      </c>
      <c r="E259" s="27" t="s">
        <v>1186</v>
      </c>
      <c r="F259" s="43">
        <f t="shared" si="327"/>
        <v>0</v>
      </c>
      <c r="G259" s="114">
        <f t="shared" si="328"/>
        <v>0</v>
      </c>
      <c r="H259" s="9">
        <f t="shared" si="318"/>
        <v>0</v>
      </c>
      <c r="I259" s="9" t="s">
        <v>1287</v>
      </c>
      <c r="J259" s="9">
        <f t="shared" si="319"/>
        <v>0</v>
      </c>
      <c r="K259" s="9">
        <f t="shared" si="320"/>
        <v>0</v>
      </c>
      <c r="L259" s="9">
        <f t="shared" si="321"/>
        <v>0</v>
      </c>
      <c r="M259" s="11">
        <f t="shared" si="329"/>
        <v>0.1</v>
      </c>
      <c r="N259" s="9">
        <f t="shared" si="322"/>
        <v>0</v>
      </c>
      <c r="O259" s="12">
        <f t="shared" si="323"/>
        <v>0</v>
      </c>
      <c r="P259" s="13" t="str">
        <f t="shared" si="286"/>
        <v>NO</v>
      </c>
      <c r="Q259">
        <f t="shared" si="324"/>
        <v>0</v>
      </c>
      <c r="R259">
        <f t="shared" si="325"/>
        <v>0</v>
      </c>
      <c r="S259">
        <f t="shared" si="326"/>
        <v>0</v>
      </c>
      <c r="T259" s="110">
        <f>VLOOKUP(B259,DesgloseRC!$E$48:$F$88,2,FALSE)</f>
        <v>0.04</v>
      </c>
      <c r="U259" s="111">
        <f t="shared" si="331"/>
        <v>0</v>
      </c>
      <c r="V259" s="111">
        <f t="shared" si="332"/>
        <v>0</v>
      </c>
    </row>
    <row r="260" spans="1:29" ht="33.75" hidden="1" customHeight="1" x14ac:dyDescent="0.3">
      <c r="A260" s="34" t="s">
        <v>1295</v>
      </c>
      <c r="B260" s="36">
        <v>281</v>
      </c>
      <c r="C260" s="29" t="s">
        <v>1314</v>
      </c>
      <c r="D260" s="29" t="str">
        <f t="shared" si="330"/>
        <v>INCLUIDO</v>
      </c>
      <c r="E260" s="27" t="s">
        <v>1186</v>
      </c>
      <c r="F260" s="43">
        <f t="shared" si="327"/>
        <v>0</v>
      </c>
      <c r="G260" s="114">
        <f t="shared" si="328"/>
        <v>0</v>
      </c>
      <c r="H260" s="9">
        <f t="shared" si="318"/>
        <v>0</v>
      </c>
      <c r="I260" s="9" t="s">
        <v>1287</v>
      </c>
      <c r="J260" s="9">
        <f t="shared" si="319"/>
        <v>0</v>
      </c>
      <c r="K260" s="9">
        <f t="shared" si="320"/>
        <v>0</v>
      </c>
      <c r="L260" s="9">
        <f t="shared" si="321"/>
        <v>0</v>
      </c>
      <c r="M260" s="11">
        <f t="shared" si="329"/>
        <v>0.1</v>
      </c>
      <c r="N260" s="9">
        <f t="shared" si="322"/>
        <v>0</v>
      </c>
      <c r="O260" s="12">
        <f t="shared" si="323"/>
        <v>0</v>
      </c>
      <c r="P260" s="13" t="str">
        <f t="shared" si="286"/>
        <v>NO</v>
      </c>
      <c r="Q260">
        <f t="shared" si="324"/>
        <v>0</v>
      </c>
      <c r="R260">
        <f t="shared" si="325"/>
        <v>0</v>
      </c>
      <c r="S260">
        <f t="shared" si="326"/>
        <v>0</v>
      </c>
      <c r="T260" s="110">
        <f>VLOOKUP(B260,DesgloseRC!$E$48:$F$88,2,FALSE)</f>
        <v>0.04</v>
      </c>
      <c r="U260" s="111">
        <f t="shared" si="331"/>
        <v>0</v>
      </c>
      <c r="V260" s="111">
        <f t="shared" si="332"/>
        <v>0</v>
      </c>
      <c r="Z260" s="110"/>
      <c r="AC260" s="110"/>
    </row>
    <row r="261" spans="1:29" ht="33.75" hidden="1" customHeight="1" x14ac:dyDescent="0.3">
      <c r="A261" s="34" t="s">
        <v>1295</v>
      </c>
      <c r="B261" s="36">
        <v>282</v>
      </c>
      <c r="C261" s="29" t="s">
        <v>1315</v>
      </c>
      <c r="D261" s="29" t="str">
        <f t="shared" si="330"/>
        <v>INCLUIDO</v>
      </c>
      <c r="E261" s="27" t="s">
        <v>1186</v>
      </c>
      <c r="F261" s="43">
        <f t="shared" si="327"/>
        <v>0</v>
      </c>
      <c r="G261" s="114">
        <f t="shared" si="328"/>
        <v>0</v>
      </c>
      <c r="H261" s="9">
        <f t="shared" si="318"/>
        <v>0</v>
      </c>
      <c r="I261" s="9" t="s">
        <v>1287</v>
      </c>
      <c r="J261" s="9">
        <f t="shared" si="319"/>
        <v>0</v>
      </c>
      <c r="K261" s="9">
        <f t="shared" si="320"/>
        <v>0</v>
      </c>
      <c r="L261" s="9">
        <f t="shared" si="321"/>
        <v>0</v>
      </c>
      <c r="M261" s="11">
        <f t="shared" si="329"/>
        <v>0.1</v>
      </c>
      <c r="N261" s="9">
        <f t="shared" si="322"/>
        <v>0</v>
      </c>
      <c r="O261" s="12">
        <f t="shared" si="323"/>
        <v>0</v>
      </c>
      <c r="P261" s="13" t="str">
        <f t="shared" si="286"/>
        <v>NO</v>
      </c>
      <c r="Q261">
        <f t="shared" si="324"/>
        <v>0</v>
      </c>
      <c r="R261">
        <f t="shared" si="325"/>
        <v>0</v>
      </c>
      <c r="S261">
        <f t="shared" si="326"/>
        <v>0</v>
      </c>
      <c r="T261" s="110">
        <f>VLOOKUP(B261,DesgloseRC!$E$48:$F$88,2,FALSE)</f>
        <v>0</v>
      </c>
      <c r="U261" s="111">
        <f t="shared" si="331"/>
        <v>0</v>
      </c>
      <c r="V261" s="111">
        <f t="shared" si="332"/>
        <v>0</v>
      </c>
      <c r="AA261" s="110"/>
      <c r="AB261" s="110"/>
      <c r="AC261" s="110"/>
    </row>
    <row r="262" spans="1:29" ht="33.75" hidden="1" customHeight="1" x14ac:dyDescent="0.3">
      <c r="A262" s="34" t="s">
        <v>1295</v>
      </c>
      <c r="B262" s="36">
        <v>283</v>
      </c>
      <c r="C262" s="29" t="s">
        <v>1316</v>
      </c>
      <c r="D262" s="29" t="str">
        <f t="shared" si="330"/>
        <v>INCLUIDO</v>
      </c>
      <c r="E262" s="27" t="s">
        <v>1186</v>
      </c>
      <c r="F262" s="43">
        <f t="shared" si="327"/>
        <v>0</v>
      </c>
      <c r="G262" s="114">
        <f t="shared" si="328"/>
        <v>0</v>
      </c>
      <c r="H262" s="9">
        <f t="shared" si="318"/>
        <v>0</v>
      </c>
      <c r="I262" s="9" t="s">
        <v>1287</v>
      </c>
      <c r="J262" s="9">
        <f t="shared" si="319"/>
        <v>0</v>
      </c>
      <c r="K262" s="9">
        <f t="shared" si="320"/>
        <v>0</v>
      </c>
      <c r="L262" s="9">
        <f t="shared" si="321"/>
        <v>0</v>
      </c>
      <c r="M262" s="11">
        <f t="shared" si="329"/>
        <v>0.1</v>
      </c>
      <c r="N262" s="9">
        <f t="shared" si="322"/>
        <v>0</v>
      </c>
      <c r="O262" s="12">
        <f t="shared" si="323"/>
        <v>0</v>
      </c>
      <c r="P262" s="13" t="str">
        <f t="shared" si="286"/>
        <v>NO</v>
      </c>
      <c r="Q262">
        <f t="shared" si="324"/>
        <v>0</v>
      </c>
      <c r="R262">
        <f t="shared" si="325"/>
        <v>0</v>
      </c>
      <c r="S262">
        <f t="shared" si="326"/>
        <v>0</v>
      </c>
      <c r="T262" s="110">
        <f>VLOOKUP(B262,DesgloseRC!$E$48:$F$88,2,FALSE)</f>
        <v>0</v>
      </c>
      <c r="U262" s="111">
        <f t="shared" si="331"/>
        <v>0</v>
      </c>
      <c r="V262" s="111">
        <f t="shared" si="332"/>
        <v>0</v>
      </c>
    </row>
    <row r="263" spans="1:29" ht="15" hidden="1" customHeight="1" x14ac:dyDescent="0.3">
      <c r="A263" s="34" t="s">
        <v>1295</v>
      </c>
      <c r="B263" s="36">
        <v>284</v>
      </c>
      <c r="C263" s="29" t="s">
        <v>1317</v>
      </c>
      <c r="D263" s="29" t="str">
        <f t="shared" si="330"/>
        <v>INCLUIDO</v>
      </c>
      <c r="E263" s="27" t="s">
        <v>1186</v>
      </c>
      <c r="F263" s="43">
        <f t="shared" si="327"/>
        <v>0</v>
      </c>
      <c r="G263" s="114">
        <f t="shared" si="328"/>
        <v>0</v>
      </c>
      <c r="H263" s="9">
        <f t="shared" si="318"/>
        <v>0</v>
      </c>
      <c r="I263" s="9" t="s">
        <v>1287</v>
      </c>
      <c r="J263" s="9">
        <f t="shared" si="319"/>
        <v>0</v>
      </c>
      <c r="K263" s="9">
        <f t="shared" si="320"/>
        <v>0</v>
      </c>
      <c r="L263" s="9">
        <f t="shared" si="321"/>
        <v>0</v>
      </c>
      <c r="M263" s="11">
        <f t="shared" si="329"/>
        <v>0.1</v>
      </c>
      <c r="N263" s="9">
        <f t="shared" si="322"/>
        <v>0</v>
      </c>
      <c r="O263" s="12">
        <f t="shared" si="323"/>
        <v>0</v>
      </c>
      <c r="P263" s="13" t="str">
        <f t="shared" si="286"/>
        <v>NO</v>
      </c>
      <c r="Q263">
        <f t="shared" si="324"/>
        <v>0</v>
      </c>
      <c r="R263">
        <f t="shared" si="325"/>
        <v>0</v>
      </c>
      <c r="S263">
        <f t="shared" si="326"/>
        <v>0</v>
      </c>
      <c r="T263" s="110">
        <f>VLOOKUP(B263,DesgloseRC!$E$48:$F$88,2,FALSE)</f>
        <v>0</v>
      </c>
      <c r="U263" s="111">
        <f t="shared" si="331"/>
        <v>0</v>
      </c>
      <c r="V263" s="111">
        <f t="shared" si="332"/>
        <v>0</v>
      </c>
    </row>
    <row r="264" spans="1:29" ht="36.75" hidden="1" customHeight="1" x14ac:dyDescent="0.3">
      <c r="A264" s="34" t="s">
        <v>1295</v>
      </c>
      <c r="B264" s="36">
        <v>285</v>
      </c>
      <c r="C264" s="29" t="s">
        <v>1318</v>
      </c>
      <c r="D264" s="29" t="str">
        <f t="shared" si="330"/>
        <v>INCLUIDO</v>
      </c>
      <c r="E264" s="27" t="s">
        <v>1186</v>
      </c>
      <c r="F264" s="43">
        <f t="shared" si="327"/>
        <v>0</v>
      </c>
      <c r="G264" s="114">
        <f t="shared" si="328"/>
        <v>0</v>
      </c>
      <c r="H264" s="9">
        <f t="shared" si="318"/>
        <v>0</v>
      </c>
      <c r="I264" s="9" t="s">
        <v>1287</v>
      </c>
      <c r="J264" s="9">
        <f t="shared" si="319"/>
        <v>0</v>
      </c>
      <c r="K264" s="9">
        <f t="shared" si="320"/>
        <v>0</v>
      </c>
      <c r="L264" s="9">
        <f t="shared" si="321"/>
        <v>0</v>
      </c>
      <c r="M264" s="11">
        <f t="shared" si="329"/>
        <v>0.1</v>
      </c>
      <c r="N264" s="9">
        <f t="shared" si="322"/>
        <v>0</v>
      </c>
      <c r="O264" s="12">
        <f t="shared" si="323"/>
        <v>0</v>
      </c>
      <c r="P264" s="13" t="str">
        <f t="shared" si="286"/>
        <v>NO</v>
      </c>
      <c r="Q264">
        <f t="shared" si="324"/>
        <v>0</v>
      </c>
      <c r="R264">
        <f t="shared" si="325"/>
        <v>0</v>
      </c>
      <c r="S264">
        <f t="shared" si="326"/>
        <v>0</v>
      </c>
      <c r="T264" s="110">
        <f>VLOOKUP(B264,DesgloseRC!$E$48:$F$88,2,FALSE)</f>
        <v>0</v>
      </c>
      <c r="U264" s="111">
        <f t="shared" si="331"/>
        <v>0</v>
      </c>
      <c r="V264" s="111">
        <f t="shared" si="332"/>
        <v>0</v>
      </c>
      <c r="AB264" s="110"/>
      <c r="AC264" s="110"/>
    </row>
    <row r="265" spans="1:29" ht="33.75" hidden="1" customHeight="1" x14ac:dyDescent="0.3">
      <c r="A265" s="34" t="s">
        <v>1295</v>
      </c>
      <c r="B265" s="36">
        <v>286</v>
      </c>
      <c r="C265" s="29" t="s">
        <v>1319</v>
      </c>
      <c r="D265" s="29" t="str">
        <f t="shared" si="330"/>
        <v>INCLUIDO</v>
      </c>
      <c r="E265" s="27" t="s">
        <v>1186</v>
      </c>
      <c r="F265" s="43">
        <f t="shared" si="327"/>
        <v>0</v>
      </c>
      <c r="G265" s="114">
        <f t="shared" si="328"/>
        <v>0</v>
      </c>
      <c r="H265" s="9">
        <f t="shared" si="318"/>
        <v>0</v>
      </c>
      <c r="I265" s="9" t="s">
        <v>1287</v>
      </c>
      <c r="J265" s="9">
        <f t="shared" si="319"/>
        <v>0</v>
      </c>
      <c r="K265" s="9">
        <f t="shared" si="320"/>
        <v>0</v>
      </c>
      <c r="L265" s="9">
        <f t="shared" si="321"/>
        <v>0</v>
      </c>
      <c r="M265" s="11">
        <f t="shared" si="329"/>
        <v>0.1</v>
      </c>
      <c r="N265" s="9">
        <f t="shared" si="322"/>
        <v>0</v>
      </c>
      <c r="O265" s="12">
        <f t="shared" si="323"/>
        <v>0</v>
      </c>
      <c r="P265" s="13" t="str">
        <f t="shared" si="286"/>
        <v>NO</v>
      </c>
      <c r="Q265">
        <f t="shared" si="324"/>
        <v>0</v>
      </c>
      <c r="R265">
        <f t="shared" si="325"/>
        <v>0</v>
      </c>
      <c r="S265">
        <f t="shared" si="326"/>
        <v>0</v>
      </c>
      <c r="T265" s="110">
        <f>VLOOKUP(B265,DesgloseRC!$E$48:$F$88,2,FALSE)</f>
        <v>0</v>
      </c>
      <c r="U265" s="111">
        <f t="shared" si="331"/>
        <v>0</v>
      </c>
      <c r="V265" s="111">
        <f t="shared" si="332"/>
        <v>0</v>
      </c>
    </row>
    <row r="266" spans="1:29" ht="15" hidden="1" customHeight="1" x14ac:dyDescent="0.3">
      <c r="A266" s="34" t="s">
        <v>1295</v>
      </c>
      <c r="B266" s="36">
        <v>227</v>
      </c>
      <c r="C266" s="29" t="s">
        <v>1293</v>
      </c>
      <c r="D266" s="29" t="str">
        <f t="shared" si="330"/>
        <v>INCLUIDO</v>
      </c>
      <c r="E266" s="27" t="s">
        <v>1186</v>
      </c>
      <c r="F266" s="43">
        <f t="shared" si="327"/>
        <v>0</v>
      </c>
      <c r="G266" s="114">
        <f t="shared" si="328"/>
        <v>0</v>
      </c>
      <c r="H266" s="9">
        <f t="shared" si="318"/>
        <v>0</v>
      </c>
      <c r="I266" s="9" t="s">
        <v>1287</v>
      </c>
      <c r="J266" s="9">
        <f t="shared" si="319"/>
        <v>0</v>
      </c>
      <c r="K266" s="9">
        <f t="shared" si="320"/>
        <v>0</v>
      </c>
      <c r="L266" s="9">
        <f t="shared" si="321"/>
        <v>0</v>
      </c>
      <c r="M266" s="11">
        <f t="shared" si="329"/>
        <v>0.1</v>
      </c>
      <c r="N266" s="9">
        <f t="shared" si="322"/>
        <v>0</v>
      </c>
      <c r="O266" s="12">
        <f t="shared" si="323"/>
        <v>0</v>
      </c>
      <c r="P266" s="13" t="str">
        <f t="shared" si="286"/>
        <v>NO</v>
      </c>
      <c r="Q266">
        <f t="shared" si="324"/>
        <v>0</v>
      </c>
      <c r="R266">
        <f t="shared" si="325"/>
        <v>0</v>
      </c>
      <c r="S266">
        <f t="shared" si="326"/>
        <v>0</v>
      </c>
      <c r="T266" s="110">
        <f>VLOOKUP(B266,DesgloseRC!$E$48:$F$88,2,FALSE)</f>
        <v>0.05</v>
      </c>
      <c r="U266" s="111">
        <f t="shared" si="331"/>
        <v>0</v>
      </c>
      <c r="V266" s="111">
        <f t="shared" si="332"/>
        <v>0</v>
      </c>
      <c r="W266" s="110"/>
      <c r="X266" s="110"/>
      <c r="Y266" s="110"/>
      <c r="Z266" s="110"/>
      <c r="AA266" s="110"/>
      <c r="AB266" s="110"/>
    </row>
    <row r="267" spans="1:29" ht="21.75" hidden="1" customHeight="1" x14ac:dyDescent="0.3">
      <c r="A267" s="34" t="s">
        <v>1295</v>
      </c>
      <c r="B267" s="36">
        <v>303</v>
      </c>
      <c r="C267" s="29" t="s">
        <v>1320</v>
      </c>
      <c r="D267" s="29" t="str">
        <f t="shared" si="330"/>
        <v>INCLUIDO</v>
      </c>
      <c r="E267" s="27" t="s">
        <v>1186</v>
      </c>
      <c r="F267" s="43">
        <f t="shared" si="327"/>
        <v>0</v>
      </c>
      <c r="G267" s="21">
        <f t="shared" si="328"/>
        <v>0</v>
      </c>
      <c r="H267" s="9">
        <f t="shared" si="318"/>
        <v>0</v>
      </c>
      <c r="I267" s="9" t="s">
        <v>1287</v>
      </c>
      <c r="J267" s="9">
        <f t="shared" si="319"/>
        <v>0</v>
      </c>
      <c r="K267" s="9">
        <f t="shared" si="320"/>
        <v>0</v>
      </c>
      <c r="L267" s="9">
        <f t="shared" si="321"/>
        <v>0</v>
      </c>
      <c r="M267" s="11">
        <f t="shared" si="329"/>
        <v>0.1</v>
      </c>
      <c r="N267" s="9">
        <f t="shared" si="322"/>
        <v>0</v>
      </c>
      <c r="O267" s="12">
        <f t="shared" si="323"/>
        <v>0</v>
      </c>
      <c r="P267" s="13" t="str">
        <f t="shared" si="286"/>
        <v>NO</v>
      </c>
      <c r="Q267">
        <f t="shared" si="324"/>
        <v>0</v>
      </c>
      <c r="R267">
        <f t="shared" si="325"/>
        <v>0</v>
      </c>
      <c r="S267">
        <f t="shared" si="326"/>
        <v>0</v>
      </c>
      <c r="T267" s="110">
        <f>VLOOKUP(B267,DesgloseRC!$E$48:$F$88,2,FALSE)</f>
        <v>0</v>
      </c>
      <c r="U267" s="111">
        <f t="shared" si="331"/>
        <v>0</v>
      </c>
      <c r="V267" s="111">
        <f t="shared" si="332"/>
        <v>0</v>
      </c>
      <c r="W267" s="110"/>
      <c r="X267" s="110"/>
      <c r="Y267" s="110"/>
      <c r="Z267" s="110"/>
      <c r="AA267" s="110"/>
      <c r="AB267" s="110"/>
    </row>
    <row r="268" spans="1:29" ht="15" hidden="1" customHeight="1" x14ac:dyDescent="0.3">
      <c r="A268" s="34" t="s">
        <v>1295</v>
      </c>
      <c r="B268" s="36">
        <v>155</v>
      </c>
      <c r="C268" s="29" t="s">
        <v>1321</v>
      </c>
      <c r="D268" s="29" t="str">
        <f t="shared" si="330"/>
        <v>INCLUIDO</v>
      </c>
      <c r="E268" s="27" t="s">
        <v>1186</v>
      </c>
      <c r="F268" s="43">
        <f t="shared" si="327"/>
        <v>0</v>
      </c>
      <c r="G268" s="21">
        <f t="shared" si="328"/>
        <v>0</v>
      </c>
      <c r="H268" s="9">
        <f t="shared" si="318"/>
        <v>0</v>
      </c>
      <c r="I268" s="9" t="s">
        <v>1287</v>
      </c>
      <c r="J268" s="9">
        <f t="shared" si="319"/>
        <v>0</v>
      </c>
      <c r="K268" s="9">
        <f t="shared" si="320"/>
        <v>0</v>
      </c>
      <c r="L268" s="9">
        <f t="shared" si="321"/>
        <v>0</v>
      </c>
      <c r="M268" s="11">
        <f t="shared" si="329"/>
        <v>0.1</v>
      </c>
      <c r="N268" s="9">
        <f t="shared" si="322"/>
        <v>0</v>
      </c>
      <c r="O268" s="12">
        <f t="shared" si="323"/>
        <v>0</v>
      </c>
      <c r="P268" s="13" t="str">
        <f t="shared" si="286"/>
        <v>NO</v>
      </c>
      <c r="Q268">
        <f t="shared" si="324"/>
        <v>0</v>
      </c>
      <c r="R268">
        <f t="shared" si="325"/>
        <v>0</v>
      </c>
      <c r="S268">
        <f t="shared" si="326"/>
        <v>0</v>
      </c>
      <c r="T268" s="110">
        <f>VLOOKUP(B268,DesgloseRC!$E$48:$F$88,2,FALSE)</f>
        <v>0</v>
      </c>
      <c r="U268" s="111">
        <f t="shared" si="331"/>
        <v>0</v>
      </c>
      <c r="V268" s="111">
        <f t="shared" si="332"/>
        <v>0</v>
      </c>
    </row>
    <row r="269" spans="1:29" ht="15" hidden="1" customHeight="1" x14ac:dyDescent="0.3">
      <c r="A269" s="34" t="s">
        <v>1295</v>
      </c>
      <c r="B269" s="36">
        <v>149</v>
      </c>
      <c r="C269" s="29" t="s">
        <v>1322</v>
      </c>
      <c r="D269" s="29" t="str">
        <f t="shared" si="330"/>
        <v>INCLUIDO</v>
      </c>
      <c r="E269" s="27" t="s">
        <v>1186</v>
      </c>
      <c r="F269" s="43">
        <f t="shared" si="327"/>
        <v>0</v>
      </c>
      <c r="G269" s="21">
        <f t="shared" si="328"/>
        <v>0</v>
      </c>
      <c r="H269" s="9">
        <f t="shared" si="318"/>
        <v>0</v>
      </c>
      <c r="I269" s="9" t="s">
        <v>1287</v>
      </c>
      <c r="J269" s="9">
        <f t="shared" si="319"/>
        <v>0</v>
      </c>
      <c r="K269" s="9">
        <f t="shared" si="320"/>
        <v>0</v>
      </c>
      <c r="L269" s="9">
        <f t="shared" si="321"/>
        <v>0</v>
      </c>
      <c r="M269" s="11">
        <f t="shared" si="329"/>
        <v>0.1</v>
      </c>
      <c r="N269" s="9">
        <f t="shared" si="322"/>
        <v>0</v>
      </c>
      <c r="O269" s="12">
        <f t="shared" si="323"/>
        <v>0</v>
      </c>
      <c r="P269" s="13" t="str">
        <f t="shared" si="286"/>
        <v>NO</v>
      </c>
      <c r="Q269">
        <f t="shared" si="324"/>
        <v>0</v>
      </c>
      <c r="R269">
        <f t="shared" si="325"/>
        <v>0</v>
      </c>
      <c r="S269">
        <f t="shared" si="326"/>
        <v>0</v>
      </c>
      <c r="T269" s="110">
        <f>VLOOKUP(B269,DesgloseRC!$E$48:$F$88,2,FALSE)</f>
        <v>0</v>
      </c>
      <c r="U269" s="111">
        <f t="shared" si="331"/>
        <v>0</v>
      </c>
      <c r="V269" s="111">
        <f t="shared" si="332"/>
        <v>0</v>
      </c>
    </row>
    <row r="270" spans="1:29" ht="15" hidden="1" customHeight="1" x14ac:dyDescent="0.3">
      <c r="A270" s="34" t="s">
        <v>1295</v>
      </c>
      <c r="B270" s="36">
        <v>150</v>
      </c>
      <c r="C270" s="29" t="s">
        <v>1323</v>
      </c>
      <c r="D270" s="29" t="str">
        <f>D269</f>
        <v>INCLUIDO</v>
      </c>
      <c r="E270" s="27" t="str">
        <f>E269</f>
        <v>Excluido</v>
      </c>
      <c r="F270" s="43">
        <f t="shared" si="327"/>
        <v>0</v>
      </c>
      <c r="G270" s="21">
        <f t="shared" si="328"/>
        <v>0</v>
      </c>
      <c r="H270" s="9">
        <f t="shared" si="318"/>
        <v>0</v>
      </c>
      <c r="I270" s="9" t="s">
        <v>1287</v>
      </c>
      <c r="J270" s="9">
        <f t="shared" si="319"/>
        <v>0</v>
      </c>
      <c r="K270" s="9">
        <f t="shared" si="320"/>
        <v>0</v>
      </c>
      <c r="L270" s="9">
        <f t="shared" si="321"/>
        <v>0</v>
      </c>
      <c r="M270" s="11">
        <f t="shared" si="329"/>
        <v>0.1</v>
      </c>
      <c r="N270" s="9">
        <f t="shared" si="322"/>
        <v>0</v>
      </c>
      <c r="O270" s="12">
        <f t="shared" si="323"/>
        <v>0</v>
      </c>
      <c r="P270" s="13" t="str">
        <f t="shared" si="286"/>
        <v>NO</v>
      </c>
      <c r="Q270">
        <f t="shared" si="324"/>
        <v>0</v>
      </c>
      <c r="R270">
        <f t="shared" si="325"/>
        <v>0</v>
      </c>
      <c r="S270">
        <f t="shared" si="326"/>
        <v>0</v>
      </c>
      <c r="T270" s="110">
        <f>VLOOKUP(B270,DesgloseRC!$E$48:$F$88,2,FALSE)</f>
        <v>0</v>
      </c>
      <c r="U270" s="111">
        <f t="shared" si="331"/>
        <v>0</v>
      </c>
      <c r="V270" s="111">
        <f t="shared" si="332"/>
        <v>0</v>
      </c>
    </row>
    <row r="271" spans="1:29" ht="15" hidden="1" customHeight="1" x14ac:dyDescent="0.3">
      <c r="A271" s="34" t="s">
        <v>1295</v>
      </c>
      <c r="B271" s="36">
        <v>157</v>
      </c>
      <c r="C271" s="29" t="s">
        <v>1324</v>
      </c>
      <c r="D271" s="29" t="str">
        <f>D269</f>
        <v>INCLUIDO</v>
      </c>
      <c r="E271" s="27" t="str">
        <f>E269</f>
        <v>Excluido</v>
      </c>
      <c r="F271" s="43">
        <f t="shared" si="327"/>
        <v>0</v>
      </c>
      <c r="G271" s="21">
        <f t="shared" si="328"/>
        <v>0</v>
      </c>
      <c r="H271" s="9">
        <f t="shared" si="318"/>
        <v>0</v>
      </c>
      <c r="I271" s="9" t="s">
        <v>1287</v>
      </c>
      <c r="J271" s="9">
        <f t="shared" si="319"/>
        <v>0</v>
      </c>
      <c r="K271" s="9">
        <f t="shared" si="320"/>
        <v>0</v>
      </c>
      <c r="L271" s="9">
        <f t="shared" si="321"/>
        <v>0</v>
      </c>
      <c r="M271" s="11">
        <f t="shared" si="329"/>
        <v>0.1</v>
      </c>
      <c r="N271" s="9">
        <f t="shared" si="322"/>
        <v>0</v>
      </c>
      <c r="O271" s="12">
        <f t="shared" si="323"/>
        <v>0</v>
      </c>
      <c r="P271" s="13" t="str">
        <f t="shared" si="286"/>
        <v>NO</v>
      </c>
      <c r="Q271">
        <f t="shared" si="324"/>
        <v>0</v>
      </c>
      <c r="R271">
        <f t="shared" si="325"/>
        <v>0</v>
      </c>
      <c r="S271">
        <f t="shared" si="326"/>
        <v>0</v>
      </c>
      <c r="T271" s="110">
        <f>VLOOKUP(B271,DesgloseRC!$E$48:$F$88,2,FALSE)</f>
        <v>0</v>
      </c>
      <c r="U271" s="111">
        <f t="shared" si="331"/>
        <v>0</v>
      </c>
      <c r="V271" s="111">
        <f t="shared" si="332"/>
        <v>0</v>
      </c>
    </row>
    <row r="272" spans="1:29" s="18" customFormat="1" ht="15" hidden="1" customHeight="1" x14ac:dyDescent="0.3">
      <c r="A272" s="24"/>
      <c r="B272" s="26"/>
      <c r="C272" s="15" t="s">
        <v>1177</v>
      </c>
      <c r="D272" s="38" t="str">
        <f>D241</f>
        <v>INCLUIDO</v>
      </c>
      <c r="E272" s="38"/>
      <c r="F272" s="16">
        <f>SUMIF(E242:E271,"Adicional",F242:F271)</f>
        <v>0</v>
      </c>
      <c r="G272" s="17"/>
      <c r="H272" s="16">
        <f>SUM(H242:H271)</f>
        <v>0</v>
      </c>
      <c r="I272" s="16"/>
      <c r="J272" s="16">
        <f t="shared" ref="J272:L272" si="333">SUM(J242:J271)</f>
        <v>0</v>
      </c>
      <c r="K272" s="16">
        <f t="shared" si="333"/>
        <v>0</v>
      </c>
      <c r="L272" s="16">
        <f t="shared" si="333"/>
        <v>0</v>
      </c>
      <c r="M272" s="16" t="s">
        <v>1178</v>
      </c>
      <c r="N272" s="16">
        <f t="shared" ref="N272:O272" si="334">SUM(N242:N271)</f>
        <v>0</v>
      </c>
      <c r="O272" s="84">
        <f t="shared" si="334"/>
        <v>0</v>
      </c>
      <c r="P272" s="13" t="str">
        <f t="shared" si="286"/>
        <v>NO</v>
      </c>
      <c r="Q272">
        <f>IF(D272="INCLUIDO",IF(H272&lt;&gt;0,1,0),0)</f>
        <v>0</v>
      </c>
      <c r="T272" s="141">
        <f>SUM(T242:T271)</f>
        <v>1.0000000000000002</v>
      </c>
      <c r="U272" s="200">
        <f>SUM(U242:U271)</f>
        <v>0</v>
      </c>
      <c r="V272" s="112">
        <f>SUM(V242:V271)</f>
        <v>0</v>
      </c>
    </row>
    <row r="273" spans="1:23" ht="15" hidden="1" customHeight="1" thickBot="1" x14ac:dyDescent="0.35">
      <c r="A273" s="82">
        <v>911</v>
      </c>
      <c r="B273" s="33">
        <v>1</v>
      </c>
      <c r="C273" s="19" t="s">
        <v>1325</v>
      </c>
      <c r="D273" s="23" t="str">
        <f>'Ramo Comercial'!C163</f>
        <v>NO APLICA</v>
      </c>
      <c r="E273" s="91"/>
      <c r="F273" s="113">
        <f>F241</f>
        <v>0</v>
      </c>
      <c r="G273" s="28"/>
      <c r="H273" s="28"/>
      <c r="I273" s="28"/>
      <c r="J273" s="28"/>
      <c r="K273" s="28"/>
      <c r="L273" s="28"/>
      <c r="M273" s="68">
        <v>0</v>
      </c>
      <c r="N273" s="28"/>
      <c r="O273" s="83"/>
      <c r="P273" s="13" t="str">
        <f t="shared" si="286"/>
        <v>NO</v>
      </c>
      <c r="Q273" s="48">
        <f>IF(D273="INCLUIDO",IF(F273&lt;&gt;0,1,0),0)</f>
        <v>0</v>
      </c>
      <c r="T273" s="142">
        <f>G241*T276</f>
        <v>0</v>
      </c>
    </row>
    <row r="274" spans="1:23" ht="15" hidden="1" customHeight="1" x14ac:dyDescent="0.3">
      <c r="A274" s="34" t="s">
        <v>1326</v>
      </c>
      <c r="B274" s="36">
        <v>159</v>
      </c>
      <c r="C274" s="29" t="s">
        <v>1327</v>
      </c>
      <c r="D274" s="29" t="str">
        <f>$D$273</f>
        <v>NO APLICA</v>
      </c>
      <c r="E274" s="27" t="s">
        <v>1152</v>
      </c>
      <c r="F274" s="20">
        <f>F273*S274</f>
        <v>0</v>
      </c>
      <c r="G274" s="21">
        <f>V274</f>
        <v>0</v>
      </c>
      <c r="H274" s="9">
        <f t="shared" ref="H274:H275" si="335">(IF(I274="$ Prima",G274,G274*F274/R274))*$U$9</f>
        <v>0</v>
      </c>
      <c r="I274" s="9" t="s">
        <v>1287</v>
      </c>
      <c r="J274" s="9">
        <f t="shared" ref="J274:J275" si="336">H274*$U$7</f>
        <v>0</v>
      </c>
      <c r="K274" s="9">
        <f t="shared" ref="K274:K275" si="337">(H274+J274)*$K$15</f>
        <v>0</v>
      </c>
      <c r="L274" s="9">
        <f t="shared" ref="L274:L275" si="338">ROUND(H274+J274+K274,2)</f>
        <v>0</v>
      </c>
      <c r="M274" s="11">
        <f>$M$273</f>
        <v>0</v>
      </c>
      <c r="N274" s="9">
        <f t="shared" ref="N274:N275" si="339">H274*M274</f>
        <v>0</v>
      </c>
      <c r="O274" s="12">
        <f t="shared" ref="O274:O275" si="340">N274</f>
        <v>0</v>
      </c>
      <c r="P274" s="13" t="str">
        <f t="shared" si="286"/>
        <v>NO</v>
      </c>
      <c r="Q274">
        <f>IF(D274="INCLUIDO",IF(F274&lt;&gt;0,1,0),0)</f>
        <v>0</v>
      </c>
      <c r="R274">
        <f>IF(I274="%o Al Millar",1000,IF(I274="% Al Porciento",100,IF(I274="$ Prima",G274)))</f>
        <v>0</v>
      </c>
      <c r="S274">
        <f t="shared" ref="S274:S275" si="341">IF(E274="Excluido",0,IF(D274="NO APLICA",0,1))</f>
        <v>0</v>
      </c>
      <c r="T274" s="110">
        <f>VLOOKUP(B274,DesgloseRC!$E$48:$F$88,2,FALSE)</f>
        <v>0</v>
      </c>
      <c r="U274" s="159">
        <f t="shared" ref="U274:U275" si="342">IF(E274="Excluido",0,$T$241*T274)</f>
        <v>0</v>
      </c>
      <c r="V274" s="111">
        <f>IF(F274=0,0,(U276-U275)+T273-U276)</f>
        <v>0</v>
      </c>
      <c r="W274">
        <f>IF(T274=0%,0,1)</f>
        <v>0</v>
      </c>
    </row>
    <row r="275" spans="1:23" ht="22.5" hidden="1" customHeight="1" x14ac:dyDescent="0.3">
      <c r="A275" s="34" t="s">
        <v>1326</v>
      </c>
      <c r="B275" s="36">
        <v>158</v>
      </c>
      <c r="C275" s="29" t="s">
        <v>1328</v>
      </c>
      <c r="D275" s="29" t="str">
        <f>$D$273</f>
        <v>NO APLICA</v>
      </c>
      <c r="E275" s="27" t="s">
        <v>1137</v>
      </c>
      <c r="F275" s="20">
        <f>F274*S275</f>
        <v>0</v>
      </c>
      <c r="G275" s="21">
        <f>V275</f>
        <v>0</v>
      </c>
      <c r="H275" s="9">
        <f t="shared" si="335"/>
        <v>0</v>
      </c>
      <c r="I275" s="9" t="s">
        <v>1287</v>
      </c>
      <c r="J275" s="9">
        <f t="shared" si="336"/>
        <v>0</v>
      </c>
      <c r="K275" s="9">
        <f t="shared" si="337"/>
        <v>0</v>
      </c>
      <c r="L275" s="9">
        <f t="shared" si="338"/>
        <v>0</v>
      </c>
      <c r="M275" s="11">
        <f>$M$273</f>
        <v>0</v>
      </c>
      <c r="N275" s="9">
        <f t="shared" si="339"/>
        <v>0</v>
      </c>
      <c r="O275" s="12">
        <f t="shared" si="340"/>
        <v>0</v>
      </c>
      <c r="P275" s="13" t="str">
        <f t="shared" si="286"/>
        <v>NO</v>
      </c>
      <c r="Q275">
        <f>IF(D275="INCLUIDO",IF(F275&lt;&gt;0,1,0),0)</f>
        <v>0</v>
      </c>
      <c r="R275">
        <f>IF(I275="%o Al Millar",1000,IF(I275="% Al Porciento",100,IF(I275="$ Prima",G275)))</f>
        <v>0</v>
      </c>
      <c r="S275">
        <f t="shared" si="341"/>
        <v>0</v>
      </c>
      <c r="T275" s="110">
        <f>VLOOKUP(B275,DesgloseRC!$E$48:$F$88,2,FALSE)</f>
        <v>0</v>
      </c>
      <c r="U275" s="159">
        <f t="shared" si="342"/>
        <v>0</v>
      </c>
      <c r="V275" s="111">
        <f t="shared" ref="V275" si="343">IF(F275=0,0,U275)</f>
        <v>0</v>
      </c>
    </row>
    <row r="276" spans="1:23" s="18" customFormat="1" ht="15" hidden="1" customHeight="1" thickBot="1" x14ac:dyDescent="0.35">
      <c r="A276" s="24"/>
      <c r="B276" s="26"/>
      <c r="C276" s="15" t="s">
        <v>1177</v>
      </c>
      <c r="D276" s="38" t="str">
        <f>D275</f>
        <v>NO APLICA</v>
      </c>
      <c r="E276" s="38"/>
      <c r="F276" s="16">
        <f>SUMIF(E274:E275,"Adicional",F274:F275)</f>
        <v>0</v>
      </c>
      <c r="G276" s="17"/>
      <c r="H276" s="16">
        <f>SUM(H274:H275)</f>
        <v>0</v>
      </c>
      <c r="I276" s="16"/>
      <c r="J276" s="16">
        <f t="shared" ref="J276:L276" si="344">SUM(J274:J275)</f>
        <v>0</v>
      </c>
      <c r="K276" s="16">
        <f t="shared" si="344"/>
        <v>0</v>
      </c>
      <c r="L276" s="16">
        <f t="shared" si="344"/>
        <v>0</v>
      </c>
      <c r="M276" s="16" t="s">
        <v>1178</v>
      </c>
      <c r="N276" s="16">
        <f t="shared" ref="N276:O276" si="345">SUM(N274:N275)</f>
        <v>0</v>
      </c>
      <c r="O276" s="84">
        <f t="shared" si="345"/>
        <v>0</v>
      </c>
      <c r="P276" s="13" t="str">
        <f t="shared" si="286"/>
        <v>NO</v>
      </c>
      <c r="Q276">
        <f>IF(D276="INCLUIDO",IF(H276&lt;&gt;0,1,0),0)</f>
        <v>0</v>
      </c>
      <c r="T276" s="141">
        <f>SUM(T274:T275)</f>
        <v>0</v>
      </c>
      <c r="U276" s="200">
        <f>SUM(U274:U275)</f>
        <v>0</v>
      </c>
      <c r="V276" s="112">
        <f>SUM(V274:V275)</f>
        <v>0</v>
      </c>
    </row>
    <row r="277" spans="1:23" ht="22.5" hidden="1" customHeight="1" thickBot="1" x14ac:dyDescent="0.35">
      <c r="A277" s="82">
        <v>911</v>
      </c>
      <c r="B277" s="33">
        <v>2</v>
      </c>
      <c r="C277" s="19" t="s">
        <v>1329</v>
      </c>
      <c r="D277" s="23" t="str">
        <f>'Ramo Comercial'!C164</f>
        <v>NO APLICA</v>
      </c>
      <c r="E277" s="91"/>
      <c r="F277" s="113">
        <f>F241</f>
        <v>0</v>
      </c>
      <c r="G277" s="113">
        <v>1000</v>
      </c>
      <c r="H277" s="28"/>
      <c r="I277" s="28"/>
      <c r="J277" s="28"/>
      <c r="K277" s="28"/>
      <c r="L277" s="28"/>
      <c r="M277" s="68">
        <v>0</v>
      </c>
      <c r="N277" s="28"/>
      <c r="O277" s="83"/>
      <c r="P277" s="13" t="str">
        <f t="shared" si="286"/>
        <v>NO</v>
      </c>
      <c r="Q277" s="48">
        <f>IF(D277="INCLUIDO",IF(F277&lt;&gt;0,1,0),0)</f>
        <v>0</v>
      </c>
      <c r="T277" s="142">
        <f>G241*T282</f>
        <v>0</v>
      </c>
      <c r="V277" s="201"/>
    </row>
    <row r="278" spans="1:23" ht="15" hidden="1" customHeight="1" x14ac:dyDescent="0.3">
      <c r="A278" s="34" t="s">
        <v>1326</v>
      </c>
      <c r="B278" s="36">
        <v>162</v>
      </c>
      <c r="C278" s="29" t="s">
        <v>1330</v>
      </c>
      <c r="D278" s="29" t="str">
        <f>$D$277</f>
        <v>NO APLICA</v>
      </c>
      <c r="E278" s="27" t="s">
        <v>1152</v>
      </c>
      <c r="F278" s="20">
        <f>$F$277*S278</f>
        <v>0</v>
      </c>
      <c r="G278" s="114">
        <f>V278</f>
        <v>0</v>
      </c>
      <c r="H278" s="9">
        <f t="shared" ref="H278:H281" si="346">(IF(I278="$ Prima",G278,G278*F278/R278))*$U$9</f>
        <v>0</v>
      </c>
      <c r="I278" s="9" t="s">
        <v>1287</v>
      </c>
      <c r="J278" s="9">
        <f t="shared" ref="J278:J281" si="347">H278*$U$7</f>
        <v>0</v>
      </c>
      <c r="K278" s="9">
        <f t="shared" ref="K278:K281" si="348">(H278+J278)*$K$15</f>
        <v>0</v>
      </c>
      <c r="L278" s="9">
        <f t="shared" ref="L278:L281" si="349">ROUND(H278+J278+K278,2)</f>
        <v>0</v>
      </c>
      <c r="M278" s="11">
        <f>$M$277</f>
        <v>0</v>
      </c>
      <c r="N278" s="9">
        <f t="shared" ref="N278:N281" si="350">H278*M278</f>
        <v>0</v>
      </c>
      <c r="O278" s="12">
        <f t="shared" ref="O278:O281" si="351">N278</f>
        <v>0</v>
      </c>
      <c r="P278" s="13" t="str">
        <f t="shared" si="286"/>
        <v>NO</v>
      </c>
      <c r="Q278">
        <f>IF(D278="INCLUIDO",IF(F278&lt;&gt;0,1,0),0)</f>
        <v>0</v>
      </c>
      <c r="R278">
        <f>IF(I278="%o Al Millar",1000,IF(I278="% Al Porciento",100,IF(I278="$ Prima",G278)))</f>
        <v>0</v>
      </c>
      <c r="S278">
        <f t="shared" ref="S278:S281" si="352">IF(E278="Excluido",0,IF(D278="NO APLICA",0,1))</f>
        <v>0</v>
      </c>
      <c r="T278" s="110">
        <f>VLOOKUP(B278,DesgloseRC!$E$48:$F$85,2,FALSE)</f>
        <v>0</v>
      </c>
      <c r="U278" s="159">
        <f>IF(E278="Excluido",0,$T$241*T278)</f>
        <v>0</v>
      </c>
      <c r="V278" s="159">
        <f>IF(F278=0,0,(U282-U279-U280-U281)+(T277-U282))</f>
        <v>0</v>
      </c>
      <c r="W278">
        <f>IF(T278=0%,0,1)</f>
        <v>0</v>
      </c>
    </row>
    <row r="279" spans="1:23" ht="15" hidden="1" customHeight="1" x14ac:dyDescent="0.3">
      <c r="A279" s="34" t="s">
        <v>1326</v>
      </c>
      <c r="B279" s="36">
        <v>160</v>
      </c>
      <c r="C279" s="29" t="s">
        <v>1331</v>
      </c>
      <c r="D279" s="29" t="str">
        <f t="shared" ref="D279:D281" si="353">$D$277</f>
        <v>NO APLICA</v>
      </c>
      <c r="E279" s="27" t="s">
        <v>1137</v>
      </c>
      <c r="F279" s="20">
        <f>$F$278*S279</f>
        <v>0</v>
      </c>
      <c r="G279" s="114">
        <f t="shared" ref="G279:G281" si="354">V279</f>
        <v>0</v>
      </c>
      <c r="H279" s="9">
        <f t="shared" si="346"/>
        <v>0</v>
      </c>
      <c r="I279" s="9" t="s">
        <v>1287</v>
      </c>
      <c r="J279" s="9">
        <f t="shared" si="347"/>
        <v>0</v>
      </c>
      <c r="K279" s="9">
        <f t="shared" si="348"/>
        <v>0</v>
      </c>
      <c r="L279" s="9">
        <f t="shared" si="349"/>
        <v>0</v>
      </c>
      <c r="M279" s="11">
        <f t="shared" ref="M279:M281" si="355">$M$277</f>
        <v>0</v>
      </c>
      <c r="N279" s="9">
        <f t="shared" si="350"/>
        <v>0</v>
      </c>
      <c r="O279" s="12">
        <f t="shared" si="351"/>
        <v>0</v>
      </c>
      <c r="P279" s="13" t="str">
        <f t="shared" si="286"/>
        <v>NO</v>
      </c>
      <c r="Q279">
        <f>IF(D279="INCLUIDO",IF(F279&lt;&gt;0,1,0),0)</f>
        <v>0</v>
      </c>
      <c r="R279">
        <f>IF(I279="%o Al Millar",1000,IF(I279="% Al Porciento",100,IF(I279="$ Prima",G279)))</f>
        <v>0</v>
      </c>
      <c r="S279">
        <f t="shared" si="352"/>
        <v>0</v>
      </c>
      <c r="T279" s="110">
        <f>VLOOKUP(B279,DesgloseRC!$E$48:$F$85,2,FALSE)</f>
        <v>0</v>
      </c>
      <c r="U279" s="159">
        <f t="shared" ref="U279:U281" si="356">IF(E279="Excluido",0,$T$241*T279)</f>
        <v>0</v>
      </c>
      <c r="V279" s="159">
        <f>IF(F279=0,0,U279)</f>
        <v>0</v>
      </c>
    </row>
    <row r="280" spans="1:23" ht="15" hidden="1" customHeight="1" x14ac:dyDescent="0.3">
      <c r="A280" s="34" t="s">
        <v>1326</v>
      </c>
      <c r="B280" s="36">
        <v>161</v>
      </c>
      <c r="C280" s="29" t="s">
        <v>1332</v>
      </c>
      <c r="D280" s="29" t="str">
        <f t="shared" si="353"/>
        <v>NO APLICA</v>
      </c>
      <c r="E280" s="27" t="s">
        <v>1137</v>
      </c>
      <c r="F280" s="20">
        <f t="shared" ref="F280:F281" si="357">$F$278*S280</f>
        <v>0</v>
      </c>
      <c r="G280" s="114">
        <f t="shared" si="354"/>
        <v>0</v>
      </c>
      <c r="H280" s="9">
        <f t="shared" si="346"/>
        <v>0</v>
      </c>
      <c r="I280" s="9" t="s">
        <v>1287</v>
      </c>
      <c r="J280" s="9">
        <f t="shared" si="347"/>
        <v>0</v>
      </c>
      <c r="K280" s="9">
        <f t="shared" si="348"/>
        <v>0</v>
      </c>
      <c r="L280" s="9">
        <f t="shared" si="349"/>
        <v>0</v>
      </c>
      <c r="M280" s="11">
        <f t="shared" si="355"/>
        <v>0</v>
      </c>
      <c r="N280" s="9">
        <f t="shared" si="350"/>
        <v>0</v>
      </c>
      <c r="O280" s="12">
        <f t="shared" si="351"/>
        <v>0</v>
      </c>
      <c r="P280" s="13" t="str">
        <f t="shared" si="286"/>
        <v>NO</v>
      </c>
      <c r="Q280">
        <f>IF(D280="INCLUIDO",IF(F280&lt;&gt;0,1,0),0)</f>
        <v>0</v>
      </c>
      <c r="R280">
        <f>IF(I280="%o Al Millar",1000,IF(I280="% Al Porciento",100,IF(I280="$ Prima",G280)))</f>
        <v>0</v>
      </c>
      <c r="S280">
        <f t="shared" si="352"/>
        <v>0</v>
      </c>
      <c r="T280" s="110">
        <f>VLOOKUP(B280,DesgloseRC!$E$48:$F$85,2,FALSE)</f>
        <v>0</v>
      </c>
      <c r="U280" s="159">
        <f t="shared" si="356"/>
        <v>0</v>
      </c>
      <c r="V280" s="159">
        <f t="shared" ref="V280:V281" si="358">IF(F280=0,0,U280)</f>
        <v>0</v>
      </c>
    </row>
    <row r="281" spans="1:23" ht="15" hidden="1" customHeight="1" x14ac:dyDescent="0.3">
      <c r="A281" s="34" t="s">
        <v>1326</v>
      </c>
      <c r="B281" s="36">
        <v>243</v>
      </c>
      <c r="C281" s="29" t="s">
        <v>1293</v>
      </c>
      <c r="D281" s="29" t="str">
        <f t="shared" si="353"/>
        <v>NO APLICA</v>
      </c>
      <c r="E281" s="27" t="s">
        <v>1137</v>
      </c>
      <c r="F281" s="20">
        <f t="shared" si="357"/>
        <v>0</v>
      </c>
      <c r="G281" s="114">
        <f t="shared" si="354"/>
        <v>0</v>
      </c>
      <c r="H281" s="9">
        <f t="shared" si="346"/>
        <v>0</v>
      </c>
      <c r="I281" s="9" t="s">
        <v>1287</v>
      </c>
      <c r="J281" s="9">
        <f t="shared" si="347"/>
        <v>0</v>
      </c>
      <c r="K281" s="9">
        <f t="shared" si="348"/>
        <v>0</v>
      </c>
      <c r="L281" s="9">
        <f t="shared" si="349"/>
        <v>0</v>
      </c>
      <c r="M281" s="11">
        <f t="shared" si="355"/>
        <v>0</v>
      </c>
      <c r="N281" s="9">
        <f t="shared" si="350"/>
        <v>0</v>
      </c>
      <c r="O281" s="12">
        <f t="shared" si="351"/>
        <v>0</v>
      </c>
      <c r="P281" s="13" t="str">
        <f t="shared" si="286"/>
        <v>NO</v>
      </c>
      <c r="Q281">
        <f>IF(D281="INCLUIDO",IF(F281&lt;&gt;0,1,0),0)</f>
        <v>0</v>
      </c>
      <c r="R281">
        <f>IF(I281="%o Al Millar",1000,IF(I281="% Al Porciento",100,IF(I281="$ Prima",G281)))</f>
        <v>0</v>
      </c>
      <c r="S281">
        <f t="shared" si="352"/>
        <v>0</v>
      </c>
      <c r="T281" s="110">
        <f>VLOOKUP(B281,DesgloseRC!$E$48:$F$85,2,FALSE)</f>
        <v>0</v>
      </c>
      <c r="U281" s="159">
        <f t="shared" si="356"/>
        <v>0</v>
      </c>
      <c r="V281" s="159">
        <f t="shared" si="358"/>
        <v>0</v>
      </c>
    </row>
    <row r="282" spans="1:23" s="18" customFormat="1" ht="15" hidden="1" customHeight="1" thickBot="1" x14ac:dyDescent="0.35">
      <c r="A282" s="24"/>
      <c r="B282" s="26"/>
      <c r="C282" s="15" t="s">
        <v>1177</v>
      </c>
      <c r="D282" s="38" t="str">
        <f>D281</f>
        <v>NO APLICA</v>
      </c>
      <c r="E282" s="38"/>
      <c r="F282" s="16">
        <f>SUMIF(E278:E281,"Adicional",F278:F281)</f>
        <v>0</v>
      </c>
      <c r="G282" s="17"/>
      <c r="H282" s="16">
        <f>SUM(H278:H281)</f>
        <v>0</v>
      </c>
      <c r="I282" s="16"/>
      <c r="J282" s="16">
        <f t="shared" ref="J282:L282" si="359">SUM(J278:J281)</f>
        <v>0</v>
      </c>
      <c r="K282" s="16">
        <f t="shared" si="359"/>
        <v>0</v>
      </c>
      <c r="L282" s="16">
        <f t="shared" si="359"/>
        <v>0</v>
      </c>
      <c r="M282" s="16" t="s">
        <v>1178</v>
      </c>
      <c r="N282" s="16">
        <f t="shared" ref="N282:O282" si="360">SUM(N278:N281)</f>
        <v>0</v>
      </c>
      <c r="O282" s="84">
        <f t="shared" si="360"/>
        <v>0</v>
      </c>
      <c r="P282" s="13" t="str">
        <f t="shared" si="286"/>
        <v>NO</v>
      </c>
      <c r="Q282">
        <f>IF(D282="INCLUIDO",IF(H282&lt;&gt;0,1,0),0)</f>
        <v>0</v>
      </c>
      <c r="T282" s="141">
        <f>SUM(T278:T281)</f>
        <v>0</v>
      </c>
      <c r="U282" s="202">
        <f>SUM(U278:U281)</f>
        <v>0</v>
      </c>
      <c r="V282" s="112">
        <f>SUM(V278:V281)</f>
        <v>0</v>
      </c>
    </row>
    <row r="283" spans="1:23" ht="15" hidden="1" customHeight="1" thickBot="1" x14ac:dyDescent="0.35">
      <c r="A283" s="82">
        <v>911</v>
      </c>
      <c r="B283" s="33">
        <v>3</v>
      </c>
      <c r="C283" s="19" t="s">
        <v>1330</v>
      </c>
      <c r="D283" s="23" t="str">
        <f>'Ramo Comercial'!C165</f>
        <v>NO APLICA</v>
      </c>
      <c r="E283" s="91"/>
      <c r="F283" s="113">
        <f>F241</f>
        <v>0</v>
      </c>
      <c r="G283" s="113">
        <v>0</v>
      </c>
      <c r="H283" s="28"/>
      <c r="I283" s="28"/>
      <c r="J283" s="28"/>
      <c r="K283" s="28"/>
      <c r="L283" s="28"/>
      <c r="M283" s="68">
        <v>0</v>
      </c>
      <c r="N283" s="28"/>
      <c r="O283" s="83"/>
      <c r="P283" s="13" t="str">
        <f t="shared" si="286"/>
        <v>NO</v>
      </c>
      <c r="Q283" s="47">
        <f>IF(D283="INCLUIDO",IF(F284&lt;&gt;0,1,0),0)</f>
        <v>0</v>
      </c>
      <c r="T283" s="142">
        <f>G241*T328</f>
        <v>0</v>
      </c>
      <c r="U283" s="142">
        <f>G241</f>
        <v>0</v>
      </c>
    </row>
    <row r="284" spans="1:23" ht="15" hidden="1" customHeight="1" x14ac:dyDescent="0.3">
      <c r="A284" s="34" t="s">
        <v>1326</v>
      </c>
      <c r="B284" s="36">
        <v>163</v>
      </c>
      <c r="C284" s="29" t="s">
        <v>1333</v>
      </c>
      <c r="D284" s="29" t="str">
        <f>$D$283</f>
        <v>NO APLICA</v>
      </c>
      <c r="E284" s="27" t="s">
        <v>1137</v>
      </c>
      <c r="F284" s="43">
        <f>$F$283*S284</f>
        <v>0</v>
      </c>
      <c r="G284" s="21">
        <v>0</v>
      </c>
      <c r="H284" s="9">
        <f t="shared" ref="H284:H328" si="361">(IF(I284="$ Prima",G284,G284*F284/R284))*$U$9</f>
        <v>0</v>
      </c>
      <c r="I284" s="9" t="s">
        <v>1287</v>
      </c>
      <c r="J284" s="9">
        <f t="shared" ref="J284:J328" si="362">H284*$U$7</f>
        <v>0</v>
      </c>
      <c r="K284" s="9">
        <f t="shared" ref="K284:K328" si="363">(H284+J284)*$K$15</f>
        <v>0</v>
      </c>
      <c r="L284" s="9">
        <f t="shared" ref="L284:L328" si="364">ROUND(H284+J284+K284,2)</f>
        <v>0</v>
      </c>
      <c r="M284" s="11">
        <f>$M$283</f>
        <v>0</v>
      </c>
      <c r="N284" s="9">
        <f t="shared" ref="N284:N328" si="365">H284*M284</f>
        <v>0</v>
      </c>
      <c r="O284" s="12">
        <f t="shared" ref="O284:O328" si="366">N284</f>
        <v>0</v>
      </c>
      <c r="P284" s="13" t="str">
        <f t="shared" si="286"/>
        <v>NO</v>
      </c>
      <c r="Q284">
        <f t="shared" ref="Q284:Q328" si="367">IF(D284="INCLUIDO",IF(F284&lt;&gt;0,1,0),0)</f>
        <v>0</v>
      </c>
      <c r="R284">
        <f t="shared" ref="R284:R328" si="368">IF(I284="%o Al Millar",1000,IF(I284="% Al Porciento",100,IF(I284="$ Prima",G284)))</f>
        <v>0</v>
      </c>
      <c r="S284">
        <f t="shared" ref="S284:S328" si="369">IF(E284="Excluido",0,IF(D284="NO APLICA",0,1))</f>
        <v>0</v>
      </c>
    </row>
    <row r="285" spans="1:23" ht="15" hidden="1" customHeight="1" x14ac:dyDescent="0.3">
      <c r="A285" s="34" t="s">
        <v>1326</v>
      </c>
      <c r="B285" s="36">
        <v>164</v>
      </c>
      <c r="C285" s="29" t="s">
        <v>1334</v>
      </c>
      <c r="D285" s="29" t="str">
        <f t="shared" ref="D285:D328" si="370">$D$283</f>
        <v>NO APLICA</v>
      </c>
      <c r="E285" s="27" t="s">
        <v>1137</v>
      </c>
      <c r="F285" s="43">
        <f t="shared" ref="F285:F328" si="371">$F$283*S285</f>
        <v>0</v>
      </c>
      <c r="G285" s="21">
        <v>0</v>
      </c>
      <c r="H285" s="9">
        <f t="shared" si="361"/>
        <v>0</v>
      </c>
      <c r="I285" s="9" t="s">
        <v>1287</v>
      </c>
      <c r="J285" s="9">
        <f t="shared" si="362"/>
        <v>0</v>
      </c>
      <c r="K285" s="9">
        <f t="shared" si="363"/>
        <v>0</v>
      </c>
      <c r="L285" s="9">
        <f t="shared" si="364"/>
        <v>0</v>
      </c>
      <c r="M285" s="11">
        <f t="shared" ref="M285:M328" si="372">$M$283</f>
        <v>0</v>
      </c>
      <c r="N285" s="9">
        <f t="shared" si="365"/>
        <v>0</v>
      </c>
      <c r="O285" s="12">
        <f t="shared" si="366"/>
        <v>0</v>
      </c>
      <c r="P285" s="13" t="str">
        <f t="shared" si="286"/>
        <v>NO</v>
      </c>
      <c r="Q285">
        <f t="shared" si="367"/>
        <v>0</v>
      </c>
      <c r="R285">
        <f t="shared" si="368"/>
        <v>0</v>
      </c>
      <c r="S285">
        <f t="shared" si="369"/>
        <v>0</v>
      </c>
    </row>
    <row r="286" spans="1:23" ht="15" hidden="1" customHeight="1" x14ac:dyDescent="0.3">
      <c r="A286" s="34" t="s">
        <v>1326</v>
      </c>
      <c r="B286" s="36">
        <v>165</v>
      </c>
      <c r="C286" s="29" t="s">
        <v>1335</v>
      </c>
      <c r="D286" s="29" t="str">
        <f t="shared" si="370"/>
        <v>NO APLICA</v>
      </c>
      <c r="E286" s="27" t="s">
        <v>1137</v>
      </c>
      <c r="F286" s="43">
        <f t="shared" si="371"/>
        <v>0</v>
      </c>
      <c r="G286" s="21">
        <v>0</v>
      </c>
      <c r="H286" s="9">
        <f t="shared" si="361"/>
        <v>0</v>
      </c>
      <c r="I286" s="9" t="s">
        <v>1287</v>
      </c>
      <c r="J286" s="9">
        <f t="shared" si="362"/>
        <v>0</v>
      </c>
      <c r="K286" s="9">
        <f t="shared" si="363"/>
        <v>0</v>
      </c>
      <c r="L286" s="9">
        <f t="shared" si="364"/>
        <v>0</v>
      </c>
      <c r="M286" s="11">
        <f t="shared" si="372"/>
        <v>0</v>
      </c>
      <c r="N286" s="9">
        <f t="shared" si="365"/>
        <v>0</v>
      </c>
      <c r="O286" s="12">
        <f t="shared" si="366"/>
        <v>0</v>
      </c>
      <c r="P286" s="13" t="str">
        <f t="shared" si="286"/>
        <v>NO</v>
      </c>
      <c r="Q286">
        <f t="shared" si="367"/>
        <v>0</v>
      </c>
      <c r="R286">
        <f t="shared" si="368"/>
        <v>0</v>
      </c>
      <c r="S286">
        <f t="shared" si="369"/>
        <v>0</v>
      </c>
    </row>
    <row r="287" spans="1:23" ht="15" hidden="1" customHeight="1" x14ac:dyDescent="0.3">
      <c r="A287" s="34" t="s">
        <v>1326</v>
      </c>
      <c r="B287" s="36">
        <v>166</v>
      </c>
      <c r="C287" s="29" t="s">
        <v>1336</v>
      </c>
      <c r="D287" s="29" t="str">
        <f t="shared" si="370"/>
        <v>NO APLICA</v>
      </c>
      <c r="E287" s="27" t="s">
        <v>1137</v>
      </c>
      <c r="F287" s="43">
        <f t="shared" si="371"/>
        <v>0</v>
      </c>
      <c r="G287" s="21">
        <v>0</v>
      </c>
      <c r="H287" s="9">
        <f t="shared" si="361"/>
        <v>0</v>
      </c>
      <c r="I287" s="9" t="s">
        <v>1287</v>
      </c>
      <c r="J287" s="9">
        <f t="shared" si="362"/>
        <v>0</v>
      </c>
      <c r="K287" s="9">
        <f t="shared" si="363"/>
        <v>0</v>
      </c>
      <c r="L287" s="9">
        <f t="shared" si="364"/>
        <v>0</v>
      </c>
      <c r="M287" s="11">
        <f t="shared" si="372"/>
        <v>0</v>
      </c>
      <c r="N287" s="9">
        <f t="shared" si="365"/>
        <v>0</v>
      </c>
      <c r="O287" s="12">
        <f t="shared" si="366"/>
        <v>0</v>
      </c>
      <c r="P287" s="13" t="str">
        <f t="shared" si="286"/>
        <v>NO</v>
      </c>
      <c r="Q287">
        <f t="shared" si="367"/>
        <v>0</v>
      </c>
      <c r="R287">
        <f t="shared" si="368"/>
        <v>0</v>
      </c>
      <c r="S287">
        <f t="shared" si="369"/>
        <v>0</v>
      </c>
    </row>
    <row r="288" spans="1:23" ht="15" hidden="1" customHeight="1" x14ac:dyDescent="0.3">
      <c r="A288" s="34" t="s">
        <v>1326</v>
      </c>
      <c r="B288" s="36">
        <v>167</v>
      </c>
      <c r="C288" s="29" t="s">
        <v>1337</v>
      </c>
      <c r="D288" s="29" t="str">
        <f t="shared" si="370"/>
        <v>NO APLICA</v>
      </c>
      <c r="E288" s="27" t="s">
        <v>1137</v>
      </c>
      <c r="F288" s="43">
        <f t="shared" si="371"/>
        <v>0</v>
      </c>
      <c r="G288" s="21">
        <v>0</v>
      </c>
      <c r="H288" s="9">
        <f t="shared" si="361"/>
        <v>0</v>
      </c>
      <c r="I288" s="9" t="s">
        <v>1287</v>
      </c>
      <c r="J288" s="9">
        <f t="shared" si="362"/>
        <v>0</v>
      </c>
      <c r="K288" s="9">
        <f t="shared" si="363"/>
        <v>0</v>
      </c>
      <c r="L288" s="9">
        <f t="shared" si="364"/>
        <v>0</v>
      </c>
      <c r="M288" s="11">
        <f t="shared" si="372"/>
        <v>0</v>
      </c>
      <c r="N288" s="9">
        <f t="shared" si="365"/>
        <v>0</v>
      </c>
      <c r="O288" s="12">
        <f t="shared" si="366"/>
        <v>0</v>
      </c>
      <c r="P288" s="13" t="str">
        <f t="shared" si="286"/>
        <v>NO</v>
      </c>
      <c r="Q288">
        <f t="shared" si="367"/>
        <v>0</v>
      </c>
      <c r="R288">
        <f t="shared" si="368"/>
        <v>0</v>
      </c>
      <c r="S288">
        <f t="shared" si="369"/>
        <v>0</v>
      </c>
    </row>
    <row r="289" spans="1:23" ht="15" hidden="1" customHeight="1" x14ac:dyDescent="0.3">
      <c r="A289" s="34" t="s">
        <v>1326</v>
      </c>
      <c r="B289" s="36">
        <v>168</v>
      </c>
      <c r="C289" s="29" t="s">
        <v>1338</v>
      </c>
      <c r="D289" s="29" t="str">
        <f t="shared" si="370"/>
        <v>NO APLICA</v>
      </c>
      <c r="E289" s="27" t="s">
        <v>1137</v>
      </c>
      <c r="F289" s="43">
        <f t="shared" si="371"/>
        <v>0</v>
      </c>
      <c r="G289" s="21">
        <v>0</v>
      </c>
      <c r="H289" s="9">
        <f t="shared" si="361"/>
        <v>0</v>
      </c>
      <c r="I289" s="9" t="s">
        <v>1287</v>
      </c>
      <c r="J289" s="9">
        <f t="shared" si="362"/>
        <v>0</v>
      </c>
      <c r="K289" s="9">
        <f t="shared" si="363"/>
        <v>0</v>
      </c>
      <c r="L289" s="9">
        <f t="shared" si="364"/>
        <v>0</v>
      </c>
      <c r="M289" s="11">
        <f t="shared" si="372"/>
        <v>0</v>
      </c>
      <c r="N289" s="9">
        <f t="shared" si="365"/>
        <v>0</v>
      </c>
      <c r="O289" s="12">
        <f t="shared" si="366"/>
        <v>0</v>
      </c>
      <c r="P289" s="13" t="str">
        <f t="shared" si="286"/>
        <v>NO</v>
      </c>
      <c r="Q289">
        <f t="shared" si="367"/>
        <v>0</v>
      </c>
      <c r="R289">
        <f t="shared" si="368"/>
        <v>0</v>
      </c>
      <c r="S289">
        <f t="shared" si="369"/>
        <v>0</v>
      </c>
    </row>
    <row r="290" spans="1:23" ht="15" hidden="1" customHeight="1" x14ac:dyDescent="0.3">
      <c r="A290" s="34" t="s">
        <v>1326</v>
      </c>
      <c r="B290" s="36">
        <v>169</v>
      </c>
      <c r="C290" s="29" t="s">
        <v>1339</v>
      </c>
      <c r="D290" s="29" t="str">
        <f t="shared" si="370"/>
        <v>NO APLICA</v>
      </c>
      <c r="E290" s="27" t="s">
        <v>1137</v>
      </c>
      <c r="F290" s="43">
        <f t="shared" si="371"/>
        <v>0</v>
      </c>
      <c r="G290" s="21">
        <f>V290</f>
        <v>0</v>
      </c>
      <c r="H290" s="9">
        <f t="shared" si="361"/>
        <v>0</v>
      </c>
      <c r="I290" s="9" t="s">
        <v>1287</v>
      </c>
      <c r="J290" s="9">
        <f t="shared" si="362"/>
        <v>0</v>
      </c>
      <c r="K290" s="9">
        <f t="shared" si="363"/>
        <v>0</v>
      </c>
      <c r="L290" s="9">
        <f t="shared" si="364"/>
        <v>0</v>
      </c>
      <c r="M290" s="11">
        <f t="shared" si="372"/>
        <v>0</v>
      </c>
      <c r="N290" s="9">
        <f t="shared" si="365"/>
        <v>0</v>
      </c>
      <c r="O290" s="12">
        <f t="shared" si="366"/>
        <v>0</v>
      </c>
      <c r="P290" s="13" t="str">
        <f t="shared" ref="P290:P353" si="373">IF(Q290=1,"SI","NO")</f>
        <v>NO</v>
      </c>
      <c r="Q290">
        <f t="shared" si="367"/>
        <v>0</v>
      </c>
      <c r="R290">
        <f t="shared" si="368"/>
        <v>0</v>
      </c>
      <c r="S290">
        <f t="shared" si="369"/>
        <v>0</v>
      </c>
      <c r="T290" s="110">
        <f>VLOOKUP(B290,DesgloseRC!$E$48:$F$85,2,FALSE)</f>
        <v>0</v>
      </c>
      <c r="U290" s="159">
        <f>IF(E290="Excluido",0,$U$283*T290)</f>
        <v>0</v>
      </c>
      <c r="V290" s="159">
        <f>IF(F290=0,0,U290)</f>
        <v>0</v>
      </c>
      <c r="W290">
        <f>IF(T290=0%,0,1)</f>
        <v>0</v>
      </c>
    </row>
    <row r="291" spans="1:23" ht="15" hidden="1" customHeight="1" x14ac:dyDescent="0.3">
      <c r="A291" s="34" t="s">
        <v>1326</v>
      </c>
      <c r="B291" s="36">
        <v>170</v>
      </c>
      <c r="C291" s="29" t="s">
        <v>1340</v>
      </c>
      <c r="D291" s="29" t="str">
        <f t="shared" si="370"/>
        <v>NO APLICA</v>
      </c>
      <c r="E291" s="27" t="s">
        <v>1137</v>
      </c>
      <c r="F291" s="43">
        <f t="shared" si="371"/>
        <v>0</v>
      </c>
      <c r="G291" s="21">
        <v>0</v>
      </c>
      <c r="H291" s="9">
        <f t="shared" si="361"/>
        <v>0</v>
      </c>
      <c r="I291" s="9" t="s">
        <v>1287</v>
      </c>
      <c r="J291" s="9">
        <f t="shared" si="362"/>
        <v>0</v>
      </c>
      <c r="K291" s="9">
        <f t="shared" si="363"/>
        <v>0</v>
      </c>
      <c r="L291" s="9">
        <f t="shared" si="364"/>
        <v>0</v>
      </c>
      <c r="M291" s="11">
        <f t="shared" si="372"/>
        <v>0</v>
      </c>
      <c r="N291" s="9">
        <f t="shared" si="365"/>
        <v>0</v>
      </c>
      <c r="O291" s="12">
        <f t="shared" si="366"/>
        <v>0</v>
      </c>
      <c r="P291" s="13" t="str">
        <f t="shared" si="373"/>
        <v>NO</v>
      </c>
      <c r="Q291">
        <f t="shared" si="367"/>
        <v>0</v>
      </c>
      <c r="R291">
        <f t="shared" si="368"/>
        <v>0</v>
      </c>
      <c r="S291">
        <f t="shared" si="369"/>
        <v>0</v>
      </c>
    </row>
    <row r="292" spans="1:23" ht="15" hidden="1" customHeight="1" x14ac:dyDescent="0.3">
      <c r="A292" s="34" t="s">
        <v>1326</v>
      </c>
      <c r="B292" s="36">
        <v>171</v>
      </c>
      <c r="C292" s="29" t="s">
        <v>1341</v>
      </c>
      <c r="D292" s="29" t="str">
        <f t="shared" si="370"/>
        <v>NO APLICA</v>
      </c>
      <c r="E292" s="27" t="s">
        <v>1137</v>
      </c>
      <c r="F292" s="43">
        <f t="shared" si="371"/>
        <v>0</v>
      </c>
      <c r="G292" s="21">
        <v>0</v>
      </c>
      <c r="H292" s="9">
        <f t="shared" si="361"/>
        <v>0</v>
      </c>
      <c r="I292" s="9" t="s">
        <v>1287</v>
      </c>
      <c r="J292" s="9">
        <f t="shared" si="362"/>
        <v>0</v>
      </c>
      <c r="K292" s="9">
        <f t="shared" si="363"/>
        <v>0</v>
      </c>
      <c r="L292" s="9">
        <f t="shared" si="364"/>
        <v>0</v>
      </c>
      <c r="M292" s="11">
        <f t="shared" si="372"/>
        <v>0</v>
      </c>
      <c r="N292" s="9">
        <f t="shared" si="365"/>
        <v>0</v>
      </c>
      <c r="O292" s="12">
        <f t="shared" si="366"/>
        <v>0</v>
      </c>
      <c r="P292" s="13" t="str">
        <f t="shared" si="373"/>
        <v>NO</v>
      </c>
      <c r="Q292">
        <f t="shared" si="367"/>
        <v>0</v>
      </c>
      <c r="R292">
        <f t="shared" si="368"/>
        <v>0</v>
      </c>
      <c r="S292">
        <f t="shared" si="369"/>
        <v>0</v>
      </c>
    </row>
    <row r="293" spans="1:23" ht="15" hidden="1" customHeight="1" x14ac:dyDescent="0.3">
      <c r="A293" s="34" t="s">
        <v>1326</v>
      </c>
      <c r="B293" s="36">
        <v>172</v>
      </c>
      <c r="C293" s="29" t="s">
        <v>1342</v>
      </c>
      <c r="D293" s="29" t="str">
        <f t="shared" si="370"/>
        <v>NO APLICA</v>
      </c>
      <c r="E293" s="27" t="s">
        <v>1137</v>
      </c>
      <c r="F293" s="43">
        <f t="shared" si="371"/>
        <v>0</v>
      </c>
      <c r="G293" s="21">
        <v>0</v>
      </c>
      <c r="H293" s="9">
        <f t="shared" si="361"/>
        <v>0</v>
      </c>
      <c r="I293" s="9" t="s">
        <v>1287</v>
      </c>
      <c r="J293" s="9">
        <f t="shared" si="362"/>
        <v>0</v>
      </c>
      <c r="K293" s="9">
        <f t="shared" si="363"/>
        <v>0</v>
      </c>
      <c r="L293" s="9">
        <f t="shared" si="364"/>
        <v>0</v>
      </c>
      <c r="M293" s="11">
        <f t="shared" si="372"/>
        <v>0</v>
      </c>
      <c r="N293" s="9">
        <f t="shared" si="365"/>
        <v>0</v>
      </c>
      <c r="O293" s="12">
        <f t="shared" si="366"/>
        <v>0</v>
      </c>
      <c r="P293" s="13" t="str">
        <f t="shared" si="373"/>
        <v>NO</v>
      </c>
      <c r="Q293">
        <f t="shared" si="367"/>
        <v>0</v>
      </c>
      <c r="R293">
        <f t="shared" si="368"/>
        <v>0</v>
      </c>
      <c r="S293">
        <f t="shared" si="369"/>
        <v>0</v>
      </c>
    </row>
    <row r="294" spans="1:23" ht="15" hidden="1" customHeight="1" x14ac:dyDescent="0.3">
      <c r="A294" s="34" t="s">
        <v>1326</v>
      </c>
      <c r="B294" s="36">
        <v>173</v>
      </c>
      <c r="C294" s="29" t="s">
        <v>1343</v>
      </c>
      <c r="D294" s="29" t="str">
        <f t="shared" si="370"/>
        <v>NO APLICA</v>
      </c>
      <c r="E294" s="27" t="s">
        <v>1137</v>
      </c>
      <c r="F294" s="43">
        <f t="shared" si="371"/>
        <v>0</v>
      </c>
      <c r="G294" s="21">
        <v>0</v>
      </c>
      <c r="H294" s="9">
        <f t="shared" si="361"/>
        <v>0</v>
      </c>
      <c r="I294" s="9" t="s">
        <v>1287</v>
      </c>
      <c r="J294" s="9">
        <f t="shared" si="362"/>
        <v>0</v>
      </c>
      <c r="K294" s="9">
        <f t="shared" si="363"/>
        <v>0</v>
      </c>
      <c r="L294" s="9">
        <f t="shared" si="364"/>
        <v>0</v>
      </c>
      <c r="M294" s="11">
        <f t="shared" si="372"/>
        <v>0</v>
      </c>
      <c r="N294" s="9">
        <f t="shared" si="365"/>
        <v>0</v>
      </c>
      <c r="O294" s="12">
        <f t="shared" si="366"/>
        <v>0</v>
      </c>
      <c r="P294" s="13" t="str">
        <f t="shared" si="373"/>
        <v>NO</v>
      </c>
      <c r="Q294">
        <f t="shared" si="367"/>
        <v>0</v>
      </c>
      <c r="R294">
        <f t="shared" si="368"/>
        <v>0</v>
      </c>
      <c r="S294">
        <f t="shared" si="369"/>
        <v>0</v>
      </c>
    </row>
    <row r="295" spans="1:23" ht="15" hidden="1" customHeight="1" x14ac:dyDescent="0.3">
      <c r="A295" s="34" t="s">
        <v>1326</v>
      </c>
      <c r="B295" s="36">
        <v>174</v>
      </c>
      <c r="C295" s="29" t="s">
        <v>1344</v>
      </c>
      <c r="D295" s="29" t="str">
        <f t="shared" si="370"/>
        <v>NO APLICA</v>
      </c>
      <c r="E295" s="27" t="s">
        <v>1137</v>
      </c>
      <c r="F295" s="43">
        <f t="shared" si="371"/>
        <v>0</v>
      </c>
      <c r="G295" s="21">
        <v>0</v>
      </c>
      <c r="H295" s="9">
        <f t="shared" si="361"/>
        <v>0</v>
      </c>
      <c r="I295" s="9" t="s">
        <v>1287</v>
      </c>
      <c r="J295" s="9">
        <f t="shared" si="362"/>
        <v>0</v>
      </c>
      <c r="K295" s="9">
        <f t="shared" si="363"/>
        <v>0</v>
      </c>
      <c r="L295" s="9">
        <f t="shared" si="364"/>
        <v>0</v>
      </c>
      <c r="M295" s="11">
        <f t="shared" si="372"/>
        <v>0</v>
      </c>
      <c r="N295" s="9">
        <f t="shared" si="365"/>
        <v>0</v>
      </c>
      <c r="O295" s="12">
        <f t="shared" si="366"/>
        <v>0</v>
      </c>
      <c r="P295" s="13" t="str">
        <f t="shared" si="373"/>
        <v>NO</v>
      </c>
      <c r="Q295">
        <f t="shared" si="367"/>
        <v>0</v>
      </c>
      <c r="R295">
        <f t="shared" si="368"/>
        <v>0</v>
      </c>
      <c r="S295">
        <f t="shared" si="369"/>
        <v>0</v>
      </c>
    </row>
    <row r="296" spans="1:23" ht="15" hidden="1" customHeight="1" x14ac:dyDescent="0.3">
      <c r="A296" s="34" t="s">
        <v>1326</v>
      </c>
      <c r="B296" s="36">
        <v>175</v>
      </c>
      <c r="C296" s="29" t="s">
        <v>1345</v>
      </c>
      <c r="D296" s="29" t="str">
        <f t="shared" si="370"/>
        <v>NO APLICA</v>
      </c>
      <c r="E296" s="27" t="s">
        <v>1137</v>
      </c>
      <c r="F296" s="43">
        <f t="shared" si="371"/>
        <v>0</v>
      </c>
      <c r="G296" s="21">
        <v>0</v>
      </c>
      <c r="H296" s="9">
        <f t="shared" si="361"/>
        <v>0</v>
      </c>
      <c r="I296" s="9" t="s">
        <v>1287</v>
      </c>
      <c r="J296" s="9">
        <f t="shared" si="362"/>
        <v>0</v>
      </c>
      <c r="K296" s="9">
        <f t="shared" si="363"/>
        <v>0</v>
      </c>
      <c r="L296" s="9">
        <f t="shared" si="364"/>
        <v>0</v>
      </c>
      <c r="M296" s="11">
        <f t="shared" si="372"/>
        <v>0</v>
      </c>
      <c r="N296" s="9">
        <f t="shared" si="365"/>
        <v>0</v>
      </c>
      <c r="O296" s="12">
        <f t="shared" si="366"/>
        <v>0</v>
      </c>
      <c r="P296" s="13" t="str">
        <f t="shared" si="373"/>
        <v>NO</v>
      </c>
      <c r="Q296">
        <f t="shared" si="367"/>
        <v>0</v>
      </c>
      <c r="R296">
        <f t="shared" si="368"/>
        <v>0</v>
      </c>
      <c r="S296">
        <f t="shared" si="369"/>
        <v>0</v>
      </c>
    </row>
    <row r="297" spans="1:23" ht="15" hidden="1" customHeight="1" x14ac:dyDescent="0.3">
      <c r="A297" s="34" t="s">
        <v>1326</v>
      </c>
      <c r="B297" s="36">
        <v>176</v>
      </c>
      <c r="C297" s="29" t="s">
        <v>1346</v>
      </c>
      <c r="D297" s="29" t="str">
        <f t="shared" si="370"/>
        <v>NO APLICA</v>
      </c>
      <c r="E297" s="27" t="s">
        <v>1137</v>
      </c>
      <c r="F297" s="43">
        <f t="shared" si="371"/>
        <v>0</v>
      </c>
      <c r="G297" s="21">
        <v>0</v>
      </c>
      <c r="H297" s="9">
        <f t="shared" si="361"/>
        <v>0</v>
      </c>
      <c r="I297" s="9" t="s">
        <v>1287</v>
      </c>
      <c r="J297" s="9">
        <f t="shared" si="362"/>
        <v>0</v>
      </c>
      <c r="K297" s="9">
        <f t="shared" si="363"/>
        <v>0</v>
      </c>
      <c r="L297" s="9">
        <f t="shared" si="364"/>
        <v>0</v>
      </c>
      <c r="M297" s="11">
        <f t="shared" si="372"/>
        <v>0</v>
      </c>
      <c r="N297" s="9">
        <f t="shared" si="365"/>
        <v>0</v>
      </c>
      <c r="O297" s="12">
        <f t="shared" si="366"/>
        <v>0</v>
      </c>
      <c r="P297" s="13" t="str">
        <f t="shared" si="373"/>
        <v>NO</v>
      </c>
      <c r="Q297">
        <f t="shared" si="367"/>
        <v>0</v>
      </c>
      <c r="R297">
        <f t="shared" si="368"/>
        <v>0</v>
      </c>
      <c r="S297">
        <f t="shared" si="369"/>
        <v>0</v>
      </c>
    </row>
    <row r="298" spans="1:23" ht="15" hidden="1" customHeight="1" x14ac:dyDescent="0.3">
      <c r="A298" s="34" t="s">
        <v>1326</v>
      </c>
      <c r="B298" s="36">
        <v>177</v>
      </c>
      <c r="C298" s="29" t="s">
        <v>1347</v>
      </c>
      <c r="D298" s="29" t="str">
        <f t="shared" si="370"/>
        <v>NO APLICA</v>
      </c>
      <c r="E298" s="27" t="s">
        <v>1137</v>
      </c>
      <c r="F298" s="43">
        <f t="shared" si="371"/>
        <v>0</v>
      </c>
      <c r="G298" s="21">
        <f>V298</f>
        <v>0</v>
      </c>
      <c r="H298" s="9">
        <f t="shared" si="361"/>
        <v>0</v>
      </c>
      <c r="I298" s="9" t="s">
        <v>1287</v>
      </c>
      <c r="J298" s="9">
        <f t="shared" si="362"/>
        <v>0</v>
      </c>
      <c r="K298" s="9">
        <f t="shared" si="363"/>
        <v>0</v>
      </c>
      <c r="L298" s="9">
        <f t="shared" si="364"/>
        <v>0</v>
      </c>
      <c r="M298" s="11">
        <f t="shared" si="372"/>
        <v>0</v>
      </c>
      <c r="N298" s="9">
        <f t="shared" si="365"/>
        <v>0</v>
      </c>
      <c r="O298" s="12">
        <f t="shared" si="366"/>
        <v>0</v>
      </c>
      <c r="P298" s="13" t="str">
        <f t="shared" si="373"/>
        <v>NO</v>
      </c>
      <c r="Q298">
        <f t="shared" si="367"/>
        <v>0</v>
      </c>
      <c r="R298">
        <f t="shared" si="368"/>
        <v>0</v>
      </c>
      <c r="S298">
        <f t="shared" si="369"/>
        <v>0</v>
      </c>
      <c r="T298" s="110">
        <f>VLOOKUP(B298,DesgloseRC!$E$48:$F$85,2,FALSE)</f>
        <v>0</v>
      </c>
      <c r="U298" s="159">
        <f>IF(E298="Excluido",0,$U$283*T298)</f>
        <v>0</v>
      </c>
      <c r="V298" s="159">
        <f>IF(F298=0,0,U298)</f>
        <v>0</v>
      </c>
      <c r="W298">
        <f>IF(T298=0%,0,1)</f>
        <v>0</v>
      </c>
    </row>
    <row r="299" spans="1:23" ht="15" hidden="1" customHeight="1" x14ac:dyDescent="0.3">
      <c r="A299" s="34" t="s">
        <v>1326</v>
      </c>
      <c r="B299" s="36">
        <v>178</v>
      </c>
      <c r="C299" s="29" t="s">
        <v>1348</v>
      </c>
      <c r="D299" s="29" t="str">
        <f t="shared" si="370"/>
        <v>NO APLICA</v>
      </c>
      <c r="E299" s="27" t="s">
        <v>1137</v>
      </c>
      <c r="F299" s="43">
        <f t="shared" si="371"/>
        <v>0</v>
      </c>
      <c r="G299" s="21">
        <v>0</v>
      </c>
      <c r="H299" s="9">
        <f t="shared" si="361"/>
        <v>0</v>
      </c>
      <c r="I299" s="9" t="s">
        <v>1287</v>
      </c>
      <c r="J299" s="9">
        <f t="shared" si="362"/>
        <v>0</v>
      </c>
      <c r="K299" s="9">
        <f t="shared" si="363"/>
        <v>0</v>
      </c>
      <c r="L299" s="9">
        <f t="shared" si="364"/>
        <v>0</v>
      </c>
      <c r="M299" s="11">
        <f t="shared" si="372"/>
        <v>0</v>
      </c>
      <c r="N299" s="9">
        <f t="shared" si="365"/>
        <v>0</v>
      </c>
      <c r="O299" s="12">
        <f t="shared" si="366"/>
        <v>0</v>
      </c>
      <c r="P299" s="13" t="str">
        <f t="shared" si="373"/>
        <v>NO</v>
      </c>
      <c r="Q299">
        <f t="shared" si="367"/>
        <v>0</v>
      </c>
      <c r="R299">
        <f t="shared" si="368"/>
        <v>0</v>
      </c>
      <c r="S299">
        <f t="shared" si="369"/>
        <v>0</v>
      </c>
    </row>
    <row r="300" spans="1:23" ht="15" hidden="1" customHeight="1" x14ac:dyDescent="0.3">
      <c r="A300" s="34" t="s">
        <v>1326</v>
      </c>
      <c r="B300" s="36">
        <v>179</v>
      </c>
      <c r="C300" s="29" t="s">
        <v>1349</v>
      </c>
      <c r="D300" s="29" t="str">
        <f t="shared" si="370"/>
        <v>NO APLICA</v>
      </c>
      <c r="E300" s="27" t="s">
        <v>1137</v>
      </c>
      <c r="F300" s="43">
        <f t="shared" si="371"/>
        <v>0</v>
      </c>
      <c r="G300" s="21">
        <v>0</v>
      </c>
      <c r="H300" s="9">
        <f t="shared" si="361"/>
        <v>0</v>
      </c>
      <c r="I300" s="9" t="s">
        <v>1287</v>
      </c>
      <c r="J300" s="9">
        <f t="shared" si="362"/>
        <v>0</v>
      </c>
      <c r="K300" s="9">
        <f t="shared" si="363"/>
        <v>0</v>
      </c>
      <c r="L300" s="9">
        <f t="shared" si="364"/>
        <v>0</v>
      </c>
      <c r="M300" s="11">
        <f t="shared" si="372"/>
        <v>0</v>
      </c>
      <c r="N300" s="9">
        <f t="shared" si="365"/>
        <v>0</v>
      </c>
      <c r="O300" s="12">
        <f t="shared" si="366"/>
        <v>0</v>
      </c>
      <c r="P300" s="13" t="str">
        <f t="shared" si="373"/>
        <v>NO</v>
      </c>
      <c r="Q300">
        <f t="shared" si="367"/>
        <v>0</v>
      </c>
      <c r="R300">
        <f t="shared" si="368"/>
        <v>0</v>
      </c>
      <c r="S300">
        <f t="shared" si="369"/>
        <v>0</v>
      </c>
    </row>
    <row r="301" spans="1:23" ht="15" hidden="1" customHeight="1" x14ac:dyDescent="0.3">
      <c r="A301" s="34" t="s">
        <v>1326</v>
      </c>
      <c r="B301" s="36">
        <v>180</v>
      </c>
      <c r="C301" s="29" t="s">
        <v>1350</v>
      </c>
      <c r="D301" s="29" t="str">
        <f t="shared" si="370"/>
        <v>NO APLICA</v>
      </c>
      <c r="E301" s="27" t="s">
        <v>1137</v>
      </c>
      <c r="F301" s="43">
        <f t="shared" si="371"/>
        <v>0</v>
      </c>
      <c r="G301" s="21">
        <v>0</v>
      </c>
      <c r="H301" s="9">
        <f t="shared" si="361"/>
        <v>0</v>
      </c>
      <c r="I301" s="9" t="s">
        <v>1287</v>
      </c>
      <c r="J301" s="9">
        <f t="shared" si="362"/>
        <v>0</v>
      </c>
      <c r="K301" s="9">
        <f t="shared" si="363"/>
        <v>0</v>
      </c>
      <c r="L301" s="9">
        <f t="shared" si="364"/>
        <v>0</v>
      </c>
      <c r="M301" s="11">
        <f t="shared" si="372"/>
        <v>0</v>
      </c>
      <c r="N301" s="9">
        <f t="shared" si="365"/>
        <v>0</v>
      </c>
      <c r="O301" s="12">
        <f t="shared" si="366"/>
        <v>0</v>
      </c>
      <c r="P301" s="13" t="str">
        <f t="shared" si="373"/>
        <v>NO</v>
      </c>
      <c r="Q301">
        <f t="shared" si="367"/>
        <v>0</v>
      </c>
      <c r="R301">
        <f t="shared" si="368"/>
        <v>0</v>
      </c>
      <c r="S301">
        <f t="shared" si="369"/>
        <v>0</v>
      </c>
    </row>
    <row r="302" spans="1:23" ht="15" hidden="1" customHeight="1" x14ac:dyDescent="0.3">
      <c r="A302" s="34" t="s">
        <v>1326</v>
      </c>
      <c r="B302" s="36">
        <v>181</v>
      </c>
      <c r="C302" s="29" t="s">
        <v>1351</v>
      </c>
      <c r="D302" s="29" t="str">
        <f t="shared" si="370"/>
        <v>NO APLICA</v>
      </c>
      <c r="E302" s="27" t="s">
        <v>1137</v>
      </c>
      <c r="F302" s="43">
        <f t="shared" si="371"/>
        <v>0</v>
      </c>
      <c r="G302" s="21">
        <v>0</v>
      </c>
      <c r="H302" s="9">
        <f t="shared" si="361"/>
        <v>0</v>
      </c>
      <c r="I302" s="9" t="s">
        <v>1287</v>
      </c>
      <c r="J302" s="9">
        <f t="shared" si="362"/>
        <v>0</v>
      </c>
      <c r="K302" s="9">
        <f t="shared" si="363"/>
        <v>0</v>
      </c>
      <c r="L302" s="9">
        <f t="shared" si="364"/>
        <v>0</v>
      </c>
      <c r="M302" s="11">
        <f t="shared" si="372"/>
        <v>0</v>
      </c>
      <c r="N302" s="9">
        <f t="shared" si="365"/>
        <v>0</v>
      </c>
      <c r="O302" s="12">
        <f t="shared" si="366"/>
        <v>0</v>
      </c>
      <c r="P302" s="13" t="str">
        <f t="shared" si="373"/>
        <v>NO</v>
      </c>
      <c r="Q302">
        <f t="shared" si="367"/>
        <v>0</v>
      </c>
      <c r="R302">
        <f t="shared" si="368"/>
        <v>0</v>
      </c>
      <c r="S302">
        <f t="shared" si="369"/>
        <v>0</v>
      </c>
    </row>
    <row r="303" spans="1:23" ht="15" hidden="1" customHeight="1" x14ac:dyDescent="0.3">
      <c r="A303" s="34" t="s">
        <v>1326</v>
      </c>
      <c r="B303" s="36">
        <v>182</v>
      </c>
      <c r="C303" s="29" t="s">
        <v>1352</v>
      </c>
      <c r="D303" s="29" t="str">
        <f t="shared" si="370"/>
        <v>NO APLICA</v>
      </c>
      <c r="E303" s="27" t="s">
        <v>1137</v>
      </c>
      <c r="F303" s="43">
        <f t="shared" si="371"/>
        <v>0</v>
      </c>
      <c r="G303" s="21">
        <v>0</v>
      </c>
      <c r="H303" s="9">
        <f t="shared" si="361"/>
        <v>0</v>
      </c>
      <c r="I303" s="9" t="s">
        <v>1287</v>
      </c>
      <c r="J303" s="9">
        <f t="shared" si="362"/>
        <v>0</v>
      </c>
      <c r="K303" s="9">
        <f t="shared" si="363"/>
        <v>0</v>
      </c>
      <c r="L303" s="9">
        <f t="shared" si="364"/>
        <v>0</v>
      </c>
      <c r="M303" s="11">
        <f t="shared" si="372"/>
        <v>0</v>
      </c>
      <c r="N303" s="9">
        <f t="shared" si="365"/>
        <v>0</v>
      </c>
      <c r="O303" s="12">
        <f t="shared" si="366"/>
        <v>0</v>
      </c>
      <c r="P303" s="13" t="str">
        <f t="shared" si="373"/>
        <v>NO</v>
      </c>
      <c r="Q303">
        <f t="shared" si="367"/>
        <v>0</v>
      </c>
      <c r="R303">
        <f t="shared" si="368"/>
        <v>0</v>
      </c>
      <c r="S303">
        <f t="shared" si="369"/>
        <v>0</v>
      </c>
    </row>
    <row r="304" spans="1:23" ht="15" hidden="1" customHeight="1" x14ac:dyDescent="0.3">
      <c r="A304" s="34" t="s">
        <v>1326</v>
      </c>
      <c r="B304" s="36">
        <v>183</v>
      </c>
      <c r="C304" s="29" t="s">
        <v>1353</v>
      </c>
      <c r="D304" s="29" t="str">
        <f t="shared" si="370"/>
        <v>NO APLICA</v>
      </c>
      <c r="E304" s="27" t="s">
        <v>1137</v>
      </c>
      <c r="F304" s="43">
        <f t="shared" si="371"/>
        <v>0</v>
      </c>
      <c r="G304" s="21">
        <v>0</v>
      </c>
      <c r="H304" s="9">
        <f t="shared" si="361"/>
        <v>0</v>
      </c>
      <c r="I304" s="9" t="s">
        <v>1287</v>
      </c>
      <c r="J304" s="9">
        <f t="shared" si="362"/>
        <v>0</v>
      </c>
      <c r="K304" s="9">
        <f t="shared" si="363"/>
        <v>0</v>
      </c>
      <c r="L304" s="9">
        <f t="shared" si="364"/>
        <v>0</v>
      </c>
      <c r="M304" s="11">
        <f t="shared" si="372"/>
        <v>0</v>
      </c>
      <c r="N304" s="9">
        <f t="shared" si="365"/>
        <v>0</v>
      </c>
      <c r="O304" s="12">
        <f t="shared" si="366"/>
        <v>0</v>
      </c>
      <c r="P304" s="13" t="str">
        <f t="shared" si="373"/>
        <v>NO</v>
      </c>
      <c r="Q304">
        <f t="shared" si="367"/>
        <v>0</v>
      </c>
      <c r="R304">
        <f t="shared" si="368"/>
        <v>0</v>
      </c>
      <c r="S304">
        <f t="shared" si="369"/>
        <v>0</v>
      </c>
    </row>
    <row r="305" spans="1:29" ht="22.5" hidden="1" customHeight="1" x14ac:dyDescent="0.3">
      <c r="A305" s="34" t="s">
        <v>1326</v>
      </c>
      <c r="B305" s="36">
        <v>184</v>
      </c>
      <c r="C305" s="29" t="s">
        <v>1328</v>
      </c>
      <c r="D305" s="29" t="str">
        <f t="shared" si="370"/>
        <v>NO APLICA</v>
      </c>
      <c r="E305" s="27" t="s">
        <v>1137</v>
      </c>
      <c r="F305" s="43">
        <f t="shared" si="371"/>
        <v>0</v>
      </c>
      <c r="G305" s="21">
        <v>0</v>
      </c>
      <c r="H305" s="9">
        <f t="shared" si="361"/>
        <v>0</v>
      </c>
      <c r="I305" s="9" t="s">
        <v>1287</v>
      </c>
      <c r="J305" s="9">
        <f t="shared" si="362"/>
        <v>0</v>
      </c>
      <c r="K305" s="9">
        <f t="shared" si="363"/>
        <v>0</v>
      </c>
      <c r="L305" s="9">
        <f t="shared" si="364"/>
        <v>0</v>
      </c>
      <c r="M305" s="11">
        <f t="shared" si="372"/>
        <v>0</v>
      </c>
      <c r="N305" s="9">
        <f t="shared" si="365"/>
        <v>0</v>
      </c>
      <c r="O305" s="12">
        <f t="shared" si="366"/>
        <v>0</v>
      </c>
      <c r="P305" s="13" t="str">
        <f t="shared" si="373"/>
        <v>NO</v>
      </c>
      <c r="Q305">
        <f t="shared" si="367"/>
        <v>0</v>
      </c>
      <c r="R305">
        <f t="shared" si="368"/>
        <v>0</v>
      </c>
      <c r="S305">
        <f t="shared" si="369"/>
        <v>0</v>
      </c>
    </row>
    <row r="306" spans="1:29" ht="15" hidden="1" customHeight="1" x14ac:dyDescent="0.3">
      <c r="A306" s="34" t="s">
        <v>1326</v>
      </c>
      <c r="B306" s="36">
        <v>185</v>
      </c>
      <c r="C306" s="29" t="s">
        <v>1330</v>
      </c>
      <c r="D306" s="29" t="str">
        <f t="shared" si="370"/>
        <v>NO APLICA</v>
      </c>
      <c r="E306" s="27" t="s">
        <v>1152</v>
      </c>
      <c r="F306" s="43">
        <f t="shared" si="371"/>
        <v>0</v>
      </c>
      <c r="G306" s="21">
        <f>V306</f>
        <v>0</v>
      </c>
      <c r="H306" s="9">
        <f t="shared" si="361"/>
        <v>0</v>
      </c>
      <c r="I306" s="9" t="s">
        <v>1287</v>
      </c>
      <c r="J306" s="9">
        <f t="shared" si="362"/>
        <v>0</v>
      </c>
      <c r="K306" s="9">
        <f t="shared" si="363"/>
        <v>0</v>
      </c>
      <c r="L306" s="9">
        <f t="shared" si="364"/>
        <v>0</v>
      </c>
      <c r="M306" s="11">
        <f t="shared" si="372"/>
        <v>0</v>
      </c>
      <c r="N306" s="9">
        <f t="shared" si="365"/>
        <v>0</v>
      </c>
      <c r="O306" s="12">
        <f t="shared" si="366"/>
        <v>0</v>
      </c>
      <c r="P306" s="13" t="str">
        <f t="shared" si="373"/>
        <v>NO</v>
      </c>
      <c r="Q306">
        <f t="shared" si="367"/>
        <v>0</v>
      </c>
      <c r="R306">
        <f t="shared" si="368"/>
        <v>0</v>
      </c>
      <c r="S306">
        <f t="shared" si="369"/>
        <v>0</v>
      </c>
      <c r="T306" s="110">
        <f>VLOOKUP(B306,DesgloseRC!$E$48:$F$85,2,FALSE)</f>
        <v>0</v>
      </c>
      <c r="U306" s="159">
        <f>IF(E306="Excluido",0,$U$283*T306)</f>
        <v>0</v>
      </c>
      <c r="V306" s="159">
        <f>IF(F306=0,0,U306)</f>
        <v>0</v>
      </c>
      <c r="W306">
        <v>0</v>
      </c>
      <c r="X306" s="110"/>
      <c r="Y306" s="110"/>
    </row>
    <row r="307" spans="1:29" ht="15" hidden="1" customHeight="1" x14ac:dyDescent="0.3">
      <c r="A307" s="34" t="s">
        <v>1326</v>
      </c>
      <c r="B307" s="36">
        <v>186</v>
      </c>
      <c r="C307" s="29" t="s">
        <v>1327</v>
      </c>
      <c r="D307" s="29" t="str">
        <f t="shared" si="370"/>
        <v>NO APLICA</v>
      </c>
      <c r="E307" s="27" t="s">
        <v>1137</v>
      </c>
      <c r="F307" s="43">
        <f t="shared" si="371"/>
        <v>0</v>
      </c>
      <c r="G307" s="21">
        <v>0</v>
      </c>
      <c r="H307" s="9">
        <f t="shared" si="361"/>
        <v>0</v>
      </c>
      <c r="I307" s="9" t="s">
        <v>1287</v>
      </c>
      <c r="J307" s="9">
        <f t="shared" si="362"/>
        <v>0</v>
      </c>
      <c r="K307" s="9">
        <f t="shared" si="363"/>
        <v>0</v>
      </c>
      <c r="L307" s="9">
        <f t="shared" si="364"/>
        <v>0</v>
      </c>
      <c r="M307" s="11">
        <f t="shared" si="372"/>
        <v>0</v>
      </c>
      <c r="N307" s="9">
        <f t="shared" si="365"/>
        <v>0</v>
      </c>
      <c r="O307" s="12">
        <f t="shared" si="366"/>
        <v>0</v>
      </c>
      <c r="P307" s="13" t="str">
        <f t="shared" si="373"/>
        <v>NO</v>
      </c>
      <c r="Q307">
        <f t="shared" si="367"/>
        <v>0</v>
      </c>
      <c r="R307">
        <f t="shared" si="368"/>
        <v>0</v>
      </c>
      <c r="S307">
        <f t="shared" si="369"/>
        <v>0</v>
      </c>
    </row>
    <row r="308" spans="1:29" ht="22.5" hidden="1" customHeight="1" x14ac:dyDescent="0.3">
      <c r="A308" s="34" t="s">
        <v>1326</v>
      </c>
      <c r="B308" s="36">
        <v>187</v>
      </c>
      <c r="C308" s="29" t="s">
        <v>1354</v>
      </c>
      <c r="D308" s="29" t="str">
        <f t="shared" si="370"/>
        <v>NO APLICA</v>
      </c>
      <c r="E308" s="27" t="s">
        <v>1137</v>
      </c>
      <c r="F308" s="43">
        <f t="shared" si="371"/>
        <v>0</v>
      </c>
      <c r="G308" s="21">
        <f>V308</f>
        <v>0</v>
      </c>
      <c r="H308" s="9">
        <f t="shared" si="361"/>
        <v>0</v>
      </c>
      <c r="I308" s="9" t="s">
        <v>1287</v>
      </c>
      <c r="J308" s="9">
        <f t="shared" si="362"/>
        <v>0</v>
      </c>
      <c r="K308" s="9">
        <f t="shared" si="363"/>
        <v>0</v>
      </c>
      <c r="L308" s="9">
        <f t="shared" si="364"/>
        <v>0</v>
      </c>
      <c r="M308" s="11">
        <f t="shared" si="372"/>
        <v>0</v>
      </c>
      <c r="N308" s="9">
        <f t="shared" si="365"/>
        <v>0</v>
      </c>
      <c r="O308" s="12">
        <f t="shared" si="366"/>
        <v>0</v>
      </c>
      <c r="P308" s="13" t="str">
        <f t="shared" si="373"/>
        <v>NO</v>
      </c>
      <c r="Q308">
        <f t="shared" si="367"/>
        <v>0</v>
      </c>
      <c r="R308">
        <f t="shared" si="368"/>
        <v>0</v>
      </c>
      <c r="S308">
        <f t="shared" si="369"/>
        <v>0</v>
      </c>
      <c r="T308" s="110">
        <f>VLOOKUP(B308,DesgloseRC!$E$48:$F$85,2,FALSE)</f>
        <v>0</v>
      </c>
      <c r="U308" s="159">
        <f>IF(E308="Excluido",0,$U$283*T308)</f>
        <v>0</v>
      </c>
      <c r="V308" s="159">
        <f>IF(F308=0,0,U308)</f>
        <v>0</v>
      </c>
      <c r="W308">
        <f>IF(T308=0%,0,1)</f>
        <v>0</v>
      </c>
    </row>
    <row r="309" spans="1:29" ht="15" hidden="1" customHeight="1" x14ac:dyDescent="0.3">
      <c r="A309" s="34" t="s">
        <v>1326</v>
      </c>
      <c r="B309" s="36">
        <v>188</v>
      </c>
      <c r="C309" s="29" t="s">
        <v>1355</v>
      </c>
      <c r="D309" s="29" t="str">
        <f t="shared" si="370"/>
        <v>NO APLICA</v>
      </c>
      <c r="E309" s="27" t="s">
        <v>1137</v>
      </c>
      <c r="F309" s="43">
        <f t="shared" si="371"/>
        <v>0</v>
      </c>
      <c r="G309" s="21">
        <v>0</v>
      </c>
      <c r="H309" s="9">
        <f t="shared" si="361"/>
        <v>0</v>
      </c>
      <c r="I309" s="9" t="s">
        <v>1287</v>
      </c>
      <c r="J309" s="9">
        <f t="shared" si="362"/>
        <v>0</v>
      </c>
      <c r="K309" s="9">
        <f t="shared" si="363"/>
        <v>0</v>
      </c>
      <c r="L309" s="9">
        <f t="shared" si="364"/>
        <v>0</v>
      </c>
      <c r="M309" s="11">
        <f t="shared" si="372"/>
        <v>0</v>
      </c>
      <c r="N309" s="9">
        <f t="shared" si="365"/>
        <v>0</v>
      </c>
      <c r="O309" s="12">
        <f t="shared" si="366"/>
        <v>0</v>
      </c>
      <c r="P309" s="13" t="str">
        <f t="shared" si="373"/>
        <v>NO</v>
      </c>
      <c r="Q309">
        <f t="shared" si="367"/>
        <v>0</v>
      </c>
      <c r="R309">
        <f t="shared" si="368"/>
        <v>0</v>
      </c>
      <c r="S309">
        <f t="shared" si="369"/>
        <v>0</v>
      </c>
      <c r="X309" s="110"/>
      <c r="Y309" s="110"/>
    </row>
    <row r="310" spans="1:29" ht="15" hidden="1" customHeight="1" x14ac:dyDescent="0.3">
      <c r="A310" s="34" t="s">
        <v>1326</v>
      </c>
      <c r="B310" s="36">
        <v>244</v>
      </c>
      <c r="C310" s="29" t="s">
        <v>1293</v>
      </c>
      <c r="D310" s="29" t="str">
        <f t="shared" si="370"/>
        <v>NO APLICA</v>
      </c>
      <c r="E310" s="27" t="s">
        <v>1137</v>
      </c>
      <c r="F310" s="43">
        <f t="shared" si="371"/>
        <v>0</v>
      </c>
      <c r="G310" s="21">
        <f>V310</f>
        <v>0</v>
      </c>
      <c r="H310" s="9">
        <f t="shared" si="361"/>
        <v>0</v>
      </c>
      <c r="I310" s="9" t="s">
        <v>1287</v>
      </c>
      <c r="J310" s="9">
        <f t="shared" si="362"/>
        <v>0</v>
      </c>
      <c r="K310" s="9">
        <f t="shared" si="363"/>
        <v>0</v>
      </c>
      <c r="L310" s="9">
        <f t="shared" si="364"/>
        <v>0</v>
      </c>
      <c r="M310" s="11">
        <f t="shared" si="372"/>
        <v>0</v>
      </c>
      <c r="N310" s="9">
        <f t="shared" si="365"/>
        <v>0</v>
      </c>
      <c r="O310" s="12">
        <f t="shared" si="366"/>
        <v>0</v>
      </c>
      <c r="P310" s="13" t="str">
        <f t="shared" si="373"/>
        <v>NO</v>
      </c>
      <c r="Q310">
        <f t="shared" si="367"/>
        <v>0</v>
      </c>
      <c r="R310">
        <f t="shared" si="368"/>
        <v>0</v>
      </c>
      <c r="S310">
        <f t="shared" si="369"/>
        <v>0</v>
      </c>
      <c r="T310" s="110">
        <f>VLOOKUP(B310,DesgloseRC!$E$48:$F$85,2,FALSE)</f>
        <v>0</v>
      </c>
      <c r="U310" s="159">
        <f>IF(E310="Excluido",0,$U$283*T310)</f>
        <v>0</v>
      </c>
      <c r="V310" s="159">
        <f>IF(F310=0,0,U310)</f>
        <v>0</v>
      </c>
      <c r="W310">
        <v>0</v>
      </c>
      <c r="X310" s="110"/>
      <c r="Y310" s="110"/>
      <c r="Z310" s="110"/>
      <c r="AA310" s="110"/>
      <c r="AB310" s="110"/>
      <c r="AC310" s="110"/>
    </row>
    <row r="311" spans="1:29" ht="22.5" hidden="1" customHeight="1" x14ac:dyDescent="0.3">
      <c r="A311" s="34" t="s">
        <v>1326</v>
      </c>
      <c r="B311" s="36">
        <v>288</v>
      </c>
      <c r="C311" s="29" t="s">
        <v>1356</v>
      </c>
      <c r="D311" s="29" t="str">
        <f t="shared" si="370"/>
        <v>NO APLICA</v>
      </c>
      <c r="E311" s="27" t="s">
        <v>1137</v>
      </c>
      <c r="F311" s="43">
        <f t="shared" si="371"/>
        <v>0</v>
      </c>
      <c r="G311" s="21">
        <v>0</v>
      </c>
      <c r="H311" s="9">
        <f t="shared" si="361"/>
        <v>0</v>
      </c>
      <c r="I311" s="9" t="s">
        <v>1287</v>
      </c>
      <c r="J311" s="9">
        <f t="shared" si="362"/>
        <v>0</v>
      </c>
      <c r="K311" s="9">
        <f t="shared" si="363"/>
        <v>0</v>
      </c>
      <c r="L311" s="9">
        <f t="shared" si="364"/>
        <v>0</v>
      </c>
      <c r="M311" s="11">
        <f t="shared" si="372"/>
        <v>0</v>
      </c>
      <c r="N311" s="9">
        <f t="shared" si="365"/>
        <v>0</v>
      </c>
      <c r="O311" s="12">
        <f t="shared" si="366"/>
        <v>0</v>
      </c>
      <c r="P311" s="13" t="str">
        <f t="shared" si="373"/>
        <v>NO</v>
      </c>
      <c r="Q311">
        <f t="shared" si="367"/>
        <v>0</v>
      </c>
      <c r="R311">
        <f t="shared" si="368"/>
        <v>0</v>
      </c>
      <c r="S311">
        <f t="shared" si="369"/>
        <v>0</v>
      </c>
    </row>
    <row r="312" spans="1:29" ht="15" hidden="1" customHeight="1" x14ac:dyDescent="0.3">
      <c r="A312" s="34" t="s">
        <v>1326</v>
      </c>
      <c r="B312" s="36">
        <v>289</v>
      </c>
      <c r="C312" s="29" t="s">
        <v>1357</v>
      </c>
      <c r="D312" s="29" t="str">
        <f t="shared" si="370"/>
        <v>NO APLICA</v>
      </c>
      <c r="E312" s="27" t="s">
        <v>1137</v>
      </c>
      <c r="F312" s="43">
        <f t="shared" si="371"/>
        <v>0</v>
      </c>
      <c r="G312" s="21">
        <v>0</v>
      </c>
      <c r="H312" s="9">
        <f t="shared" si="361"/>
        <v>0</v>
      </c>
      <c r="I312" s="9" t="s">
        <v>1287</v>
      </c>
      <c r="J312" s="9">
        <f t="shared" si="362"/>
        <v>0</v>
      </c>
      <c r="K312" s="9">
        <f t="shared" si="363"/>
        <v>0</v>
      </c>
      <c r="L312" s="9">
        <f t="shared" si="364"/>
        <v>0</v>
      </c>
      <c r="M312" s="11">
        <f t="shared" si="372"/>
        <v>0</v>
      </c>
      <c r="N312" s="9">
        <f t="shared" si="365"/>
        <v>0</v>
      </c>
      <c r="O312" s="12">
        <f t="shared" si="366"/>
        <v>0</v>
      </c>
      <c r="P312" s="13" t="str">
        <f t="shared" si="373"/>
        <v>NO</v>
      </c>
      <c r="Q312">
        <f t="shared" si="367"/>
        <v>0</v>
      </c>
      <c r="R312">
        <f t="shared" si="368"/>
        <v>0</v>
      </c>
      <c r="S312">
        <f t="shared" si="369"/>
        <v>0</v>
      </c>
    </row>
    <row r="313" spans="1:29" ht="15" hidden="1" customHeight="1" x14ac:dyDescent="0.3">
      <c r="A313" s="34" t="s">
        <v>1326</v>
      </c>
      <c r="B313" s="36">
        <v>290</v>
      </c>
      <c r="C313" s="29" t="s">
        <v>1358</v>
      </c>
      <c r="D313" s="29" t="str">
        <f t="shared" si="370"/>
        <v>NO APLICA</v>
      </c>
      <c r="E313" s="27" t="s">
        <v>1137</v>
      </c>
      <c r="F313" s="43">
        <f t="shared" si="371"/>
        <v>0</v>
      </c>
      <c r="G313" s="21">
        <v>0</v>
      </c>
      <c r="H313" s="9">
        <f t="shared" si="361"/>
        <v>0</v>
      </c>
      <c r="I313" s="9" t="s">
        <v>1287</v>
      </c>
      <c r="J313" s="9">
        <f t="shared" si="362"/>
        <v>0</v>
      </c>
      <c r="K313" s="9">
        <f t="shared" si="363"/>
        <v>0</v>
      </c>
      <c r="L313" s="9">
        <f t="shared" si="364"/>
        <v>0</v>
      </c>
      <c r="M313" s="11">
        <f t="shared" si="372"/>
        <v>0</v>
      </c>
      <c r="N313" s="9">
        <f t="shared" si="365"/>
        <v>0</v>
      </c>
      <c r="O313" s="12">
        <f t="shared" si="366"/>
        <v>0</v>
      </c>
      <c r="P313" s="13" t="str">
        <f t="shared" si="373"/>
        <v>NO</v>
      </c>
      <c r="Q313">
        <f t="shared" si="367"/>
        <v>0</v>
      </c>
      <c r="R313">
        <f t="shared" si="368"/>
        <v>0</v>
      </c>
      <c r="S313">
        <f t="shared" si="369"/>
        <v>0</v>
      </c>
    </row>
    <row r="314" spans="1:29" ht="15" hidden="1" customHeight="1" x14ac:dyDescent="0.3">
      <c r="A314" s="34" t="s">
        <v>1326</v>
      </c>
      <c r="B314" s="36">
        <v>291</v>
      </c>
      <c r="C314" s="29" t="s">
        <v>1359</v>
      </c>
      <c r="D314" s="29" t="str">
        <f t="shared" si="370"/>
        <v>NO APLICA</v>
      </c>
      <c r="E314" s="27" t="s">
        <v>1137</v>
      </c>
      <c r="F314" s="43">
        <f t="shared" si="371"/>
        <v>0</v>
      </c>
      <c r="G314" s="21">
        <v>0</v>
      </c>
      <c r="H314" s="9">
        <f t="shared" si="361"/>
        <v>0</v>
      </c>
      <c r="I314" s="9" t="s">
        <v>1287</v>
      </c>
      <c r="J314" s="9">
        <f t="shared" si="362"/>
        <v>0</v>
      </c>
      <c r="K314" s="9">
        <f t="shared" si="363"/>
        <v>0</v>
      </c>
      <c r="L314" s="9">
        <f t="shared" si="364"/>
        <v>0</v>
      </c>
      <c r="M314" s="11">
        <f t="shared" si="372"/>
        <v>0</v>
      </c>
      <c r="N314" s="9">
        <f t="shared" si="365"/>
        <v>0</v>
      </c>
      <c r="O314" s="12">
        <f t="shared" si="366"/>
        <v>0</v>
      </c>
      <c r="P314" s="13" t="str">
        <f t="shared" si="373"/>
        <v>NO</v>
      </c>
      <c r="Q314">
        <f t="shared" si="367"/>
        <v>0</v>
      </c>
      <c r="R314">
        <f t="shared" si="368"/>
        <v>0</v>
      </c>
      <c r="S314">
        <f t="shared" si="369"/>
        <v>0</v>
      </c>
    </row>
    <row r="315" spans="1:29" ht="15" hidden="1" customHeight="1" x14ac:dyDescent="0.3">
      <c r="A315" s="34" t="s">
        <v>1326</v>
      </c>
      <c r="B315" s="36">
        <v>292</v>
      </c>
      <c r="C315" s="29" t="s">
        <v>1360</v>
      </c>
      <c r="D315" s="29" t="str">
        <f t="shared" si="370"/>
        <v>NO APLICA</v>
      </c>
      <c r="E315" s="27" t="s">
        <v>1137</v>
      </c>
      <c r="F315" s="43">
        <f t="shared" si="371"/>
        <v>0</v>
      </c>
      <c r="G315" s="21">
        <v>0</v>
      </c>
      <c r="H315" s="9">
        <f t="shared" si="361"/>
        <v>0</v>
      </c>
      <c r="I315" s="9" t="s">
        <v>1287</v>
      </c>
      <c r="J315" s="9">
        <f t="shared" si="362"/>
        <v>0</v>
      </c>
      <c r="K315" s="9">
        <f t="shared" si="363"/>
        <v>0</v>
      </c>
      <c r="L315" s="9">
        <f t="shared" si="364"/>
        <v>0</v>
      </c>
      <c r="M315" s="11">
        <f t="shared" si="372"/>
        <v>0</v>
      </c>
      <c r="N315" s="9">
        <f t="shared" si="365"/>
        <v>0</v>
      </c>
      <c r="O315" s="12">
        <f t="shared" si="366"/>
        <v>0</v>
      </c>
      <c r="P315" s="13" t="str">
        <f t="shared" si="373"/>
        <v>NO</v>
      </c>
      <c r="Q315">
        <f t="shared" si="367"/>
        <v>0</v>
      </c>
      <c r="R315">
        <f t="shared" si="368"/>
        <v>0</v>
      </c>
      <c r="S315">
        <f t="shared" si="369"/>
        <v>0</v>
      </c>
    </row>
    <row r="316" spans="1:29" ht="15" hidden="1" customHeight="1" x14ac:dyDescent="0.3">
      <c r="A316" s="34" t="s">
        <v>1326</v>
      </c>
      <c r="B316" s="36">
        <v>293</v>
      </c>
      <c r="C316" s="29" t="s">
        <v>1361</v>
      </c>
      <c r="D316" s="29" t="str">
        <f t="shared" si="370"/>
        <v>NO APLICA</v>
      </c>
      <c r="E316" s="27" t="s">
        <v>1137</v>
      </c>
      <c r="F316" s="43">
        <f t="shared" si="371"/>
        <v>0</v>
      </c>
      <c r="G316" s="21">
        <v>0</v>
      </c>
      <c r="H316" s="9">
        <f t="shared" si="361"/>
        <v>0</v>
      </c>
      <c r="I316" s="9" t="s">
        <v>1287</v>
      </c>
      <c r="J316" s="9">
        <f t="shared" si="362"/>
        <v>0</v>
      </c>
      <c r="K316" s="9">
        <f t="shared" si="363"/>
        <v>0</v>
      </c>
      <c r="L316" s="9">
        <f t="shared" si="364"/>
        <v>0</v>
      </c>
      <c r="M316" s="11">
        <f t="shared" si="372"/>
        <v>0</v>
      </c>
      <c r="N316" s="9">
        <f t="shared" si="365"/>
        <v>0</v>
      </c>
      <c r="O316" s="12">
        <f t="shared" si="366"/>
        <v>0</v>
      </c>
      <c r="P316" s="13" t="str">
        <f t="shared" si="373"/>
        <v>NO</v>
      </c>
      <c r="Q316">
        <f t="shared" si="367"/>
        <v>0</v>
      </c>
      <c r="R316">
        <f t="shared" si="368"/>
        <v>0</v>
      </c>
      <c r="S316">
        <f t="shared" si="369"/>
        <v>0</v>
      </c>
    </row>
    <row r="317" spans="1:29" ht="15" hidden="1" customHeight="1" x14ac:dyDescent="0.3">
      <c r="A317" s="34" t="s">
        <v>1326</v>
      </c>
      <c r="B317" s="36">
        <v>294</v>
      </c>
      <c r="C317" s="29" t="s">
        <v>1362</v>
      </c>
      <c r="D317" s="29" t="str">
        <f t="shared" si="370"/>
        <v>NO APLICA</v>
      </c>
      <c r="E317" s="27" t="s">
        <v>1137</v>
      </c>
      <c r="F317" s="43">
        <f t="shared" si="371"/>
        <v>0</v>
      </c>
      <c r="G317" s="21">
        <v>0</v>
      </c>
      <c r="H317" s="9">
        <f t="shared" si="361"/>
        <v>0</v>
      </c>
      <c r="I317" s="9" t="s">
        <v>1287</v>
      </c>
      <c r="J317" s="9">
        <f t="shared" si="362"/>
        <v>0</v>
      </c>
      <c r="K317" s="9">
        <f t="shared" si="363"/>
        <v>0</v>
      </c>
      <c r="L317" s="9">
        <f t="shared" si="364"/>
        <v>0</v>
      </c>
      <c r="M317" s="11">
        <f t="shared" si="372"/>
        <v>0</v>
      </c>
      <c r="N317" s="9">
        <f t="shared" si="365"/>
        <v>0</v>
      </c>
      <c r="O317" s="12">
        <f t="shared" si="366"/>
        <v>0</v>
      </c>
      <c r="P317" s="13" t="str">
        <f t="shared" si="373"/>
        <v>NO</v>
      </c>
      <c r="Q317">
        <f t="shared" si="367"/>
        <v>0</v>
      </c>
      <c r="R317">
        <f t="shared" si="368"/>
        <v>0</v>
      </c>
      <c r="S317">
        <f t="shared" si="369"/>
        <v>0</v>
      </c>
    </row>
    <row r="318" spans="1:29" ht="15" hidden="1" customHeight="1" x14ac:dyDescent="0.3">
      <c r="A318" s="34" t="s">
        <v>1326</v>
      </c>
      <c r="B318" s="36">
        <v>295</v>
      </c>
      <c r="C318" s="29" t="s">
        <v>1363</v>
      </c>
      <c r="D318" s="29" t="str">
        <f t="shared" si="370"/>
        <v>NO APLICA</v>
      </c>
      <c r="E318" s="27" t="s">
        <v>1137</v>
      </c>
      <c r="F318" s="43">
        <f t="shared" si="371"/>
        <v>0</v>
      </c>
      <c r="G318" s="21">
        <v>0</v>
      </c>
      <c r="H318" s="9">
        <f t="shared" si="361"/>
        <v>0</v>
      </c>
      <c r="I318" s="9" t="s">
        <v>1287</v>
      </c>
      <c r="J318" s="9">
        <f t="shared" si="362"/>
        <v>0</v>
      </c>
      <c r="K318" s="9">
        <f t="shared" si="363"/>
        <v>0</v>
      </c>
      <c r="L318" s="9">
        <f t="shared" si="364"/>
        <v>0</v>
      </c>
      <c r="M318" s="11">
        <f t="shared" si="372"/>
        <v>0</v>
      </c>
      <c r="N318" s="9">
        <f t="shared" si="365"/>
        <v>0</v>
      </c>
      <c r="O318" s="12">
        <f t="shared" si="366"/>
        <v>0</v>
      </c>
      <c r="P318" s="13" t="str">
        <f t="shared" si="373"/>
        <v>NO</v>
      </c>
      <c r="Q318">
        <f t="shared" si="367"/>
        <v>0</v>
      </c>
      <c r="R318">
        <f t="shared" si="368"/>
        <v>0</v>
      </c>
      <c r="S318">
        <f t="shared" si="369"/>
        <v>0</v>
      </c>
    </row>
    <row r="319" spans="1:29" ht="15" hidden="1" customHeight="1" x14ac:dyDescent="0.3">
      <c r="A319" s="34" t="s">
        <v>1326</v>
      </c>
      <c r="B319" s="36">
        <v>296</v>
      </c>
      <c r="C319" s="29" t="s">
        <v>1364</v>
      </c>
      <c r="D319" s="29" t="str">
        <f t="shared" si="370"/>
        <v>NO APLICA</v>
      </c>
      <c r="E319" s="27" t="s">
        <v>1137</v>
      </c>
      <c r="F319" s="43">
        <f t="shared" si="371"/>
        <v>0</v>
      </c>
      <c r="G319" s="21">
        <v>0</v>
      </c>
      <c r="H319" s="9">
        <f t="shared" si="361"/>
        <v>0</v>
      </c>
      <c r="I319" s="9" t="s">
        <v>1287</v>
      </c>
      <c r="J319" s="9">
        <f t="shared" si="362"/>
        <v>0</v>
      </c>
      <c r="K319" s="9">
        <f t="shared" si="363"/>
        <v>0</v>
      </c>
      <c r="L319" s="9">
        <f t="shared" si="364"/>
        <v>0</v>
      </c>
      <c r="M319" s="11">
        <f t="shared" si="372"/>
        <v>0</v>
      </c>
      <c r="N319" s="9">
        <f t="shared" si="365"/>
        <v>0</v>
      </c>
      <c r="O319" s="12">
        <f t="shared" si="366"/>
        <v>0</v>
      </c>
      <c r="P319" s="13" t="str">
        <f t="shared" si="373"/>
        <v>NO</v>
      </c>
      <c r="Q319">
        <f t="shared" si="367"/>
        <v>0</v>
      </c>
      <c r="R319">
        <f t="shared" si="368"/>
        <v>0</v>
      </c>
      <c r="S319">
        <f t="shared" si="369"/>
        <v>0</v>
      </c>
    </row>
    <row r="320" spans="1:29" ht="15" hidden="1" customHeight="1" x14ac:dyDescent="0.3">
      <c r="A320" s="34" t="s">
        <v>1326</v>
      </c>
      <c r="B320" s="36">
        <v>297</v>
      </c>
      <c r="C320" s="29" t="s">
        <v>1365</v>
      </c>
      <c r="D320" s="29" t="str">
        <f t="shared" si="370"/>
        <v>NO APLICA</v>
      </c>
      <c r="E320" s="27" t="s">
        <v>1137</v>
      </c>
      <c r="F320" s="43">
        <f t="shared" si="371"/>
        <v>0</v>
      </c>
      <c r="G320" s="21">
        <v>0</v>
      </c>
      <c r="H320" s="9">
        <f t="shared" si="361"/>
        <v>0</v>
      </c>
      <c r="I320" s="9" t="s">
        <v>1287</v>
      </c>
      <c r="J320" s="9">
        <f t="shared" si="362"/>
        <v>0</v>
      </c>
      <c r="K320" s="9">
        <f t="shared" si="363"/>
        <v>0</v>
      </c>
      <c r="L320" s="9">
        <f t="shared" si="364"/>
        <v>0</v>
      </c>
      <c r="M320" s="11">
        <f t="shared" si="372"/>
        <v>0</v>
      </c>
      <c r="N320" s="9">
        <f t="shared" si="365"/>
        <v>0</v>
      </c>
      <c r="O320" s="12">
        <f t="shared" si="366"/>
        <v>0</v>
      </c>
      <c r="P320" s="13" t="str">
        <f t="shared" si="373"/>
        <v>NO</v>
      </c>
      <c r="Q320">
        <f t="shared" si="367"/>
        <v>0</v>
      </c>
      <c r="R320">
        <f t="shared" si="368"/>
        <v>0</v>
      </c>
      <c r="S320">
        <f t="shared" si="369"/>
        <v>0</v>
      </c>
    </row>
    <row r="321" spans="1:22" ht="15" hidden="1" customHeight="1" x14ac:dyDescent="0.3">
      <c r="A321" s="34" t="s">
        <v>1326</v>
      </c>
      <c r="B321" s="36">
        <v>298</v>
      </c>
      <c r="C321" s="29" t="s">
        <v>1366</v>
      </c>
      <c r="D321" s="29" t="str">
        <f t="shared" si="370"/>
        <v>NO APLICA</v>
      </c>
      <c r="E321" s="27" t="s">
        <v>1137</v>
      </c>
      <c r="F321" s="43">
        <f t="shared" si="371"/>
        <v>0</v>
      </c>
      <c r="G321" s="21">
        <v>0</v>
      </c>
      <c r="H321" s="9">
        <f t="shared" si="361"/>
        <v>0</v>
      </c>
      <c r="I321" s="9" t="s">
        <v>1287</v>
      </c>
      <c r="J321" s="9">
        <f t="shared" si="362"/>
        <v>0</v>
      </c>
      <c r="K321" s="9">
        <f t="shared" si="363"/>
        <v>0</v>
      </c>
      <c r="L321" s="9">
        <f t="shared" si="364"/>
        <v>0</v>
      </c>
      <c r="M321" s="11">
        <f t="shared" si="372"/>
        <v>0</v>
      </c>
      <c r="N321" s="9">
        <f t="shared" si="365"/>
        <v>0</v>
      </c>
      <c r="O321" s="12">
        <f t="shared" si="366"/>
        <v>0</v>
      </c>
      <c r="P321" s="13" t="str">
        <f t="shared" si="373"/>
        <v>NO</v>
      </c>
      <c r="Q321">
        <f t="shared" si="367"/>
        <v>0</v>
      </c>
      <c r="R321">
        <f t="shared" si="368"/>
        <v>0</v>
      </c>
      <c r="S321">
        <f t="shared" si="369"/>
        <v>0</v>
      </c>
    </row>
    <row r="322" spans="1:22" ht="15" hidden="1" customHeight="1" x14ac:dyDescent="0.3">
      <c r="A322" s="34" t="s">
        <v>1326</v>
      </c>
      <c r="B322" s="36">
        <v>299</v>
      </c>
      <c r="C322" s="29" t="s">
        <v>1367</v>
      </c>
      <c r="D322" s="29" t="str">
        <f t="shared" si="370"/>
        <v>NO APLICA</v>
      </c>
      <c r="E322" s="27" t="s">
        <v>1137</v>
      </c>
      <c r="F322" s="43">
        <f t="shared" si="371"/>
        <v>0</v>
      </c>
      <c r="G322" s="21">
        <v>0</v>
      </c>
      <c r="H322" s="9">
        <f t="shared" si="361"/>
        <v>0</v>
      </c>
      <c r="I322" s="9" t="s">
        <v>1287</v>
      </c>
      <c r="J322" s="9">
        <f t="shared" si="362"/>
        <v>0</v>
      </c>
      <c r="K322" s="9">
        <f t="shared" si="363"/>
        <v>0</v>
      </c>
      <c r="L322" s="9">
        <f t="shared" si="364"/>
        <v>0</v>
      </c>
      <c r="M322" s="11">
        <f t="shared" si="372"/>
        <v>0</v>
      </c>
      <c r="N322" s="9">
        <f t="shared" si="365"/>
        <v>0</v>
      </c>
      <c r="O322" s="12">
        <f t="shared" si="366"/>
        <v>0</v>
      </c>
      <c r="P322" s="13" t="str">
        <f t="shared" si="373"/>
        <v>NO</v>
      </c>
      <c r="Q322">
        <f t="shared" si="367"/>
        <v>0</v>
      </c>
      <c r="R322">
        <f t="shared" si="368"/>
        <v>0</v>
      </c>
      <c r="S322">
        <f t="shared" si="369"/>
        <v>0</v>
      </c>
    </row>
    <row r="323" spans="1:22" ht="15" hidden="1" customHeight="1" x14ac:dyDescent="0.3">
      <c r="A323" s="34" t="s">
        <v>1326</v>
      </c>
      <c r="B323" s="36">
        <v>300</v>
      </c>
      <c r="C323" s="29" t="s">
        <v>1368</v>
      </c>
      <c r="D323" s="29" t="str">
        <f t="shared" si="370"/>
        <v>NO APLICA</v>
      </c>
      <c r="E323" s="27" t="s">
        <v>1137</v>
      </c>
      <c r="F323" s="43">
        <f t="shared" si="371"/>
        <v>0</v>
      </c>
      <c r="G323" s="21">
        <v>0</v>
      </c>
      <c r="H323" s="9">
        <f t="shared" si="361"/>
        <v>0</v>
      </c>
      <c r="I323" s="9" t="s">
        <v>1287</v>
      </c>
      <c r="J323" s="9">
        <f t="shared" si="362"/>
        <v>0</v>
      </c>
      <c r="K323" s="9">
        <f t="shared" si="363"/>
        <v>0</v>
      </c>
      <c r="L323" s="9">
        <f t="shared" si="364"/>
        <v>0</v>
      </c>
      <c r="M323" s="11">
        <f t="shared" si="372"/>
        <v>0</v>
      </c>
      <c r="N323" s="9">
        <f t="shared" si="365"/>
        <v>0</v>
      </c>
      <c r="O323" s="12">
        <f t="shared" si="366"/>
        <v>0</v>
      </c>
      <c r="P323" s="13" t="str">
        <f t="shared" si="373"/>
        <v>NO</v>
      </c>
      <c r="Q323">
        <f t="shared" si="367"/>
        <v>0</v>
      </c>
      <c r="R323">
        <f t="shared" si="368"/>
        <v>0</v>
      </c>
      <c r="S323">
        <f t="shared" si="369"/>
        <v>0</v>
      </c>
    </row>
    <row r="324" spans="1:22" ht="15" hidden="1" customHeight="1" x14ac:dyDescent="0.3">
      <c r="A324" s="34" t="s">
        <v>1326</v>
      </c>
      <c r="B324" s="36">
        <v>301</v>
      </c>
      <c r="C324" s="29" t="s">
        <v>1369</v>
      </c>
      <c r="D324" s="29" t="str">
        <f t="shared" si="370"/>
        <v>NO APLICA</v>
      </c>
      <c r="E324" s="27" t="s">
        <v>1137</v>
      </c>
      <c r="F324" s="43">
        <f t="shared" si="371"/>
        <v>0</v>
      </c>
      <c r="G324" s="21">
        <v>0</v>
      </c>
      <c r="H324" s="9">
        <f t="shared" si="361"/>
        <v>0</v>
      </c>
      <c r="I324" s="9" t="s">
        <v>1287</v>
      </c>
      <c r="J324" s="9">
        <f t="shared" si="362"/>
        <v>0</v>
      </c>
      <c r="K324" s="9">
        <f t="shared" si="363"/>
        <v>0</v>
      </c>
      <c r="L324" s="9">
        <f t="shared" si="364"/>
        <v>0</v>
      </c>
      <c r="M324" s="11">
        <f t="shared" si="372"/>
        <v>0</v>
      </c>
      <c r="N324" s="9">
        <f t="shared" si="365"/>
        <v>0</v>
      </c>
      <c r="O324" s="12">
        <f t="shared" si="366"/>
        <v>0</v>
      </c>
      <c r="P324" s="13" t="str">
        <f t="shared" si="373"/>
        <v>NO</v>
      </c>
      <c r="Q324">
        <f t="shared" si="367"/>
        <v>0</v>
      </c>
      <c r="R324">
        <f t="shared" si="368"/>
        <v>0</v>
      </c>
      <c r="S324">
        <f t="shared" si="369"/>
        <v>0</v>
      </c>
    </row>
    <row r="325" spans="1:22" ht="22.5" hidden="1" customHeight="1" x14ac:dyDescent="0.3">
      <c r="A325" s="34" t="s">
        <v>1326</v>
      </c>
      <c r="B325" s="36">
        <v>302</v>
      </c>
      <c r="C325" s="29" t="s">
        <v>1370</v>
      </c>
      <c r="D325" s="29" t="str">
        <f t="shared" si="370"/>
        <v>NO APLICA</v>
      </c>
      <c r="E325" s="27" t="s">
        <v>1137</v>
      </c>
      <c r="F325" s="43">
        <f t="shared" si="371"/>
        <v>0</v>
      </c>
      <c r="G325" s="21">
        <v>0</v>
      </c>
      <c r="H325" s="9">
        <f t="shared" si="361"/>
        <v>0</v>
      </c>
      <c r="I325" s="9" t="s">
        <v>1287</v>
      </c>
      <c r="J325" s="9">
        <f t="shared" si="362"/>
        <v>0</v>
      </c>
      <c r="K325" s="9">
        <f t="shared" si="363"/>
        <v>0</v>
      </c>
      <c r="L325" s="9">
        <f t="shared" si="364"/>
        <v>0</v>
      </c>
      <c r="M325" s="11">
        <f t="shared" si="372"/>
        <v>0</v>
      </c>
      <c r="N325" s="9">
        <f t="shared" si="365"/>
        <v>0</v>
      </c>
      <c r="O325" s="12">
        <f t="shared" si="366"/>
        <v>0</v>
      </c>
      <c r="P325" s="13" t="str">
        <f t="shared" si="373"/>
        <v>NO</v>
      </c>
      <c r="Q325">
        <f t="shared" si="367"/>
        <v>0</v>
      </c>
      <c r="R325">
        <f t="shared" si="368"/>
        <v>0</v>
      </c>
      <c r="S325">
        <f t="shared" si="369"/>
        <v>0</v>
      </c>
    </row>
    <row r="326" spans="1:22" ht="15" hidden="1" customHeight="1" x14ac:dyDescent="0.3">
      <c r="A326" s="34" t="s">
        <v>1326</v>
      </c>
      <c r="B326" s="36">
        <v>304</v>
      </c>
      <c r="C326" s="29" t="s">
        <v>1371</v>
      </c>
      <c r="D326" s="29" t="str">
        <f t="shared" si="370"/>
        <v>NO APLICA</v>
      </c>
      <c r="E326" s="27" t="s">
        <v>1137</v>
      </c>
      <c r="F326" s="43">
        <f t="shared" si="371"/>
        <v>0</v>
      </c>
      <c r="G326" s="21">
        <v>0</v>
      </c>
      <c r="H326" s="9">
        <f t="shared" si="361"/>
        <v>0</v>
      </c>
      <c r="I326" s="9" t="s">
        <v>1287</v>
      </c>
      <c r="J326" s="9">
        <f t="shared" si="362"/>
        <v>0</v>
      </c>
      <c r="K326" s="9">
        <f t="shared" si="363"/>
        <v>0</v>
      </c>
      <c r="L326" s="9">
        <f t="shared" si="364"/>
        <v>0</v>
      </c>
      <c r="M326" s="11">
        <f t="shared" si="372"/>
        <v>0</v>
      </c>
      <c r="N326" s="9">
        <f t="shared" si="365"/>
        <v>0</v>
      </c>
      <c r="O326" s="12">
        <f t="shared" si="366"/>
        <v>0</v>
      </c>
      <c r="P326" s="13" t="str">
        <f t="shared" si="373"/>
        <v>NO</v>
      </c>
      <c r="Q326">
        <f t="shared" si="367"/>
        <v>0</v>
      </c>
      <c r="R326">
        <f t="shared" si="368"/>
        <v>0</v>
      </c>
      <c r="S326">
        <f t="shared" si="369"/>
        <v>0</v>
      </c>
    </row>
    <row r="327" spans="1:22" ht="15" hidden="1" customHeight="1" x14ac:dyDescent="0.3">
      <c r="A327" s="34" t="s">
        <v>1326</v>
      </c>
      <c r="B327" s="36">
        <v>308</v>
      </c>
      <c r="C327" s="29" t="s">
        <v>1372</v>
      </c>
      <c r="D327" s="29" t="str">
        <f t="shared" si="370"/>
        <v>NO APLICA</v>
      </c>
      <c r="E327" s="27" t="s">
        <v>1137</v>
      </c>
      <c r="F327" s="43">
        <f t="shared" si="371"/>
        <v>0</v>
      </c>
      <c r="G327" s="21">
        <v>0</v>
      </c>
      <c r="H327" s="9">
        <f t="shared" si="361"/>
        <v>0</v>
      </c>
      <c r="I327" s="9" t="s">
        <v>1287</v>
      </c>
      <c r="J327" s="9">
        <f t="shared" si="362"/>
        <v>0</v>
      </c>
      <c r="K327" s="9">
        <f t="shared" si="363"/>
        <v>0</v>
      </c>
      <c r="L327" s="9">
        <f t="shared" si="364"/>
        <v>0</v>
      </c>
      <c r="M327" s="11">
        <f t="shared" si="372"/>
        <v>0</v>
      </c>
      <c r="N327" s="9">
        <f t="shared" si="365"/>
        <v>0</v>
      </c>
      <c r="O327" s="12">
        <f t="shared" si="366"/>
        <v>0</v>
      </c>
      <c r="P327" s="13" t="str">
        <f t="shared" si="373"/>
        <v>NO</v>
      </c>
      <c r="Q327">
        <f t="shared" si="367"/>
        <v>0</v>
      </c>
      <c r="R327">
        <f t="shared" si="368"/>
        <v>0</v>
      </c>
      <c r="S327">
        <f t="shared" si="369"/>
        <v>0</v>
      </c>
    </row>
    <row r="328" spans="1:22" ht="15" hidden="1" customHeight="1" thickBot="1" x14ac:dyDescent="0.35">
      <c r="A328" s="34" t="s">
        <v>1326</v>
      </c>
      <c r="B328" s="36">
        <v>309</v>
      </c>
      <c r="C328" s="29" t="s">
        <v>1373</v>
      </c>
      <c r="D328" s="29" t="str">
        <f t="shared" si="370"/>
        <v>NO APLICA</v>
      </c>
      <c r="E328" s="27" t="s">
        <v>1137</v>
      </c>
      <c r="F328" s="43">
        <f t="shared" si="371"/>
        <v>0</v>
      </c>
      <c r="G328" s="21">
        <v>0</v>
      </c>
      <c r="H328" s="9">
        <f t="shared" si="361"/>
        <v>0</v>
      </c>
      <c r="I328" s="9" t="s">
        <v>1287</v>
      </c>
      <c r="J328" s="9">
        <f t="shared" si="362"/>
        <v>0</v>
      </c>
      <c r="K328" s="9">
        <f t="shared" si="363"/>
        <v>0</v>
      </c>
      <c r="L328" s="9">
        <f t="shared" si="364"/>
        <v>0</v>
      </c>
      <c r="M328" s="11">
        <f t="shared" si="372"/>
        <v>0</v>
      </c>
      <c r="N328" s="9">
        <f t="shared" si="365"/>
        <v>0</v>
      </c>
      <c r="O328" s="12">
        <f t="shared" si="366"/>
        <v>0</v>
      </c>
      <c r="P328" s="13" t="str">
        <f t="shared" si="373"/>
        <v>NO</v>
      </c>
      <c r="Q328">
        <f t="shared" si="367"/>
        <v>0</v>
      </c>
      <c r="R328">
        <f t="shared" si="368"/>
        <v>0</v>
      </c>
      <c r="S328">
        <f t="shared" si="369"/>
        <v>0</v>
      </c>
      <c r="T328" s="205">
        <f>SUM(T284:T327)</f>
        <v>0</v>
      </c>
      <c r="U328" s="119">
        <f t="shared" ref="U328:V328" si="374">SUM(U284:U327)</f>
        <v>0</v>
      </c>
      <c r="V328" s="119">
        <f t="shared" si="374"/>
        <v>0</v>
      </c>
    </row>
    <row r="329" spans="1:22" s="18" customFormat="1" ht="15" hidden="1" customHeight="1" thickBot="1" x14ac:dyDescent="0.35">
      <c r="A329" s="24"/>
      <c r="B329" s="26"/>
      <c r="C329" s="15" t="s">
        <v>1177</v>
      </c>
      <c r="D329" s="38" t="str">
        <f>D328</f>
        <v>NO APLICA</v>
      </c>
      <c r="E329" s="38"/>
      <c r="F329" s="16">
        <f>SUMIF(E284:E328,"Adicional",F284:F328)</f>
        <v>0</v>
      </c>
      <c r="G329" s="17"/>
      <c r="H329" s="16">
        <f>SUM(H284:H328)</f>
        <v>0</v>
      </c>
      <c r="I329" s="16"/>
      <c r="J329" s="16">
        <f>SUM(J284:J328)</f>
        <v>0</v>
      </c>
      <c r="K329" s="16">
        <f>SUM(K284:K328)</f>
        <v>0</v>
      </c>
      <c r="L329" s="16">
        <f>SUM(L284:L328)</f>
        <v>0</v>
      </c>
      <c r="M329" s="16" t="s">
        <v>1178</v>
      </c>
      <c r="N329" s="16">
        <f>SUM(N284:N328)</f>
        <v>0</v>
      </c>
      <c r="O329" s="84">
        <f>SUM(O284:O328)</f>
        <v>0</v>
      </c>
      <c r="P329" s="13" t="str">
        <f t="shared" si="373"/>
        <v>NO</v>
      </c>
      <c r="Q329">
        <f>IF(D329="INCLUIDO",IF(H329&lt;&gt;0,1,0),0)</f>
        <v>0</v>
      </c>
      <c r="T329" s="143">
        <f>T272+T282+T276+T328</f>
        <v>1.0000000000000002</v>
      </c>
      <c r="U329" s="144">
        <f>U272+U282+U276+U328</f>
        <v>0</v>
      </c>
      <c r="V329" s="145">
        <f>V272+V282+V276+V328</f>
        <v>0</v>
      </c>
    </row>
    <row r="330" spans="1:22" ht="21.75" hidden="1" customHeight="1" thickBot="1" x14ac:dyDescent="0.35">
      <c r="A330" s="82">
        <v>911</v>
      </c>
      <c r="B330" s="33">
        <v>4</v>
      </c>
      <c r="C330" s="19" t="s">
        <v>1374</v>
      </c>
      <c r="D330" s="23" t="str">
        <f>'Ramo Comercial'!C178</f>
        <v>NO APLICA</v>
      </c>
      <c r="E330" s="91"/>
      <c r="F330" s="113">
        <v>0</v>
      </c>
      <c r="G330" s="113">
        <v>0</v>
      </c>
      <c r="H330" s="28"/>
      <c r="I330" s="28"/>
      <c r="J330" s="28"/>
      <c r="K330" s="28"/>
      <c r="L330" s="28"/>
      <c r="M330" s="68">
        <v>0</v>
      </c>
      <c r="N330" s="28"/>
      <c r="O330" s="83"/>
      <c r="P330" s="13" t="str">
        <f t="shared" si="373"/>
        <v>NO</v>
      </c>
      <c r="Q330" s="48">
        <f t="shared" ref="Q330:Q335" si="375">IF(D330="INCLUIDO",IF(F330&lt;&gt;0,1,0),0)</f>
        <v>0</v>
      </c>
      <c r="T330" s="142">
        <f>G330</f>
        <v>0</v>
      </c>
      <c r="U330" s="150"/>
      <c r="V330" s="151"/>
    </row>
    <row r="331" spans="1:22" ht="15" hidden="1" customHeight="1" x14ac:dyDescent="0.3">
      <c r="A331" s="34" t="s">
        <v>1326</v>
      </c>
      <c r="B331" s="36">
        <v>232</v>
      </c>
      <c r="C331" s="29" t="s">
        <v>1375</v>
      </c>
      <c r="D331" s="29" t="str">
        <f>$D$330</f>
        <v>NO APLICA</v>
      </c>
      <c r="E331" s="27" t="s">
        <v>1152</v>
      </c>
      <c r="F331" s="20">
        <f>F330*S331</f>
        <v>0</v>
      </c>
      <c r="G331" s="21">
        <f>V331</f>
        <v>0</v>
      </c>
      <c r="H331" s="9">
        <f t="shared" ref="H331:H335" si="376">(IF(I331="$ Prima",G331,G331*F331/R331))*$U$9</f>
        <v>0</v>
      </c>
      <c r="I331" s="9" t="s">
        <v>1287</v>
      </c>
      <c r="J331" s="9">
        <f t="shared" ref="J331:J335" si="377">H331*$U$7</f>
        <v>0</v>
      </c>
      <c r="K331" s="9">
        <f t="shared" ref="K331:K335" si="378">(H331+J331)*$K$15</f>
        <v>0</v>
      </c>
      <c r="L331" s="9">
        <f t="shared" ref="L331:L335" si="379">ROUND(H331+J331+K331,2)</f>
        <v>0</v>
      </c>
      <c r="M331" s="11">
        <f>$M$330</f>
        <v>0</v>
      </c>
      <c r="N331" s="9">
        <f t="shared" ref="N331:N335" si="380">H331*M331</f>
        <v>0</v>
      </c>
      <c r="O331" s="12">
        <f t="shared" ref="O331:O335" si="381">N331</f>
        <v>0</v>
      </c>
      <c r="P331" s="13" t="str">
        <f t="shared" si="373"/>
        <v>NO</v>
      </c>
      <c r="Q331">
        <f t="shared" si="375"/>
        <v>0</v>
      </c>
      <c r="R331">
        <f>IF(I331="%o Al Millar",1000,IF(I331="% Al Porciento",100,IF(I331="$ Prima",G331)))</f>
        <v>0</v>
      </c>
      <c r="S331">
        <f t="shared" ref="S331:S335" si="382">IF(E331="Excluido",0,IF(D331="NO APLICA",0,1))</f>
        <v>0</v>
      </c>
      <c r="T331" s="152">
        <v>0.13</v>
      </c>
      <c r="U331" s="159">
        <f>IF(E331="Excluido",0,T330*T331)</f>
        <v>0</v>
      </c>
      <c r="V331" s="160">
        <f>IF(D330="NO APLICA",0,(U336-U332-U333-U334-U335)+(T330-U336))</f>
        <v>0</v>
      </c>
    </row>
    <row r="332" spans="1:22" ht="15" hidden="1" customHeight="1" x14ac:dyDescent="0.3">
      <c r="A332" s="34" t="s">
        <v>1326</v>
      </c>
      <c r="B332" s="36">
        <v>234</v>
      </c>
      <c r="C332" s="29" t="s">
        <v>1376</v>
      </c>
      <c r="D332" s="29" t="str">
        <f t="shared" ref="D332:D335" si="383">$D$330</f>
        <v>NO APLICA</v>
      </c>
      <c r="E332" s="27" t="s">
        <v>1137</v>
      </c>
      <c r="F332" s="20">
        <f>$F$331*S332</f>
        <v>0</v>
      </c>
      <c r="G332" s="21">
        <f t="shared" ref="G332:G335" si="384">V332</f>
        <v>0</v>
      </c>
      <c r="H332" s="9">
        <f t="shared" si="376"/>
        <v>0</v>
      </c>
      <c r="I332" s="9" t="s">
        <v>1287</v>
      </c>
      <c r="J332" s="9">
        <f t="shared" si="377"/>
        <v>0</v>
      </c>
      <c r="K332" s="9">
        <f t="shared" si="378"/>
        <v>0</v>
      </c>
      <c r="L332" s="9">
        <f t="shared" si="379"/>
        <v>0</v>
      </c>
      <c r="M332" s="11">
        <f t="shared" ref="M332:M335" si="385">$M$330</f>
        <v>0</v>
      </c>
      <c r="N332" s="9">
        <f t="shared" si="380"/>
        <v>0</v>
      </c>
      <c r="O332" s="12">
        <f t="shared" si="381"/>
        <v>0</v>
      </c>
      <c r="P332" s="13" t="str">
        <f t="shared" si="373"/>
        <v>NO</v>
      </c>
      <c r="Q332">
        <f t="shared" si="375"/>
        <v>0</v>
      </c>
      <c r="R332">
        <f>IF(I332="%o Al Millar",1000,IF(I332="% Al Porciento",100,IF(I332="$ Prima",G332)))</f>
        <v>0</v>
      </c>
      <c r="S332">
        <f t="shared" si="382"/>
        <v>0</v>
      </c>
      <c r="T332" s="152">
        <v>0.12</v>
      </c>
      <c r="U332" s="159">
        <f>IF(E332="Excluido",0,T330*T332)</f>
        <v>0</v>
      </c>
      <c r="V332" s="160">
        <f>IF(F332=0,0,U332)</f>
        <v>0</v>
      </c>
    </row>
    <row r="333" spans="1:22" ht="15" hidden="1" customHeight="1" x14ac:dyDescent="0.3">
      <c r="A333" s="34" t="s">
        <v>1326</v>
      </c>
      <c r="B333" s="36">
        <v>235</v>
      </c>
      <c r="C333" s="29" t="s">
        <v>1377</v>
      </c>
      <c r="D333" s="29" t="str">
        <f t="shared" si="383"/>
        <v>NO APLICA</v>
      </c>
      <c r="E333" s="27" t="s">
        <v>1137</v>
      </c>
      <c r="F333" s="20">
        <f t="shared" ref="F333:F335" si="386">$F$331*S333</f>
        <v>0</v>
      </c>
      <c r="G333" s="21">
        <f t="shared" si="384"/>
        <v>0</v>
      </c>
      <c r="H333" s="9">
        <f t="shared" si="376"/>
        <v>0</v>
      </c>
      <c r="I333" s="9" t="s">
        <v>1287</v>
      </c>
      <c r="J333" s="9">
        <f t="shared" si="377"/>
        <v>0</v>
      </c>
      <c r="K333" s="9">
        <f t="shared" si="378"/>
        <v>0</v>
      </c>
      <c r="L333" s="9">
        <f t="shared" si="379"/>
        <v>0</v>
      </c>
      <c r="M333" s="11">
        <f t="shared" si="385"/>
        <v>0</v>
      </c>
      <c r="N333" s="9">
        <f t="shared" si="380"/>
        <v>0</v>
      </c>
      <c r="O333" s="12">
        <f t="shared" si="381"/>
        <v>0</v>
      </c>
      <c r="P333" s="13" t="str">
        <f t="shared" si="373"/>
        <v>NO</v>
      </c>
      <c r="Q333">
        <f t="shared" si="375"/>
        <v>0</v>
      </c>
      <c r="R333">
        <f>IF(I333="%o Al Millar",1000,IF(I333="% Al Porciento",100,IF(I333="$ Prima",G333)))</f>
        <v>0</v>
      </c>
      <c r="S333">
        <f t="shared" si="382"/>
        <v>0</v>
      </c>
      <c r="T333" s="152">
        <v>0.2</v>
      </c>
      <c r="U333" s="159">
        <f>IF(E333="Excluido",0,T330*T333)</f>
        <v>0</v>
      </c>
      <c r="V333" s="160">
        <f t="shared" ref="V333:V335" si="387">IF(F333=0,0,U333)</f>
        <v>0</v>
      </c>
    </row>
    <row r="334" spans="1:22" ht="15" hidden="1" customHeight="1" x14ac:dyDescent="0.3">
      <c r="A334" s="34" t="s">
        <v>1326</v>
      </c>
      <c r="B334" s="36">
        <v>236</v>
      </c>
      <c r="C334" s="29" t="s">
        <v>1378</v>
      </c>
      <c r="D334" s="29" t="str">
        <f t="shared" si="383"/>
        <v>NO APLICA</v>
      </c>
      <c r="E334" s="27" t="s">
        <v>1137</v>
      </c>
      <c r="F334" s="20">
        <f t="shared" si="386"/>
        <v>0</v>
      </c>
      <c r="G334" s="21">
        <f t="shared" si="384"/>
        <v>0</v>
      </c>
      <c r="H334" s="9">
        <f t="shared" si="376"/>
        <v>0</v>
      </c>
      <c r="I334" s="9" t="s">
        <v>1287</v>
      </c>
      <c r="J334" s="9">
        <f t="shared" si="377"/>
        <v>0</v>
      </c>
      <c r="K334" s="9">
        <f t="shared" si="378"/>
        <v>0</v>
      </c>
      <c r="L334" s="9">
        <f t="shared" si="379"/>
        <v>0</v>
      </c>
      <c r="M334" s="11">
        <f t="shared" si="385"/>
        <v>0</v>
      </c>
      <c r="N334" s="9">
        <f t="shared" si="380"/>
        <v>0</v>
      </c>
      <c r="O334" s="12">
        <f t="shared" si="381"/>
        <v>0</v>
      </c>
      <c r="P334" s="13" t="str">
        <f t="shared" si="373"/>
        <v>NO</v>
      </c>
      <c r="Q334">
        <f t="shared" si="375"/>
        <v>0</v>
      </c>
      <c r="R334">
        <f>IF(I334="%o Al Millar",1000,IF(I334="% Al Porciento",100,IF(I334="$ Prima",G334)))</f>
        <v>0</v>
      </c>
      <c r="S334">
        <f t="shared" si="382"/>
        <v>0</v>
      </c>
      <c r="T334" s="152">
        <v>0.15</v>
      </c>
      <c r="U334" s="159">
        <f>IF(E334="Excluido",0,T330*T334)</f>
        <v>0</v>
      </c>
      <c r="V334" s="160">
        <f t="shared" si="387"/>
        <v>0</v>
      </c>
    </row>
    <row r="335" spans="1:22" ht="15" hidden="1" customHeight="1" thickBot="1" x14ac:dyDescent="0.35">
      <c r="A335" s="34" t="s">
        <v>1326</v>
      </c>
      <c r="B335" s="36">
        <v>233</v>
      </c>
      <c r="C335" s="29" t="s">
        <v>1293</v>
      </c>
      <c r="D335" s="29" t="str">
        <f t="shared" si="383"/>
        <v>NO APLICA</v>
      </c>
      <c r="E335" s="27" t="s">
        <v>1137</v>
      </c>
      <c r="F335" s="20">
        <f t="shared" si="386"/>
        <v>0</v>
      </c>
      <c r="G335" s="21">
        <f t="shared" si="384"/>
        <v>0</v>
      </c>
      <c r="H335" s="9">
        <f t="shared" si="376"/>
        <v>0</v>
      </c>
      <c r="I335" s="9" t="s">
        <v>1287</v>
      </c>
      <c r="J335" s="9">
        <f t="shared" si="377"/>
        <v>0</v>
      </c>
      <c r="K335" s="9">
        <f t="shared" si="378"/>
        <v>0</v>
      </c>
      <c r="L335" s="9">
        <f t="shared" si="379"/>
        <v>0</v>
      </c>
      <c r="M335" s="11">
        <f t="shared" si="385"/>
        <v>0</v>
      </c>
      <c r="N335" s="9">
        <f t="shared" si="380"/>
        <v>0</v>
      </c>
      <c r="O335" s="12">
        <f t="shared" si="381"/>
        <v>0</v>
      </c>
      <c r="P335" s="13" t="str">
        <f t="shared" si="373"/>
        <v>NO</v>
      </c>
      <c r="Q335">
        <f t="shared" si="375"/>
        <v>0</v>
      </c>
      <c r="R335">
        <f>IF(I335="%o Al Millar",1000,IF(I335="% Al Porciento",100,IF(I335="$ Prima",G335)))</f>
        <v>0</v>
      </c>
      <c r="S335">
        <f t="shared" si="382"/>
        <v>0</v>
      </c>
      <c r="T335" s="152">
        <v>0.4</v>
      </c>
      <c r="U335" s="159">
        <f>IF(E335="Excluido",0,T330*T335)</f>
        <v>0</v>
      </c>
      <c r="V335" s="160">
        <f t="shared" si="387"/>
        <v>0</v>
      </c>
    </row>
    <row r="336" spans="1:22" s="18" customFormat="1" ht="15" hidden="1" customHeight="1" thickBot="1" x14ac:dyDescent="0.35">
      <c r="A336" s="24"/>
      <c r="B336" s="26"/>
      <c r="C336" s="15" t="s">
        <v>1177</v>
      </c>
      <c r="D336" s="38" t="str">
        <f>D335</f>
        <v>NO APLICA</v>
      </c>
      <c r="E336" s="38"/>
      <c r="F336" s="16">
        <f>SUMIF(E331:E335,"Adicional",F331:F335)</f>
        <v>0</v>
      </c>
      <c r="G336" s="17"/>
      <c r="H336" s="16">
        <f>SUM(H331:H335)</f>
        <v>0</v>
      </c>
      <c r="I336" s="16"/>
      <c r="J336" s="16">
        <f t="shared" ref="J336:L336" si="388">SUM(J331:J335)</f>
        <v>0</v>
      </c>
      <c r="K336" s="16">
        <f t="shared" si="388"/>
        <v>0</v>
      </c>
      <c r="L336" s="16">
        <f t="shared" si="388"/>
        <v>0</v>
      </c>
      <c r="M336" s="16" t="s">
        <v>1178</v>
      </c>
      <c r="N336" s="16">
        <f t="shared" ref="N336:O336" si="389">SUM(N331:N335)</f>
        <v>0</v>
      </c>
      <c r="O336" s="84">
        <f t="shared" si="389"/>
        <v>0</v>
      </c>
      <c r="P336" s="13" t="str">
        <f t="shared" si="373"/>
        <v>NO</v>
      </c>
      <c r="Q336">
        <f>IF(D336="INCLUIDO",IF(H336&lt;&gt;0,1,0),0)</f>
        <v>0</v>
      </c>
      <c r="T336" s="143">
        <f>SUM(T331:T335)</f>
        <v>1</v>
      </c>
      <c r="U336" s="144">
        <f>SUM(U331:U335)</f>
        <v>0</v>
      </c>
      <c r="V336" s="145">
        <f>SUM(V331:V335)</f>
        <v>0</v>
      </c>
    </row>
    <row r="337" spans="1:22" ht="15" hidden="1" customHeight="1" thickBot="1" x14ac:dyDescent="0.35">
      <c r="A337" s="82">
        <v>911</v>
      </c>
      <c r="B337" s="33">
        <v>5</v>
      </c>
      <c r="C337" s="19" t="s">
        <v>1379</v>
      </c>
      <c r="D337" s="23" t="str">
        <f>'Ramo Comercial'!C179</f>
        <v>NO APLICA</v>
      </c>
      <c r="E337" s="91"/>
      <c r="F337" s="113">
        <v>0</v>
      </c>
      <c r="G337" s="113">
        <v>0</v>
      </c>
      <c r="H337" s="28"/>
      <c r="I337" s="28"/>
      <c r="J337" s="28"/>
      <c r="K337" s="28"/>
      <c r="L337" s="28"/>
      <c r="M337" s="68">
        <v>0</v>
      </c>
      <c r="N337" s="28"/>
      <c r="O337" s="83"/>
      <c r="P337" s="13" t="str">
        <f t="shared" si="373"/>
        <v>NO</v>
      </c>
      <c r="Q337" s="48">
        <f t="shared" ref="Q337:Q343" si="390">IF(D337="INCLUIDO",IF(F337&lt;&gt;0,1,0),0)</f>
        <v>0</v>
      </c>
      <c r="T337" s="142">
        <f>G337</f>
        <v>0</v>
      </c>
      <c r="U337" s="150"/>
      <c r="V337" s="151"/>
    </row>
    <row r="338" spans="1:22" ht="15" hidden="1" customHeight="1" x14ac:dyDescent="0.3">
      <c r="A338" s="34" t="s">
        <v>1326</v>
      </c>
      <c r="B338" s="36">
        <v>237</v>
      </c>
      <c r="C338" s="29" t="s">
        <v>1375</v>
      </c>
      <c r="D338" s="29" t="str">
        <f>$D$337</f>
        <v>NO APLICA</v>
      </c>
      <c r="E338" s="27" t="s">
        <v>1152</v>
      </c>
      <c r="F338" s="20">
        <f>F337*S338</f>
        <v>0</v>
      </c>
      <c r="G338" s="21">
        <v>0</v>
      </c>
      <c r="H338" s="9">
        <f t="shared" ref="H338:H343" si="391">(IF(I338="$ Prima",G338,G338*F338/R338))*$U$9</f>
        <v>0</v>
      </c>
      <c r="I338" s="9" t="s">
        <v>1287</v>
      </c>
      <c r="J338" s="9">
        <f t="shared" ref="J338:J343" si="392">H338*$U$7</f>
        <v>0</v>
      </c>
      <c r="K338" s="9">
        <f t="shared" ref="K338:K343" si="393">(H338+J338)*$K$15</f>
        <v>0</v>
      </c>
      <c r="L338" s="9">
        <f t="shared" ref="L338:L343" si="394">ROUND(H338+J338+K338,2)</f>
        <v>0</v>
      </c>
      <c r="M338" s="11">
        <f>$M$337</f>
        <v>0</v>
      </c>
      <c r="N338" s="9">
        <f t="shared" ref="N338:N343" si="395">H338*M338</f>
        <v>0</v>
      </c>
      <c r="O338" s="12">
        <f t="shared" ref="O338:O343" si="396">N338</f>
        <v>0</v>
      </c>
      <c r="P338" s="13" t="str">
        <f t="shared" si="373"/>
        <v>NO</v>
      </c>
      <c r="Q338">
        <f t="shared" si="390"/>
        <v>0</v>
      </c>
      <c r="R338">
        <f t="shared" ref="R338:R343" si="397">IF(I338="%o Al Millar",1000,IF(I338="% Al Porciento",100,IF(I338="$ Prima",G338)))</f>
        <v>0</v>
      </c>
      <c r="S338">
        <f t="shared" ref="S338:S343" si="398">IF(E338="Excluido",0,IF(D338="NO APLICA",0,1))</f>
        <v>0</v>
      </c>
      <c r="T338" s="152">
        <v>0.13</v>
      </c>
      <c r="U338" s="159">
        <f>IF(E338="Excluido",0,T337*T338)</f>
        <v>0</v>
      </c>
      <c r="V338" s="160">
        <f>IF(D337="NO APLICA",0,(U343-U339-U340-U341-U342)+(T337-U343))</f>
        <v>0</v>
      </c>
    </row>
    <row r="339" spans="1:22" ht="15" hidden="1" customHeight="1" x14ac:dyDescent="0.3">
      <c r="A339" s="34" t="s">
        <v>1326</v>
      </c>
      <c r="B339" s="36">
        <v>238</v>
      </c>
      <c r="C339" s="29" t="s">
        <v>1352</v>
      </c>
      <c r="D339" s="29" t="str">
        <f t="shared" ref="D339:D343" si="399">$D$337</f>
        <v>NO APLICA</v>
      </c>
      <c r="E339" s="27" t="s">
        <v>1137</v>
      </c>
      <c r="F339" s="20">
        <f>$F$338*S339</f>
        <v>0</v>
      </c>
      <c r="G339" s="21">
        <v>0</v>
      </c>
      <c r="H339" s="9">
        <f t="shared" si="391"/>
        <v>0</v>
      </c>
      <c r="I339" s="9" t="s">
        <v>1287</v>
      </c>
      <c r="J339" s="9">
        <f t="shared" si="392"/>
        <v>0</v>
      </c>
      <c r="K339" s="9">
        <f t="shared" si="393"/>
        <v>0</v>
      </c>
      <c r="L339" s="9">
        <f t="shared" si="394"/>
        <v>0</v>
      </c>
      <c r="M339" s="11">
        <f t="shared" ref="M339:M343" si="400">$M$337</f>
        <v>0</v>
      </c>
      <c r="N339" s="9">
        <f t="shared" si="395"/>
        <v>0</v>
      </c>
      <c r="O339" s="12">
        <f t="shared" si="396"/>
        <v>0</v>
      </c>
      <c r="P339" s="13" t="str">
        <f t="shared" si="373"/>
        <v>NO</v>
      </c>
      <c r="Q339">
        <f t="shared" si="390"/>
        <v>0</v>
      </c>
      <c r="R339">
        <f t="shared" si="397"/>
        <v>0</v>
      </c>
      <c r="S339">
        <f t="shared" si="398"/>
        <v>0</v>
      </c>
      <c r="T339" s="152">
        <v>0.12</v>
      </c>
      <c r="U339" s="159">
        <f>IF(E339="Excluido",0,T337*T339)</f>
        <v>0</v>
      </c>
      <c r="V339" s="160">
        <f>IF(F339=0,0,U339)</f>
        <v>0</v>
      </c>
    </row>
    <row r="340" spans="1:22" ht="15" hidden="1" customHeight="1" x14ac:dyDescent="0.3">
      <c r="A340" s="34" t="s">
        <v>1326</v>
      </c>
      <c r="B340" s="36">
        <v>240</v>
      </c>
      <c r="C340" s="29" t="s">
        <v>1376</v>
      </c>
      <c r="D340" s="29" t="str">
        <f t="shared" si="399"/>
        <v>NO APLICA</v>
      </c>
      <c r="E340" s="27" t="s">
        <v>1137</v>
      </c>
      <c r="F340" s="20">
        <f t="shared" ref="F340:F343" si="401">$F$338*S340</f>
        <v>0</v>
      </c>
      <c r="G340" s="21">
        <v>0</v>
      </c>
      <c r="H340" s="9">
        <f t="shared" si="391"/>
        <v>0</v>
      </c>
      <c r="I340" s="9" t="s">
        <v>1287</v>
      </c>
      <c r="J340" s="9">
        <f t="shared" si="392"/>
        <v>0</v>
      </c>
      <c r="K340" s="9">
        <f t="shared" si="393"/>
        <v>0</v>
      </c>
      <c r="L340" s="9">
        <f t="shared" si="394"/>
        <v>0</v>
      </c>
      <c r="M340" s="11">
        <f t="shared" si="400"/>
        <v>0</v>
      </c>
      <c r="N340" s="9">
        <f t="shared" si="395"/>
        <v>0</v>
      </c>
      <c r="O340" s="12">
        <f t="shared" si="396"/>
        <v>0</v>
      </c>
      <c r="P340" s="13" t="str">
        <f t="shared" si="373"/>
        <v>NO</v>
      </c>
      <c r="Q340">
        <f t="shared" si="390"/>
        <v>0</v>
      </c>
      <c r="R340">
        <f t="shared" si="397"/>
        <v>0</v>
      </c>
      <c r="S340">
        <f t="shared" si="398"/>
        <v>0</v>
      </c>
      <c r="T340" s="152">
        <v>0.2</v>
      </c>
      <c r="U340" s="159">
        <f>IF(E340="Excluido",0,T337*T340)</f>
        <v>0</v>
      </c>
      <c r="V340" s="160">
        <f t="shared" ref="V340:V342" si="402">IF(F340=0,0,U340)</f>
        <v>0</v>
      </c>
    </row>
    <row r="341" spans="1:22" ht="15" hidden="1" customHeight="1" x14ac:dyDescent="0.3">
      <c r="A341" s="34" t="s">
        <v>1326</v>
      </c>
      <c r="B341" s="36">
        <v>241</v>
      </c>
      <c r="C341" s="29" t="s">
        <v>1377</v>
      </c>
      <c r="D341" s="29" t="str">
        <f t="shared" si="399"/>
        <v>NO APLICA</v>
      </c>
      <c r="E341" s="27" t="s">
        <v>1137</v>
      </c>
      <c r="F341" s="20">
        <f t="shared" si="401"/>
        <v>0</v>
      </c>
      <c r="G341" s="21">
        <v>0</v>
      </c>
      <c r="H341" s="9">
        <f t="shared" si="391"/>
        <v>0</v>
      </c>
      <c r="I341" s="9" t="s">
        <v>1287</v>
      </c>
      <c r="J341" s="9">
        <f t="shared" si="392"/>
        <v>0</v>
      </c>
      <c r="K341" s="9">
        <f t="shared" si="393"/>
        <v>0</v>
      </c>
      <c r="L341" s="9">
        <f t="shared" si="394"/>
        <v>0</v>
      </c>
      <c r="M341" s="11">
        <f t="shared" si="400"/>
        <v>0</v>
      </c>
      <c r="N341" s="9">
        <f t="shared" si="395"/>
        <v>0</v>
      </c>
      <c r="O341" s="12">
        <f t="shared" si="396"/>
        <v>0</v>
      </c>
      <c r="P341" s="13" t="str">
        <f t="shared" si="373"/>
        <v>NO</v>
      </c>
      <c r="Q341">
        <f t="shared" si="390"/>
        <v>0</v>
      </c>
      <c r="R341">
        <f t="shared" si="397"/>
        <v>0</v>
      </c>
      <c r="S341">
        <f t="shared" si="398"/>
        <v>0</v>
      </c>
      <c r="T341" s="152">
        <v>0.15</v>
      </c>
      <c r="U341" s="159">
        <f>IF(E341="Excluido",0,T337*T341)</f>
        <v>0</v>
      </c>
      <c r="V341" s="160">
        <f t="shared" si="402"/>
        <v>0</v>
      </c>
    </row>
    <row r="342" spans="1:22" ht="15" hidden="1" customHeight="1" thickBot="1" x14ac:dyDescent="0.35">
      <c r="A342" s="34" t="s">
        <v>1326</v>
      </c>
      <c r="B342" s="36">
        <v>242</v>
      </c>
      <c r="C342" s="29" t="s">
        <v>1378</v>
      </c>
      <c r="D342" s="29" t="str">
        <f t="shared" si="399"/>
        <v>NO APLICA</v>
      </c>
      <c r="E342" s="27" t="s">
        <v>1137</v>
      </c>
      <c r="F342" s="20">
        <f t="shared" si="401"/>
        <v>0</v>
      </c>
      <c r="G342" s="21">
        <v>0</v>
      </c>
      <c r="H342" s="9">
        <f t="shared" si="391"/>
        <v>0</v>
      </c>
      <c r="I342" s="9" t="s">
        <v>1287</v>
      </c>
      <c r="J342" s="9">
        <f t="shared" si="392"/>
        <v>0</v>
      </c>
      <c r="K342" s="9">
        <f t="shared" si="393"/>
        <v>0</v>
      </c>
      <c r="L342" s="9">
        <f t="shared" si="394"/>
        <v>0</v>
      </c>
      <c r="M342" s="11">
        <f t="shared" si="400"/>
        <v>0</v>
      </c>
      <c r="N342" s="9">
        <f t="shared" si="395"/>
        <v>0</v>
      </c>
      <c r="O342" s="12">
        <f t="shared" si="396"/>
        <v>0</v>
      </c>
      <c r="P342" s="13" t="str">
        <f t="shared" si="373"/>
        <v>NO</v>
      </c>
      <c r="Q342">
        <f t="shared" si="390"/>
        <v>0</v>
      </c>
      <c r="R342">
        <f t="shared" si="397"/>
        <v>0</v>
      </c>
      <c r="S342">
        <f t="shared" si="398"/>
        <v>0</v>
      </c>
      <c r="T342" s="152">
        <v>0.4</v>
      </c>
      <c r="U342" s="159">
        <f>IF(E342="Excluido",0,T337*T342)</f>
        <v>0</v>
      </c>
      <c r="V342" s="160">
        <f t="shared" si="402"/>
        <v>0</v>
      </c>
    </row>
    <row r="343" spans="1:22" ht="15" hidden="1" customHeight="1" thickBot="1" x14ac:dyDescent="0.35">
      <c r="A343" s="34" t="s">
        <v>1326</v>
      </c>
      <c r="B343" s="36">
        <v>239</v>
      </c>
      <c r="C343" s="29" t="s">
        <v>1293</v>
      </c>
      <c r="D343" s="29" t="str">
        <f t="shared" si="399"/>
        <v>NO APLICA</v>
      </c>
      <c r="E343" s="27" t="s">
        <v>1137</v>
      </c>
      <c r="F343" s="20">
        <f t="shared" si="401"/>
        <v>0</v>
      </c>
      <c r="G343" s="21">
        <v>0</v>
      </c>
      <c r="H343" s="9">
        <f t="shared" si="391"/>
        <v>0</v>
      </c>
      <c r="I343" s="9" t="s">
        <v>1287</v>
      </c>
      <c r="J343" s="9">
        <f t="shared" si="392"/>
        <v>0</v>
      </c>
      <c r="K343" s="9">
        <f t="shared" si="393"/>
        <v>0</v>
      </c>
      <c r="L343" s="9">
        <f t="shared" si="394"/>
        <v>0</v>
      </c>
      <c r="M343" s="11">
        <f t="shared" si="400"/>
        <v>0</v>
      </c>
      <c r="N343" s="9">
        <f t="shared" si="395"/>
        <v>0</v>
      </c>
      <c r="O343" s="12">
        <f t="shared" si="396"/>
        <v>0</v>
      </c>
      <c r="P343" s="13" t="str">
        <f t="shared" si="373"/>
        <v>NO</v>
      </c>
      <c r="Q343">
        <f t="shared" si="390"/>
        <v>0</v>
      </c>
      <c r="R343">
        <f t="shared" si="397"/>
        <v>0</v>
      </c>
      <c r="S343">
        <f t="shared" si="398"/>
        <v>0</v>
      </c>
      <c r="T343" s="143">
        <f>SUM(T338:T342)</f>
        <v>1</v>
      </c>
      <c r="U343" s="144">
        <f>SUM(U338:U342)</f>
        <v>0</v>
      </c>
      <c r="V343" s="145">
        <f>SUM(V338:V342)</f>
        <v>0</v>
      </c>
    </row>
    <row r="344" spans="1:22" s="18" customFormat="1" ht="15" hidden="1" customHeight="1" x14ac:dyDescent="0.3">
      <c r="A344" s="24"/>
      <c r="B344" s="26"/>
      <c r="C344" s="15" t="s">
        <v>1177</v>
      </c>
      <c r="D344" s="38" t="str">
        <f>D343</f>
        <v>NO APLICA</v>
      </c>
      <c r="E344" s="38"/>
      <c r="F344" s="16">
        <f>SUMIF(E338:E343,"Adicional",F338:F343)</f>
        <v>0</v>
      </c>
      <c r="G344" s="17"/>
      <c r="H344" s="16">
        <f>SUM(H338:H343)</f>
        <v>0</v>
      </c>
      <c r="I344" s="16"/>
      <c r="J344" s="16">
        <f t="shared" ref="J344:L344" si="403">SUM(J338:J343)</f>
        <v>0</v>
      </c>
      <c r="K344" s="16">
        <f t="shared" si="403"/>
        <v>0</v>
      </c>
      <c r="L344" s="16">
        <f t="shared" si="403"/>
        <v>0</v>
      </c>
      <c r="M344" s="16" t="s">
        <v>1178</v>
      </c>
      <c r="N344" s="16">
        <f t="shared" ref="N344:O344" si="404">SUM(N338:N343)</f>
        <v>0</v>
      </c>
      <c r="O344" s="84">
        <f t="shared" si="404"/>
        <v>0</v>
      </c>
      <c r="P344" s="13" t="str">
        <f t="shared" si="373"/>
        <v>NO</v>
      </c>
      <c r="Q344">
        <f>IF(D344="INCLUIDO",IF(H344&lt;&gt;0,1,0),0)</f>
        <v>0</v>
      </c>
    </row>
    <row r="345" spans="1:22" ht="15" hidden="1" customHeight="1" x14ac:dyDescent="0.3">
      <c r="A345" s="82">
        <v>912</v>
      </c>
      <c r="B345" s="33">
        <v>1</v>
      </c>
      <c r="C345" s="19" t="s">
        <v>1380</v>
      </c>
      <c r="D345" s="23" t="str">
        <f>'Ramo Comercial'!C175</f>
        <v>NO APLICA</v>
      </c>
      <c r="E345" s="91"/>
      <c r="F345" s="28"/>
      <c r="G345" s="28"/>
      <c r="H345" s="28"/>
      <c r="I345" s="28"/>
      <c r="J345" s="28"/>
      <c r="K345" s="28"/>
      <c r="L345" s="28"/>
      <c r="M345" s="68">
        <v>0</v>
      </c>
      <c r="N345" s="28"/>
      <c r="O345" s="83"/>
      <c r="P345" s="13" t="str">
        <f t="shared" si="373"/>
        <v>NO</v>
      </c>
      <c r="Q345" s="47">
        <f>IF(D345="INCLUIDO",IF(F346&lt;&gt;0,1,0),0)</f>
        <v>0</v>
      </c>
    </row>
    <row r="346" spans="1:22" ht="15" hidden="1" customHeight="1" x14ac:dyDescent="0.3">
      <c r="A346" s="34" t="s">
        <v>1381</v>
      </c>
      <c r="B346" s="36">
        <v>190</v>
      </c>
      <c r="C346" s="29" t="s">
        <v>1380</v>
      </c>
      <c r="D346" s="29" t="str">
        <f>$D$345</f>
        <v>NO APLICA</v>
      </c>
      <c r="E346" s="27" t="s">
        <v>1152</v>
      </c>
      <c r="F346" s="43">
        <v>0</v>
      </c>
      <c r="G346" s="21">
        <v>0</v>
      </c>
      <c r="H346" s="9">
        <f t="shared" ref="H346:H349" si="405">(IF(I346="$ Prima",G346,G346*F346/R346))*$U$9</f>
        <v>0</v>
      </c>
      <c r="I346" s="9" t="s">
        <v>1287</v>
      </c>
      <c r="J346" s="9">
        <f t="shared" ref="J346:J349" si="406">H346*$U$7</f>
        <v>0</v>
      </c>
      <c r="K346" s="9">
        <f t="shared" ref="K346:K349" si="407">(H346+J346)*$K$15</f>
        <v>0</v>
      </c>
      <c r="L346" s="9">
        <f t="shared" ref="L346:L349" si="408">ROUND(H346+J346+K346,2)</f>
        <v>0</v>
      </c>
      <c r="M346" s="11">
        <f>$M$345</f>
        <v>0</v>
      </c>
      <c r="N346" s="9">
        <f t="shared" ref="N346:N349" si="409">H346*M346</f>
        <v>0</v>
      </c>
      <c r="O346" s="12">
        <f t="shared" ref="O346:O349" si="410">N346</f>
        <v>0</v>
      </c>
      <c r="P346" s="13" t="str">
        <f t="shared" si="373"/>
        <v>NO</v>
      </c>
      <c r="Q346">
        <f t="shared" ref="Q346:Q349" si="411">IF(D346="INCLUIDO",IF(F346&lt;&gt;0,1,0),0)</f>
        <v>0</v>
      </c>
      <c r="R346">
        <f t="shared" ref="R346:R349" si="412">IF(I346="%o Al Millar",1000,IF(I346="% Al Porciento",100,IF(I346="$ Prima",G346)))</f>
        <v>0</v>
      </c>
      <c r="S346">
        <f t="shared" ref="S346:S349" si="413">IF(E346="Excluido",0,IF(D346="NO APLICA",0,1))</f>
        <v>0</v>
      </c>
    </row>
    <row r="347" spans="1:22" ht="15" hidden="1" customHeight="1" x14ac:dyDescent="0.3">
      <c r="A347" s="34" t="s">
        <v>1381</v>
      </c>
      <c r="B347" s="36">
        <v>306</v>
      </c>
      <c r="C347" s="29" t="s">
        <v>1382</v>
      </c>
      <c r="D347" s="29" t="str">
        <f>$D$345</f>
        <v>NO APLICA</v>
      </c>
      <c r="E347" s="27" t="s">
        <v>1152</v>
      </c>
      <c r="F347" s="43">
        <v>0</v>
      </c>
      <c r="G347" s="21">
        <v>0</v>
      </c>
      <c r="H347" s="9">
        <f t="shared" si="405"/>
        <v>0</v>
      </c>
      <c r="I347" s="9" t="s">
        <v>1287</v>
      </c>
      <c r="J347" s="9">
        <f t="shared" si="406"/>
        <v>0</v>
      </c>
      <c r="K347" s="9">
        <f t="shared" si="407"/>
        <v>0</v>
      </c>
      <c r="L347" s="9">
        <f t="shared" si="408"/>
        <v>0</v>
      </c>
      <c r="M347" s="11">
        <f t="shared" ref="M347:M349" si="414">$M$345</f>
        <v>0</v>
      </c>
      <c r="N347" s="9">
        <f t="shared" si="409"/>
        <v>0</v>
      </c>
      <c r="O347" s="12">
        <f t="shared" si="410"/>
        <v>0</v>
      </c>
      <c r="P347" s="13" t="str">
        <f t="shared" si="373"/>
        <v>NO</v>
      </c>
      <c r="Q347">
        <f t="shared" si="411"/>
        <v>0</v>
      </c>
      <c r="R347">
        <f t="shared" si="412"/>
        <v>0</v>
      </c>
      <c r="S347">
        <f t="shared" si="413"/>
        <v>0</v>
      </c>
    </row>
    <row r="348" spans="1:22" ht="15" hidden="1" customHeight="1" x14ac:dyDescent="0.3">
      <c r="A348" s="34" t="s">
        <v>1381</v>
      </c>
      <c r="B348" s="36">
        <v>307</v>
      </c>
      <c r="C348" s="29" t="s">
        <v>1383</v>
      </c>
      <c r="D348" s="29" t="str">
        <f t="shared" ref="D348:D349" si="415">$D$345</f>
        <v>NO APLICA</v>
      </c>
      <c r="E348" s="27" t="s">
        <v>1152</v>
      </c>
      <c r="F348" s="43">
        <v>0</v>
      </c>
      <c r="G348" s="21">
        <v>0</v>
      </c>
      <c r="H348" s="9">
        <f t="shared" si="405"/>
        <v>0</v>
      </c>
      <c r="I348" s="9" t="s">
        <v>1287</v>
      </c>
      <c r="J348" s="9">
        <f t="shared" si="406"/>
        <v>0</v>
      </c>
      <c r="K348" s="9">
        <f t="shared" si="407"/>
        <v>0</v>
      </c>
      <c r="L348" s="9">
        <f t="shared" si="408"/>
        <v>0</v>
      </c>
      <c r="M348" s="11">
        <f t="shared" si="414"/>
        <v>0</v>
      </c>
      <c r="N348" s="9">
        <f t="shared" si="409"/>
        <v>0</v>
      </c>
      <c r="O348" s="12">
        <f t="shared" si="410"/>
        <v>0</v>
      </c>
      <c r="P348" s="13" t="str">
        <f t="shared" si="373"/>
        <v>NO</v>
      </c>
      <c r="Q348">
        <f t="shared" si="411"/>
        <v>0</v>
      </c>
      <c r="R348">
        <f t="shared" si="412"/>
        <v>0</v>
      </c>
      <c r="S348">
        <f t="shared" si="413"/>
        <v>0</v>
      </c>
    </row>
    <row r="349" spans="1:22" ht="15" hidden="1" customHeight="1" x14ac:dyDescent="0.3">
      <c r="A349" s="34" t="s">
        <v>1381</v>
      </c>
      <c r="B349" s="36">
        <v>254</v>
      </c>
      <c r="C349" s="29" t="s">
        <v>1293</v>
      </c>
      <c r="D349" s="29" t="str">
        <f t="shared" si="415"/>
        <v>NO APLICA</v>
      </c>
      <c r="E349" s="27" t="s">
        <v>1137</v>
      </c>
      <c r="F349" s="20">
        <f>(F346+F347+F348)*S349</f>
        <v>0</v>
      </c>
      <c r="G349" s="21">
        <v>0</v>
      </c>
      <c r="H349" s="9">
        <f t="shared" si="405"/>
        <v>0</v>
      </c>
      <c r="I349" s="9" t="s">
        <v>1287</v>
      </c>
      <c r="J349" s="9">
        <f t="shared" si="406"/>
        <v>0</v>
      </c>
      <c r="K349" s="9">
        <f t="shared" si="407"/>
        <v>0</v>
      </c>
      <c r="L349" s="9">
        <f t="shared" si="408"/>
        <v>0</v>
      </c>
      <c r="M349" s="11">
        <f t="shared" si="414"/>
        <v>0</v>
      </c>
      <c r="N349" s="9">
        <f t="shared" si="409"/>
        <v>0</v>
      </c>
      <c r="O349" s="12">
        <f t="shared" si="410"/>
        <v>0</v>
      </c>
      <c r="P349" s="13" t="str">
        <f t="shared" si="373"/>
        <v>NO</v>
      </c>
      <c r="Q349">
        <f t="shared" si="411"/>
        <v>0</v>
      </c>
      <c r="R349">
        <f t="shared" si="412"/>
        <v>0</v>
      </c>
      <c r="S349">
        <f t="shared" si="413"/>
        <v>0</v>
      </c>
    </row>
    <row r="350" spans="1:22" s="18" customFormat="1" ht="15" hidden="1" customHeight="1" x14ac:dyDescent="0.3">
      <c r="A350" s="24"/>
      <c r="B350" s="26"/>
      <c r="C350" s="15" t="s">
        <v>1177</v>
      </c>
      <c r="D350" s="38" t="str">
        <f>D349</f>
        <v>NO APLICA</v>
      </c>
      <c r="E350" s="38"/>
      <c r="F350" s="16">
        <f>SUMIF(E346:E349,"Adicional",F346:F349)</f>
        <v>0</v>
      </c>
      <c r="G350" s="17"/>
      <c r="H350" s="16">
        <f>SUM(H346:H349)</f>
        <v>0</v>
      </c>
      <c r="I350" s="16"/>
      <c r="J350" s="16">
        <f>SUM(J346:J349)</f>
        <v>0</v>
      </c>
      <c r="K350" s="16">
        <f>SUM(K346:K349)</f>
        <v>0</v>
      </c>
      <c r="L350" s="16">
        <f>SUM(L346:L349)</f>
        <v>0</v>
      </c>
      <c r="M350" s="16" t="s">
        <v>1178</v>
      </c>
      <c r="N350" s="16">
        <f>SUM(N346:N349)</f>
        <v>0</v>
      </c>
      <c r="O350" s="84">
        <f>SUM(O346:O349)</f>
        <v>0</v>
      </c>
      <c r="P350" s="13" t="str">
        <f t="shared" si="373"/>
        <v>NO</v>
      </c>
      <c r="Q350">
        <f>IF(D350="INCLUIDO",IF(H350&lt;&gt;0,1,0),0)</f>
        <v>0</v>
      </c>
    </row>
    <row r="351" spans="1:22" ht="15" hidden="1" customHeight="1" x14ac:dyDescent="0.3">
      <c r="A351" s="82">
        <v>913</v>
      </c>
      <c r="B351" s="33">
        <v>1</v>
      </c>
      <c r="C351" s="19" t="s">
        <v>1384</v>
      </c>
      <c r="D351" s="23" t="str">
        <f>'Ramo Comercial'!C166</f>
        <v>NO APLICA</v>
      </c>
      <c r="E351" s="91"/>
      <c r="F351" s="28"/>
      <c r="G351" s="28"/>
      <c r="H351" s="28"/>
      <c r="I351" s="28"/>
      <c r="J351" s="28"/>
      <c r="K351" s="28"/>
      <c r="L351" s="28"/>
      <c r="M351" s="68">
        <v>0</v>
      </c>
      <c r="N351" s="28"/>
      <c r="O351" s="83"/>
      <c r="P351" s="13" t="str">
        <f t="shared" si="373"/>
        <v>NO</v>
      </c>
      <c r="Q351" s="47">
        <f>IF(D351="INCLUIDO",IF(F352&lt;&gt;0,1,0),0)</f>
        <v>0</v>
      </c>
    </row>
    <row r="352" spans="1:22" ht="15" hidden="1" customHeight="1" x14ac:dyDescent="0.3">
      <c r="A352" s="34" t="s">
        <v>1385</v>
      </c>
      <c r="B352" s="36">
        <v>191</v>
      </c>
      <c r="C352" s="29" t="s">
        <v>1384</v>
      </c>
      <c r="D352" s="29" t="str">
        <f>$D$351</f>
        <v>NO APLICA</v>
      </c>
      <c r="E352" s="27" t="s">
        <v>1152</v>
      </c>
      <c r="F352" s="43">
        <v>0</v>
      </c>
      <c r="G352" s="21">
        <v>0</v>
      </c>
      <c r="H352" s="9">
        <f t="shared" ref="H352:H362" si="416">(IF(I352="$ Prima",G352,G352*F352/R352))*$U$9</f>
        <v>0</v>
      </c>
      <c r="I352" s="9" t="s">
        <v>1235</v>
      </c>
      <c r="J352" s="9">
        <f t="shared" ref="J352:J362" si="417">H352*$U$7</f>
        <v>0</v>
      </c>
      <c r="K352" s="9">
        <f t="shared" ref="K352:K362" si="418">(H352+J352)*$K$15</f>
        <v>0</v>
      </c>
      <c r="L352" s="9">
        <f t="shared" ref="L352:L362" si="419">ROUND(H352+J352+K352,2)</f>
        <v>0</v>
      </c>
      <c r="M352" s="11">
        <f>$M$351</f>
        <v>0</v>
      </c>
      <c r="N352" s="9">
        <f t="shared" ref="N352:N362" si="420">H352*M352</f>
        <v>0</v>
      </c>
      <c r="O352" s="12">
        <f t="shared" ref="O352:O362" si="421">N352</f>
        <v>0</v>
      </c>
      <c r="P352" s="13" t="str">
        <f t="shared" si="373"/>
        <v>NO</v>
      </c>
      <c r="Q352">
        <f t="shared" ref="Q352:Q362" si="422">IF(D352="INCLUIDO",IF(F352&lt;&gt;0,1,0),0)</f>
        <v>0</v>
      </c>
      <c r="R352">
        <f t="shared" ref="R352:R362" si="423">IF(I352="%o Al Millar",1000,IF(I352="% Al Porciento",100,IF(I352="$ Prima",G352)))</f>
        <v>100</v>
      </c>
      <c r="S352">
        <f t="shared" ref="S352:S362" si="424">IF(E352="Excluido",0,IF(D352="NO APLICA",0,1))</f>
        <v>0</v>
      </c>
    </row>
    <row r="353" spans="1:19" ht="15" hidden="1" customHeight="1" x14ac:dyDescent="0.3">
      <c r="A353" s="34" t="s">
        <v>1385</v>
      </c>
      <c r="B353" s="36">
        <v>245</v>
      </c>
      <c r="C353" s="29" t="s">
        <v>1386</v>
      </c>
      <c r="D353" s="29" t="str">
        <f t="shared" ref="D353:D362" si="425">$D$351</f>
        <v>NO APLICA</v>
      </c>
      <c r="E353" s="27" t="s">
        <v>1152</v>
      </c>
      <c r="F353" s="43">
        <v>0</v>
      </c>
      <c r="G353" s="21">
        <v>0</v>
      </c>
      <c r="H353" s="9">
        <f t="shared" si="416"/>
        <v>0</v>
      </c>
      <c r="I353" s="9" t="s">
        <v>1235</v>
      </c>
      <c r="J353" s="9">
        <f t="shared" si="417"/>
        <v>0</v>
      </c>
      <c r="K353" s="9">
        <f t="shared" si="418"/>
        <v>0</v>
      </c>
      <c r="L353" s="9">
        <f t="shared" si="419"/>
        <v>0</v>
      </c>
      <c r="M353" s="11">
        <f t="shared" ref="M353:M362" si="426">$M$351</f>
        <v>0</v>
      </c>
      <c r="N353" s="9">
        <f t="shared" si="420"/>
        <v>0</v>
      </c>
      <c r="O353" s="12">
        <f t="shared" si="421"/>
        <v>0</v>
      </c>
      <c r="P353" s="13" t="str">
        <f t="shared" si="373"/>
        <v>NO</v>
      </c>
      <c r="Q353">
        <f t="shared" si="422"/>
        <v>0</v>
      </c>
      <c r="R353">
        <f t="shared" si="423"/>
        <v>100</v>
      </c>
      <c r="S353">
        <f t="shared" si="424"/>
        <v>0</v>
      </c>
    </row>
    <row r="354" spans="1:19" ht="15" hidden="1" customHeight="1" x14ac:dyDescent="0.3">
      <c r="A354" s="34" t="s">
        <v>1385</v>
      </c>
      <c r="B354" s="36">
        <v>246</v>
      </c>
      <c r="C354" s="29" t="s">
        <v>1293</v>
      </c>
      <c r="D354" s="29" t="str">
        <f t="shared" si="425"/>
        <v>NO APLICA</v>
      </c>
      <c r="E354" s="27" t="s">
        <v>1152</v>
      </c>
      <c r="F354" s="20">
        <f>(F352+F353)*S354</f>
        <v>0</v>
      </c>
      <c r="G354" s="21">
        <v>0</v>
      </c>
      <c r="H354" s="9">
        <f t="shared" si="416"/>
        <v>0</v>
      </c>
      <c r="I354" s="9" t="s">
        <v>1235</v>
      </c>
      <c r="J354" s="9">
        <f t="shared" si="417"/>
        <v>0</v>
      </c>
      <c r="K354" s="9">
        <f t="shared" si="418"/>
        <v>0</v>
      </c>
      <c r="L354" s="9">
        <f t="shared" si="419"/>
        <v>0</v>
      </c>
      <c r="M354" s="11">
        <f t="shared" si="426"/>
        <v>0</v>
      </c>
      <c r="N354" s="9">
        <f t="shared" si="420"/>
        <v>0</v>
      </c>
      <c r="O354" s="12">
        <f t="shared" si="421"/>
        <v>0</v>
      </c>
      <c r="P354" s="13" t="str">
        <f t="shared" ref="P354:P410" si="427">IF(Q354=1,"SI","NO")</f>
        <v>NO</v>
      </c>
      <c r="Q354">
        <f t="shared" si="422"/>
        <v>0</v>
      </c>
      <c r="R354">
        <f t="shared" si="423"/>
        <v>100</v>
      </c>
      <c r="S354">
        <f t="shared" si="424"/>
        <v>0</v>
      </c>
    </row>
    <row r="355" spans="1:19" ht="15" hidden="1" customHeight="1" x14ac:dyDescent="0.3">
      <c r="A355" s="34" t="s">
        <v>1385</v>
      </c>
      <c r="B355" s="36">
        <v>247</v>
      </c>
      <c r="C355" s="29" t="s">
        <v>1387</v>
      </c>
      <c r="D355" s="29" t="str">
        <f t="shared" si="425"/>
        <v>NO APLICA</v>
      </c>
      <c r="E355" s="27" t="s">
        <v>1152</v>
      </c>
      <c r="F355" s="43">
        <v>0</v>
      </c>
      <c r="G355" s="21">
        <v>0</v>
      </c>
      <c r="H355" s="9">
        <f t="shared" si="416"/>
        <v>0</v>
      </c>
      <c r="I355" s="9" t="s">
        <v>1235</v>
      </c>
      <c r="J355" s="9">
        <f t="shared" si="417"/>
        <v>0</v>
      </c>
      <c r="K355" s="9">
        <f t="shared" si="418"/>
        <v>0</v>
      </c>
      <c r="L355" s="9">
        <f t="shared" si="419"/>
        <v>0</v>
      </c>
      <c r="M355" s="11">
        <f t="shared" si="426"/>
        <v>0</v>
      </c>
      <c r="N355" s="9">
        <f t="shared" si="420"/>
        <v>0</v>
      </c>
      <c r="O355" s="12">
        <f t="shared" si="421"/>
        <v>0</v>
      </c>
      <c r="P355" s="13" t="str">
        <f t="shared" si="427"/>
        <v>NO</v>
      </c>
      <c r="Q355">
        <f t="shared" si="422"/>
        <v>0</v>
      </c>
      <c r="R355">
        <f t="shared" si="423"/>
        <v>100</v>
      </c>
      <c r="S355">
        <f t="shared" si="424"/>
        <v>0</v>
      </c>
    </row>
    <row r="356" spans="1:19" ht="15" hidden="1" customHeight="1" x14ac:dyDescent="0.3">
      <c r="A356" s="34" t="s">
        <v>1385</v>
      </c>
      <c r="B356" s="36">
        <v>248</v>
      </c>
      <c r="C356" s="29" t="s">
        <v>1388</v>
      </c>
      <c r="D356" s="29" t="str">
        <f t="shared" si="425"/>
        <v>NO APLICA</v>
      </c>
      <c r="E356" s="27" t="s">
        <v>1152</v>
      </c>
      <c r="F356" s="43">
        <v>0</v>
      </c>
      <c r="G356" s="21">
        <v>0</v>
      </c>
      <c r="H356" s="9">
        <f t="shared" si="416"/>
        <v>0</v>
      </c>
      <c r="I356" s="9" t="s">
        <v>1235</v>
      </c>
      <c r="J356" s="9">
        <f t="shared" si="417"/>
        <v>0</v>
      </c>
      <c r="K356" s="9">
        <f t="shared" si="418"/>
        <v>0</v>
      </c>
      <c r="L356" s="9">
        <f t="shared" si="419"/>
        <v>0</v>
      </c>
      <c r="M356" s="11">
        <f t="shared" si="426"/>
        <v>0</v>
      </c>
      <c r="N356" s="9">
        <f t="shared" si="420"/>
        <v>0</v>
      </c>
      <c r="O356" s="12">
        <f t="shared" si="421"/>
        <v>0</v>
      </c>
      <c r="P356" s="13" t="str">
        <f t="shared" si="427"/>
        <v>NO</v>
      </c>
      <c r="Q356">
        <f t="shared" si="422"/>
        <v>0</v>
      </c>
      <c r="R356">
        <f t="shared" si="423"/>
        <v>100</v>
      </c>
      <c r="S356">
        <f t="shared" si="424"/>
        <v>0</v>
      </c>
    </row>
    <row r="357" spans="1:19" ht="15" hidden="1" customHeight="1" x14ac:dyDescent="0.3">
      <c r="A357" s="34" t="s">
        <v>1385</v>
      </c>
      <c r="B357" s="36">
        <v>249</v>
      </c>
      <c r="C357" s="29" t="s">
        <v>1389</v>
      </c>
      <c r="D357" s="29" t="str">
        <f t="shared" si="425"/>
        <v>NO APLICA</v>
      </c>
      <c r="E357" s="27" t="s">
        <v>1152</v>
      </c>
      <c r="F357" s="43">
        <v>0</v>
      </c>
      <c r="G357" s="21">
        <v>0</v>
      </c>
      <c r="H357" s="9">
        <f t="shared" si="416"/>
        <v>0</v>
      </c>
      <c r="I357" s="9" t="s">
        <v>1235</v>
      </c>
      <c r="J357" s="9">
        <f t="shared" si="417"/>
        <v>0</v>
      </c>
      <c r="K357" s="9">
        <f t="shared" si="418"/>
        <v>0</v>
      </c>
      <c r="L357" s="9">
        <f t="shared" si="419"/>
        <v>0</v>
      </c>
      <c r="M357" s="11">
        <f t="shared" si="426"/>
        <v>0</v>
      </c>
      <c r="N357" s="9">
        <f t="shared" si="420"/>
        <v>0</v>
      </c>
      <c r="O357" s="12">
        <f t="shared" si="421"/>
        <v>0</v>
      </c>
      <c r="P357" s="13" t="str">
        <f t="shared" si="427"/>
        <v>NO</v>
      </c>
      <c r="Q357">
        <f t="shared" si="422"/>
        <v>0</v>
      </c>
      <c r="R357">
        <f t="shared" si="423"/>
        <v>100</v>
      </c>
      <c r="S357">
        <f t="shared" si="424"/>
        <v>0</v>
      </c>
    </row>
    <row r="358" spans="1:19" ht="15" hidden="1" customHeight="1" x14ac:dyDescent="0.3">
      <c r="A358" s="34" t="s">
        <v>1385</v>
      </c>
      <c r="B358" s="36">
        <v>250</v>
      </c>
      <c r="C358" s="29" t="s">
        <v>1390</v>
      </c>
      <c r="D358" s="29" t="str">
        <f t="shared" si="425"/>
        <v>NO APLICA</v>
      </c>
      <c r="E358" s="27" t="s">
        <v>1152</v>
      </c>
      <c r="F358" s="43">
        <v>0</v>
      </c>
      <c r="G358" s="21">
        <v>0</v>
      </c>
      <c r="H358" s="9">
        <f t="shared" si="416"/>
        <v>0</v>
      </c>
      <c r="I358" s="9" t="s">
        <v>1235</v>
      </c>
      <c r="J358" s="9">
        <f t="shared" si="417"/>
        <v>0</v>
      </c>
      <c r="K358" s="9">
        <f t="shared" si="418"/>
        <v>0</v>
      </c>
      <c r="L358" s="9">
        <f t="shared" si="419"/>
        <v>0</v>
      </c>
      <c r="M358" s="11">
        <f t="shared" si="426"/>
        <v>0</v>
      </c>
      <c r="N358" s="9">
        <f t="shared" si="420"/>
        <v>0</v>
      </c>
      <c r="O358" s="12">
        <f t="shared" si="421"/>
        <v>0</v>
      </c>
      <c r="P358" s="13" t="str">
        <f t="shared" si="427"/>
        <v>NO</v>
      </c>
      <c r="Q358">
        <f t="shared" si="422"/>
        <v>0</v>
      </c>
      <c r="R358">
        <f t="shared" si="423"/>
        <v>100</v>
      </c>
      <c r="S358">
        <f t="shared" si="424"/>
        <v>0</v>
      </c>
    </row>
    <row r="359" spans="1:19" ht="15" hidden="1" customHeight="1" x14ac:dyDescent="0.3">
      <c r="A359" s="34" t="s">
        <v>1385</v>
      </c>
      <c r="B359" s="36">
        <v>251</v>
      </c>
      <c r="C359" s="29" t="s">
        <v>1391</v>
      </c>
      <c r="D359" s="29" t="str">
        <f t="shared" si="425"/>
        <v>NO APLICA</v>
      </c>
      <c r="E359" s="27" t="s">
        <v>1152</v>
      </c>
      <c r="F359" s="43">
        <v>0</v>
      </c>
      <c r="G359" s="21">
        <v>0</v>
      </c>
      <c r="H359" s="9">
        <f t="shared" si="416"/>
        <v>0</v>
      </c>
      <c r="I359" s="9" t="s">
        <v>1235</v>
      </c>
      <c r="J359" s="9">
        <f t="shared" si="417"/>
        <v>0</v>
      </c>
      <c r="K359" s="9">
        <f t="shared" si="418"/>
        <v>0</v>
      </c>
      <c r="L359" s="9">
        <f t="shared" si="419"/>
        <v>0</v>
      </c>
      <c r="M359" s="11">
        <f t="shared" si="426"/>
        <v>0</v>
      </c>
      <c r="N359" s="9">
        <f t="shared" si="420"/>
        <v>0</v>
      </c>
      <c r="O359" s="12">
        <f t="shared" si="421"/>
        <v>0</v>
      </c>
      <c r="P359" s="13" t="str">
        <f t="shared" si="427"/>
        <v>NO</v>
      </c>
      <c r="Q359">
        <f t="shared" si="422"/>
        <v>0</v>
      </c>
      <c r="R359">
        <f t="shared" si="423"/>
        <v>100</v>
      </c>
      <c r="S359">
        <f t="shared" si="424"/>
        <v>0</v>
      </c>
    </row>
    <row r="360" spans="1:19" ht="15" hidden="1" customHeight="1" x14ac:dyDescent="0.3">
      <c r="A360" s="34" t="s">
        <v>1385</v>
      </c>
      <c r="B360" s="36">
        <v>252</v>
      </c>
      <c r="C360" s="29" t="s">
        <v>1392</v>
      </c>
      <c r="D360" s="29" t="str">
        <f t="shared" si="425"/>
        <v>NO APLICA</v>
      </c>
      <c r="E360" s="27" t="s">
        <v>1152</v>
      </c>
      <c r="F360" s="43">
        <v>0</v>
      </c>
      <c r="G360" s="21">
        <v>0</v>
      </c>
      <c r="H360" s="9">
        <f t="shared" si="416"/>
        <v>0</v>
      </c>
      <c r="I360" s="9" t="s">
        <v>1235</v>
      </c>
      <c r="J360" s="9">
        <f t="shared" si="417"/>
        <v>0</v>
      </c>
      <c r="K360" s="9">
        <f t="shared" si="418"/>
        <v>0</v>
      </c>
      <c r="L360" s="9">
        <f t="shared" si="419"/>
        <v>0</v>
      </c>
      <c r="M360" s="11">
        <f t="shared" si="426"/>
        <v>0</v>
      </c>
      <c r="N360" s="9">
        <f t="shared" si="420"/>
        <v>0</v>
      </c>
      <c r="O360" s="12">
        <f t="shared" si="421"/>
        <v>0</v>
      </c>
      <c r="P360" s="13" t="str">
        <f t="shared" si="427"/>
        <v>NO</v>
      </c>
      <c r="Q360">
        <f t="shared" si="422"/>
        <v>0</v>
      </c>
      <c r="R360">
        <f t="shared" si="423"/>
        <v>100</v>
      </c>
      <c r="S360">
        <f t="shared" si="424"/>
        <v>0</v>
      </c>
    </row>
    <row r="361" spans="1:19" ht="15" hidden="1" customHeight="1" x14ac:dyDescent="0.3">
      <c r="A361" s="34" t="s">
        <v>1385</v>
      </c>
      <c r="B361" s="36">
        <v>275</v>
      </c>
      <c r="C361" s="29" t="s">
        <v>1393</v>
      </c>
      <c r="D361" s="29" t="str">
        <f t="shared" si="425"/>
        <v>NO APLICA</v>
      </c>
      <c r="E361" s="27" t="s">
        <v>1152</v>
      </c>
      <c r="F361" s="43">
        <v>0</v>
      </c>
      <c r="G361" s="21">
        <v>0</v>
      </c>
      <c r="H361" s="9">
        <f t="shared" si="416"/>
        <v>0</v>
      </c>
      <c r="I361" s="9" t="s">
        <v>1235</v>
      </c>
      <c r="J361" s="9">
        <f t="shared" si="417"/>
        <v>0</v>
      </c>
      <c r="K361" s="9">
        <f t="shared" si="418"/>
        <v>0</v>
      </c>
      <c r="L361" s="9">
        <f t="shared" si="419"/>
        <v>0</v>
      </c>
      <c r="M361" s="11">
        <f t="shared" si="426"/>
        <v>0</v>
      </c>
      <c r="N361" s="9">
        <f t="shared" si="420"/>
        <v>0</v>
      </c>
      <c r="O361" s="12">
        <f t="shared" si="421"/>
        <v>0</v>
      </c>
      <c r="P361" s="13" t="str">
        <f t="shared" si="427"/>
        <v>NO</v>
      </c>
      <c r="Q361">
        <f t="shared" si="422"/>
        <v>0</v>
      </c>
      <c r="R361">
        <f t="shared" si="423"/>
        <v>100</v>
      </c>
      <c r="S361">
        <f t="shared" si="424"/>
        <v>0</v>
      </c>
    </row>
    <row r="362" spans="1:19" ht="15" hidden="1" customHeight="1" x14ac:dyDescent="0.3">
      <c r="A362" s="34" t="s">
        <v>1385</v>
      </c>
      <c r="B362" s="36">
        <v>305</v>
      </c>
      <c r="C362" s="29" t="s">
        <v>1394</v>
      </c>
      <c r="D362" s="29" t="str">
        <f t="shared" si="425"/>
        <v>NO APLICA</v>
      </c>
      <c r="E362" s="27" t="s">
        <v>1152</v>
      </c>
      <c r="F362" s="43">
        <v>0</v>
      </c>
      <c r="G362" s="21">
        <v>0</v>
      </c>
      <c r="H362" s="9">
        <f t="shared" si="416"/>
        <v>0</v>
      </c>
      <c r="I362" s="9" t="s">
        <v>1235</v>
      </c>
      <c r="J362" s="9">
        <f t="shared" si="417"/>
        <v>0</v>
      </c>
      <c r="K362" s="9">
        <f t="shared" si="418"/>
        <v>0</v>
      </c>
      <c r="L362" s="9">
        <f t="shared" si="419"/>
        <v>0</v>
      </c>
      <c r="M362" s="11">
        <f t="shared" si="426"/>
        <v>0</v>
      </c>
      <c r="N362" s="9">
        <f t="shared" si="420"/>
        <v>0</v>
      </c>
      <c r="O362" s="12">
        <f t="shared" si="421"/>
        <v>0</v>
      </c>
      <c r="P362" s="13" t="str">
        <f t="shared" si="427"/>
        <v>NO</v>
      </c>
      <c r="Q362">
        <f t="shared" si="422"/>
        <v>0</v>
      </c>
      <c r="R362">
        <f t="shared" si="423"/>
        <v>100</v>
      </c>
      <c r="S362">
        <f t="shared" si="424"/>
        <v>0</v>
      </c>
    </row>
    <row r="363" spans="1:19" s="18" customFormat="1" ht="15" hidden="1" customHeight="1" x14ac:dyDescent="0.3">
      <c r="A363" s="24"/>
      <c r="B363" s="26"/>
      <c r="C363" s="15" t="s">
        <v>1177</v>
      </c>
      <c r="D363" s="38" t="str">
        <f>D362</f>
        <v>NO APLICA</v>
      </c>
      <c r="E363" s="38"/>
      <c r="F363" s="16">
        <f>SUMIF(E352:E362,"Adicional",F352:F362)</f>
        <v>0</v>
      </c>
      <c r="G363" s="17"/>
      <c r="H363" s="16">
        <f>SUM(H352:H362)</f>
        <v>0</v>
      </c>
      <c r="I363" s="16"/>
      <c r="J363" s="16">
        <f t="shared" ref="J363:L363" si="428">SUM(J352:J362)</f>
        <v>0</v>
      </c>
      <c r="K363" s="16">
        <f t="shared" si="428"/>
        <v>0</v>
      </c>
      <c r="L363" s="16">
        <f t="shared" si="428"/>
        <v>0</v>
      </c>
      <c r="M363" s="16" t="s">
        <v>1178</v>
      </c>
      <c r="N363" s="16">
        <f t="shared" ref="N363:O363" si="429">SUM(N352:N362)</f>
        <v>0</v>
      </c>
      <c r="O363" s="84">
        <f t="shared" si="429"/>
        <v>0</v>
      </c>
      <c r="P363" s="13" t="str">
        <f t="shared" si="427"/>
        <v>NO</v>
      </c>
      <c r="Q363">
        <f>IF(D363="INCLUIDO",IF(H363&lt;&gt;0,1,0),0)</f>
        <v>0</v>
      </c>
    </row>
    <row r="364" spans="1:19" ht="21" hidden="1" customHeight="1" x14ac:dyDescent="0.3">
      <c r="A364" s="82">
        <v>913</v>
      </c>
      <c r="B364" s="33">
        <v>2</v>
      </c>
      <c r="C364" s="19" t="s">
        <v>1395</v>
      </c>
      <c r="D364" s="23" t="str">
        <f>'Ramo Comercial'!C167</f>
        <v>NO APLICA</v>
      </c>
      <c r="E364" s="91"/>
      <c r="F364" s="28"/>
      <c r="G364" s="28"/>
      <c r="H364" s="28"/>
      <c r="I364" s="28"/>
      <c r="J364" s="28"/>
      <c r="K364" s="28"/>
      <c r="L364" s="28"/>
      <c r="M364" s="68">
        <v>0</v>
      </c>
      <c r="N364" s="28"/>
      <c r="O364" s="83"/>
      <c r="P364" s="13" t="str">
        <f t="shared" si="427"/>
        <v>NO</v>
      </c>
      <c r="Q364" s="47">
        <f>IF(D364="INCLUIDO",IF(F365&lt;&gt;0,1,0),0)</f>
        <v>0</v>
      </c>
    </row>
    <row r="365" spans="1:19" ht="15" hidden="1" customHeight="1" x14ac:dyDescent="0.3">
      <c r="A365" s="34" t="s">
        <v>1385</v>
      </c>
      <c r="B365" s="36">
        <v>192</v>
      </c>
      <c r="C365" s="29" t="s">
        <v>1396</v>
      </c>
      <c r="D365" s="29" t="str">
        <f>$D$364</f>
        <v>NO APLICA</v>
      </c>
      <c r="E365" s="27" t="s">
        <v>1152</v>
      </c>
      <c r="F365" s="43">
        <v>0</v>
      </c>
      <c r="G365" s="21">
        <v>0</v>
      </c>
      <c r="H365" s="9">
        <f t="shared" ref="H365:H368" si="430">(IF(I365="$ Prima",G365,G365*F365/R365))*$U$9</f>
        <v>0</v>
      </c>
      <c r="I365" s="9" t="s">
        <v>1235</v>
      </c>
      <c r="J365" s="9">
        <f t="shared" ref="J365:J368" si="431">H365*$U$7</f>
        <v>0</v>
      </c>
      <c r="K365" s="9">
        <f t="shared" ref="K365:K368" si="432">(H365+J365)*$K$15</f>
        <v>0</v>
      </c>
      <c r="L365" s="9">
        <f t="shared" ref="L365:L368" si="433">ROUND(H365+J365+K365,2)</f>
        <v>0</v>
      </c>
      <c r="M365" s="11">
        <f>$M$364</f>
        <v>0</v>
      </c>
      <c r="N365" s="9">
        <f t="shared" ref="N365:N368" si="434">H365*M365</f>
        <v>0</v>
      </c>
      <c r="O365" s="12">
        <f t="shared" ref="O365:O368" si="435">N365</f>
        <v>0</v>
      </c>
      <c r="P365" s="13" t="str">
        <f t="shared" si="427"/>
        <v>NO</v>
      </c>
      <c r="Q365">
        <f>IF(D365="INCLUIDO",IF(F365&lt;&gt;0,1,0),0)</f>
        <v>0</v>
      </c>
      <c r="R365">
        <f>IF(I365="%o Al Millar",1000,IF(I365="% Al Porciento",100,IF(I365="$ Prima",G365)))</f>
        <v>100</v>
      </c>
      <c r="S365">
        <f t="shared" ref="S365:S368" si="436">IF(E365="Excluido",0,IF(D365="NO APLICA",0,1))</f>
        <v>0</v>
      </c>
    </row>
    <row r="366" spans="1:19" ht="22.5" hidden="1" customHeight="1" x14ac:dyDescent="0.3">
      <c r="A366" s="34" t="s">
        <v>1385</v>
      </c>
      <c r="B366" s="36">
        <v>193</v>
      </c>
      <c r="C366" s="29" t="s">
        <v>1397</v>
      </c>
      <c r="D366" s="29" t="str">
        <f t="shared" ref="D366:D368" si="437">$D$364</f>
        <v>NO APLICA</v>
      </c>
      <c r="E366" s="27" t="s">
        <v>1152</v>
      </c>
      <c r="F366" s="43">
        <v>0</v>
      </c>
      <c r="G366" s="21">
        <v>0</v>
      </c>
      <c r="H366" s="9">
        <f t="shared" si="430"/>
        <v>0</v>
      </c>
      <c r="I366" s="9" t="s">
        <v>1235</v>
      </c>
      <c r="J366" s="9">
        <f t="shared" si="431"/>
        <v>0</v>
      </c>
      <c r="K366" s="9">
        <f t="shared" si="432"/>
        <v>0</v>
      </c>
      <c r="L366" s="9">
        <f t="shared" si="433"/>
        <v>0</v>
      </c>
      <c r="M366" s="11">
        <f t="shared" ref="M366:M368" si="438">$M$364</f>
        <v>0</v>
      </c>
      <c r="N366" s="9">
        <f t="shared" si="434"/>
        <v>0</v>
      </c>
      <c r="O366" s="12">
        <f t="shared" si="435"/>
        <v>0</v>
      </c>
      <c r="P366" s="13" t="str">
        <f t="shared" si="427"/>
        <v>NO</v>
      </c>
      <c r="Q366">
        <f>IF(D366="INCLUIDO",IF(F366&lt;&gt;0,1,0),0)</f>
        <v>0</v>
      </c>
      <c r="R366">
        <f>IF(I366="%o Al Millar",1000,IF(I366="% Al Porciento",100,IF(I366="$ Prima",G366)))</f>
        <v>100</v>
      </c>
      <c r="S366">
        <f t="shared" si="436"/>
        <v>0</v>
      </c>
    </row>
    <row r="367" spans="1:19" ht="15" hidden="1" customHeight="1" x14ac:dyDescent="0.3">
      <c r="A367" s="34" t="s">
        <v>1385</v>
      </c>
      <c r="B367" s="36">
        <v>194</v>
      </c>
      <c r="C367" s="29" t="s">
        <v>1398</v>
      </c>
      <c r="D367" s="29" t="str">
        <f t="shared" si="437"/>
        <v>NO APLICA</v>
      </c>
      <c r="E367" s="27" t="s">
        <v>1152</v>
      </c>
      <c r="F367" s="43">
        <v>0</v>
      </c>
      <c r="G367" s="21">
        <v>0</v>
      </c>
      <c r="H367" s="9">
        <f t="shared" si="430"/>
        <v>0</v>
      </c>
      <c r="I367" s="9" t="s">
        <v>1235</v>
      </c>
      <c r="J367" s="9">
        <f t="shared" si="431"/>
        <v>0</v>
      </c>
      <c r="K367" s="9">
        <f t="shared" si="432"/>
        <v>0</v>
      </c>
      <c r="L367" s="9">
        <f t="shared" si="433"/>
        <v>0</v>
      </c>
      <c r="M367" s="11">
        <f t="shared" si="438"/>
        <v>0</v>
      </c>
      <c r="N367" s="9">
        <f t="shared" si="434"/>
        <v>0</v>
      </c>
      <c r="O367" s="12">
        <f t="shared" si="435"/>
        <v>0</v>
      </c>
      <c r="P367" s="13" t="str">
        <f t="shared" si="427"/>
        <v>NO</v>
      </c>
      <c r="Q367">
        <f>IF(D367="INCLUIDO",IF(F367&lt;&gt;0,1,0),0)</f>
        <v>0</v>
      </c>
      <c r="R367">
        <f>IF(I367="%o Al Millar",1000,IF(I367="% Al Porciento",100,IF(I367="$ Prima",G367)))</f>
        <v>100</v>
      </c>
      <c r="S367">
        <f t="shared" si="436"/>
        <v>0</v>
      </c>
    </row>
    <row r="368" spans="1:19" ht="15" hidden="1" customHeight="1" x14ac:dyDescent="0.3">
      <c r="A368" s="34" t="s">
        <v>1385</v>
      </c>
      <c r="B368" s="36">
        <v>253</v>
      </c>
      <c r="C368" s="29" t="s">
        <v>1293</v>
      </c>
      <c r="D368" s="29" t="str">
        <f t="shared" si="437"/>
        <v>NO APLICA</v>
      </c>
      <c r="E368" s="27" t="s">
        <v>1152</v>
      </c>
      <c r="F368" s="20">
        <f>(F365+F366+F367)*1</f>
        <v>0</v>
      </c>
      <c r="G368" s="21">
        <v>0</v>
      </c>
      <c r="H368" s="9">
        <f t="shared" si="430"/>
        <v>0</v>
      </c>
      <c r="I368" s="9" t="s">
        <v>1235</v>
      </c>
      <c r="J368" s="9">
        <f t="shared" si="431"/>
        <v>0</v>
      </c>
      <c r="K368" s="9">
        <f t="shared" si="432"/>
        <v>0</v>
      </c>
      <c r="L368" s="9">
        <f t="shared" si="433"/>
        <v>0</v>
      </c>
      <c r="M368" s="11">
        <f t="shared" si="438"/>
        <v>0</v>
      </c>
      <c r="N368" s="9">
        <f t="shared" si="434"/>
        <v>0</v>
      </c>
      <c r="O368" s="12">
        <f t="shared" si="435"/>
        <v>0</v>
      </c>
      <c r="P368" s="13" t="str">
        <f t="shared" si="427"/>
        <v>NO</v>
      </c>
      <c r="Q368">
        <f>IF(D368="INCLUIDO",IF(F368&lt;&gt;0,1,0),0)</f>
        <v>0</v>
      </c>
      <c r="R368">
        <f>IF(I368="%o Al Millar",1000,IF(I368="% Al Porciento",100,IF(I368="$ Prima",G368)))</f>
        <v>100</v>
      </c>
      <c r="S368">
        <f t="shared" si="436"/>
        <v>0</v>
      </c>
    </row>
    <row r="369" spans="1:22" s="18" customFormat="1" ht="15" hidden="1" customHeight="1" thickBot="1" x14ac:dyDescent="0.35">
      <c r="A369" s="24"/>
      <c r="B369" s="26"/>
      <c r="C369" s="15" t="s">
        <v>1177</v>
      </c>
      <c r="D369" s="38" t="str">
        <f>D368</f>
        <v>NO APLICA</v>
      </c>
      <c r="E369" s="38"/>
      <c r="F369" s="16">
        <f>SUMIF(E365:E368,"Adicional",F365:F368)</f>
        <v>0</v>
      </c>
      <c r="G369" s="17"/>
      <c r="H369" s="16">
        <f>SUM(H365:H368)</f>
        <v>0</v>
      </c>
      <c r="I369" s="16"/>
      <c r="J369" s="16">
        <f t="shared" ref="J369:L369" si="439">SUM(J365:J368)</f>
        <v>0</v>
      </c>
      <c r="K369" s="16">
        <f t="shared" si="439"/>
        <v>0</v>
      </c>
      <c r="L369" s="16">
        <f t="shared" si="439"/>
        <v>0</v>
      </c>
      <c r="M369" s="16" t="s">
        <v>1178</v>
      </c>
      <c r="N369" s="16">
        <f t="shared" ref="N369:O369" si="440">SUM(N365:N368)</f>
        <v>0</v>
      </c>
      <c r="O369" s="84">
        <f t="shared" si="440"/>
        <v>0</v>
      </c>
      <c r="P369" s="13" t="str">
        <f t="shared" si="427"/>
        <v>NO</v>
      </c>
      <c r="Q369">
        <f>IF(D369="INCLUIDO",IF(H369&lt;&gt;0,1,0),0)</f>
        <v>0</v>
      </c>
    </row>
    <row r="370" spans="1:22" ht="15" hidden="1" customHeight="1" thickBot="1" x14ac:dyDescent="0.35">
      <c r="A370" s="82">
        <v>914</v>
      </c>
      <c r="B370" s="33">
        <v>1</v>
      </c>
      <c r="C370" s="19" t="s">
        <v>1399</v>
      </c>
      <c r="D370" s="23" t="str">
        <f>'Ramo Comercial'!C170</f>
        <v>NO APLICA</v>
      </c>
      <c r="E370" s="91"/>
      <c r="F370" s="113">
        <v>0</v>
      </c>
      <c r="G370" s="113">
        <v>0</v>
      </c>
      <c r="H370" s="28"/>
      <c r="I370" s="28"/>
      <c r="J370" s="28"/>
      <c r="K370" s="28"/>
      <c r="L370" s="28"/>
      <c r="M370" s="68">
        <v>0</v>
      </c>
      <c r="N370" s="28"/>
      <c r="O370" s="83"/>
      <c r="P370" s="13" t="str">
        <f t="shared" si="427"/>
        <v>NO</v>
      </c>
      <c r="Q370" s="48">
        <f t="shared" ref="Q370:Q378" si="441">IF(D370="INCLUIDO",IF(F370&lt;&gt;0,1,0),0)</f>
        <v>0</v>
      </c>
      <c r="T370" s="149">
        <f>G370</f>
        <v>0</v>
      </c>
      <c r="U370" s="150"/>
      <c r="V370" s="151"/>
    </row>
    <row r="371" spans="1:22" ht="15" hidden="1" customHeight="1" x14ac:dyDescent="0.3">
      <c r="A371" s="34" t="s">
        <v>1400</v>
      </c>
      <c r="B371" s="36">
        <v>196</v>
      </c>
      <c r="C371" s="29" t="s">
        <v>1401</v>
      </c>
      <c r="D371" s="29" t="str">
        <f>$D$370</f>
        <v>NO APLICA</v>
      </c>
      <c r="E371" s="27" t="s">
        <v>1152</v>
      </c>
      <c r="F371" s="20">
        <f>$F$370*S371</f>
        <v>0</v>
      </c>
      <c r="G371" s="21">
        <f>V371</f>
        <v>0</v>
      </c>
      <c r="H371" s="9">
        <f t="shared" ref="H371:H378" si="442">(IF(I371="$ Prima",G371,G371*F371/R371))*$U$9</f>
        <v>0</v>
      </c>
      <c r="I371" s="9" t="s">
        <v>1235</v>
      </c>
      <c r="J371" s="9">
        <f t="shared" ref="J371:J378" si="443">H371*$U$7</f>
        <v>0</v>
      </c>
      <c r="K371" s="9">
        <f t="shared" ref="K371:K378" si="444">(H371+J371)*$K$15</f>
        <v>0</v>
      </c>
      <c r="L371" s="9">
        <f t="shared" ref="L371:L378" si="445">ROUND(H371+J371+K371,2)</f>
        <v>0</v>
      </c>
      <c r="M371" s="11">
        <f>$M$370</f>
        <v>0</v>
      </c>
      <c r="N371" s="9">
        <f t="shared" ref="N371:N378" si="446">H371*M371</f>
        <v>0</v>
      </c>
      <c r="O371" s="12">
        <f t="shared" ref="O371:O378" si="447">N371</f>
        <v>0</v>
      </c>
      <c r="P371" s="13" t="str">
        <f t="shared" si="427"/>
        <v>NO</v>
      </c>
      <c r="Q371">
        <f t="shared" si="441"/>
        <v>0</v>
      </c>
      <c r="R371">
        <f t="shared" ref="R371:R378" si="448">IF(I371="%o Al Millar",1000,IF(I371="% Al Porciento",100,IF(I371="$ Prima",G371)))</f>
        <v>100</v>
      </c>
      <c r="S371">
        <f t="shared" ref="S371:S378" si="449">IF(E371="Excluido",0,IF(D371="NO APLICA",0,1))</f>
        <v>0</v>
      </c>
      <c r="T371" s="152">
        <v>0.25</v>
      </c>
      <c r="U371" s="159">
        <f>IF(E371="Excluido",0,$T$370*T371)</f>
        <v>0</v>
      </c>
      <c r="V371" s="160">
        <f>IF(D370="NO APLICA",0,(U379-U372-U373-U374-U376-U378)+(T370-U379))</f>
        <v>0</v>
      </c>
    </row>
    <row r="372" spans="1:22" ht="15" hidden="1" customHeight="1" x14ac:dyDescent="0.3">
      <c r="A372" s="34" t="s">
        <v>1400</v>
      </c>
      <c r="B372" s="36">
        <v>197</v>
      </c>
      <c r="C372" s="29" t="s">
        <v>1402</v>
      </c>
      <c r="D372" s="29" t="str">
        <f t="shared" ref="D372:D378" si="450">$D$370</f>
        <v>NO APLICA</v>
      </c>
      <c r="E372" s="27" t="s">
        <v>1137</v>
      </c>
      <c r="F372" s="20">
        <f>$F$371*S372</f>
        <v>0</v>
      </c>
      <c r="G372" s="21">
        <f t="shared" ref="G372:G378" si="451">V372</f>
        <v>0</v>
      </c>
      <c r="H372" s="9">
        <f t="shared" si="442"/>
        <v>0</v>
      </c>
      <c r="I372" s="9" t="s">
        <v>1235</v>
      </c>
      <c r="J372" s="9">
        <f t="shared" si="443"/>
        <v>0</v>
      </c>
      <c r="K372" s="9">
        <f t="shared" si="444"/>
        <v>0</v>
      </c>
      <c r="L372" s="9">
        <f t="shared" si="445"/>
        <v>0</v>
      </c>
      <c r="M372" s="11">
        <f t="shared" ref="M372:M378" si="452">$M$370</f>
        <v>0</v>
      </c>
      <c r="N372" s="9">
        <f t="shared" si="446"/>
        <v>0</v>
      </c>
      <c r="O372" s="12">
        <f t="shared" si="447"/>
        <v>0</v>
      </c>
      <c r="P372" s="13" t="str">
        <f t="shared" si="427"/>
        <v>NO</v>
      </c>
      <c r="Q372">
        <f t="shared" si="441"/>
        <v>0</v>
      </c>
      <c r="R372">
        <f t="shared" si="448"/>
        <v>100</v>
      </c>
      <c r="S372">
        <f t="shared" si="449"/>
        <v>0</v>
      </c>
      <c r="T372" s="152">
        <v>0.05</v>
      </c>
      <c r="U372" s="159">
        <f t="shared" ref="U372:U378" si="453">IF(E372="Excluido",0,$T$370*T372)</f>
        <v>0</v>
      </c>
      <c r="V372" s="160">
        <f>IF(F372=0,0,U372)</f>
        <v>0</v>
      </c>
    </row>
    <row r="373" spans="1:22" ht="15" hidden="1" customHeight="1" x14ac:dyDescent="0.3">
      <c r="A373" s="34" t="s">
        <v>1400</v>
      </c>
      <c r="B373" s="36">
        <v>198</v>
      </c>
      <c r="C373" s="29" t="s">
        <v>1403</v>
      </c>
      <c r="D373" s="29" t="str">
        <f t="shared" si="450"/>
        <v>NO APLICA</v>
      </c>
      <c r="E373" s="27" t="s">
        <v>1137</v>
      </c>
      <c r="F373" s="20">
        <f t="shared" ref="F373:F378" si="454">$F$371*S373</f>
        <v>0</v>
      </c>
      <c r="G373" s="21">
        <f t="shared" si="451"/>
        <v>0</v>
      </c>
      <c r="H373" s="9">
        <f t="shared" si="442"/>
        <v>0</v>
      </c>
      <c r="I373" s="9" t="s">
        <v>1235</v>
      </c>
      <c r="J373" s="9">
        <f t="shared" si="443"/>
        <v>0</v>
      </c>
      <c r="K373" s="9">
        <f t="shared" si="444"/>
        <v>0</v>
      </c>
      <c r="L373" s="9">
        <f t="shared" si="445"/>
        <v>0</v>
      </c>
      <c r="M373" s="11">
        <f t="shared" si="452"/>
        <v>0</v>
      </c>
      <c r="N373" s="9">
        <f t="shared" si="446"/>
        <v>0</v>
      </c>
      <c r="O373" s="12">
        <f t="shared" si="447"/>
        <v>0</v>
      </c>
      <c r="P373" s="13" t="str">
        <f t="shared" si="427"/>
        <v>NO</v>
      </c>
      <c r="Q373">
        <f t="shared" si="441"/>
        <v>0</v>
      </c>
      <c r="R373">
        <f t="shared" si="448"/>
        <v>100</v>
      </c>
      <c r="S373">
        <f t="shared" si="449"/>
        <v>0</v>
      </c>
      <c r="T373" s="152">
        <v>0.1</v>
      </c>
      <c r="U373" s="159">
        <f t="shared" si="453"/>
        <v>0</v>
      </c>
      <c r="V373" s="160">
        <f t="shared" ref="V373:V378" si="455">IF(F373=0,0,U373)</f>
        <v>0</v>
      </c>
    </row>
    <row r="374" spans="1:22" ht="15" hidden="1" customHeight="1" x14ac:dyDescent="0.3">
      <c r="A374" s="34" t="s">
        <v>1400</v>
      </c>
      <c r="B374" s="36">
        <v>199</v>
      </c>
      <c r="C374" s="29" t="s">
        <v>1404</v>
      </c>
      <c r="D374" s="29" t="str">
        <f t="shared" si="450"/>
        <v>NO APLICA</v>
      </c>
      <c r="E374" s="27" t="s">
        <v>1137</v>
      </c>
      <c r="F374" s="20">
        <f t="shared" si="454"/>
        <v>0</v>
      </c>
      <c r="G374" s="21">
        <f t="shared" si="451"/>
        <v>0</v>
      </c>
      <c r="H374" s="9">
        <f t="shared" si="442"/>
        <v>0</v>
      </c>
      <c r="I374" s="9" t="s">
        <v>1235</v>
      </c>
      <c r="J374" s="9">
        <f t="shared" si="443"/>
        <v>0</v>
      </c>
      <c r="K374" s="9">
        <f t="shared" si="444"/>
        <v>0</v>
      </c>
      <c r="L374" s="9">
        <f t="shared" si="445"/>
        <v>0</v>
      </c>
      <c r="M374" s="11">
        <f t="shared" si="452"/>
        <v>0</v>
      </c>
      <c r="N374" s="9">
        <f t="shared" si="446"/>
        <v>0</v>
      </c>
      <c r="O374" s="12">
        <f t="shared" si="447"/>
        <v>0</v>
      </c>
      <c r="P374" s="13" t="str">
        <f t="shared" si="427"/>
        <v>NO</v>
      </c>
      <c r="Q374">
        <f t="shared" si="441"/>
        <v>0</v>
      </c>
      <c r="R374">
        <f t="shared" si="448"/>
        <v>100</v>
      </c>
      <c r="S374">
        <f t="shared" si="449"/>
        <v>0</v>
      </c>
      <c r="T374" s="152">
        <v>0.05</v>
      </c>
      <c r="U374" s="159">
        <f t="shared" si="453"/>
        <v>0</v>
      </c>
      <c r="V374" s="160">
        <f t="shared" si="455"/>
        <v>0</v>
      </c>
    </row>
    <row r="375" spans="1:22" ht="15" hidden="1" customHeight="1" x14ac:dyDescent="0.3">
      <c r="A375" s="34" t="s">
        <v>1400</v>
      </c>
      <c r="B375" s="36">
        <v>200</v>
      </c>
      <c r="C375" s="29" t="s">
        <v>1405</v>
      </c>
      <c r="D375" s="29" t="str">
        <f t="shared" si="450"/>
        <v>NO APLICA</v>
      </c>
      <c r="E375" s="27" t="s">
        <v>1137</v>
      </c>
      <c r="F375" s="42">
        <v>0</v>
      </c>
      <c r="G375" s="113">
        <v>0</v>
      </c>
      <c r="H375" s="9">
        <f t="shared" si="442"/>
        <v>0</v>
      </c>
      <c r="I375" s="9" t="s">
        <v>1235</v>
      </c>
      <c r="J375" s="9">
        <f t="shared" si="443"/>
        <v>0</v>
      </c>
      <c r="K375" s="9">
        <f t="shared" si="444"/>
        <v>0</v>
      </c>
      <c r="L375" s="9">
        <f t="shared" si="445"/>
        <v>0</v>
      </c>
      <c r="M375" s="11">
        <f t="shared" si="452"/>
        <v>0</v>
      </c>
      <c r="N375" s="9">
        <f t="shared" si="446"/>
        <v>0</v>
      </c>
      <c r="O375" s="12">
        <f t="shared" si="447"/>
        <v>0</v>
      </c>
      <c r="P375" s="13" t="str">
        <f t="shared" si="427"/>
        <v>NO</v>
      </c>
      <c r="Q375">
        <f t="shared" si="441"/>
        <v>0</v>
      </c>
      <c r="R375">
        <f t="shared" si="448"/>
        <v>100</v>
      </c>
      <c r="S375">
        <f t="shared" si="449"/>
        <v>0</v>
      </c>
      <c r="T375" s="154"/>
      <c r="U375" s="159"/>
      <c r="V375" s="160"/>
    </row>
    <row r="376" spans="1:22" ht="15" hidden="1" customHeight="1" x14ac:dyDescent="0.3">
      <c r="A376" s="34" t="s">
        <v>1400</v>
      </c>
      <c r="B376" s="36">
        <v>201</v>
      </c>
      <c r="C376" s="29" t="s">
        <v>1110</v>
      </c>
      <c r="D376" s="29" t="str">
        <f t="shared" si="450"/>
        <v>NO APLICA</v>
      </c>
      <c r="E376" s="27" t="s">
        <v>1137</v>
      </c>
      <c r="F376" s="20">
        <f t="shared" si="454"/>
        <v>0</v>
      </c>
      <c r="G376" s="21">
        <f t="shared" si="451"/>
        <v>0</v>
      </c>
      <c r="H376" s="9">
        <f t="shared" si="442"/>
        <v>0</v>
      </c>
      <c r="I376" s="9" t="s">
        <v>1235</v>
      </c>
      <c r="J376" s="9">
        <f t="shared" si="443"/>
        <v>0</v>
      </c>
      <c r="K376" s="9">
        <f t="shared" si="444"/>
        <v>0</v>
      </c>
      <c r="L376" s="9">
        <f t="shared" si="445"/>
        <v>0</v>
      </c>
      <c r="M376" s="11">
        <f t="shared" si="452"/>
        <v>0</v>
      </c>
      <c r="N376" s="9">
        <f t="shared" si="446"/>
        <v>0</v>
      </c>
      <c r="O376" s="12">
        <f t="shared" si="447"/>
        <v>0</v>
      </c>
      <c r="P376" s="13" t="str">
        <f t="shared" si="427"/>
        <v>NO</v>
      </c>
      <c r="Q376">
        <f t="shared" si="441"/>
        <v>0</v>
      </c>
      <c r="R376">
        <f t="shared" si="448"/>
        <v>100</v>
      </c>
      <c r="S376">
        <f t="shared" si="449"/>
        <v>0</v>
      </c>
      <c r="T376" s="152">
        <v>0.5</v>
      </c>
      <c r="U376" s="159">
        <f t="shared" si="453"/>
        <v>0</v>
      </c>
      <c r="V376" s="160">
        <f t="shared" si="455"/>
        <v>0</v>
      </c>
    </row>
    <row r="377" spans="1:22" ht="15" hidden="1" customHeight="1" x14ac:dyDescent="0.3">
      <c r="A377" s="34" t="s">
        <v>1400</v>
      </c>
      <c r="B377" s="36">
        <v>202</v>
      </c>
      <c r="C377" s="29" t="s">
        <v>1406</v>
      </c>
      <c r="D377" s="29" t="str">
        <f t="shared" si="450"/>
        <v>NO APLICA</v>
      </c>
      <c r="E377" s="27" t="s">
        <v>1137</v>
      </c>
      <c r="F377" s="42">
        <v>0</v>
      </c>
      <c r="G377" s="113">
        <v>0</v>
      </c>
      <c r="H377" s="9">
        <f t="shared" si="442"/>
        <v>0</v>
      </c>
      <c r="I377" s="9" t="s">
        <v>1235</v>
      </c>
      <c r="J377" s="9">
        <f t="shared" si="443"/>
        <v>0</v>
      </c>
      <c r="K377" s="9">
        <f t="shared" si="444"/>
        <v>0</v>
      </c>
      <c r="L377" s="9">
        <f t="shared" si="445"/>
        <v>0</v>
      </c>
      <c r="M377" s="11">
        <f t="shared" si="452"/>
        <v>0</v>
      </c>
      <c r="N377" s="9">
        <f t="shared" si="446"/>
        <v>0</v>
      </c>
      <c r="O377" s="12">
        <f t="shared" si="447"/>
        <v>0</v>
      </c>
      <c r="P377" s="13" t="str">
        <f t="shared" si="427"/>
        <v>NO</v>
      </c>
      <c r="Q377">
        <f t="shared" si="441"/>
        <v>0</v>
      </c>
      <c r="R377">
        <f t="shared" si="448"/>
        <v>100</v>
      </c>
      <c r="S377">
        <f t="shared" si="449"/>
        <v>0</v>
      </c>
      <c r="T377" s="152"/>
      <c r="U377" s="159"/>
      <c r="V377" s="160"/>
    </row>
    <row r="378" spans="1:22" ht="15" hidden="1" customHeight="1" thickBot="1" x14ac:dyDescent="0.35">
      <c r="A378" s="34" t="s">
        <v>1400</v>
      </c>
      <c r="B378" s="36">
        <v>195</v>
      </c>
      <c r="C378" s="29" t="s">
        <v>1262</v>
      </c>
      <c r="D378" s="29" t="str">
        <f t="shared" si="450"/>
        <v>NO APLICA</v>
      </c>
      <c r="E378" s="27" t="s">
        <v>1186</v>
      </c>
      <c r="F378" s="20">
        <f t="shared" si="454"/>
        <v>0</v>
      </c>
      <c r="G378" s="21">
        <f t="shared" si="451"/>
        <v>0</v>
      </c>
      <c r="H378" s="9">
        <f t="shared" si="442"/>
        <v>0</v>
      </c>
      <c r="I378" s="9" t="s">
        <v>1235</v>
      </c>
      <c r="J378" s="9">
        <f t="shared" si="443"/>
        <v>0</v>
      </c>
      <c r="K378" s="9">
        <f t="shared" si="444"/>
        <v>0</v>
      </c>
      <c r="L378" s="9">
        <f t="shared" si="445"/>
        <v>0</v>
      </c>
      <c r="M378" s="11">
        <f t="shared" si="452"/>
        <v>0</v>
      </c>
      <c r="N378" s="9">
        <f t="shared" si="446"/>
        <v>0</v>
      </c>
      <c r="O378" s="12">
        <f t="shared" si="447"/>
        <v>0</v>
      </c>
      <c r="P378" s="13" t="str">
        <f t="shared" si="427"/>
        <v>NO</v>
      </c>
      <c r="Q378">
        <f t="shared" si="441"/>
        <v>0</v>
      </c>
      <c r="R378">
        <f t="shared" si="448"/>
        <v>100</v>
      </c>
      <c r="S378">
        <f t="shared" si="449"/>
        <v>0</v>
      </c>
      <c r="T378" s="152">
        <v>0.05</v>
      </c>
      <c r="U378" s="159">
        <f t="shared" si="453"/>
        <v>0</v>
      </c>
      <c r="V378" s="160">
        <f t="shared" si="455"/>
        <v>0</v>
      </c>
    </row>
    <row r="379" spans="1:22" s="18" customFormat="1" ht="15" hidden="1" customHeight="1" thickBot="1" x14ac:dyDescent="0.35">
      <c r="A379" s="24"/>
      <c r="B379" s="26"/>
      <c r="C379" s="15" t="s">
        <v>1177</v>
      </c>
      <c r="D379" s="38" t="str">
        <f>D378</f>
        <v>NO APLICA</v>
      </c>
      <c r="E379" s="38"/>
      <c r="F379" s="16">
        <f>SUMIF(E371:E378,"Adicional",F371:F378)</f>
        <v>0</v>
      </c>
      <c r="G379" s="17"/>
      <c r="H379" s="16">
        <f>SUM(H371:H378)</f>
        <v>0</v>
      </c>
      <c r="I379" s="16"/>
      <c r="J379" s="16">
        <f t="shared" ref="J379:L379" si="456">SUM(J371:J378)</f>
        <v>0</v>
      </c>
      <c r="K379" s="16">
        <f t="shared" si="456"/>
        <v>0</v>
      </c>
      <c r="L379" s="16">
        <f t="shared" si="456"/>
        <v>0</v>
      </c>
      <c r="M379" s="16" t="s">
        <v>1178</v>
      </c>
      <c r="N379" s="16">
        <f t="shared" ref="N379:O379" si="457">SUM(N371:N378)</f>
        <v>0</v>
      </c>
      <c r="O379" s="84">
        <f t="shared" si="457"/>
        <v>0</v>
      </c>
      <c r="P379" s="13" t="str">
        <f t="shared" si="427"/>
        <v>NO</v>
      </c>
      <c r="Q379">
        <f>IF(D379="INCLUIDO",IF(H379&lt;&gt;0,1,0),0)</f>
        <v>0</v>
      </c>
      <c r="T379" s="143">
        <f>SUM(T371:T378)</f>
        <v>1</v>
      </c>
      <c r="U379" s="144">
        <f>SUM(U371:U378)</f>
        <v>0</v>
      </c>
      <c r="V379" s="145">
        <f>SUM(V371:V378)</f>
        <v>0</v>
      </c>
    </row>
    <row r="380" spans="1:22" ht="15" hidden="1" customHeight="1" x14ac:dyDescent="0.3">
      <c r="A380" s="82">
        <v>915</v>
      </c>
      <c r="B380" s="33">
        <v>1</v>
      </c>
      <c r="C380" s="19" t="s">
        <v>1407</v>
      </c>
      <c r="D380" s="23" t="str">
        <f>'Ramo Comercial'!C169</f>
        <v>NO APLICA</v>
      </c>
      <c r="E380" s="91"/>
      <c r="F380" s="28"/>
      <c r="G380" s="28"/>
      <c r="H380" s="28"/>
      <c r="I380" s="28"/>
      <c r="J380" s="28"/>
      <c r="K380" s="28"/>
      <c r="L380" s="28"/>
      <c r="M380" s="68">
        <v>0.2</v>
      </c>
      <c r="N380" s="28"/>
      <c r="O380" s="83"/>
      <c r="P380" s="13" t="str">
        <f t="shared" si="427"/>
        <v>NO</v>
      </c>
      <c r="Q380" s="47">
        <f>IF(D380="INCLUIDO",IF(F381&lt;&gt;0,1,0),0)</f>
        <v>0</v>
      </c>
    </row>
    <row r="381" spans="1:22" ht="15" hidden="1" customHeight="1" x14ac:dyDescent="0.3">
      <c r="A381" s="34" t="s">
        <v>1408</v>
      </c>
      <c r="B381" s="36">
        <v>203</v>
      </c>
      <c r="C381" s="29" t="s">
        <v>1409</v>
      </c>
      <c r="D381" s="29" t="str">
        <f>$D$380</f>
        <v>NO APLICA</v>
      </c>
      <c r="E381" s="27" t="s">
        <v>1152</v>
      </c>
      <c r="F381" s="43">
        <v>0</v>
      </c>
      <c r="G381" s="21">
        <v>0</v>
      </c>
      <c r="H381" s="9">
        <f t="shared" ref="H381:H393" si="458">(IF(I381="$ Prima",G381,G381*F381/R381))*$U$9</f>
        <v>0</v>
      </c>
      <c r="I381" s="9" t="s">
        <v>1287</v>
      </c>
      <c r="J381" s="9">
        <f t="shared" ref="J381:J393" si="459">H381*$U$7</f>
        <v>0</v>
      </c>
      <c r="K381" s="9">
        <f t="shared" ref="K381:K393" si="460">(H381+J381)*$K$15</f>
        <v>0</v>
      </c>
      <c r="L381" s="9">
        <f t="shared" ref="L381:L393" si="461">ROUND(H381+J381+K381,2)</f>
        <v>0</v>
      </c>
      <c r="M381" s="11">
        <f>$M$380</f>
        <v>0.2</v>
      </c>
      <c r="N381" s="9">
        <f t="shared" ref="N381:N393" si="462">H381*M381</f>
        <v>0</v>
      </c>
      <c r="O381" s="12">
        <f t="shared" ref="O381:O393" si="463">N381</f>
        <v>0</v>
      </c>
      <c r="P381" s="13" t="str">
        <f t="shared" si="427"/>
        <v>NO</v>
      </c>
      <c r="Q381">
        <f t="shared" ref="Q381:Q393" si="464">IF(D381="INCLUIDO",IF(F381&lt;&gt;0,1,0),0)</f>
        <v>0</v>
      </c>
      <c r="R381">
        <f t="shared" ref="R381:R393" si="465">IF(I381="%o Al Millar",1000,IF(I381="% Al Porciento",100,IF(I381="$ Prima",G381)))</f>
        <v>0</v>
      </c>
      <c r="S381">
        <f t="shared" ref="S381:S393" si="466">IF(E381="Excluido",0,IF(D381="NO APLICA",0,1))</f>
        <v>0</v>
      </c>
    </row>
    <row r="382" spans="1:22" ht="15" hidden="1" customHeight="1" x14ac:dyDescent="0.3">
      <c r="A382" s="34" t="s">
        <v>1408</v>
      </c>
      <c r="B382" s="36">
        <v>206</v>
      </c>
      <c r="C382" s="29" t="s">
        <v>1410</v>
      </c>
      <c r="D382" s="29" t="str">
        <f t="shared" ref="D382:D393" si="467">$D$380</f>
        <v>NO APLICA</v>
      </c>
      <c r="E382" s="27" t="s">
        <v>1152</v>
      </c>
      <c r="F382" s="43">
        <v>0</v>
      </c>
      <c r="G382" s="21">
        <v>0</v>
      </c>
      <c r="H382" s="9">
        <f t="shared" si="458"/>
        <v>0</v>
      </c>
      <c r="I382" s="9" t="s">
        <v>1287</v>
      </c>
      <c r="J382" s="9">
        <f t="shared" si="459"/>
        <v>0</v>
      </c>
      <c r="K382" s="9">
        <f t="shared" si="460"/>
        <v>0</v>
      </c>
      <c r="L382" s="9">
        <f t="shared" si="461"/>
        <v>0</v>
      </c>
      <c r="M382" s="11">
        <f t="shared" ref="M382:M393" si="468">$M$380</f>
        <v>0.2</v>
      </c>
      <c r="N382" s="9">
        <f t="shared" si="462"/>
        <v>0</v>
      </c>
      <c r="O382" s="12">
        <f t="shared" si="463"/>
        <v>0</v>
      </c>
      <c r="P382" s="13" t="str">
        <f t="shared" si="427"/>
        <v>NO</v>
      </c>
      <c r="Q382">
        <f t="shared" si="464"/>
        <v>0</v>
      </c>
      <c r="R382">
        <f t="shared" si="465"/>
        <v>0</v>
      </c>
      <c r="S382">
        <f t="shared" si="466"/>
        <v>0</v>
      </c>
    </row>
    <row r="383" spans="1:22" ht="15" hidden="1" customHeight="1" x14ac:dyDescent="0.3">
      <c r="A383" s="34" t="s">
        <v>1408</v>
      </c>
      <c r="B383" s="36">
        <v>269</v>
      </c>
      <c r="C383" s="29" t="s">
        <v>1411</v>
      </c>
      <c r="D383" s="29" t="str">
        <f t="shared" si="467"/>
        <v>NO APLICA</v>
      </c>
      <c r="E383" s="27" t="s">
        <v>1152</v>
      </c>
      <c r="F383" s="43">
        <v>0</v>
      </c>
      <c r="G383" s="21">
        <v>0</v>
      </c>
      <c r="H383" s="9">
        <f t="shared" si="458"/>
        <v>0</v>
      </c>
      <c r="I383" s="9" t="s">
        <v>1287</v>
      </c>
      <c r="J383" s="9">
        <f t="shared" si="459"/>
        <v>0</v>
      </c>
      <c r="K383" s="9">
        <f t="shared" si="460"/>
        <v>0</v>
      </c>
      <c r="L383" s="9">
        <f t="shared" si="461"/>
        <v>0</v>
      </c>
      <c r="M383" s="11">
        <f t="shared" si="468"/>
        <v>0.2</v>
      </c>
      <c r="N383" s="9">
        <f t="shared" si="462"/>
        <v>0</v>
      </c>
      <c r="O383" s="12">
        <f t="shared" si="463"/>
        <v>0</v>
      </c>
      <c r="P383" s="13" t="str">
        <f t="shared" si="427"/>
        <v>NO</v>
      </c>
      <c r="Q383">
        <f t="shared" si="464"/>
        <v>0</v>
      </c>
      <c r="R383">
        <f t="shared" si="465"/>
        <v>0</v>
      </c>
      <c r="S383">
        <f t="shared" si="466"/>
        <v>0</v>
      </c>
    </row>
    <row r="384" spans="1:22" ht="15" hidden="1" customHeight="1" x14ac:dyDescent="0.3">
      <c r="A384" s="34" t="s">
        <v>1408</v>
      </c>
      <c r="B384" s="36">
        <v>270</v>
      </c>
      <c r="C384" s="29" t="s">
        <v>1412</v>
      </c>
      <c r="D384" s="29" t="str">
        <f t="shared" si="467"/>
        <v>NO APLICA</v>
      </c>
      <c r="E384" s="27" t="s">
        <v>1152</v>
      </c>
      <c r="F384" s="43">
        <v>0</v>
      </c>
      <c r="G384" s="21">
        <v>0</v>
      </c>
      <c r="H384" s="9">
        <f t="shared" si="458"/>
        <v>0</v>
      </c>
      <c r="I384" s="9" t="s">
        <v>1287</v>
      </c>
      <c r="J384" s="9">
        <f t="shared" si="459"/>
        <v>0</v>
      </c>
      <c r="K384" s="9">
        <f t="shared" si="460"/>
        <v>0</v>
      </c>
      <c r="L384" s="9">
        <f t="shared" si="461"/>
        <v>0</v>
      </c>
      <c r="M384" s="11">
        <f t="shared" si="468"/>
        <v>0.2</v>
      </c>
      <c r="N384" s="9">
        <f t="shared" si="462"/>
        <v>0</v>
      </c>
      <c r="O384" s="12">
        <f t="shared" si="463"/>
        <v>0</v>
      </c>
      <c r="P384" s="13" t="str">
        <f t="shared" si="427"/>
        <v>NO</v>
      </c>
      <c r="Q384">
        <f t="shared" si="464"/>
        <v>0</v>
      </c>
      <c r="R384">
        <f t="shared" si="465"/>
        <v>0</v>
      </c>
      <c r="S384">
        <f t="shared" si="466"/>
        <v>0</v>
      </c>
    </row>
    <row r="385" spans="1:19" ht="15" hidden="1" customHeight="1" x14ac:dyDescent="0.3">
      <c r="A385" s="34" t="s">
        <v>1408</v>
      </c>
      <c r="B385" s="36">
        <v>204</v>
      </c>
      <c r="C385" s="29" t="s">
        <v>1413</v>
      </c>
      <c r="D385" s="29" t="str">
        <f t="shared" si="467"/>
        <v>NO APLICA</v>
      </c>
      <c r="E385" s="27" t="s">
        <v>1152</v>
      </c>
      <c r="F385" s="43">
        <v>0</v>
      </c>
      <c r="G385" s="21">
        <v>0</v>
      </c>
      <c r="H385" s="9">
        <f t="shared" si="458"/>
        <v>0</v>
      </c>
      <c r="I385" s="9" t="s">
        <v>1287</v>
      </c>
      <c r="J385" s="9">
        <f t="shared" si="459"/>
        <v>0</v>
      </c>
      <c r="K385" s="9">
        <f t="shared" si="460"/>
        <v>0</v>
      </c>
      <c r="L385" s="9">
        <f t="shared" si="461"/>
        <v>0</v>
      </c>
      <c r="M385" s="11">
        <f t="shared" si="468"/>
        <v>0.2</v>
      </c>
      <c r="N385" s="9">
        <f t="shared" si="462"/>
        <v>0</v>
      </c>
      <c r="O385" s="12">
        <f t="shared" si="463"/>
        <v>0</v>
      </c>
      <c r="P385" s="13" t="str">
        <f t="shared" si="427"/>
        <v>NO</v>
      </c>
      <c r="Q385">
        <f t="shared" si="464"/>
        <v>0</v>
      </c>
      <c r="R385">
        <f t="shared" si="465"/>
        <v>0</v>
      </c>
      <c r="S385">
        <f t="shared" si="466"/>
        <v>0</v>
      </c>
    </row>
    <row r="386" spans="1:19" ht="15" hidden="1" customHeight="1" x14ac:dyDescent="0.3">
      <c r="A386" s="34" t="s">
        <v>1408</v>
      </c>
      <c r="B386" s="36">
        <v>207</v>
      </c>
      <c r="C386" s="29" t="s">
        <v>1414</v>
      </c>
      <c r="D386" s="29" t="str">
        <f t="shared" si="467"/>
        <v>NO APLICA</v>
      </c>
      <c r="E386" s="27" t="s">
        <v>1152</v>
      </c>
      <c r="F386" s="43">
        <v>0</v>
      </c>
      <c r="G386" s="21">
        <v>0</v>
      </c>
      <c r="H386" s="9">
        <f t="shared" si="458"/>
        <v>0</v>
      </c>
      <c r="I386" s="9" t="s">
        <v>1287</v>
      </c>
      <c r="J386" s="9">
        <f t="shared" si="459"/>
        <v>0</v>
      </c>
      <c r="K386" s="9">
        <f t="shared" si="460"/>
        <v>0</v>
      </c>
      <c r="L386" s="9">
        <f t="shared" si="461"/>
        <v>0</v>
      </c>
      <c r="M386" s="11">
        <f t="shared" si="468"/>
        <v>0.2</v>
      </c>
      <c r="N386" s="9">
        <f t="shared" si="462"/>
        <v>0</v>
      </c>
      <c r="O386" s="12">
        <f t="shared" si="463"/>
        <v>0</v>
      </c>
      <c r="P386" s="13" t="str">
        <f t="shared" si="427"/>
        <v>NO</v>
      </c>
      <c r="Q386">
        <f t="shared" si="464"/>
        <v>0</v>
      </c>
      <c r="R386">
        <f t="shared" si="465"/>
        <v>0</v>
      </c>
      <c r="S386">
        <f t="shared" si="466"/>
        <v>0</v>
      </c>
    </row>
    <row r="387" spans="1:19" ht="15" hidden="1" customHeight="1" x14ac:dyDescent="0.3">
      <c r="A387" s="34" t="s">
        <v>1408</v>
      </c>
      <c r="B387" s="36">
        <v>271</v>
      </c>
      <c r="C387" s="29" t="s">
        <v>1415</v>
      </c>
      <c r="D387" s="29" t="str">
        <f t="shared" si="467"/>
        <v>NO APLICA</v>
      </c>
      <c r="E387" s="27" t="s">
        <v>1152</v>
      </c>
      <c r="F387" s="43">
        <v>0</v>
      </c>
      <c r="G387" s="21">
        <v>0</v>
      </c>
      <c r="H387" s="9">
        <f t="shared" si="458"/>
        <v>0</v>
      </c>
      <c r="I387" s="9" t="s">
        <v>1287</v>
      </c>
      <c r="J387" s="9">
        <f t="shared" si="459"/>
        <v>0</v>
      </c>
      <c r="K387" s="9">
        <f t="shared" si="460"/>
        <v>0</v>
      </c>
      <c r="L387" s="9">
        <f t="shared" si="461"/>
        <v>0</v>
      </c>
      <c r="M387" s="11">
        <f t="shared" si="468"/>
        <v>0.2</v>
      </c>
      <c r="N387" s="9">
        <f t="shared" si="462"/>
        <v>0</v>
      </c>
      <c r="O387" s="12">
        <f t="shared" si="463"/>
        <v>0</v>
      </c>
      <c r="P387" s="13" t="str">
        <f t="shared" si="427"/>
        <v>NO</v>
      </c>
      <c r="Q387">
        <f t="shared" si="464"/>
        <v>0</v>
      </c>
      <c r="R387">
        <f t="shared" si="465"/>
        <v>0</v>
      </c>
      <c r="S387">
        <f t="shared" si="466"/>
        <v>0</v>
      </c>
    </row>
    <row r="388" spans="1:19" ht="15" hidden="1" customHeight="1" x14ac:dyDescent="0.3">
      <c r="A388" s="34" t="s">
        <v>1408</v>
      </c>
      <c r="B388" s="36">
        <v>272</v>
      </c>
      <c r="C388" s="29" t="s">
        <v>1416</v>
      </c>
      <c r="D388" s="29" t="str">
        <f t="shared" si="467"/>
        <v>NO APLICA</v>
      </c>
      <c r="E388" s="27" t="s">
        <v>1152</v>
      </c>
      <c r="F388" s="43">
        <v>0</v>
      </c>
      <c r="G388" s="21">
        <v>0</v>
      </c>
      <c r="H388" s="9">
        <f t="shared" si="458"/>
        <v>0</v>
      </c>
      <c r="I388" s="9" t="s">
        <v>1287</v>
      </c>
      <c r="J388" s="9">
        <f t="shared" si="459"/>
        <v>0</v>
      </c>
      <c r="K388" s="9">
        <f t="shared" si="460"/>
        <v>0</v>
      </c>
      <c r="L388" s="9">
        <f t="shared" si="461"/>
        <v>0</v>
      </c>
      <c r="M388" s="11">
        <f t="shared" si="468"/>
        <v>0.2</v>
      </c>
      <c r="N388" s="9">
        <f t="shared" si="462"/>
        <v>0</v>
      </c>
      <c r="O388" s="12">
        <f t="shared" si="463"/>
        <v>0</v>
      </c>
      <c r="P388" s="13" t="str">
        <f t="shared" si="427"/>
        <v>NO</v>
      </c>
      <c r="Q388">
        <f t="shared" si="464"/>
        <v>0</v>
      </c>
      <c r="R388">
        <f t="shared" si="465"/>
        <v>0</v>
      </c>
      <c r="S388">
        <f t="shared" si="466"/>
        <v>0</v>
      </c>
    </row>
    <row r="389" spans="1:19" ht="15" hidden="1" customHeight="1" x14ac:dyDescent="0.3">
      <c r="A389" s="34" t="s">
        <v>1408</v>
      </c>
      <c r="B389" s="36">
        <v>205</v>
      </c>
      <c r="C389" s="29" t="s">
        <v>1417</v>
      </c>
      <c r="D389" s="29" t="str">
        <f t="shared" si="467"/>
        <v>NO APLICA</v>
      </c>
      <c r="E389" s="27" t="s">
        <v>1152</v>
      </c>
      <c r="F389" s="43">
        <v>0</v>
      </c>
      <c r="G389" s="21">
        <v>0</v>
      </c>
      <c r="H389" s="9">
        <f t="shared" si="458"/>
        <v>0</v>
      </c>
      <c r="I389" s="9" t="s">
        <v>1287</v>
      </c>
      <c r="J389" s="9">
        <f t="shared" si="459"/>
        <v>0</v>
      </c>
      <c r="K389" s="9">
        <f t="shared" si="460"/>
        <v>0</v>
      </c>
      <c r="L389" s="9">
        <f t="shared" si="461"/>
        <v>0</v>
      </c>
      <c r="M389" s="11">
        <f t="shared" si="468"/>
        <v>0.2</v>
      </c>
      <c r="N389" s="9">
        <f t="shared" si="462"/>
        <v>0</v>
      </c>
      <c r="O389" s="12">
        <f t="shared" si="463"/>
        <v>0</v>
      </c>
      <c r="P389" s="13" t="str">
        <f t="shared" si="427"/>
        <v>NO</v>
      </c>
      <c r="Q389">
        <f t="shared" si="464"/>
        <v>0</v>
      </c>
      <c r="R389">
        <f t="shared" si="465"/>
        <v>0</v>
      </c>
      <c r="S389">
        <f t="shared" si="466"/>
        <v>0</v>
      </c>
    </row>
    <row r="390" spans="1:19" ht="15" hidden="1" customHeight="1" x14ac:dyDescent="0.3">
      <c r="A390" s="34" t="s">
        <v>1408</v>
      </c>
      <c r="B390" s="36">
        <v>208</v>
      </c>
      <c r="C390" s="29" t="s">
        <v>1418</v>
      </c>
      <c r="D390" s="29" t="str">
        <f t="shared" si="467"/>
        <v>NO APLICA</v>
      </c>
      <c r="E390" s="27" t="s">
        <v>1152</v>
      </c>
      <c r="F390" s="43">
        <v>0</v>
      </c>
      <c r="G390" s="21">
        <v>0</v>
      </c>
      <c r="H390" s="9">
        <f t="shared" si="458"/>
        <v>0</v>
      </c>
      <c r="I390" s="9" t="s">
        <v>1287</v>
      </c>
      <c r="J390" s="9">
        <f t="shared" si="459"/>
        <v>0</v>
      </c>
      <c r="K390" s="9">
        <f t="shared" si="460"/>
        <v>0</v>
      </c>
      <c r="L390" s="9">
        <f t="shared" si="461"/>
        <v>0</v>
      </c>
      <c r="M390" s="11">
        <f t="shared" si="468"/>
        <v>0.2</v>
      </c>
      <c r="N390" s="9">
        <f t="shared" si="462"/>
        <v>0</v>
      </c>
      <c r="O390" s="12">
        <f t="shared" si="463"/>
        <v>0</v>
      </c>
      <c r="P390" s="13" t="str">
        <f t="shared" si="427"/>
        <v>NO</v>
      </c>
      <c r="Q390">
        <f t="shared" si="464"/>
        <v>0</v>
      </c>
      <c r="R390">
        <f t="shared" si="465"/>
        <v>0</v>
      </c>
      <c r="S390">
        <f t="shared" si="466"/>
        <v>0</v>
      </c>
    </row>
    <row r="391" spans="1:19" ht="15" hidden="1" customHeight="1" x14ac:dyDescent="0.3">
      <c r="A391" s="34" t="s">
        <v>1408</v>
      </c>
      <c r="B391" s="36">
        <v>273</v>
      </c>
      <c r="C391" s="29" t="s">
        <v>1419</v>
      </c>
      <c r="D391" s="29" t="str">
        <f t="shared" si="467"/>
        <v>NO APLICA</v>
      </c>
      <c r="E391" s="27" t="s">
        <v>1152</v>
      </c>
      <c r="F391" s="43">
        <v>0</v>
      </c>
      <c r="G391" s="21">
        <v>0</v>
      </c>
      <c r="H391" s="9">
        <f t="shared" si="458"/>
        <v>0</v>
      </c>
      <c r="I391" s="9" t="s">
        <v>1287</v>
      </c>
      <c r="J391" s="9">
        <f t="shared" si="459"/>
        <v>0</v>
      </c>
      <c r="K391" s="9">
        <f t="shared" si="460"/>
        <v>0</v>
      </c>
      <c r="L391" s="9">
        <f t="shared" si="461"/>
        <v>0</v>
      </c>
      <c r="M391" s="11">
        <f t="shared" si="468"/>
        <v>0.2</v>
      </c>
      <c r="N391" s="9">
        <f t="shared" si="462"/>
        <v>0</v>
      </c>
      <c r="O391" s="12">
        <f t="shared" si="463"/>
        <v>0</v>
      </c>
      <c r="P391" s="13" t="str">
        <f t="shared" si="427"/>
        <v>NO</v>
      </c>
      <c r="Q391">
        <f t="shared" si="464"/>
        <v>0</v>
      </c>
      <c r="R391">
        <f t="shared" si="465"/>
        <v>0</v>
      </c>
      <c r="S391">
        <f t="shared" si="466"/>
        <v>0</v>
      </c>
    </row>
    <row r="392" spans="1:19" ht="15" hidden="1" customHeight="1" x14ac:dyDescent="0.3">
      <c r="A392" s="34" t="s">
        <v>1408</v>
      </c>
      <c r="B392" s="36">
        <v>274</v>
      </c>
      <c r="C392" s="29" t="s">
        <v>1420</v>
      </c>
      <c r="D392" s="29" t="str">
        <f t="shared" si="467"/>
        <v>NO APLICA</v>
      </c>
      <c r="E392" s="27" t="s">
        <v>1152</v>
      </c>
      <c r="F392" s="43">
        <v>0</v>
      </c>
      <c r="G392" s="21">
        <v>0</v>
      </c>
      <c r="H392" s="9">
        <f t="shared" si="458"/>
        <v>0</v>
      </c>
      <c r="I392" s="9" t="s">
        <v>1287</v>
      </c>
      <c r="J392" s="9">
        <f t="shared" si="459"/>
        <v>0</v>
      </c>
      <c r="K392" s="9">
        <f t="shared" si="460"/>
        <v>0</v>
      </c>
      <c r="L392" s="9">
        <f t="shared" si="461"/>
        <v>0</v>
      </c>
      <c r="M392" s="11">
        <f t="shared" si="468"/>
        <v>0.2</v>
      </c>
      <c r="N392" s="9">
        <f t="shared" si="462"/>
        <v>0</v>
      </c>
      <c r="O392" s="12">
        <f t="shared" si="463"/>
        <v>0</v>
      </c>
      <c r="P392" s="13" t="str">
        <f t="shared" si="427"/>
        <v>NO</v>
      </c>
      <c r="Q392">
        <f t="shared" si="464"/>
        <v>0</v>
      </c>
      <c r="R392">
        <f t="shared" si="465"/>
        <v>0</v>
      </c>
      <c r="S392">
        <f t="shared" si="466"/>
        <v>0</v>
      </c>
    </row>
    <row r="393" spans="1:19" ht="15" hidden="1" customHeight="1" x14ac:dyDescent="0.3">
      <c r="A393" s="34" t="s">
        <v>1408</v>
      </c>
      <c r="B393" s="36">
        <v>255</v>
      </c>
      <c r="C393" s="29" t="s">
        <v>1293</v>
      </c>
      <c r="D393" s="29" t="str">
        <f t="shared" si="467"/>
        <v>NO APLICA</v>
      </c>
      <c r="E393" s="27" t="s">
        <v>1152</v>
      </c>
      <c r="F393" s="43">
        <v>0</v>
      </c>
      <c r="G393" s="21">
        <v>0</v>
      </c>
      <c r="H393" s="9">
        <f t="shared" si="458"/>
        <v>0</v>
      </c>
      <c r="I393" s="9" t="s">
        <v>1287</v>
      </c>
      <c r="J393" s="9">
        <f t="shared" si="459"/>
        <v>0</v>
      </c>
      <c r="K393" s="9">
        <f t="shared" si="460"/>
        <v>0</v>
      </c>
      <c r="L393" s="9">
        <f t="shared" si="461"/>
        <v>0</v>
      </c>
      <c r="M393" s="11">
        <f t="shared" si="468"/>
        <v>0.2</v>
      </c>
      <c r="N393" s="9">
        <f t="shared" si="462"/>
        <v>0</v>
      </c>
      <c r="O393" s="12">
        <f t="shared" si="463"/>
        <v>0</v>
      </c>
      <c r="P393" s="13" t="str">
        <f t="shared" si="427"/>
        <v>NO</v>
      </c>
      <c r="Q393">
        <f t="shared" si="464"/>
        <v>0</v>
      </c>
      <c r="R393">
        <f t="shared" si="465"/>
        <v>0</v>
      </c>
      <c r="S393">
        <f t="shared" si="466"/>
        <v>0</v>
      </c>
    </row>
    <row r="394" spans="1:19" s="18" customFormat="1" ht="15" hidden="1" customHeight="1" x14ac:dyDescent="0.3">
      <c r="A394" s="24"/>
      <c r="B394" s="26"/>
      <c r="C394" s="15" t="s">
        <v>1177</v>
      </c>
      <c r="D394" s="38" t="str">
        <f>D393</f>
        <v>NO APLICA</v>
      </c>
      <c r="E394" s="38"/>
      <c r="F394" s="16">
        <f>SUMIF(E381:E393,"Adicional",F381:F393)</f>
        <v>0</v>
      </c>
      <c r="G394" s="17"/>
      <c r="H394" s="16">
        <f>SUM(H381:H393)</f>
        <v>0</v>
      </c>
      <c r="I394" s="16"/>
      <c r="J394" s="16">
        <f t="shared" ref="J394:L394" si="469">SUM(J381:J393)</f>
        <v>0</v>
      </c>
      <c r="K394" s="16">
        <f t="shared" si="469"/>
        <v>0</v>
      </c>
      <c r="L394" s="16">
        <f t="shared" si="469"/>
        <v>0</v>
      </c>
      <c r="M394" s="16" t="s">
        <v>1178</v>
      </c>
      <c r="N394" s="16">
        <f t="shared" ref="N394:O394" si="470">SUM(N381:N393)</f>
        <v>0</v>
      </c>
      <c r="O394" s="84">
        <f t="shared" si="470"/>
        <v>0</v>
      </c>
      <c r="P394" s="13" t="str">
        <f t="shared" si="427"/>
        <v>NO</v>
      </c>
      <c r="Q394">
        <f>IF(D394="INCLUIDO",IF(H394&lt;&gt;0,1,0),0)</f>
        <v>0</v>
      </c>
    </row>
    <row r="395" spans="1:19" ht="15" hidden="1" customHeight="1" x14ac:dyDescent="0.3">
      <c r="A395" s="82">
        <v>916</v>
      </c>
      <c r="B395" s="33">
        <v>1</v>
      </c>
      <c r="C395" s="19" t="s">
        <v>1421</v>
      </c>
      <c r="D395" s="23" t="str">
        <f>'Ramo Comercial'!C171</f>
        <v>NO APLICA</v>
      </c>
      <c r="E395" s="91"/>
      <c r="F395" s="28"/>
      <c r="G395" s="28"/>
      <c r="H395" s="28"/>
      <c r="I395" s="28"/>
      <c r="J395" s="28"/>
      <c r="K395" s="28"/>
      <c r="L395" s="28"/>
      <c r="M395" s="68">
        <v>0</v>
      </c>
      <c r="N395" s="28"/>
      <c r="O395" s="83"/>
      <c r="P395" s="13" t="str">
        <f t="shared" si="427"/>
        <v>NO</v>
      </c>
      <c r="Q395" s="47">
        <f>IF(D395="INCLUIDO",IF(F396&lt;&gt;0,1,0),0)</f>
        <v>0</v>
      </c>
    </row>
    <row r="396" spans="1:19" ht="15" hidden="1" customHeight="1" x14ac:dyDescent="0.3">
      <c r="A396" s="34" t="s">
        <v>1422</v>
      </c>
      <c r="B396" s="36">
        <v>212</v>
      </c>
      <c r="C396" s="29" t="s">
        <v>1423</v>
      </c>
      <c r="D396" s="29" t="str">
        <f>$D$395</f>
        <v>NO APLICA</v>
      </c>
      <c r="E396" s="27" t="s">
        <v>1152</v>
      </c>
      <c r="F396" s="43">
        <v>0</v>
      </c>
      <c r="G396" s="21">
        <v>0</v>
      </c>
      <c r="H396" s="9">
        <f t="shared" ref="H396:H400" si="471">(IF(I396="$ Prima",G396,G396*F396/R396))*$U$9</f>
        <v>0</v>
      </c>
      <c r="I396" s="9" t="s">
        <v>1235</v>
      </c>
      <c r="J396" s="9">
        <f t="shared" ref="J396:J400" si="472">H396*$U$7</f>
        <v>0</v>
      </c>
      <c r="K396" s="9">
        <f t="shared" ref="K396:K400" si="473">(H396+J396)*$K$15</f>
        <v>0</v>
      </c>
      <c r="L396" s="9">
        <f t="shared" ref="L396:L400" si="474">ROUND(H396+J396+K396,2)</f>
        <v>0</v>
      </c>
      <c r="M396" s="11">
        <f>$M$395</f>
        <v>0</v>
      </c>
      <c r="N396" s="9">
        <f t="shared" ref="N396:N400" si="475">H396*M396</f>
        <v>0</v>
      </c>
      <c r="O396" s="12">
        <f t="shared" ref="O396:O400" si="476">N396</f>
        <v>0</v>
      </c>
      <c r="P396" s="13" t="str">
        <f t="shared" si="427"/>
        <v>NO</v>
      </c>
      <c r="Q396">
        <f>IF(D396="INCLUIDO",IF(F396&lt;&gt;0,1,0),0)</f>
        <v>0</v>
      </c>
      <c r="R396">
        <f>IF(I396="%o Al Millar",1000,IF(I396="% Al Porciento",100,IF(I396="$ Prima",G396)))</f>
        <v>100</v>
      </c>
      <c r="S396">
        <f t="shared" ref="S396:S400" si="477">IF(E396="Excluido",0,IF(D396="NO APLICA",0,1))</f>
        <v>0</v>
      </c>
    </row>
    <row r="397" spans="1:19" ht="15" hidden="1" customHeight="1" x14ac:dyDescent="0.3">
      <c r="A397" s="34" t="s">
        <v>1422</v>
      </c>
      <c r="B397" s="36">
        <v>211</v>
      </c>
      <c r="C397" s="29" t="s">
        <v>1424</v>
      </c>
      <c r="D397" s="29" t="str">
        <f t="shared" ref="D397:D400" si="478">$D$395</f>
        <v>NO APLICA</v>
      </c>
      <c r="E397" s="27" t="s">
        <v>1137</v>
      </c>
      <c r="F397" s="43">
        <v>0</v>
      </c>
      <c r="G397" s="21">
        <v>0</v>
      </c>
      <c r="H397" s="9">
        <f t="shared" si="471"/>
        <v>0</v>
      </c>
      <c r="I397" s="9" t="s">
        <v>1235</v>
      </c>
      <c r="J397" s="9">
        <f t="shared" si="472"/>
        <v>0</v>
      </c>
      <c r="K397" s="9">
        <f t="shared" si="473"/>
        <v>0</v>
      </c>
      <c r="L397" s="9">
        <f t="shared" si="474"/>
        <v>0</v>
      </c>
      <c r="M397" s="11">
        <f t="shared" ref="M397:M400" si="479">$M$395</f>
        <v>0</v>
      </c>
      <c r="N397" s="9">
        <f t="shared" si="475"/>
        <v>0</v>
      </c>
      <c r="O397" s="12">
        <f t="shared" si="476"/>
        <v>0</v>
      </c>
      <c r="P397" s="13" t="str">
        <f t="shared" si="427"/>
        <v>NO</v>
      </c>
      <c r="Q397">
        <f>IF(D397="INCLUIDO",IF(F397&lt;&gt;0,1,0),0)</f>
        <v>0</v>
      </c>
      <c r="R397">
        <f>IF(I397="%o Al Millar",1000,IF(I397="% Al Porciento",100,IF(I397="$ Prima",G397)))</f>
        <v>100</v>
      </c>
      <c r="S397">
        <f t="shared" si="477"/>
        <v>0</v>
      </c>
    </row>
    <row r="398" spans="1:19" ht="15" hidden="1" customHeight="1" x14ac:dyDescent="0.3">
      <c r="A398" s="34" t="s">
        <v>1422</v>
      </c>
      <c r="B398" s="36">
        <v>215</v>
      </c>
      <c r="C398" s="29" t="s">
        <v>1425</v>
      </c>
      <c r="D398" s="29" t="str">
        <f t="shared" si="478"/>
        <v>NO APLICA</v>
      </c>
      <c r="E398" s="27" t="s">
        <v>1137</v>
      </c>
      <c r="F398" s="43">
        <v>0</v>
      </c>
      <c r="G398" s="21">
        <v>0</v>
      </c>
      <c r="H398" s="9">
        <f t="shared" si="471"/>
        <v>0</v>
      </c>
      <c r="I398" s="9" t="s">
        <v>1235</v>
      </c>
      <c r="J398" s="9">
        <f t="shared" si="472"/>
        <v>0</v>
      </c>
      <c r="K398" s="9">
        <f t="shared" si="473"/>
        <v>0</v>
      </c>
      <c r="L398" s="9">
        <f t="shared" si="474"/>
        <v>0</v>
      </c>
      <c r="M398" s="11">
        <f t="shared" si="479"/>
        <v>0</v>
      </c>
      <c r="N398" s="9">
        <f t="shared" si="475"/>
        <v>0</v>
      </c>
      <c r="O398" s="12">
        <f t="shared" si="476"/>
        <v>0</v>
      </c>
      <c r="P398" s="13" t="str">
        <f t="shared" si="427"/>
        <v>NO</v>
      </c>
      <c r="Q398">
        <f>IF(D398="INCLUIDO",IF(F398&lt;&gt;0,1,0),0)</f>
        <v>0</v>
      </c>
      <c r="R398">
        <f>IF(I398="%o Al Millar",1000,IF(I398="% Al Porciento",100,IF(I398="$ Prima",G398)))</f>
        <v>100</v>
      </c>
      <c r="S398">
        <f t="shared" si="477"/>
        <v>0</v>
      </c>
    </row>
    <row r="399" spans="1:19" ht="15" hidden="1" customHeight="1" x14ac:dyDescent="0.3">
      <c r="A399" s="34" t="s">
        <v>1422</v>
      </c>
      <c r="B399" s="36">
        <v>217</v>
      </c>
      <c r="C399" s="29" t="s">
        <v>1426</v>
      </c>
      <c r="D399" s="29" t="str">
        <f t="shared" si="478"/>
        <v>NO APLICA</v>
      </c>
      <c r="E399" s="27" t="s">
        <v>1137</v>
      </c>
      <c r="F399" s="43">
        <v>0</v>
      </c>
      <c r="G399" s="21">
        <v>0</v>
      </c>
      <c r="H399" s="9">
        <f t="shared" si="471"/>
        <v>0</v>
      </c>
      <c r="I399" s="9" t="s">
        <v>1235</v>
      </c>
      <c r="J399" s="9">
        <f t="shared" si="472"/>
        <v>0</v>
      </c>
      <c r="K399" s="9">
        <f t="shared" si="473"/>
        <v>0</v>
      </c>
      <c r="L399" s="9">
        <f t="shared" si="474"/>
        <v>0</v>
      </c>
      <c r="M399" s="11">
        <f t="shared" si="479"/>
        <v>0</v>
      </c>
      <c r="N399" s="9">
        <f t="shared" si="475"/>
        <v>0</v>
      </c>
      <c r="O399" s="12">
        <f t="shared" si="476"/>
        <v>0</v>
      </c>
      <c r="P399" s="13" t="str">
        <f t="shared" si="427"/>
        <v>NO</v>
      </c>
      <c r="Q399">
        <f>IF(D399="INCLUIDO",IF(F399&lt;&gt;0,1,0),0)</f>
        <v>0</v>
      </c>
      <c r="R399">
        <f>IF(I399="%o Al Millar",1000,IF(I399="% Al Porciento",100,IF(I399="$ Prima",G399)))</f>
        <v>100</v>
      </c>
      <c r="S399">
        <f t="shared" si="477"/>
        <v>0</v>
      </c>
    </row>
    <row r="400" spans="1:19" ht="15" hidden="1" customHeight="1" x14ac:dyDescent="0.3">
      <c r="A400" s="34" t="s">
        <v>1422</v>
      </c>
      <c r="B400" s="36">
        <v>218</v>
      </c>
      <c r="C400" s="29" t="s">
        <v>1392</v>
      </c>
      <c r="D400" s="29" t="str">
        <f t="shared" si="478"/>
        <v>NO APLICA</v>
      </c>
      <c r="E400" s="27" t="s">
        <v>1137</v>
      </c>
      <c r="F400" s="43">
        <v>0</v>
      </c>
      <c r="G400" s="21">
        <v>0</v>
      </c>
      <c r="H400" s="9">
        <f t="shared" si="471"/>
        <v>0</v>
      </c>
      <c r="I400" s="9" t="s">
        <v>1235</v>
      </c>
      <c r="J400" s="9">
        <f t="shared" si="472"/>
        <v>0</v>
      </c>
      <c r="K400" s="9">
        <f t="shared" si="473"/>
        <v>0</v>
      </c>
      <c r="L400" s="9">
        <f t="shared" si="474"/>
        <v>0</v>
      </c>
      <c r="M400" s="11">
        <f t="shared" si="479"/>
        <v>0</v>
      </c>
      <c r="N400" s="9">
        <f t="shared" si="475"/>
        <v>0</v>
      </c>
      <c r="O400" s="12">
        <f t="shared" si="476"/>
        <v>0</v>
      </c>
      <c r="P400" s="13" t="str">
        <f t="shared" si="427"/>
        <v>NO</v>
      </c>
      <c r="Q400">
        <f>IF(D400="INCLUIDO",IF(F400&lt;&gt;0,1,0),0)</f>
        <v>0</v>
      </c>
      <c r="R400">
        <f>IF(I400="%o Al Millar",1000,IF(I400="% Al Porciento",100,IF(I400="$ Prima",G400)))</f>
        <v>100</v>
      </c>
      <c r="S400">
        <f t="shared" si="477"/>
        <v>0</v>
      </c>
    </row>
    <row r="401" spans="1:19" s="18" customFormat="1" ht="15" hidden="1" customHeight="1" x14ac:dyDescent="0.3">
      <c r="A401" s="24"/>
      <c r="B401" s="26"/>
      <c r="C401" s="15" t="s">
        <v>1177</v>
      </c>
      <c r="D401" s="38" t="str">
        <f>D400</f>
        <v>NO APLICA</v>
      </c>
      <c r="E401" s="38"/>
      <c r="F401" s="16">
        <f>SUMIF(E396:E400,"Adicional",F396:F400)</f>
        <v>0</v>
      </c>
      <c r="G401" s="17"/>
      <c r="H401" s="16">
        <f>SUM(H396:H400)</f>
        <v>0</v>
      </c>
      <c r="I401" s="16"/>
      <c r="J401" s="16">
        <f t="shared" ref="J401:L401" si="480">SUM(J396:J400)</f>
        <v>0</v>
      </c>
      <c r="K401" s="16">
        <f t="shared" si="480"/>
        <v>0</v>
      </c>
      <c r="L401" s="16">
        <f t="shared" si="480"/>
        <v>0</v>
      </c>
      <c r="M401" s="16" t="s">
        <v>1178</v>
      </c>
      <c r="N401" s="16">
        <f t="shared" ref="N401:O401" si="481">SUM(N396:N400)</f>
        <v>0</v>
      </c>
      <c r="O401" s="84">
        <f t="shared" si="481"/>
        <v>0</v>
      </c>
      <c r="P401" s="13" t="str">
        <f t="shared" si="427"/>
        <v>NO</v>
      </c>
      <c r="Q401">
        <f>IF(D401="INCLUIDO",IF(H401&lt;&gt;0,1,0),0)</f>
        <v>0</v>
      </c>
    </row>
    <row r="402" spans="1:19" ht="15" hidden="1" customHeight="1" x14ac:dyDescent="0.3">
      <c r="A402" s="82">
        <v>918</v>
      </c>
      <c r="B402" s="33">
        <v>1</v>
      </c>
      <c r="C402" s="19" t="s">
        <v>1427</v>
      </c>
      <c r="D402" s="23" t="str">
        <f>'Ramo Comercial'!C172</f>
        <v>NO APLICA</v>
      </c>
      <c r="E402" s="91"/>
      <c r="F402" s="42">
        <v>0</v>
      </c>
      <c r="G402" s="28"/>
      <c r="H402" s="28"/>
      <c r="I402" s="28"/>
      <c r="J402" s="28"/>
      <c r="K402" s="28"/>
      <c r="L402" s="28"/>
      <c r="M402" s="68">
        <v>0</v>
      </c>
      <c r="N402" s="28"/>
      <c r="O402" s="83"/>
      <c r="P402" s="13" t="str">
        <f t="shared" si="427"/>
        <v>NO</v>
      </c>
      <c r="Q402" s="48">
        <f>IF(D402="INCLUIDO",IF(F402&lt;&gt;0,1,0),0)</f>
        <v>0</v>
      </c>
    </row>
    <row r="403" spans="1:19" ht="15" hidden="1" customHeight="1" x14ac:dyDescent="0.3">
      <c r="A403" s="34" t="s">
        <v>1428</v>
      </c>
      <c r="B403" s="36">
        <v>219</v>
      </c>
      <c r="C403" s="29" t="s">
        <v>1429</v>
      </c>
      <c r="D403" s="29" t="str">
        <f>D402</f>
        <v>NO APLICA</v>
      </c>
      <c r="E403" s="27" t="s">
        <v>1152</v>
      </c>
      <c r="F403" s="20">
        <f>F402*S403</f>
        <v>0</v>
      </c>
      <c r="G403" s="21">
        <v>0</v>
      </c>
      <c r="H403" s="9">
        <f>(IF(I403="$ Prima",G403,G403*F403/R403))*$U$9</f>
        <v>0</v>
      </c>
      <c r="I403" s="9" t="s">
        <v>1235</v>
      </c>
      <c r="J403" s="9">
        <f>H403*$U$7</f>
        <v>0</v>
      </c>
      <c r="K403" s="9">
        <f>(H403+J403)*$K$15</f>
        <v>0</v>
      </c>
      <c r="L403" s="9">
        <f>ROUND(H403+J403+K403,2)</f>
        <v>0</v>
      </c>
      <c r="M403" s="11">
        <f>M402</f>
        <v>0</v>
      </c>
      <c r="N403" s="9">
        <f>H403*M403</f>
        <v>0</v>
      </c>
      <c r="O403" s="12">
        <f>N403</f>
        <v>0</v>
      </c>
      <c r="P403" s="13" t="str">
        <f t="shared" si="427"/>
        <v>NO</v>
      </c>
      <c r="Q403">
        <f>IF(D403="INCLUIDO",IF(F403&lt;&gt;0,1,0),0)</f>
        <v>0</v>
      </c>
      <c r="R403">
        <f>IF(I403="%o Al Millar",1000,IF(I403="% Al Porciento",100,IF(I403="$ Prima",G403)))</f>
        <v>100</v>
      </c>
      <c r="S403">
        <f t="shared" ref="S403" si="482">IF(E403="Excluido",0,IF(D403="NO APLICA",0,1))</f>
        <v>0</v>
      </c>
    </row>
    <row r="404" spans="1:19" s="18" customFormat="1" ht="15" hidden="1" customHeight="1" x14ac:dyDescent="0.3">
      <c r="A404" s="24"/>
      <c r="B404" s="26"/>
      <c r="C404" s="15" t="s">
        <v>1177</v>
      </c>
      <c r="D404" s="38" t="str">
        <f>D403</f>
        <v>NO APLICA</v>
      </c>
      <c r="E404" s="38"/>
      <c r="F404" s="16">
        <f>F403</f>
        <v>0</v>
      </c>
      <c r="G404" s="17"/>
      <c r="H404" s="16">
        <f>SUM(H403)</f>
        <v>0</v>
      </c>
      <c r="I404" s="16"/>
      <c r="J404" s="16">
        <f t="shared" ref="J404:L404" si="483">SUM(J403)</f>
        <v>0</v>
      </c>
      <c r="K404" s="16">
        <f t="shared" si="483"/>
        <v>0</v>
      </c>
      <c r="L404" s="16">
        <f t="shared" si="483"/>
        <v>0</v>
      </c>
      <c r="M404" s="16" t="s">
        <v>1178</v>
      </c>
      <c r="N404" s="16">
        <f t="shared" ref="N404:O404" si="484">SUM(N403)</f>
        <v>0</v>
      </c>
      <c r="O404" s="84">
        <f t="shared" si="484"/>
        <v>0</v>
      </c>
      <c r="P404" s="13" t="str">
        <f t="shared" si="427"/>
        <v>NO</v>
      </c>
      <c r="Q404">
        <f>IF(D404="INCLUIDO",IF(H404&lt;&gt;0,1,0),0)</f>
        <v>0</v>
      </c>
    </row>
    <row r="405" spans="1:19" ht="15" hidden="1" customHeight="1" x14ac:dyDescent="0.3">
      <c r="A405" s="82">
        <v>919</v>
      </c>
      <c r="B405" s="33">
        <v>1</v>
      </c>
      <c r="C405" s="19" t="s">
        <v>1430</v>
      </c>
      <c r="D405" s="23" t="str">
        <f>'Ramo Comercial'!C173</f>
        <v>NO APLICA</v>
      </c>
      <c r="E405" s="91"/>
      <c r="F405" s="28"/>
      <c r="G405" s="28"/>
      <c r="H405" s="28"/>
      <c r="I405" s="28"/>
      <c r="J405" s="28"/>
      <c r="K405" s="28"/>
      <c r="L405" s="28"/>
      <c r="M405" s="68">
        <v>0</v>
      </c>
      <c r="N405" s="28"/>
      <c r="O405" s="83"/>
      <c r="P405" s="13" t="str">
        <f t="shared" si="427"/>
        <v>NO</v>
      </c>
      <c r="Q405" s="47">
        <f>IF(D405="INCLUIDO",IF(F406&lt;&gt;0,1,0),0)</f>
        <v>0</v>
      </c>
    </row>
    <row r="406" spans="1:19" ht="15" hidden="1" customHeight="1" x14ac:dyDescent="0.3">
      <c r="A406" s="34" t="s">
        <v>1430</v>
      </c>
      <c r="B406" s="36">
        <v>220</v>
      </c>
      <c r="C406" s="29" t="s">
        <v>1431</v>
      </c>
      <c r="D406" s="29" t="str">
        <f>$D$405</f>
        <v>NO APLICA</v>
      </c>
      <c r="E406" s="27" t="s">
        <v>1152</v>
      </c>
      <c r="F406" s="43">
        <v>0</v>
      </c>
      <c r="G406" s="21">
        <v>0</v>
      </c>
      <c r="H406" s="9">
        <f t="shared" ref="H406:H409" si="485">(IF(I406="$ Prima",G406,G406*F406/R406))*$U$9</f>
        <v>0</v>
      </c>
      <c r="I406" s="9" t="s">
        <v>1287</v>
      </c>
      <c r="J406" s="9">
        <f t="shared" ref="J406:J409" si="486">H406*$U$7</f>
        <v>0</v>
      </c>
      <c r="K406" s="9">
        <f t="shared" ref="K406:K409" si="487">(H406+J406)*$K$15</f>
        <v>0</v>
      </c>
      <c r="L406" s="9">
        <f t="shared" ref="L406:L409" si="488">ROUND(H406+J406+K406,2)</f>
        <v>0</v>
      </c>
      <c r="M406" s="11">
        <f>$M$405</f>
        <v>0</v>
      </c>
      <c r="N406" s="9">
        <f t="shared" ref="N406:N409" si="489">H406*M406</f>
        <v>0</v>
      </c>
      <c r="O406" s="12">
        <f t="shared" ref="O406:O409" si="490">N406</f>
        <v>0</v>
      </c>
      <c r="P406" s="13" t="str">
        <f t="shared" si="427"/>
        <v>NO</v>
      </c>
      <c r="Q406">
        <f>IF(D406="INCLUIDO",IF(F406&lt;&gt;0,1,0),0)</f>
        <v>0</v>
      </c>
      <c r="R406">
        <f>IF(I406="%o Al Millar",1000,IF(I406="% Al Porciento",100,IF(I406="$ Prima",G406)))</f>
        <v>0</v>
      </c>
      <c r="S406">
        <f t="shared" ref="S406:S409" si="491">IF(E406="Excluido",0,IF(D406="NO APLICA",0,1))</f>
        <v>0</v>
      </c>
    </row>
    <row r="407" spans="1:19" ht="22.5" hidden="1" customHeight="1" x14ac:dyDescent="0.3">
      <c r="A407" s="34" t="s">
        <v>1430</v>
      </c>
      <c r="B407" s="36">
        <v>221</v>
      </c>
      <c r="C407" s="29" t="s">
        <v>1432</v>
      </c>
      <c r="D407" s="29" t="str">
        <f t="shared" ref="D407:D409" si="492">$D$405</f>
        <v>NO APLICA</v>
      </c>
      <c r="E407" s="27" t="s">
        <v>1137</v>
      </c>
      <c r="F407" s="43">
        <v>0</v>
      </c>
      <c r="G407" s="21">
        <v>0</v>
      </c>
      <c r="H407" s="9">
        <f t="shared" si="485"/>
        <v>0</v>
      </c>
      <c r="I407" s="9" t="s">
        <v>1287</v>
      </c>
      <c r="J407" s="9">
        <f t="shared" si="486"/>
        <v>0</v>
      </c>
      <c r="K407" s="9">
        <f t="shared" si="487"/>
        <v>0</v>
      </c>
      <c r="L407" s="9">
        <f t="shared" si="488"/>
        <v>0</v>
      </c>
      <c r="M407" s="11">
        <f t="shared" ref="M407:M409" si="493">$M$405</f>
        <v>0</v>
      </c>
      <c r="N407" s="9">
        <f t="shared" si="489"/>
        <v>0</v>
      </c>
      <c r="O407" s="12">
        <f t="shared" si="490"/>
        <v>0</v>
      </c>
      <c r="P407" s="13" t="str">
        <f t="shared" si="427"/>
        <v>NO</v>
      </c>
      <c r="Q407">
        <f>IF(D407="INCLUIDO",IF(F407&lt;&gt;0,1,0),0)</f>
        <v>0</v>
      </c>
      <c r="R407">
        <f>IF(I407="%o Al Millar",1000,IF(I407="% Al Porciento",100,IF(I407="$ Prima",G407)))</f>
        <v>0</v>
      </c>
      <c r="S407">
        <f t="shared" si="491"/>
        <v>0</v>
      </c>
    </row>
    <row r="408" spans="1:19" ht="15" hidden="1" customHeight="1" x14ac:dyDescent="0.3">
      <c r="A408" s="34" t="s">
        <v>1430</v>
      </c>
      <c r="B408" s="36">
        <v>222</v>
      </c>
      <c r="C408" s="29" t="s">
        <v>1433</v>
      </c>
      <c r="D408" s="29" t="str">
        <f t="shared" si="492"/>
        <v>NO APLICA</v>
      </c>
      <c r="E408" s="27" t="s">
        <v>1137</v>
      </c>
      <c r="F408" s="43">
        <v>0</v>
      </c>
      <c r="G408" s="21">
        <v>0</v>
      </c>
      <c r="H408" s="9">
        <f t="shared" si="485"/>
        <v>0</v>
      </c>
      <c r="I408" s="9" t="s">
        <v>1287</v>
      </c>
      <c r="J408" s="9">
        <f t="shared" si="486"/>
        <v>0</v>
      </c>
      <c r="K408" s="9">
        <f t="shared" si="487"/>
        <v>0</v>
      </c>
      <c r="L408" s="9">
        <f t="shared" si="488"/>
        <v>0</v>
      </c>
      <c r="M408" s="11">
        <f t="shared" si="493"/>
        <v>0</v>
      </c>
      <c r="N408" s="9">
        <f t="shared" si="489"/>
        <v>0</v>
      </c>
      <c r="O408" s="12">
        <f t="shared" si="490"/>
        <v>0</v>
      </c>
      <c r="P408" s="13" t="str">
        <f t="shared" si="427"/>
        <v>NO</v>
      </c>
      <c r="Q408">
        <f>IF(D408="INCLUIDO",IF(F408&lt;&gt;0,1,0),0)</f>
        <v>0</v>
      </c>
      <c r="R408">
        <f>IF(I408="%o Al Millar",1000,IF(I408="% Al Porciento",100,IF(I408="$ Prima",G408)))</f>
        <v>0</v>
      </c>
      <c r="S408">
        <f t="shared" si="491"/>
        <v>0</v>
      </c>
    </row>
    <row r="409" spans="1:19" ht="15" hidden="1" customHeight="1" x14ac:dyDescent="0.3">
      <c r="A409" s="34" t="s">
        <v>1430</v>
      </c>
      <c r="B409" s="36">
        <v>223</v>
      </c>
      <c r="C409" s="29" t="s">
        <v>1434</v>
      </c>
      <c r="D409" s="29" t="str">
        <f t="shared" si="492"/>
        <v>NO APLICA</v>
      </c>
      <c r="E409" s="27" t="s">
        <v>1137</v>
      </c>
      <c r="F409" s="43">
        <v>0</v>
      </c>
      <c r="G409" s="21">
        <v>0</v>
      </c>
      <c r="H409" s="9">
        <f t="shared" si="485"/>
        <v>0</v>
      </c>
      <c r="I409" s="9" t="s">
        <v>1287</v>
      </c>
      <c r="J409" s="9">
        <f t="shared" si="486"/>
        <v>0</v>
      </c>
      <c r="K409" s="9">
        <f t="shared" si="487"/>
        <v>0</v>
      </c>
      <c r="L409" s="9">
        <f t="shared" si="488"/>
        <v>0</v>
      </c>
      <c r="M409" s="11">
        <f t="shared" si="493"/>
        <v>0</v>
      </c>
      <c r="N409" s="9">
        <f t="shared" si="489"/>
        <v>0</v>
      </c>
      <c r="O409" s="12">
        <f t="shared" si="490"/>
        <v>0</v>
      </c>
      <c r="P409" s="13" t="str">
        <f t="shared" si="427"/>
        <v>NO</v>
      </c>
      <c r="Q409">
        <f>IF(D409="INCLUIDO",IF(F409&lt;&gt;0,1,0),0)</f>
        <v>0</v>
      </c>
      <c r="R409">
        <f>IF(I409="%o Al Millar",1000,IF(I409="% Al Porciento",100,IF(I409="$ Prima",G409)))</f>
        <v>0</v>
      </c>
      <c r="S409">
        <f t="shared" si="491"/>
        <v>0</v>
      </c>
    </row>
    <row r="410" spans="1:19" s="18" customFormat="1" ht="15.75" hidden="1" customHeight="1" thickBot="1" x14ac:dyDescent="0.35">
      <c r="A410" s="85"/>
      <c r="B410" s="86"/>
      <c r="C410" s="99" t="s">
        <v>1177</v>
      </c>
      <c r="D410" s="100" t="str">
        <f>D409</f>
        <v>NO APLICA</v>
      </c>
      <c r="E410" s="100"/>
      <c r="F410" s="87">
        <f>SUMIF(E406:E409,"Adicional",F406:F409)</f>
        <v>0</v>
      </c>
      <c r="G410" s="101"/>
      <c r="H410" s="87">
        <f>SUM(H406:H409)</f>
        <v>0</v>
      </c>
      <c r="I410" s="87"/>
      <c r="J410" s="87">
        <f t="shared" ref="J410:L410" si="494">SUM(J406:J409)</f>
        <v>0</v>
      </c>
      <c r="K410" s="87">
        <f t="shared" si="494"/>
        <v>0</v>
      </c>
      <c r="L410" s="87">
        <f t="shared" si="494"/>
        <v>0</v>
      </c>
      <c r="M410" s="87" t="s">
        <v>1178</v>
      </c>
      <c r="N410" s="87">
        <f t="shared" ref="N410:O410" si="495">SUM(N406:N409)</f>
        <v>0</v>
      </c>
      <c r="O410" s="102">
        <f t="shared" si="495"/>
        <v>0</v>
      </c>
      <c r="P410" s="13" t="str">
        <f t="shared" si="427"/>
        <v>NO</v>
      </c>
      <c r="Q410">
        <f>IF(D410="INCLUIDO",IF(H410&lt;&gt;0,1,0),0)</f>
        <v>0</v>
      </c>
    </row>
    <row r="411" spans="1:19" s="18" customFormat="1" ht="21" customHeight="1" x14ac:dyDescent="0.3">
      <c r="A411" s="69"/>
      <c r="B411" s="69"/>
      <c r="C411" s="103" t="s">
        <v>1435</v>
      </c>
      <c r="D411" s="94" t="s">
        <v>1436</v>
      </c>
      <c r="E411" s="94"/>
      <c r="F411" s="104">
        <f>SUMIF(C17:C410,"SUBTOTAL",F17:F410)</f>
        <v>7100000</v>
      </c>
      <c r="G411" s="94"/>
      <c r="H411" s="93">
        <f>H40+H77+H99+H103+H107+H111+H115+H122+H129+H137+H145+H148+H151+H154+H157+H160+H166+H172+H178+H182+H186+H202+H206+H210+H213+H216+H220+H223+H226+H230+H233+H236+H240+H272+H276+H282+H329+H336+H344+H350+H363+H369+H379+H394+H401+H404+H410</f>
        <v>4031.4921162144055</v>
      </c>
      <c r="I411" s="104">
        <v>0</v>
      </c>
      <c r="J411" s="93">
        <v>0</v>
      </c>
      <c r="K411" s="93">
        <f>(H411+I411+J411)*16%</f>
        <v>645.03873859430485</v>
      </c>
      <c r="L411" s="93">
        <f>H411+I411+J411+K411</f>
        <v>4676.5308548087105</v>
      </c>
      <c r="M411" s="94"/>
      <c r="N411" s="93">
        <f>N40+N77+N99+N103+N107+N111+N115+N122+N129+N137+N145+N148+N151+N154+N157+N160+N166+N172+N178+N182+N186+N202+N206+N210+N213+N216+N220+N223+N226+N230+N233+N236+N240+N272+N276+N282+N329+N336+N344+N350+N363+N369+N379+N394+N401+N404+N410</f>
        <v>320.20018526887299</v>
      </c>
      <c r="O411" s="93">
        <f>O40+O77+O99+O103+O107+O111+O115+O122+O129+O137+O145+O148+O151+O154+O157+O160+O166+O172+O178+O182+O186+O202+O206+O210+O213+O216+O220+O223+O226+O230+O233+O236+O240+O272+O276+O282+O329+O336+O344+O350+O363+O369+O379+O394+O401+O404+O410</f>
        <v>320.20018526887299</v>
      </c>
      <c r="P411" s="98" t="s">
        <v>1437</v>
      </c>
      <c r="Q411"/>
    </row>
    <row r="412" spans="1:19" x14ac:dyDescent="0.3">
      <c r="C412" s="3"/>
      <c r="D412" s="94" t="s">
        <v>1436</v>
      </c>
      <c r="E412" s="94"/>
      <c r="F412" s="96" t="s">
        <v>1438</v>
      </c>
      <c r="G412" s="94"/>
      <c r="H412" s="95" t="s">
        <v>1439</v>
      </c>
      <c r="I412" s="96" t="s">
        <v>56</v>
      </c>
      <c r="J412" s="95" t="s">
        <v>1440</v>
      </c>
      <c r="K412" s="95" t="s">
        <v>1131</v>
      </c>
      <c r="L412" s="95" t="s">
        <v>79</v>
      </c>
      <c r="M412" s="93"/>
      <c r="N412" s="736" t="s">
        <v>1441</v>
      </c>
      <c r="O412" s="736"/>
      <c r="P412" s="98" t="s">
        <v>1437</v>
      </c>
    </row>
    <row r="413" spans="1:19" x14ac:dyDescent="0.3">
      <c r="C413" s="3"/>
      <c r="G413" s="22"/>
      <c r="H413" s="22"/>
      <c r="I413" s="22"/>
      <c r="N413" s="432">
        <f>N411/H411</f>
        <v>7.9424733086057187E-2</v>
      </c>
    </row>
    <row r="414" spans="1:19" ht="24" x14ac:dyDescent="0.3">
      <c r="C414" s="422" t="s">
        <v>1443</v>
      </c>
      <c r="D414" s="421"/>
      <c r="E414" s="735" t="s">
        <v>1444</v>
      </c>
      <c r="F414" s="735"/>
      <c r="G414" s="735"/>
      <c r="H414" s="422" t="s">
        <v>1445</v>
      </c>
      <c r="J414" s="417" t="s">
        <v>1474</v>
      </c>
      <c r="K414" s="777" t="s">
        <v>1442</v>
      </c>
      <c r="L414" s="778"/>
      <c r="M414" s="778"/>
      <c r="N414" s="778"/>
      <c r="O414" s="778"/>
    </row>
    <row r="415" spans="1:19" ht="18" x14ac:dyDescent="0.3">
      <c r="C415" t="s">
        <v>1446</v>
      </c>
      <c r="F415" s="4" t="s">
        <v>1447</v>
      </c>
      <c r="H415" s="4" t="s">
        <v>1437</v>
      </c>
      <c r="J415" s="417" t="s">
        <v>1475</v>
      </c>
      <c r="K415" s="751"/>
      <c r="L415" s="751"/>
      <c r="M415" s="751"/>
      <c r="N415" s="751"/>
      <c r="O415" s="751"/>
    </row>
    <row r="416" spans="1:19" ht="18" x14ac:dyDescent="0.3">
      <c r="C416" t="s">
        <v>1449</v>
      </c>
      <c r="F416" s="4" t="s">
        <v>1450</v>
      </c>
      <c r="H416" s="4" t="s">
        <v>1437</v>
      </c>
      <c r="J416" s="417" t="s">
        <v>1476</v>
      </c>
      <c r="K416" s="752" t="s">
        <v>1448</v>
      </c>
      <c r="L416" s="753"/>
      <c r="M416" s="753"/>
      <c r="N416" s="753"/>
      <c r="O416" s="753"/>
    </row>
    <row r="417" spans="3:15" ht="18" x14ac:dyDescent="0.3">
      <c r="C417" t="s">
        <v>1451</v>
      </c>
      <c r="F417" s="4" t="s">
        <v>1452</v>
      </c>
      <c r="H417" s="4" t="s">
        <v>1437</v>
      </c>
      <c r="J417" s="417"/>
      <c r="K417" s="754"/>
      <c r="L417" s="754"/>
      <c r="M417" s="754"/>
      <c r="N417" s="754"/>
      <c r="O417" s="754"/>
    </row>
    <row r="418" spans="3:15" ht="18" x14ac:dyDescent="0.3">
      <c r="C418" t="s">
        <v>1454</v>
      </c>
      <c r="F418" s="4" t="s">
        <v>1455</v>
      </c>
      <c r="H418" s="4" t="s">
        <v>1437</v>
      </c>
      <c r="J418" s="417"/>
      <c r="K418" s="778" t="s">
        <v>1453</v>
      </c>
      <c r="L418" s="778"/>
      <c r="M418" s="778"/>
      <c r="N418" s="778"/>
      <c r="O418" s="778"/>
    </row>
    <row r="419" spans="3:15" x14ac:dyDescent="0.3">
      <c r="C419" t="s">
        <v>1457</v>
      </c>
      <c r="F419" s="4" t="s">
        <v>1458</v>
      </c>
      <c r="H419" s="4" t="s">
        <v>1437</v>
      </c>
    </row>
    <row r="420" spans="3:15" x14ac:dyDescent="0.3">
      <c r="C420" t="s">
        <v>1460</v>
      </c>
      <c r="F420" s="4" t="s">
        <v>1461</v>
      </c>
      <c r="H420" s="4" t="s">
        <v>1462</v>
      </c>
    </row>
  </sheetData>
  <autoFilter ref="A16:P412" xr:uid="{00000000-0009-0000-0000-000001000000}">
    <filterColumn colId="3">
      <filters>
        <filter val="INCLUIDO"/>
      </filters>
    </filterColumn>
    <filterColumn colId="15">
      <filters>
        <filter val="SI"/>
      </filters>
    </filterColumn>
  </autoFilter>
  <dataConsolidate/>
  <mergeCells count="38">
    <mergeCell ref="K418:O418"/>
    <mergeCell ref="S7:T7"/>
    <mergeCell ref="E2:H3"/>
    <mergeCell ref="A5:O5"/>
    <mergeCell ref="A7:B7"/>
    <mergeCell ref="C7:J7"/>
    <mergeCell ref="L7:O7"/>
    <mergeCell ref="L8:O8"/>
    <mergeCell ref="A9:B9"/>
    <mergeCell ref="C9:I9"/>
    <mergeCell ref="L9:M9"/>
    <mergeCell ref="N9:O9"/>
    <mergeCell ref="A11:B11"/>
    <mergeCell ref="C11:K11"/>
    <mergeCell ref="A8:B8"/>
    <mergeCell ref="C8:E8"/>
    <mergeCell ref="G8:K8"/>
    <mergeCell ref="S9:T9"/>
    <mergeCell ref="A10:B10"/>
    <mergeCell ref="C10:K10"/>
    <mergeCell ref="L10:M10"/>
    <mergeCell ref="N10:O10"/>
    <mergeCell ref="A12:B12"/>
    <mergeCell ref="H12:J12"/>
    <mergeCell ref="A13:B13"/>
    <mergeCell ref="D13:E13"/>
    <mergeCell ref="H13:I13"/>
    <mergeCell ref="J13:J14"/>
    <mergeCell ref="A14:B14"/>
    <mergeCell ref="D14:E14"/>
    <mergeCell ref="K416:O416"/>
    <mergeCell ref="K417:O417"/>
    <mergeCell ref="A15:B15"/>
    <mergeCell ref="C15:D15"/>
    <mergeCell ref="N412:O412"/>
    <mergeCell ref="E414:G414"/>
    <mergeCell ref="K414:O414"/>
    <mergeCell ref="K415:O415"/>
  </mergeCells>
  <conditionalFormatting sqref="E18:E19">
    <cfRule type="containsText" dxfId="1148" priority="736" operator="containsText" text="Sublimite">
      <formula>NOT(ISERROR(SEARCH("Sublimite",E18)))</formula>
    </cfRule>
    <cfRule type="containsText" dxfId="1147" priority="737" operator="containsText" text="Adicional">
      <formula>NOT(ISERROR(SEARCH("Adicional",E18)))</formula>
    </cfRule>
  </conditionalFormatting>
  <conditionalFormatting sqref="E18:E27">
    <cfRule type="containsText" dxfId="1146" priority="23" operator="containsText" text="Excluido">
      <formula>NOT(ISERROR(SEARCH("Excluido",E18)))</formula>
    </cfRule>
    <cfRule type="containsText" dxfId="1145" priority="26" operator="containsText" text="Sublimite">
      <formula>NOT(ISERROR(SEARCH("Sublimite",E18)))</formula>
    </cfRule>
    <cfRule type="containsText" dxfId="1144" priority="25" operator="containsText" text="Excluido">
      <formula>NOT(ISERROR(SEARCH("Excluido",E18)))</formula>
    </cfRule>
    <cfRule type="containsText" dxfId="1143" priority="24" operator="containsText" text="Sublimite">
      <formula>NOT(ISERROR(SEARCH("Sublimite",E18)))</formula>
    </cfRule>
  </conditionalFormatting>
  <conditionalFormatting sqref="E20:E23">
    <cfRule type="containsText" dxfId="1142" priority="720" operator="containsText" text="Sublimite">
      <formula>NOT(ISERROR(SEARCH("Sublimite",E20)))</formula>
    </cfRule>
  </conditionalFormatting>
  <conditionalFormatting sqref="E24">
    <cfRule type="containsText" dxfId="1141" priority="28" operator="containsText" text="Adicional">
      <formula>NOT(ISERROR(SEARCH("Adicional",E24)))</formula>
    </cfRule>
    <cfRule type="containsText" dxfId="1140" priority="27" operator="containsText" text="Sublimite">
      <formula>NOT(ISERROR(SEARCH("Sublimite",E24)))</formula>
    </cfRule>
  </conditionalFormatting>
  <conditionalFormatting sqref="E25">
    <cfRule type="containsText" dxfId="1139" priority="715" operator="containsText" text="Sublimite">
      <formula>NOT(ISERROR(SEARCH("Sublimite",E25)))</formula>
    </cfRule>
  </conditionalFormatting>
  <conditionalFormatting sqref="E26:E27">
    <cfRule type="containsText" dxfId="1138" priority="45" operator="containsText" text="Sublimite">
      <formula>NOT(ISERROR(SEARCH("Sublimite",E26)))</formula>
    </cfRule>
    <cfRule type="containsText" dxfId="1137" priority="46" operator="containsText" text="Adicional">
      <formula>NOT(ISERROR(SEARCH("Adicional",E26)))</formula>
    </cfRule>
  </conditionalFormatting>
  <conditionalFormatting sqref="E29:E30">
    <cfRule type="containsText" dxfId="1136" priority="705" operator="containsText" text="Sublimite">
      <formula>NOT(ISERROR(SEARCH("Sublimite",E29)))</formula>
    </cfRule>
    <cfRule type="containsText" dxfId="1135" priority="704" operator="containsText" text="Sublimite">
      <formula>NOT(ISERROR(SEARCH("Sublimite",E29)))</formula>
    </cfRule>
    <cfRule type="containsText" dxfId="1134" priority="703" operator="containsText" text="Excluido">
      <formula>NOT(ISERROR(SEARCH("Excluido",E29)))</formula>
    </cfRule>
    <cfRule type="containsText" dxfId="1133" priority="702" operator="containsText" text="Sublimite">
      <formula>NOT(ISERROR(SEARCH("Sublimite",E29)))</formula>
    </cfRule>
    <cfRule type="containsText" dxfId="1132" priority="701" operator="containsText" text="Excluido">
      <formula>NOT(ISERROR(SEARCH("Excluido",E29)))</formula>
    </cfRule>
  </conditionalFormatting>
  <conditionalFormatting sqref="E32:E33">
    <cfRule type="containsText" dxfId="1131" priority="692" operator="containsText" text="Sublimite">
      <formula>NOT(ISERROR(SEARCH("Sublimite",E32)))</formula>
    </cfRule>
    <cfRule type="containsText" dxfId="1130" priority="691" operator="containsText" text="Excluido">
      <formula>NOT(ISERROR(SEARCH("Excluido",E32)))</formula>
    </cfRule>
    <cfRule type="containsText" dxfId="1129" priority="695" operator="containsText" text="Sublimite">
      <formula>NOT(ISERROR(SEARCH("Sublimite",E32)))</formula>
    </cfRule>
    <cfRule type="containsText" dxfId="1128" priority="693" operator="containsText" text="Excluido">
      <formula>NOT(ISERROR(SEARCH("Excluido",E32)))</formula>
    </cfRule>
    <cfRule type="containsText" dxfId="1127" priority="694" operator="containsText" text="Sublimite">
      <formula>NOT(ISERROR(SEARCH("Sublimite",E32)))</formula>
    </cfRule>
  </conditionalFormatting>
  <conditionalFormatting sqref="E35">
    <cfRule type="containsText" dxfId="1126" priority="13" operator="containsText" text="Excluido">
      <formula>NOT(ISERROR(SEARCH("Excluido",E35)))</formula>
    </cfRule>
    <cfRule type="containsText" dxfId="1125" priority="14" operator="containsText" text="Sublimite">
      <formula>NOT(ISERROR(SEARCH("Sublimite",E35)))</formula>
    </cfRule>
    <cfRule type="containsText" dxfId="1124" priority="15" operator="containsText" text="Excluido">
      <formula>NOT(ISERROR(SEARCH("Excluido",E35)))</formula>
    </cfRule>
    <cfRule type="containsText" dxfId="1123" priority="16" operator="containsText" text="Sublimite">
      <formula>NOT(ISERROR(SEARCH("Sublimite",E35)))</formula>
    </cfRule>
    <cfRule type="containsText" dxfId="1122" priority="17" operator="containsText" text="Sublimite">
      <formula>NOT(ISERROR(SEARCH("Sublimite",E35)))</formula>
    </cfRule>
    <cfRule type="containsText" dxfId="1121" priority="18" operator="containsText" text="Adicional">
      <formula>NOT(ISERROR(SEARCH("Adicional",E35)))</formula>
    </cfRule>
  </conditionalFormatting>
  <conditionalFormatting sqref="E37">
    <cfRule type="containsText" dxfId="1120" priority="181" operator="containsText" text="Sublimite">
      <formula>NOT(ISERROR(SEARCH("Sublimite",E37)))</formula>
    </cfRule>
    <cfRule type="containsText" dxfId="1119" priority="180" operator="containsText" text="Sublimite">
      <formula>NOT(ISERROR(SEARCH("Sublimite",E37)))</formula>
    </cfRule>
    <cfRule type="containsText" dxfId="1118" priority="179" operator="containsText" text="Excluido">
      <formula>NOT(ISERROR(SEARCH("Excluido",E37)))</formula>
    </cfRule>
    <cfRule type="containsText" dxfId="1117" priority="178" operator="containsText" text="Sublimite">
      <formula>NOT(ISERROR(SEARCH("Sublimite",E37)))</formula>
    </cfRule>
    <cfRule type="containsText" dxfId="1116" priority="177" operator="containsText" text="Excluido">
      <formula>NOT(ISERROR(SEARCH("Excluido",E37)))</formula>
    </cfRule>
  </conditionalFormatting>
  <conditionalFormatting sqref="E39">
    <cfRule type="containsText" dxfId="1115" priority="175" operator="containsText" text="Sublimite">
      <formula>NOT(ISERROR(SEARCH("Sublimite",E39)))</formula>
    </cfRule>
    <cfRule type="containsText" dxfId="1114" priority="174" operator="containsText" text="Excluido">
      <formula>NOT(ISERROR(SEARCH("Excluido",E39)))</formula>
    </cfRule>
    <cfRule type="containsText" dxfId="1113" priority="173" operator="containsText" text="Sublimite">
      <formula>NOT(ISERROR(SEARCH("Sublimite",E39)))</formula>
    </cfRule>
    <cfRule type="containsText" dxfId="1112" priority="172" operator="containsText" text="Excluido">
      <formula>NOT(ISERROR(SEARCH("Excluido",E39)))</formula>
    </cfRule>
    <cfRule type="containsText" dxfId="1111" priority="176" operator="containsText" text="Sublimite">
      <formula>NOT(ISERROR(SEARCH("Sublimite",E39)))</formula>
    </cfRule>
  </conditionalFormatting>
  <conditionalFormatting sqref="E42:E43">
    <cfRule type="containsText" dxfId="1110" priority="33" operator="containsText" text="Sublimite">
      <formula>NOT(ISERROR(SEARCH("Sublimite",E42)))</formula>
    </cfRule>
    <cfRule type="containsText" dxfId="1109" priority="34" operator="containsText" text="Adicional">
      <formula>NOT(ISERROR(SEARCH("Adicional",E42)))</formula>
    </cfRule>
  </conditionalFormatting>
  <conditionalFormatting sqref="E42:E60">
    <cfRule type="containsText" dxfId="1108" priority="31" operator="containsText" text="Excluido">
      <formula>NOT(ISERROR(SEARCH("Excluido",E42)))</formula>
    </cfRule>
    <cfRule type="containsText" dxfId="1107" priority="32" operator="containsText" text="Sublimite">
      <formula>NOT(ISERROR(SEARCH("Sublimite",E42)))</formula>
    </cfRule>
    <cfRule type="containsText" dxfId="1106" priority="30" operator="containsText" text="Sublimite">
      <formula>NOT(ISERROR(SEARCH("Sublimite",E42)))</formula>
    </cfRule>
    <cfRule type="containsText" dxfId="1105" priority="29" operator="containsText" text="Excluido">
      <formula>NOT(ISERROR(SEARCH("Excluido",E42)))</formula>
    </cfRule>
  </conditionalFormatting>
  <conditionalFormatting sqref="E44:E58">
    <cfRule type="containsText" dxfId="1104" priority="620" operator="containsText" text="Sublimite">
      <formula>NOT(ISERROR(SEARCH("Sublimite",E44)))</formula>
    </cfRule>
  </conditionalFormatting>
  <conditionalFormatting sqref="E59:E60">
    <cfRule type="containsText" dxfId="1103" priority="39" operator="containsText" text="Sublimite">
      <formula>NOT(ISERROR(SEARCH("Sublimite",E59)))</formula>
    </cfRule>
    <cfRule type="containsText" dxfId="1102" priority="40" operator="containsText" text="Adicional">
      <formula>NOT(ISERROR(SEARCH("Adicional",E59)))</formula>
    </cfRule>
  </conditionalFormatting>
  <conditionalFormatting sqref="E62:E63">
    <cfRule type="containsText" dxfId="1101" priority="607" operator="containsText" text="Sublimite">
      <formula>NOT(ISERROR(SEARCH("Sublimite",E62)))</formula>
    </cfRule>
    <cfRule type="containsText" dxfId="1100" priority="609" operator="containsText" text="Sublimite">
      <formula>NOT(ISERROR(SEARCH("Sublimite",E62)))</formula>
    </cfRule>
    <cfRule type="containsText" dxfId="1099" priority="610" operator="containsText" text="Sublimite">
      <formula>NOT(ISERROR(SEARCH("Sublimite",E62)))</formula>
    </cfRule>
    <cfRule type="containsText" dxfId="1098" priority="608" operator="containsText" text="Excluido">
      <formula>NOT(ISERROR(SEARCH("Excluido",E62)))</formula>
    </cfRule>
    <cfRule type="containsText" dxfId="1097" priority="606" operator="containsText" text="Excluido">
      <formula>NOT(ISERROR(SEARCH("Excluido",E62)))</formula>
    </cfRule>
  </conditionalFormatting>
  <conditionalFormatting sqref="E65:E66">
    <cfRule type="containsText" dxfId="1096" priority="600" operator="containsText" text="Sublimite">
      <formula>NOT(ISERROR(SEARCH("Sublimite",E65)))</formula>
    </cfRule>
    <cfRule type="containsText" dxfId="1095" priority="599" operator="containsText" text="Sublimite">
      <formula>NOT(ISERROR(SEARCH("Sublimite",E65)))</formula>
    </cfRule>
    <cfRule type="containsText" dxfId="1094" priority="598" operator="containsText" text="Excluido">
      <formula>NOT(ISERROR(SEARCH("Excluido",E65)))</formula>
    </cfRule>
    <cfRule type="containsText" dxfId="1093" priority="597" operator="containsText" text="Sublimite">
      <formula>NOT(ISERROR(SEARCH("Sublimite",E65)))</formula>
    </cfRule>
    <cfRule type="containsText" dxfId="1092" priority="596" operator="containsText" text="Excluido">
      <formula>NOT(ISERROR(SEARCH("Excluido",E65)))</formula>
    </cfRule>
  </conditionalFormatting>
  <conditionalFormatting sqref="E68">
    <cfRule type="containsText" dxfId="1091" priority="357" operator="containsText" text="Sublimite">
      <formula>NOT(ISERROR(SEARCH("Sublimite",E68)))</formula>
    </cfRule>
    <cfRule type="containsText" dxfId="1090" priority="358" operator="containsText" text="Excluido">
      <formula>NOT(ISERROR(SEARCH("Excluido",E68)))</formula>
    </cfRule>
    <cfRule type="containsText" dxfId="1089" priority="360" operator="containsText" text="Sublimite">
      <formula>NOT(ISERROR(SEARCH("Sublimite",E68)))</formula>
    </cfRule>
    <cfRule type="containsText" dxfId="1088" priority="361" operator="containsText" text="Adicional">
      <formula>NOT(ISERROR(SEARCH("Adicional",E68)))</formula>
    </cfRule>
    <cfRule type="containsText" dxfId="1087" priority="359" operator="containsText" text="Sublimite">
      <formula>NOT(ISERROR(SEARCH("Sublimite",E68)))</formula>
    </cfRule>
    <cfRule type="containsText" dxfId="1086" priority="356" operator="containsText" text="Excluido">
      <formula>NOT(ISERROR(SEARCH("Excluido",E68)))</formula>
    </cfRule>
  </conditionalFormatting>
  <conditionalFormatting sqref="E70">
    <cfRule type="containsText" dxfId="1085" priority="169" operator="containsText" text="Excluido">
      <formula>NOT(ISERROR(SEARCH("Excluido",E70)))</formula>
    </cfRule>
    <cfRule type="containsText" dxfId="1084" priority="171" operator="containsText" text="Sublimite">
      <formula>NOT(ISERROR(SEARCH("Sublimite",E70)))</formula>
    </cfRule>
    <cfRule type="containsText" dxfId="1083" priority="168" operator="containsText" text="Sublimite">
      <formula>NOT(ISERROR(SEARCH("Sublimite",E70)))</formula>
    </cfRule>
    <cfRule type="containsText" dxfId="1082" priority="170" operator="containsText" text="Sublimite">
      <formula>NOT(ISERROR(SEARCH("Sublimite",E70)))</formula>
    </cfRule>
    <cfRule type="containsText" dxfId="1081" priority="167" operator="containsText" text="Excluido">
      <formula>NOT(ISERROR(SEARCH("Excluido",E70)))</formula>
    </cfRule>
  </conditionalFormatting>
  <conditionalFormatting sqref="E72">
    <cfRule type="containsText" dxfId="1080" priority="162" operator="containsText" text="Excluido">
      <formula>NOT(ISERROR(SEARCH("Excluido",E72)))</formula>
    </cfRule>
    <cfRule type="containsText" dxfId="1079" priority="163" operator="containsText" text="Sublimite">
      <formula>NOT(ISERROR(SEARCH("Sublimite",E72)))</formula>
    </cfRule>
    <cfRule type="containsText" dxfId="1078" priority="164" operator="containsText" text="Excluido">
      <formula>NOT(ISERROR(SEARCH("Excluido",E72)))</formula>
    </cfRule>
    <cfRule type="containsText" dxfId="1077" priority="166" operator="containsText" text="Sublimite">
      <formula>NOT(ISERROR(SEARCH("Sublimite",E72)))</formula>
    </cfRule>
    <cfRule type="containsText" dxfId="1076" priority="165" operator="containsText" text="Sublimite">
      <formula>NOT(ISERROR(SEARCH("Sublimite",E72)))</formula>
    </cfRule>
  </conditionalFormatting>
  <conditionalFormatting sqref="E74">
    <cfRule type="containsText" dxfId="1075" priority="159" operator="containsText" text="Excluido">
      <formula>NOT(ISERROR(SEARCH("Excluido",E74)))</formula>
    </cfRule>
    <cfRule type="containsText" dxfId="1074" priority="157" operator="containsText" text="Excluido">
      <formula>NOT(ISERROR(SEARCH("Excluido",E74)))</formula>
    </cfRule>
    <cfRule type="containsText" dxfId="1073" priority="158" operator="containsText" text="Sublimite">
      <formula>NOT(ISERROR(SEARCH("Sublimite",E74)))</formula>
    </cfRule>
    <cfRule type="containsText" dxfId="1072" priority="161" operator="containsText" text="Sublimite">
      <formula>NOT(ISERROR(SEARCH("Sublimite",E74)))</formula>
    </cfRule>
    <cfRule type="containsText" dxfId="1071" priority="160" operator="containsText" text="Sublimite">
      <formula>NOT(ISERROR(SEARCH("Sublimite",E74)))</formula>
    </cfRule>
  </conditionalFormatting>
  <conditionalFormatting sqref="E76">
    <cfRule type="containsText" dxfId="1070" priority="156" operator="containsText" text="Sublimite">
      <formula>NOT(ISERROR(SEARCH("Sublimite",E76)))</formula>
    </cfRule>
    <cfRule type="containsText" dxfId="1069" priority="155" operator="containsText" text="Sublimite">
      <formula>NOT(ISERROR(SEARCH("Sublimite",E76)))</formula>
    </cfRule>
    <cfRule type="containsText" dxfId="1068" priority="154" operator="containsText" text="Excluido">
      <formula>NOT(ISERROR(SEARCH("Excluido",E76)))</formula>
    </cfRule>
    <cfRule type="containsText" dxfId="1067" priority="153" operator="containsText" text="Sublimite">
      <formula>NOT(ISERROR(SEARCH("Sublimite",E76)))</formula>
    </cfRule>
    <cfRule type="containsText" dxfId="1066" priority="152" operator="containsText" text="Excluido">
      <formula>NOT(ISERROR(SEARCH("Excluido",E76)))</formula>
    </cfRule>
  </conditionalFormatting>
  <conditionalFormatting sqref="E79:E86">
    <cfRule type="containsText" dxfId="1065" priority="354" operator="containsText" text="Sublimite">
      <formula>NOT(ISERROR(SEARCH("Sublimite",E79)))</formula>
    </cfRule>
    <cfRule type="containsText" dxfId="1064" priority="355" operator="containsText" text="Adicional">
      <formula>NOT(ISERROR(SEARCH("Adicional",E79)))</formula>
    </cfRule>
  </conditionalFormatting>
  <conditionalFormatting sqref="E79:E89">
    <cfRule type="containsText" dxfId="1063" priority="150" operator="containsText" text="Sublimite">
      <formula>NOT(ISERROR(SEARCH("Sublimite",E79)))</formula>
    </cfRule>
    <cfRule type="containsText" dxfId="1062" priority="149" operator="containsText" text="Excluido">
      <formula>NOT(ISERROR(SEARCH("Excluido",E79)))</formula>
    </cfRule>
    <cfRule type="containsText" dxfId="1061" priority="147" operator="containsText" text="Excluido">
      <formula>NOT(ISERROR(SEARCH("Excluido",E79)))</formula>
    </cfRule>
    <cfRule type="containsText" dxfId="1060" priority="148" operator="containsText" text="Sublimite">
      <formula>NOT(ISERROR(SEARCH("Sublimite",E79)))</formula>
    </cfRule>
  </conditionalFormatting>
  <conditionalFormatting sqref="E87:E89">
    <cfRule type="containsText" dxfId="1059" priority="151" operator="containsText" text="Sublimite">
      <formula>NOT(ISERROR(SEARCH("Sublimite",E87)))</formula>
    </cfRule>
  </conditionalFormatting>
  <conditionalFormatting sqref="E91:E94">
    <cfRule type="containsText" dxfId="1058" priority="145" operator="containsText" text="Sublimite">
      <formula>NOT(ISERROR(SEARCH("Sublimite",E91)))</formula>
    </cfRule>
    <cfRule type="containsText" dxfId="1057" priority="146" operator="containsText" text="Sublimite">
      <formula>NOT(ISERROR(SEARCH("Sublimite",E91)))</formula>
    </cfRule>
    <cfRule type="containsText" dxfId="1056" priority="144" operator="containsText" text="Excluido">
      <formula>NOT(ISERROR(SEARCH("Excluido",E91)))</formula>
    </cfRule>
    <cfRule type="containsText" dxfId="1055" priority="143" operator="containsText" text="Sublimite">
      <formula>NOT(ISERROR(SEARCH("Sublimite",E91)))</formula>
    </cfRule>
    <cfRule type="containsText" dxfId="1054" priority="142" operator="containsText" text="Excluido">
      <formula>NOT(ISERROR(SEARCH("Excluido",E91)))</formula>
    </cfRule>
  </conditionalFormatting>
  <conditionalFormatting sqref="E96:E98">
    <cfRule type="containsText" dxfId="1053" priority="141" operator="containsText" text="Sublimite">
      <formula>NOT(ISERROR(SEARCH("Sublimite",E96)))</formula>
    </cfRule>
    <cfRule type="containsText" dxfId="1052" priority="140" operator="containsText" text="Sublimite">
      <formula>NOT(ISERROR(SEARCH("Sublimite",E96)))</formula>
    </cfRule>
    <cfRule type="containsText" dxfId="1051" priority="139" operator="containsText" text="Excluido">
      <formula>NOT(ISERROR(SEARCH("Excluido",E96)))</formula>
    </cfRule>
    <cfRule type="containsText" dxfId="1050" priority="138" operator="containsText" text="Sublimite">
      <formula>NOT(ISERROR(SEARCH("Sublimite",E96)))</formula>
    </cfRule>
    <cfRule type="containsText" dxfId="1049" priority="137" operator="containsText" text="Excluido">
      <formula>NOT(ISERROR(SEARCH("Excluido",E96)))</formula>
    </cfRule>
  </conditionalFormatting>
  <conditionalFormatting sqref="E101:E102">
    <cfRule type="containsText" dxfId="1048" priority="463" operator="containsText" text="Adicional">
      <formula>NOT(ISERROR(SEARCH("Adicional",E101)))</formula>
    </cfRule>
    <cfRule type="containsText" dxfId="1047" priority="462" operator="containsText" text="Sublimite">
      <formula>NOT(ISERROR(SEARCH("Sublimite",E101)))</formula>
    </cfRule>
    <cfRule type="containsText" dxfId="1046" priority="460" operator="containsText" text="Excluido">
      <formula>NOT(ISERROR(SEARCH("Excluido",E101)))</formula>
    </cfRule>
    <cfRule type="containsText" dxfId="1045" priority="461" operator="containsText" text="Sublimite">
      <formula>NOT(ISERROR(SEARCH("Sublimite",E101)))</formula>
    </cfRule>
    <cfRule type="containsText" dxfId="1044" priority="459" operator="containsText" text="Sublimite">
      <formula>NOT(ISERROR(SEARCH("Sublimite",E101)))</formula>
    </cfRule>
    <cfRule type="containsText" dxfId="1043" priority="458" operator="containsText" text="Excluido">
      <formula>NOT(ISERROR(SEARCH("Excluido",E101)))</formula>
    </cfRule>
  </conditionalFormatting>
  <conditionalFormatting sqref="E105:E106">
    <cfRule type="containsText" dxfId="1042" priority="450" operator="containsText" text="Sublimite">
      <formula>NOT(ISERROR(SEARCH("Sublimite",E105)))</formula>
    </cfRule>
    <cfRule type="containsText" dxfId="1041" priority="447" operator="containsText" text="Sublimite">
      <formula>NOT(ISERROR(SEARCH("Sublimite",E105)))</formula>
    </cfRule>
    <cfRule type="containsText" dxfId="1040" priority="448" operator="containsText" text="Excluido">
      <formula>NOT(ISERROR(SEARCH("Excluido",E105)))</formula>
    </cfRule>
    <cfRule type="containsText" dxfId="1039" priority="449" operator="containsText" text="Sublimite">
      <formula>NOT(ISERROR(SEARCH("Sublimite",E105)))</formula>
    </cfRule>
    <cfRule type="containsText" dxfId="1038" priority="451" operator="containsText" text="Adicional">
      <formula>NOT(ISERROR(SEARCH("Adicional",E105)))</formula>
    </cfRule>
    <cfRule type="containsText" dxfId="1037" priority="446" operator="containsText" text="Excluido">
      <formula>NOT(ISERROR(SEARCH("Excluido",E105)))</formula>
    </cfRule>
  </conditionalFormatting>
  <conditionalFormatting sqref="E109:E110">
    <cfRule type="containsText" dxfId="1036" priority="435" operator="containsText" text="Sublimite">
      <formula>NOT(ISERROR(SEARCH("Sublimite",E109)))</formula>
    </cfRule>
    <cfRule type="containsText" dxfId="1035" priority="436" operator="containsText" text="Excluido">
      <formula>NOT(ISERROR(SEARCH("Excluido",E109)))</formula>
    </cfRule>
    <cfRule type="containsText" dxfId="1034" priority="437" operator="containsText" text="Sublimite">
      <formula>NOT(ISERROR(SEARCH("Sublimite",E109)))</formula>
    </cfRule>
    <cfRule type="containsText" dxfId="1033" priority="438" operator="containsText" text="Sublimite">
      <formula>NOT(ISERROR(SEARCH("Sublimite",E109)))</formula>
    </cfRule>
    <cfRule type="containsText" dxfId="1032" priority="434" operator="containsText" text="Excluido">
      <formula>NOT(ISERROR(SEARCH("Excluido",E109)))</formula>
    </cfRule>
    <cfRule type="containsText" dxfId="1031" priority="439" operator="containsText" text="Adicional">
      <formula>NOT(ISERROR(SEARCH("Adicional",E109)))</formula>
    </cfRule>
  </conditionalFormatting>
  <conditionalFormatting sqref="E113:E114">
    <cfRule type="containsText" dxfId="1030" priority="422" operator="containsText" text="Excluido">
      <formula>NOT(ISERROR(SEARCH("Excluido",E113)))</formula>
    </cfRule>
    <cfRule type="containsText" dxfId="1029" priority="427" operator="containsText" text="Adicional">
      <formula>NOT(ISERROR(SEARCH("Adicional",E113)))</formula>
    </cfRule>
    <cfRule type="containsText" dxfId="1028" priority="425" operator="containsText" text="Sublimite">
      <formula>NOT(ISERROR(SEARCH("Sublimite",E113)))</formula>
    </cfRule>
    <cfRule type="containsText" dxfId="1027" priority="424" operator="containsText" text="Excluido">
      <formula>NOT(ISERROR(SEARCH("Excluido",E113)))</formula>
    </cfRule>
    <cfRule type="containsText" dxfId="1026" priority="423" operator="containsText" text="Sublimite">
      <formula>NOT(ISERROR(SEARCH("Sublimite",E113)))</formula>
    </cfRule>
    <cfRule type="containsText" dxfId="1025" priority="426" operator="containsText" text="Sublimite">
      <formula>NOT(ISERROR(SEARCH("Sublimite",E113)))</formula>
    </cfRule>
  </conditionalFormatting>
  <conditionalFormatting sqref="E117">
    <cfRule type="containsText" dxfId="1024" priority="12" operator="containsText" text="Adicional">
      <formula>NOT(ISERROR(SEARCH("Adicional",E117)))</formula>
    </cfRule>
    <cfRule type="containsText" dxfId="1023" priority="11" operator="containsText" text="Sublimite">
      <formula>NOT(ISERROR(SEARCH("Sublimite",E117)))</formula>
    </cfRule>
  </conditionalFormatting>
  <conditionalFormatting sqref="E117:E121">
    <cfRule type="containsText" dxfId="1022" priority="10" operator="containsText" text="Sublimite">
      <formula>NOT(ISERROR(SEARCH("Sublimite",E117)))</formula>
    </cfRule>
    <cfRule type="containsText" dxfId="1021" priority="9" operator="containsText" text="Excluido">
      <formula>NOT(ISERROR(SEARCH("Excluido",E117)))</formula>
    </cfRule>
    <cfRule type="containsText" dxfId="1020" priority="8" operator="containsText" text="Sublimite">
      <formula>NOT(ISERROR(SEARCH("Sublimite",E117)))</formula>
    </cfRule>
    <cfRule type="containsText" dxfId="1019" priority="7" operator="containsText" text="Excluido">
      <formula>NOT(ISERROR(SEARCH("Excluido",E117)))</formula>
    </cfRule>
  </conditionalFormatting>
  <conditionalFormatting sqref="E118:E121">
    <cfRule type="containsText" dxfId="1018" priority="136" operator="containsText" text="Sublimite">
      <formula>NOT(ISERROR(SEARCH("Sublimite",E118)))</formula>
    </cfRule>
  </conditionalFormatting>
  <conditionalFormatting sqref="E124">
    <cfRule type="containsText" dxfId="1017" priority="5" operator="containsText" text="Sublimite">
      <formula>NOT(ISERROR(SEARCH("Sublimite",E124)))</formula>
    </cfRule>
    <cfRule type="containsText" dxfId="1016" priority="6" operator="containsText" text="Adicional">
      <formula>NOT(ISERROR(SEARCH("Adicional",E124)))</formula>
    </cfRule>
  </conditionalFormatting>
  <conditionalFormatting sqref="E124:E128">
    <cfRule type="containsText" dxfId="1015" priority="3" operator="containsText" text="Excluido">
      <formula>NOT(ISERROR(SEARCH("Excluido",E124)))</formula>
    </cfRule>
    <cfRule type="containsText" dxfId="1014" priority="4" operator="containsText" text="Sublimite">
      <formula>NOT(ISERROR(SEARCH("Sublimite",E124)))</formula>
    </cfRule>
    <cfRule type="containsText" dxfId="1013" priority="1" operator="containsText" text="Excluido">
      <formula>NOT(ISERROR(SEARCH("Excluido",E124)))</formula>
    </cfRule>
    <cfRule type="containsText" dxfId="1012" priority="2" operator="containsText" text="Sublimite">
      <formula>NOT(ISERROR(SEARCH("Sublimite",E124)))</formula>
    </cfRule>
  </conditionalFormatting>
  <conditionalFormatting sqref="E125:E128">
    <cfRule type="containsText" dxfId="1011" priority="131" operator="containsText" text="Sublimite">
      <formula>NOT(ISERROR(SEARCH("Sublimite",E125)))</formula>
    </cfRule>
  </conditionalFormatting>
  <conditionalFormatting sqref="E131:E136">
    <cfRule type="containsText" dxfId="1010" priority="349" operator="containsText" text="Adicional">
      <formula>NOT(ISERROR(SEARCH("Adicional",E131)))</formula>
    </cfRule>
    <cfRule type="containsText" dxfId="1009" priority="348" operator="containsText" text="Sublimite">
      <formula>NOT(ISERROR(SEARCH("Sublimite",E131)))</formula>
    </cfRule>
    <cfRule type="containsText" dxfId="1008" priority="347" operator="containsText" text="Sublimite">
      <formula>NOT(ISERROR(SEARCH("Sublimite",E131)))</formula>
    </cfRule>
    <cfRule type="containsText" dxfId="1007" priority="346" operator="containsText" text="Excluido">
      <formula>NOT(ISERROR(SEARCH("Excluido",E131)))</formula>
    </cfRule>
    <cfRule type="containsText" dxfId="1006" priority="345" operator="containsText" text="Sublimite">
      <formula>NOT(ISERROR(SEARCH("Sublimite",E131)))</formula>
    </cfRule>
    <cfRule type="containsText" dxfId="1005" priority="344" operator="containsText" text="Excluido">
      <formula>NOT(ISERROR(SEARCH("Excluido",E131)))</formula>
    </cfRule>
  </conditionalFormatting>
  <conditionalFormatting sqref="E139:E144">
    <cfRule type="containsText" dxfId="1004" priority="339" operator="containsText" text="Sublimite">
      <formula>NOT(ISERROR(SEARCH("Sublimite",E139)))</formula>
    </cfRule>
    <cfRule type="containsText" dxfId="1003" priority="338" operator="containsText" text="Excluido">
      <formula>NOT(ISERROR(SEARCH("Excluido",E139)))</formula>
    </cfRule>
    <cfRule type="containsText" dxfId="1002" priority="342" operator="containsText" text="Sublimite">
      <formula>NOT(ISERROR(SEARCH("Sublimite",E139)))</formula>
    </cfRule>
    <cfRule type="containsText" dxfId="1001" priority="341" operator="containsText" text="Sublimite">
      <formula>NOT(ISERROR(SEARCH("Sublimite",E139)))</formula>
    </cfRule>
    <cfRule type="containsText" dxfId="1000" priority="340" operator="containsText" text="Excluido">
      <formula>NOT(ISERROR(SEARCH("Excluido",E139)))</formula>
    </cfRule>
    <cfRule type="containsText" dxfId="999" priority="343" operator="containsText" text="Adicional">
      <formula>NOT(ISERROR(SEARCH("Adicional",E139)))</formula>
    </cfRule>
  </conditionalFormatting>
  <conditionalFormatting sqref="E147">
    <cfRule type="containsText" dxfId="998" priority="336" operator="containsText" text="Sublimite">
      <formula>NOT(ISERROR(SEARCH("Sublimite",E147)))</formula>
    </cfRule>
    <cfRule type="containsText" dxfId="997" priority="335" operator="containsText" text="Sublimite">
      <formula>NOT(ISERROR(SEARCH("Sublimite",E147)))</formula>
    </cfRule>
    <cfRule type="containsText" dxfId="996" priority="334" operator="containsText" text="Excluido">
      <formula>NOT(ISERROR(SEARCH("Excluido",E147)))</formula>
    </cfRule>
    <cfRule type="containsText" dxfId="995" priority="333" operator="containsText" text="Sublimite">
      <formula>NOT(ISERROR(SEARCH("Sublimite",E147)))</formula>
    </cfRule>
    <cfRule type="containsText" dxfId="994" priority="332" operator="containsText" text="Excluido">
      <formula>NOT(ISERROR(SEARCH("Excluido",E147)))</formula>
    </cfRule>
    <cfRule type="containsText" dxfId="993" priority="337" operator="containsText" text="Adicional">
      <formula>NOT(ISERROR(SEARCH("Adicional",E147)))</formula>
    </cfRule>
  </conditionalFormatting>
  <conditionalFormatting sqref="E150">
    <cfRule type="containsText" dxfId="992" priority="327" operator="containsText" text="Sublimite">
      <formula>NOT(ISERROR(SEARCH("Sublimite",E150)))</formula>
    </cfRule>
    <cfRule type="containsText" dxfId="991" priority="331" operator="containsText" text="Adicional">
      <formula>NOT(ISERROR(SEARCH("Adicional",E150)))</formula>
    </cfRule>
    <cfRule type="containsText" dxfId="990" priority="326" operator="containsText" text="Excluido">
      <formula>NOT(ISERROR(SEARCH("Excluido",E150)))</formula>
    </cfRule>
    <cfRule type="containsText" dxfId="989" priority="330" operator="containsText" text="Sublimite">
      <formula>NOT(ISERROR(SEARCH("Sublimite",E150)))</formula>
    </cfRule>
    <cfRule type="containsText" dxfId="988" priority="329" operator="containsText" text="Sublimite">
      <formula>NOT(ISERROR(SEARCH("Sublimite",E150)))</formula>
    </cfRule>
    <cfRule type="containsText" dxfId="987" priority="328" operator="containsText" text="Excluido">
      <formula>NOT(ISERROR(SEARCH("Excluido",E150)))</formula>
    </cfRule>
  </conditionalFormatting>
  <conditionalFormatting sqref="E153">
    <cfRule type="containsText" dxfId="986" priority="325" operator="containsText" text="Adicional">
      <formula>NOT(ISERROR(SEARCH("Adicional",E153)))</formula>
    </cfRule>
    <cfRule type="containsText" dxfId="985" priority="324" operator="containsText" text="Sublimite">
      <formula>NOT(ISERROR(SEARCH("Sublimite",E153)))</formula>
    </cfRule>
    <cfRule type="containsText" dxfId="984" priority="323" operator="containsText" text="Sublimite">
      <formula>NOT(ISERROR(SEARCH("Sublimite",E153)))</formula>
    </cfRule>
    <cfRule type="containsText" dxfId="983" priority="320" operator="containsText" text="Excluido">
      <formula>NOT(ISERROR(SEARCH("Excluido",E153)))</formula>
    </cfRule>
    <cfRule type="containsText" dxfId="982" priority="321" operator="containsText" text="Sublimite">
      <formula>NOT(ISERROR(SEARCH("Sublimite",E153)))</formula>
    </cfRule>
    <cfRule type="containsText" dxfId="981" priority="322" operator="containsText" text="Excluido">
      <formula>NOT(ISERROR(SEARCH("Excluido",E153)))</formula>
    </cfRule>
  </conditionalFormatting>
  <conditionalFormatting sqref="E156">
    <cfRule type="containsText" dxfId="980" priority="317" operator="containsText" text="Sublimite">
      <formula>NOT(ISERROR(SEARCH("Sublimite",E156)))</formula>
    </cfRule>
    <cfRule type="containsText" dxfId="979" priority="319" operator="containsText" text="Adicional">
      <formula>NOT(ISERROR(SEARCH("Adicional",E156)))</formula>
    </cfRule>
    <cfRule type="containsText" dxfId="978" priority="318" operator="containsText" text="Sublimite">
      <formula>NOT(ISERROR(SEARCH("Sublimite",E156)))</formula>
    </cfRule>
    <cfRule type="containsText" dxfId="977" priority="316" operator="containsText" text="Excluido">
      <formula>NOT(ISERROR(SEARCH("Excluido",E156)))</formula>
    </cfRule>
    <cfRule type="containsText" dxfId="976" priority="315" operator="containsText" text="Sublimite">
      <formula>NOT(ISERROR(SEARCH("Sublimite",E156)))</formula>
    </cfRule>
    <cfRule type="containsText" dxfId="975" priority="314" operator="containsText" text="Excluido">
      <formula>NOT(ISERROR(SEARCH("Excluido",E156)))</formula>
    </cfRule>
  </conditionalFormatting>
  <conditionalFormatting sqref="E159">
    <cfRule type="containsText" dxfId="974" priority="313" operator="containsText" text="Adicional">
      <formula>NOT(ISERROR(SEARCH("Adicional",E159)))</formula>
    </cfRule>
    <cfRule type="containsText" dxfId="973" priority="311" operator="containsText" text="Sublimite">
      <formula>NOT(ISERROR(SEARCH("Sublimite",E159)))</formula>
    </cfRule>
    <cfRule type="containsText" dxfId="972" priority="312" operator="containsText" text="Sublimite">
      <formula>NOT(ISERROR(SEARCH("Sublimite",E159)))</formula>
    </cfRule>
    <cfRule type="containsText" dxfId="971" priority="310" operator="containsText" text="Excluido">
      <formula>NOT(ISERROR(SEARCH("Excluido",E159)))</formula>
    </cfRule>
    <cfRule type="containsText" dxfId="970" priority="309" operator="containsText" text="Sublimite">
      <formula>NOT(ISERROR(SEARCH("Sublimite",E159)))</formula>
    </cfRule>
    <cfRule type="containsText" dxfId="969" priority="308" operator="containsText" text="Excluido">
      <formula>NOT(ISERROR(SEARCH("Excluido",E159)))</formula>
    </cfRule>
  </conditionalFormatting>
  <conditionalFormatting sqref="E162:E163">
    <cfRule type="containsText" dxfId="968" priority="414" operator="containsText" text="Sublimite">
      <formula>NOT(ISERROR(SEARCH("Sublimite",E162)))</formula>
    </cfRule>
    <cfRule type="containsText" dxfId="967" priority="415" operator="containsText" text="Adicional">
      <formula>NOT(ISERROR(SEARCH("Adicional",E162)))</formula>
    </cfRule>
  </conditionalFormatting>
  <conditionalFormatting sqref="E162:E165">
    <cfRule type="containsText" dxfId="966" priority="410" operator="containsText" text="Excluido">
      <formula>NOT(ISERROR(SEARCH("Excluido",E162)))</formula>
    </cfRule>
    <cfRule type="containsText" dxfId="965" priority="411" operator="containsText" text="Sublimite">
      <formula>NOT(ISERROR(SEARCH("Sublimite",E162)))</formula>
    </cfRule>
    <cfRule type="containsText" dxfId="964" priority="412" operator="containsText" text="Excluido">
      <formula>NOT(ISERROR(SEARCH("Excluido",E162)))</formula>
    </cfRule>
    <cfRule type="containsText" dxfId="963" priority="413" operator="containsText" text="Sublimite">
      <formula>NOT(ISERROR(SEARCH("Sublimite",E162)))</formula>
    </cfRule>
  </conditionalFormatting>
  <conditionalFormatting sqref="E164:E165">
    <cfRule type="containsText" dxfId="962" priority="590" operator="containsText" text="Sublimite">
      <formula>NOT(ISERROR(SEARCH("Sublimite",E164)))</formula>
    </cfRule>
  </conditionalFormatting>
  <conditionalFormatting sqref="E168:E169">
    <cfRule type="containsText" dxfId="961" priority="402" operator="containsText" text="Sublimite">
      <formula>NOT(ISERROR(SEARCH("Sublimite",E168)))</formula>
    </cfRule>
    <cfRule type="containsText" dxfId="960" priority="403" operator="containsText" text="Adicional">
      <formula>NOT(ISERROR(SEARCH("Adicional",E168)))</formula>
    </cfRule>
  </conditionalFormatting>
  <conditionalFormatting sqref="E168:E171">
    <cfRule type="containsText" dxfId="959" priority="398" operator="containsText" text="Excluido">
      <formula>NOT(ISERROR(SEARCH("Excluido",E168)))</formula>
    </cfRule>
    <cfRule type="containsText" dxfId="958" priority="399" operator="containsText" text="Sublimite">
      <formula>NOT(ISERROR(SEARCH("Sublimite",E168)))</formula>
    </cfRule>
    <cfRule type="containsText" dxfId="957" priority="400" operator="containsText" text="Excluido">
      <formula>NOT(ISERROR(SEARCH("Excluido",E168)))</formula>
    </cfRule>
    <cfRule type="containsText" dxfId="956" priority="401" operator="containsText" text="Sublimite">
      <formula>NOT(ISERROR(SEARCH("Sublimite",E168)))</formula>
    </cfRule>
  </conditionalFormatting>
  <conditionalFormatting sqref="E170:E171">
    <cfRule type="containsText" dxfId="955" priority="580" operator="containsText" text="Sublimite">
      <formula>NOT(ISERROR(SEARCH("Sublimite",E170)))</formula>
    </cfRule>
  </conditionalFormatting>
  <conditionalFormatting sqref="E174:E175">
    <cfRule type="containsText" dxfId="954" priority="390" operator="containsText" text="Sublimite">
      <formula>NOT(ISERROR(SEARCH("Sublimite",E174)))</formula>
    </cfRule>
    <cfRule type="containsText" dxfId="953" priority="391" operator="containsText" text="Adicional">
      <formula>NOT(ISERROR(SEARCH("Adicional",E174)))</formula>
    </cfRule>
  </conditionalFormatting>
  <conditionalFormatting sqref="E174:E177">
    <cfRule type="containsText" dxfId="952" priority="386" operator="containsText" text="Excluido">
      <formula>NOT(ISERROR(SEARCH("Excluido",E174)))</formula>
    </cfRule>
    <cfRule type="containsText" dxfId="951" priority="387" operator="containsText" text="Sublimite">
      <formula>NOT(ISERROR(SEARCH("Sublimite",E174)))</formula>
    </cfRule>
    <cfRule type="containsText" dxfId="950" priority="388" operator="containsText" text="Excluido">
      <formula>NOT(ISERROR(SEARCH("Excluido",E174)))</formula>
    </cfRule>
    <cfRule type="containsText" dxfId="949" priority="389" operator="containsText" text="Sublimite">
      <formula>NOT(ISERROR(SEARCH("Sublimite",E174)))</formula>
    </cfRule>
  </conditionalFormatting>
  <conditionalFormatting sqref="E176:E177">
    <cfRule type="containsText" dxfId="948" priority="570" operator="containsText" text="Sublimite">
      <formula>NOT(ISERROR(SEARCH("Sublimite",E176)))</formula>
    </cfRule>
  </conditionalFormatting>
  <conditionalFormatting sqref="E180:E181">
    <cfRule type="containsText" dxfId="947" priority="559" operator="containsText" text="Sublimite">
      <formula>NOT(ISERROR(SEARCH("Sublimite",E180)))</formula>
    </cfRule>
    <cfRule type="containsText" dxfId="946" priority="560" operator="containsText" text="Sublimite">
      <formula>NOT(ISERROR(SEARCH("Sublimite",E180)))</formula>
    </cfRule>
    <cfRule type="containsText" dxfId="945" priority="556" operator="containsText" text="Excluido">
      <formula>NOT(ISERROR(SEARCH("Excluido",E180)))</formula>
    </cfRule>
    <cfRule type="containsText" dxfId="944" priority="557" operator="containsText" text="Sublimite">
      <formula>NOT(ISERROR(SEARCH("Sublimite",E180)))</formula>
    </cfRule>
    <cfRule type="containsText" dxfId="943" priority="558" operator="containsText" text="Excluido">
      <formula>NOT(ISERROR(SEARCH("Excluido",E180)))</formula>
    </cfRule>
  </conditionalFormatting>
  <conditionalFormatting sqref="E184:E185">
    <cfRule type="containsText" dxfId="942" priority="550" operator="containsText" text="Sublimite">
      <formula>NOT(ISERROR(SEARCH("Sublimite",E184)))</formula>
    </cfRule>
    <cfRule type="containsText" dxfId="941" priority="549" operator="containsText" text="Sublimite">
      <formula>NOT(ISERROR(SEARCH("Sublimite",E184)))</formula>
    </cfRule>
    <cfRule type="containsText" dxfId="940" priority="548" operator="containsText" text="Excluido">
      <formula>NOT(ISERROR(SEARCH("Excluido",E184)))</formula>
    </cfRule>
    <cfRule type="containsText" dxfId="939" priority="547" operator="containsText" text="Sublimite">
      <formula>NOT(ISERROR(SEARCH("Sublimite",E184)))</formula>
    </cfRule>
    <cfRule type="containsText" dxfId="938" priority="546" operator="containsText" text="Excluido">
      <formula>NOT(ISERROR(SEARCH("Excluido",E184)))</formula>
    </cfRule>
  </conditionalFormatting>
  <conditionalFormatting sqref="E188:E191">
    <cfRule type="containsText" dxfId="937" priority="366" operator="containsText" text="Sublimite">
      <formula>NOT(ISERROR(SEARCH("Sublimite",E188)))</formula>
    </cfRule>
    <cfRule type="containsText" dxfId="936" priority="367" operator="containsText" text="Adicional">
      <formula>NOT(ISERROR(SEARCH("Adicional",E188)))</formula>
    </cfRule>
  </conditionalFormatting>
  <conditionalFormatting sqref="E188:E201">
    <cfRule type="containsText" dxfId="935" priority="363" operator="containsText" text="Sublimite">
      <formula>NOT(ISERROR(SEARCH("Sublimite",E188)))</formula>
    </cfRule>
    <cfRule type="containsText" dxfId="934" priority="364" operator="containsText" text="Excluido">
      <formula>NOT(ISERROR(SEARCH("Excluido",E188)))</formula>
    </cfRule>
    <cfRule type="containsText" dxfId="933" priority="365" operator="containsText" text="Sublimite">
      <formula>NOT(ISERROR(SEARCH("Sublimite",E188)))</formula>
    </cfRule>
    <cfRule type="containsText" dxfId="932" priority="362" operator="containsText" text="Excluido">
      <formula>NOT(ISERROR(SEARCH("Excluido",E188)))</formula>
    </cfRule>
  </conditionalFormatting>
  <conditionalFormatting sqref="E192:E201">
    <cfRule type="containsText" dxfId="931" priority="500" operator="containsText" text="Sublimite">
      <formula>NOT(ISERROR(SEARCH("Sublimite",E192)))</formula>
    </cfRule>
  </conditionalFormatting>
  <conditionalFormatting sqref="E204:E205">
    <cfRule type="containsText" dxfId="930" priority="490" operator="containsText" text="Sublimite">
      <formula>NOT(ISERROR(SEARCH("Sublimite",E204)))</formula>
    </cfRule>
    <cfRule type="containsText" dxfId="929" priority="489" operator="containsText" text="Sublimite">
      <formula>NOT(ISERROR(SEARCH("Sublimite",E204)))</formula>
    </cfRule>
    <cfRule type="containsText" dxfId="928" priority="488" operator="containsText" text="Excluido">
      <formula>NOT(ISERROR(SEARCH("Excluido",E204)))</formula>
    </cfRule>
    <cfRule type="containsText" dxfId="927" priority="487" operator="containsText" text="Sublimite">
      <formula>NOT(ISERROR(SEARCH("Sublimite",E204)))</formula>
    </cfRule>
    <cfRule type="containsText" dxfId="926" priority="486" operator="containsText" text="Excluido">
      <formula>NOT(ISERROR(SEARCH("Excluido",E204)))</formula>
    </cfRule>
  </conditionalFormatting>
  <conditionalFormatting sqref="E208:E209">
    <cfRule type="containsText" dxfId="925" priority="477" operator="containsText" text="Sublimite">
      <formula>NOT(ISERROR(SEARCH("Sublimite",E208)))</formula>
    </cfRule>
    <cfRule type="containsText" dxfId="924" priority="479" operator="containsText" text="Sublimite">
      <formula>NOT(ISERROR(SEARCH("Sublimite",E208)))</formula>
    </cfRule>
    <cfRule type="containsText" dxfId="923" priority="480" operator="containsText" text="Sublimite">
      <formula>NOT(ISERROR(SEARCH("Sublimite",E208)))</formula>
    </cfRule>
    <cfRule type="containsText" dxfId="922" priority="478" operator="containsText" text="Excluido">
      <formula>NOT(ISERROR(SEARCH("Excluido",E208)))</formula>
    </cfRule>
    <cfRule type="containsText" dxfId="921" priority="476" operator="containsText" text="Excluido">
      <formula>NOT(ISERROR(SEARCH("Excluido",E208)))</formula>
    </cfRule>
  </conditionalFormatting>
  <conditionalFormatting sqref="E212">
    <cfRule type="containsText" dxfId="920" priority="306" operator="containsText" text="Sublimite">
      <formula>NOT(ISERROR(SEARCH("Sublimite",E212)))</formula>
    </cfRule>
    <cfRule type="containsText" dxfId="919" priority="302" operator="containsText" text="Excluido">
      <formula>NOT(ISERROR(SEARCH("Excluido",E212)))</formula>
    </cfRule>
    <cfRule type="containsText" dxfId="918" priority="303" operator="containsText" text="Sublimite">
      <formula>NOT(ISERROR(SEARCH("Sublimite",E212)))</formula>
    </cfRule>
    <cfRule type="containsText" dxfId="917" priority="304" operator="containsText" text="Excluido">
      <formula>NOT(ISERROR(SEARCH("Excluido",E212)))</formula>
    </cfRule>
    <cfRule type="containsText" dxfId="916" priority="305" operator="containsText" text="Sublimite">
      <formula>NOT(ISERROR(SEARCH("Sublimite",E212)))</formula>
    </cfRule>
    <cfRule type="containsText" dxfId="915" priority="307" operator="containsText" text="Adicional">
      <formula>NOT(ISERROR(SEARCH("Adicional",E212)))</formula>
    </cfRule>
  </conditionalFormatting>
  <conditionalFormatting sqref="E215">
    <cfRule type="containsText" dxfId="914" priority="301" operator="containsText" text="Adicional">
      <formula>NOT(ISERROR(SEARCH("Adicional",E215)))</formula>
    </cfRule>
    <cfRule type="containsText" dxfId="913" priority="299" operator="containsText" text="Sublimite">
      <formula>NOT(ISERROR(SEARCH("Sublimite",E215)))</formula>
    </cfRule>
    <cfRule type="containsText" dxfId="912" priority="298" operator="containsText" text="Excluido">
      <formula>NOT(ISERROR(SEARCH("Excluido",E215)))</formula>
    </cfRule>
    <cfRule type="containsText" dxfId="911" priority="297" operator="containsText" text="Sublimite">
      <formula>NOT(ISERROR(SEARCH("Sublimite",E215)))</formula>
    </cfRule>
    <cfRule type="containsText" dxfId="910" priority="296" operator="containsText" text="Excluido">
      <formula>NOT(ISERROR(SEARCH("Excluido",E215)))</formula>
    </cfRule>
    <cfRule type="containsText" dxfId="909" priority="300" operator="containsText" text="Sublimite">
      <formula>NOT(ISERROR(SEARCH("Sublimite",E215)))</formula>
    </cfRule>
  </conditionalFormatting>
  <conditionalFormatting sqref="E218">
    <cfRule type="containsText" dxfId="908" priority="295" operator="containsText" text="Adicional">
      <formula>NOT(ISERROR(SEARCH("Adicional",E218)))</formula>
    </cfRule>
    <cfRule type="containsText" dxfId="907" priority="294" operator="containsText" text="Sublimite">
      <formula>NOT(ISERROR(SEARCH("Sublimite",E218)))</formula>
    </cfRule>
  </conditionalFormatting>
  <conditionalFormatting sqref="E218:E219">
    <cfRule type="containsText" dxfId="906" priority="122" operator="containsText" text="Excluido">
      <formula>NOT(ISERROR(SEARCH("Excluido",E218)))</formula>
    </cfRule>
    <cfRule type="containsText" dxfId="905" priority="125" operator="containsText" text="Sublimite">
      <formula>NOT(ISERROR(SEARCH("Sublimite",E218)))</formula>
    </cfRule>
    <cfRule type="containsText" dxfId="904" priority="123" operator="containsText" text="Sublimite">
      <formula>NOT(ISERROR(SEARCH("Sublimite",E218)))</formula>
    </cfRule>
    <cfRule type="containsText" dxfId="903" priority="124" operator="containsText" text="Excluido">
      <formula>NOT(ISERROR(SEARCH("Excluido",E218)))</formula>
    </cfRule>
  </conditionalFormatting>
  <conditionalFormatting sqref="E219">
    <cfRule type="containsText" dxfId="902" priority="126" operator="containsText" text="Sublimite">
      <formula>NOT(ISERROR(SEARCH("Sublimite",E219)))</formula>
    </cfRule>
  </conditionalFormatting>
  <conditionalFormatting sqref="E222">
    <cfRule type="containsText" dxfId="901" priority="121" operator="containsText" text="Sublimite">
      <formula>NOT(ISERROR(SEARCH("Sublimite",E222)))</formula>
    </cfRule>
    <cfRule type="containsText" dxfId="900" priority="120" operator="containsText" text="Sublimite">
      <formula>NOT(ISERROR(SEARCH("Sublimite",E222)))</formula>
    </cfRule>
    <cfRule type="containsText" dxfId="899" priority="119" operator="containsText" text="Excluido">
      <formula>NOT(ISERROR(SEARCH("Excluido",E222)))</formula>
    </cfRule>
    <cfRule type="containsText" dxfId="898" priority="118" operator="containsText" text="Sublimite">
      <formula>NOT(ISERROR(SEARCH("Sublimite",E222)))</formula>
    </cfRule>
    <cfRule type="containsText" dxfId="897" priority="117" operator="containsText" text="Excluido">
      <formula>NOT(ISERROR(SEARCH("Excluido",E222)))</formula>
    </cfRule>
  </conditionalFormatting>
  <conditionalFormatting sqref="E225">
    <cfRule type="containsText" dxfId="896" priority="112" operator="containsText" text="Excluido">
      <formula>NOT(ISERROR(SEARCH("Excluido",E225)))</formula>
    </cfRule>
    <cfRule type="containsText" dxfId="895" priority="113" operator="containsText" text="Sublimite">
      <formula>NOT(ISERROR(SEARCH("Sublimite",E225)))</formula>
    </cfRule>
    <cfRule type="containsText" dxfId="894" priority="116" operator="containsText" text="Sublimite">
      <formula>NOT(ISERROR(SEARCH("Sublimite",E225)))</formula>
    </cfRule>
    <cfRule type="containsText" dxfId="893" priority="115" operator="containsText" text="Sublimite">
      <formula>NOT(ISERROR(SEARCH("Sublimite",E225)))</formula>
    </cfRule>
    <cfRule type="containsText" dxfId="892" priority="114" operator="containsText" text="Excluido">
      <formula>NOT(ISERROR(SEARCH("Excluido",E225)))</formula>
    </cfRule>
  </conditionalFormatting>
  <conditionalFormatting sqref="E228">
    <cfRule type="containsText" dxfId="891" priority="288" operator="containsText" text="Sublimite">
      <formula>NOT(ISERROR(SEARCH("Sublimite",E228)))</formula>
    </cfRule>
    <cfRule type="containsText" dxfId="890" priority="289" operator="containsText" text="Adicional">
      <formula>NOT(ISERROR(SEARCH("Adicional",E228)))</formula>
    </cfRule>
  </conditionalFormatting>
  <conditionalFormatting sqref="E228:E229">
    <cfRule type="containsText" dxfId="889" priority="107" operator="containsText" text="Excluido">
      <formula>NOT(ISERROR(SEARCH("Excluido",E228)))</formula>
    </cfRule>
    <cfRule type="containsText" dxfId="888" priority="108" operator="containsText" text="Sublimite">
      <formula>NOT(ISERROR(SEARCH("Sublimite",E228)))</formula>
    </cfRule>
    <cfRule type="containsText" dxfId="887" priority="110" operator="containsText" text="Sublimite">
      <formula>NOT(ISERROR(SEARCH("Sublimite",E228)))</formula>
    </cfRule>
    <cfRule type="containsText" dxfId="886" priority="109" operator="containsText" text="Excluido">
      <formula>NOT(ISERROR(SEARCH("Excluido",E228)))</formula>
    </cfRule>
  </conditionalFormatting>
  <conditionalFormatting sqref="E229">
    <cfRule type="containsText" dxfId="885" priority="111" operator="containsText" text="Sublimite">
      <formula>NOT(ISERROR(SEARCH("Sublimite",E229)))</formula>
    </cfRule>
  </conditionalFormatting>
  <conditionalFormatting sqref="E232">
    <cfRule type="containsText" dxfId="884" priority="102" operator="containsText" text="Excluido">
      <formula>NOT(ISERROR(SEARCH("Excluido",E232)))</formula>
    </cfRule>
    <cfRule type="containsText" dxfId="883" priority="104" operator="containsText" text="Excluido">
      <formula>NOT(ISERROR(SEARCH("Excluido",E232)))</formula>
    </cfRule>
    <cfRule type="containsText" dxfId="882" priority="105" operator="containsText" text="Sublimite">
      <formula>NOT(ISERROR(SEARCH("Sublimite",E232)))</formula>
    </cfRule>
    <cfRule type="containsText" dxfId="881" priority="106" operator="containsText" text="Sublimite">
      <formula>NOT(ISERROR(SEARCH("Sublimite",E232)))</formula>
    </cfRule>
    <cfRule type="containsText" dxfId="880" priority="103" operator="containsText" text="Sublimite">
      <formula>NOT(ISERROR(SEARCH("Sublimite",E232)))</formula>
    </cfRule>
  </conditionalFormatting>
  <conditionalFormatting sqref="E235">
    <cfRule type="containsText" dxfId="879" priority="97" operator="containsText" text="Excluido">
      <formula>NOT(ISERROR(SEARCH("Excluido",E235)))</formula>
    </cfRule>
    <cfRule type="containsText" dxfId="878" priority="98" operator="containsText" text="Sublimite">
      <formula>NOT(ISERROR(SEARCH("Sublimite",E235)))</formula>
    </cfRule>
    <cfRule type="containsText" dxfId="877" priority="99" operator="containsText" text="Excluido">
      <formula>NOT(ISERROR(SEARCH("Excluido",E235)))</formula>
    </cfRule>
    <cfRule type="containsText" dxfId="876" priority="100" operator="containsText" text="Sublimite">
      <formula>NOT(ISERROR(SEARCH("Sublimite",E235)))</formula>
    </cfRule>
    <cfRule type="containsText" dxfId="875" priority="101" operator="containsText" text="Sublimite">
      <formula>NOT(ISERROR(SEARCH("Sublimite",E235)))</formula>
    </cfRule>
  </conditionalFormatting>
  <conditionalFormatting sqref="E238:E239">
    <cfRule type="containsText" dxfId="874" priority="279" operator="containsText" text="Sublimite">
      <formula>NOT(ISERROR(SEARCH("Sublimite",E238)))</formula>
    </cfRule>
    <cfRule type="containsText" dxfId="873" priority="278" operator="containsText" text="Excluido">
      <formula>NOT(ISERROR(SEARCH("Excluido",E238)))</formula>
    </cfRule>
    <cfRule type="containsText" dxfId="872" priority="280" operator="containsText" text="Excluido">
      <formula>NOT(ISERROR(SEARCH("Excluido",E238)))</formula>
    </cfRule>
    <cfRule type="containsText" dxfId="871" priority="281" operator="containsText" text="Sublimite">
      <formula>NOT(ISERROR(SEARCH("Sublimite",E238)))</formula>
    </cfRule>
    <cfRule type="containsText" dxfId="870" priority="282" operator="containsText" text="Sublimite">
      <formula>NOT(ISERROR(SEARCH("Sublimite",E238)))</formula>
    </cfRule>
    <cfRule type="containsText" dxfId="869" priority="283" operator="containsText" text="Adicional">
      <formula>NOT(ISERROR(SEARCH("Adicional",E238)))</formula>
    </cfRule>
  </conditionalFormatting>
  <conditionalFormatting sqref="E242:E243">
    <cfRule type="containsText" dxfId="868" priority="277" operator="containsText" text="Adicional">
      <formula>NOT(ISERROR(SEARCH("Adicional",E242)))</formula>
    </cfRule>
    <cfRule type="containsText" dxfId="867" priority="276" operator="containsText" text="Sublimite">
      <formula>NOT(ISERROR(SEARCH("Sublimite",E242)))</formula>
    </cfRule>
  </conditionalFormatting>
  <conditionalFormatting sqref="E242:E271">
    <cfRule type="containsText" dxfId="866" priority="84" operator="containsText" text="Excluido">
      <formula>NOT(ISERROR(SEARCH("Excluido",E242)))</formula>
    </cfRule>
    <cfRule type="containsText" dxfId="865" priority="85" operator="containsText" text="Sublimite">
      <formula>NOT(ISERROR(SEARCH("Sublimite",E242)))</formula>
    </cfRule>
    <cfRule type="containsText" dxfId="864" priority="82" operator="containsText" text="Excluido">
      <formula>NOT(ISERROR(SEARCH("Excluido",E242)))</formula>
    </cfRule>
    <cfRule type="containsText" dxfId="863" priority="83" operator="containsText" text="Sublimite">
      <formula>NOT(ISERROR(SEARCH("Sublimite",E242)))</formula>
    </cfRule>
  </conditionalFormatting>
  <conditionalFormatting sqref="E244:E265">
    <cfRule type="containsText" dxfId="862" priority="96" operator="containsText" text="Sublimite">
      <formula>NOT(ISERROR(SEARCH("Sublimite",E244)))</formula>
    </cfRule>
  </conditionalFormatting>
  <conditionalFormatting sqref="E266">
    <cfRule type="containsText" dxfId="861" priority="271" operator="containsText" text="Adicional">
      <formula>NOT(ISERROR(SEARCH("Adicional",E266)))</formula>
    </cfRule>
    <cfRule type="containsText" dxfId="860" priority="270" operator="containsText" text="Sublimite">
      <formula>NOT(ISERROR(SEARCH("Sublimite",E266)))</formula>
    </cfRule>
  </conditionalFormatting>
  <conditionalFormatting sqref="E267:E268">
    <cfRule type="containsText" dxfId="859" priority="91" operator="containsText" text="Sublimite">
      <formula>NOT(ISERROR(SEARCH("Sublimite",E267)))</formula>
    </cfRule>
  </conditionalFormatting>
  <conditionalFormatting sqref="E269">
    <cfRule type="containsText" dxfId="858" priority="265" operator="containsText" text="Adicional">
      <formula>NOT(ISERROR(SEARCH("Adicional",E269)))</formula>
    </cfRule>
    <cfRule type="containsText" dxfId="857" priority="264" operator="containsText" text="Sublimite">
      <formula>NOT(ISERROR(SEARCH("Sublimite",E269)))</formula>
    </cfRule>
  </conditionalFormatting>
  <conditionalFormatting sqref="E270:E271">
    <cfRule type="containsText" dxfId="856" priority="86" operator="containsText" text="Sublimite">
      <formula>NOT(ISERROR(SEARCH("Sublimite",E270)))</formula>
    </cfRule>
  </conditionalFormatting>
  <conditionalFormatting sqref="E274">
    <cfRule type="containsText" dxfId="855" priority="259" operator="containsText" text="Adicional">
      <formula>NOT(ISERROR(SEARCH("Adicional",E274)))</formula>
    </cfRule>
    <cfRule type="containsText" dxfId="854" priority="258" operator="containsText" text="Sublimite">
      <formula>NOT(ISERROR(SEARCH("Sublimite",E274)))</formula>
    </cfRule>
  </conditionalFormatting>
  <conditionalFormatting sqref="E274:E275">
    <cfRule type="containsText" dxfId="853" priority="77" operator="containsText" text="Excluido">
      <formula>NOT(ISERROR(SEARCH("Excluido",E274)))</formula>
    </cfRule>
    <cfRule type="containsText" dxfId="852" priority="78" operator="containsText" text="Sublimite">
      <formula>NOT(ISERROR(SEARCH("Sublimite",E274)))</formula>
    </cfRule>
    <cfRule type="containsText" dxfId="851" priority="80" operator="containsText" text="Sublimite">
      <formula>NOT(ISERROR(SEARCH("Sublimite",E274)))</formula>
    </cfRule>
    <cfRule type="containsText" dxfId="850" priority="79" operator="containsText" text="Excluido">
      <formula>NOT(ISERROR(SEARCH("Excluido",E274)))</formula>
    </cfRule>
  </conditionalFormatting>
  <conditionalFormatting sqref="E275">
    <cfRule type="containsText" dxfId="849" priority="81" operator="containsText" text="Sublimite">
      <formula>NOT(ISERROR(SEARCH("Sublimite",E275)))</formula>
    </cfRule>
  </conditionalFormatting>
  <conditionalFormatting sqref="E278">
    <cfRule type="containsText" dxfId="848" priority="253" operator="containsText" text="Adicional">
      <formula>NOT(ISERROR(SEARCH("Adicional",E278)))</formula>
    </cfRule>
    <cfRule type="containsText" dxfId="847" priority="252" operator="containsText" text="Sublimite">
      <formula>NOT(ISERROR(SEARCH("Sublimite",E278)))</formula>
    </cfRule>
  </conditionalFormatting>
  <conditionalFormatting sqref="E278:E281">
    <cfRule type="containsText" dxfId="846" priority="75" operator="containsText" text="Sublimite">
      <formula>NOT(ISERROR(SEARCH("Sublimite",E278)))</formula>
    </cfRule>
    <cfRule type="containsText" dxfId="845" priority="74" operator="containsText" text="Excluido">
      <formula>NOT(ISERROR(SEARCH("Excluido",E278)))</formula>
    </cfRule>
    <cfRule type="containsText" dxfId="844" priority="73" operator="containsText" text="Sublimite">
      <formula>NOT(ISERROR(SEARCH("Sublimite",E278)))</formula>
    </cfRule>
    <cfRule type="containsText" dxfId="843" priority="72" operator="containsText" text="Excluido">
      <formula>NOT(ISERROR(SEARCH("Excluido",E278)))</formula>
    </cfRule>
  </conditionalFormatting>
  <conditionalFormatting sqref="E279:E281">
    <cfRule type="containsText" dxfId="842" priority="76" operator="containsText" text="Sublimite">
      <formula>NOT(ISERROR(SEARCH("Sublimite",E279)))</formula>
    </cfRule>
  </conditionalFormatting>
  <conditionalFormatting sqref="E284:E328">
    <cfRule type="containsText" dxfId="841" priority="246" operator="containsText" text="Sublimite">
      <formula>NOT(ISERROR(SEARCH("Sublimite",E284)))</formula>
    </cfRule>
    <cfRule type="containsText" dxfId="840" priority="247" operator="containsText" text="Adicional">
      <formula>NOT(ISERROR(SEARCH("Adicional",E284)))</formula>
    </cfRule>
    <cfRule type="containsText" dxfId="839" priority="242" operator="containsText" text="Excluido">
      <formula>NOT(ISERROR(SEARCH("Excluido",E284)))</formula>
    </cfRule>
    <cfRule type="containsText" dxfId="838" priority="243" operator="containsText" text="Sublimite">
      <formula>NOT(ISERROR(SEARCH("Sublimite",E284)))</formula>
    </cfRule>
    <cfRule type="containsText" dxfId="837" priority="244" operator="containsText" text="Excluido">
      <formula>NOT(ISERROR(SEARCH("Excluido",E284)))</formula>
    </cfRule>
    <cfRule type="containsText" dxfId="836" priority="245" operator="containsText" text="Sublimite">
      <formula>NOT(ISERROR(SEARCH("Sublimite",E284)))</formula>
    </cfRule>
  </conditionalFormatting>
  <conditionalFormatting sqref="E331">
    <cfRule type="containsText" dxfId="835" priority="240" operator="containsText" text="Sublimite">
      <formula>NOT(ISERROR(SEARCH("Sublimite",E331)))</formula>
    </cfRule>
    <cfRule type="containsText" dxfId="834" priority="241" operator="containsText" text="Adicional">
      <formula>NOT(ISERROR(SEARCH("Adicional",E331)))</formula>
    </cfRule>
  </conditionalFormatting>
  <conditionalFormatting sqref="E331:E335">
    <cfRule type="containsText" dxfId="833" priority="67" operator="containsText" text="Excluido">
      <formula>NOT(ISERROR(SEARCH("Excluido",E331)))</formula>
    </cfRule>
    <cfRule type="containsText" dxfId="832" priority="68" operator="containsText" text="Sublimite">
      <formula>NOT(ISERROR(SEARCH("Sublimite",E331)))</formula>
    </cfRule>
    <cfRule type="containsText" dxfId="831" priority="69" operator="containsText" text="Excluido">
      <formula>NOT(ISERROR(SEARCH("Excluido",E331)))</formula>
    </cfRule>
    <cfRule type="containsText" dxfId="830" priority="70" operator="containsText" text="Sublimite">
      <formula>NOT(ISERROR(SEARCH("Sublimite",E331)))</formula>
    </cfRule>
  </conditionalFormatting>
  <conditionalFormatting sqref="E332:E335">
    <cfRule type="containsText" dxfId="829" priority="71" operator="containsText" text="Sublimite">
      <formula>NOT(ISERROR(SEARCH("Sublimite",E332)))</formula>
    </cfRule>
  </conditionalFormatting>
  <conditionalFormatting sqref="E338">
    <cfRule type="containsText" dxfId="828" priority="235" operator="containsText" text="Adicional">
      <formula>NOT(ISERROR(SEARCH("Adicional",E338)))</formula>
    </cfRule>
    <cfRule type="containsText" dxfId="827" priority="234" operator="containsText" text="Sublimite">
      <formula>NOT(ISERROR(SEARCH("Sublimite",E338)))</formula>
    </cfRule>
  </conditionalFormatting>
  <conditionalFormatting sqref="E338:E343">
    <cfRule type="containsText" dxfId="826" priority="64" operator="containsText" text="Excluido">
      <formula>NOT(ISERROR(SEARCH("Excluido",E338)))</formula>
    </cfRule>
    <cfRule type="containsText" dxfId="825" priority="65" operator="containsText" text="Sublimite">
      <formula>NOT(ISERROR(SEARCH("Sublimite",E338)))</formula>
    </cfRule>
    <cfRule type="containsText" dxfId="824" priority="62" operator="containsText" text="Excluido">
      <formula>NOT(ISERROR(SEARCH("Excluido",E338)))</formula>
    </cfRule>
    <cfRule type="containsText" dxfId="823" priority="63" operator="containsText" text="Sublimite">
      <formula>NOT(ISERROR(SEARCH("Sublimite",E338)))</formula>
    </cfRule>
  </conditionalFormatting>
  <conditionalFormatting sqref="E339:E343">
    <cfRule type="containsText" dxfId="822" priority="66" operator="containsText" text="Sublimite">
      <formula>NOT(ISERROR(SEARCH("Sublimite",E339)))</formula>
    </cfRule>
  </conditionalFormatting>
  <conditionalFormatting sqref="E346:E348">
    <cfRule type="containsText" dxfId="821" priority="228" operator="containsText" text="Sublimite">
      <formula>NOT(ISERROR(SEARCH("Sublimite",E346)))</formula>
    </cfRule>
    <cfRule type="containsText" dxfId="820" priority="229" operator="containsText" text="Adicional">
      <formula>NOT(ISERROR(SEARCH("Adicional",E346)))</formula>
    </cfRule>
  </conditionalFormatting>
  <conditionalFormatting sqref="E346:E349">
    <cfRule type="containsText" dxfId="819" priority="227" operator="containsText" text="Sublimite">
      <formula>NOT(ISERROR(SEARCH("Sublimite",E346)))</formula>
    </cfRule>
    <cfRule type="containsText" dxfId="818" priority="224" operator="containsText" text="Excluido">
      <formula>NOT(ISERROR(SEARCH("Excluido",E346)))</formula>
    </cfRule>
    <cfRule type="containsText" dxfId="817" priority="225" operator="containsText" text="Sublimite">
      <formula>NOT(ISERROR(SEARCH("Sublimite",E346)))</formula>
    </cfRule>
    <cfRule type="containsText" dxfId="816" priority="226" operator="containsText" text="Excluido">
      <formula>NOT(ISERROR(SEARCH("Excluido",E346)))</formula>
    </cfRule>
  </conditionalFormatting>
  <conditionalFormatting sqref="E349">
    <cfRule type="containsText" dxfId="815" priority="749" operator="containsText" text="Sublimite">
      <formula>NOT(ISERROR(SEARCH("Sublimite",E349)))</formula>
    </cfRule>
  </conditionalFormatting>
  <conditionalFormatting sqref="E352:E362">
    <cfRule type="containsText" dxfId="814" priority="218" operator="containsText" text="Excluido">
      <formula>NOT(ISERROR(SEARCH("Excluido",E352)))</formula>
    </cfRule>
    <cfRule type="containsText" dxfId="813" priority="219" operator="containsText" text="Sublimite">
      <formula>NOT(ISERROR(SEARCH("Sublimite",E352)))</formula>
    </cfRule>
    <cfRule type="containsText" dxfId="812" priority="220" operator="containsText" text="Excluido">
      <formula>NOT(ISERROR(SEARCH("Excluido",E352)))</formula>
    </cfRule>
    <cfRule type="containsText" dxfId="811" priority="221" operator="containsText" text="Sublimite">
      <formula>NOT(ISERROR(SEARCH("Sublimite",E352)))</formula>
    </cfRule>
    <cfRule type="containsText" dxfId="810" priority="222" operator="containsText" text="Sublimite">
      <formula>NOT(ISERROR(SEARCH("Sublimite",E352)))</formula>
    </cfRule>
    <cfRule type="containsText" dxfId="809" priority="223" operator="containsText" text="Adicional">
      <formula>NOT(ISERROR(SEARCH("Adicional",E352)))</formula>
    </cfRule>
  </conditionalFormatting>
  <conditionalFormatting sqref="E365:E368">
    <cfRule type="containsText" dxfId="808" priority="215" operator="containsText" text="Sublimite">
      <formula>NOT(ISERROR(SEARCH("Sublimite",E365)))</formula>
    </cfRule>
    <cfRule type="containsText" dxfId="807" priority="217" operator="containsText" text="Adicional">
      <formula>NOT(ISERROR(SEARCH("Adicional",E365)))</formula>
    </cfRule>
    <cfRule type="containsText" dxfId="806" priority="213" operator="containsText" text="Sublimite">
      <formula>NOT(ISERROR(SEARCH("Sublimite",E365)))</formula>
    </cfRule>
    <cfRule type="containsText" dxfId="805" priority="212" operator="containsText" text="Excluido">
      <formula>NOT(ISERROR(SEARCH("Excluido",E365)))</formula>
    </cfRule>
    <cfRule type="containsText" dxfId="804" priority="216" operator="containsText" text="Sublimite">
      <formula>NOT(ISERROR(SEARCH("Sublimite",E365)))</formula>
    </cfRule>
    <cfRule type="containsText" dxfId="803" priority="214" operator="containsText" text="Excluido">
      <formula>NOT(ISERROR(SEARCH("Excluido",E365)))</formula>
    </cfRule>
  </conditionalFormatting>
  <conditionalFormatting sqref="E371">
    <cfRule type="containsText" dxfId="802" priority="211" operator="containsText" text="Adicional">
      <formula>NOT(ISERROR(SEARCH("Adicional",E371)))</formula>
    </cfRule>
    <cfRule type="containsText" dxfId="801" priority="210" operator="containsText" text="Sublimite">
      <formula>NOT(ISERROR(SEARCH("Sublimite",E371)))</formula>
    </cfRule>
  </conditionalFormatting>
  <conditionalFormatting sqref="E371:E378">
    <cfRule type="containsText" dxfId="800" priority="57" operator="containsText" text="Excluido">
      <formula>NOT(ISERROR(SEARCH("Excluido",E371)))</formula>
    </cfRule>
    <cfRule type="containsText" dxfId="799" priority="58" operator="containsText" text="Sublimite">
      <formula>NOT(ISERROR(SEARCH("Sublimite",E371)))</formula>
    </cfRule>
    <cfRule type="containsText" dxfId="798" priority="59" operator="containsText" text="Excluido">
      <formula>NOT(ISERROR(SEARCH("Excluido",E371)))</formula>
    </cfRule>
    <cfRule type="containsText" dxfId="797" priority="60" operator="containsText" text="Sublimite">
      <formula>NOT(ISERROR(SEARCH("Sublimite",E371)))</formula>
    </cfRule>
  </conditionalFormatting>
  <conditionalFormatting sqref="E372:E378">
    <cfRule type="containsText" dxfId="796" priority="61" operator="containsText" text="Sublimite">
      <formula>NOT(ISERROR(SEARCH("Sublimite",E372)))</formula>
    </cfRule>
  </conditionalFormatting>
  <conditionalFormatting sqref="E381:E393">
    <cfRule type="containsText" dxfId="795" priority="205" operator="containsText" text="Adicional">
      <formula>NOT(ISERROR(SEARCH("Adicional",E381)))</formula>
    </cfRule>
    <cfRule type="containsText" dxfId="794" priority="204" operator="containsText" text="Sublimite">
      <formula>NOT(ISERROR(SEARCH("Sublimite",E381)))</formula>
    </cfRule>
    <cfRule type="containsText" dxfId="793" priority="203" operator="containsText" text="Sublimite">
      <formula>NOT(ISERROR(SEARCH("Sublimite",E381)))</formula>
    </cfRule>
    <cfRule type="containsText" dxfId="792" priority="202" operator="containsText" text="Excluido">
      <formula>NOT(ISERROR(SEARCH("Excluido",E381)))</formula>
    </cfRule>
    <cfRule type="containsText" dxfId="791" priority="201" operator="containsText" text="Sublimite">
      <formula>NOT(ISERROR(SEARCH("Sublimite",E381)))</formula>
    </cfRule>
    <cfRule type="containsText" dxfId="790" priority="200" operator="containsText" text="Excluido">
      <formula>NOT(ISERROR(SEARCH("Excluido",E381)))</formula>
    </cfRule>
  </conditionalFormatting>
  <conditionalFormatting sqref="E396">
    <cfRule type="containsText" dxfId="789" priority="198" operator="containsText" text="Sublimite">
      <formula>NOT(ISERROR(SEARCH("Sublimite",E396)))</formula>
    </cfRule>
    <cfRule type="containsText" dxfId="788" priority="199" operator="containsText" text="Adicional">
      <formula>NOT(ISERROR(SEARCH("Adicional",E396)))</formula>
    </cfRule>
  </conditionalFormatting>
  <conditionalFormatting sqref="E396:E400">
    <cfRule type="containsText" dxfId="787" priority="52" operator="containsText" text="Excluido">
      <formula>NOT(ISERROR(SEARCH("Excluido",E396)))</formula>
    </cfRule>
    <cfRule type="containsText" dxfId="786" priority="53" operator="containsText" text="Sublimite">
      <formula>NOT(ISERROR(SEARCH("Sublimite",E396)))</formula>
    </cfRule>
    <cfRule type="containsText" dxfId="785" priority="54" operator="containsText" text="Excluido">
      <formula>NOT(ISERROR(SEARCH("Excluido",E396)))</formula>
    </cfRule>
    <cfRule type="containsText" dxfId="784" priority="55" operator="containsText" text="Sublimite">
      <formula>NOT(ISERROR(SEARCH("Sublimite",E396)))</formula>
    </cfRule>
  </conditionalFormatting>
  <conditionalFormatting sqref="E397:E400">
    <cfRule type="containsText" dxfId="783" priority="56" operator="containsText" text="Sublimite">
      <formula>NOT(ISERROR(SEARCH("Sublimite",E397)))</formula>
    </cfRule>
  </conditionalFormatting>
  <conditionalFormatting sqref="E403">
    <cfRule type="containsText" dxfId="782" priority="193" operator="containsText" text="Adicional">
      <formula>NOT(ISERROR(SEARCH("Adicional",E403)))</formula>
    </cfRule>
    <cfRule type="containsText" dxfId="781" priority="191" operator="containsText" text="Sublimite">
      <formula>NOT(ISERROR(SEARCH("Sublimite",E403)))</formula>
    </cfRule>
    <cfRule type="containsText" dxfId="780" priority="189" operator="containsText" text="Sublimite">
      <formula>NOT(ISERROR(SEARCH("Sublimite",E403)))</formula>
    </cfRule>
    <cfRule type="containsText" dxfId="779" priority="190" operator="containsText" text="Excluido">
      <formula>NOT(ISERROR(SEARCH("Excluido",E403)))</formula>
    </cfRule>
    <cfRule type="containsText" dxfId="778" priority="188" operator="containsText" text="Excluido">
      <formula>NOT(ISERROR(SEARCH("Excluido",E403)))</formula>
    </cfRule>
    <cfRule type="containsText" dxfId="777" priority="192" operator="containsText" text="Sublimite">
      <formula>NOT(ISERROR(SEARCH("Sublimite",E403)))</formula>
    </cfRule>
  </conditionalFormatting>
  <conditionalFormatting sqref="E406">
    <cfRule type="containsText" dxfId="776" priority="187" operator="containsText" text="Adicional">
      <formula>NOT(ISERROR(SEARCH("Adicional",E406)))</formula>
    </cfRule>
    <cfRule type="containsText" dxfId="775" priority="186" operator="containsText" text="Sublimite">
      <formula>NOT(ISERROR(SEARCH("Sublimite",E406)))</formula>
    </cfRule>
  </conditionalFormatting>
  <conditionalFormatting sqref="E406:E409">
    <cfRule type="containsText" dxfId="774" priority="47" operator="containsText" text="Excluido">
      <formula>NOT(ISERROR(SEARCH("Excluido",E406)))</formula>
    </cfRule>
    <cfRule type="containsText" dxfId="773" priority="49" operator="containsText" text="Excluido">
      <formula>NOT(ISERROR(SEARCH("Excluido",E406)))</formula>
    </cfRule>
    <cfRule type="containsText" dxfId="772" priority="50" operator="containsText" text="Sublimite">
      <formula>NOT(ISERROR(SEARCH("Sublimite",E406)))</formula>
    </cfRule>
    <cfRule type="containsText" dxfId="771" priority="48" operator="containsText" text="Sublimite">
      <formula>NOT(ISERROR(SEARCH("Sublimite",E406)))</formula>
    </cfRule>
  </conditionalFormatting>
  <conditionalFormatting sqref="E407:E409">
    <cfRule type="containsText" dxfId="770" priority="51" operator="containsText" text="Sublimite">
      <formula>NOT(ISERROR(SEARCH("Sublimite",E407)))</formula>
    </cfRule>
  </conditionalFormatting>
  <conditionalFormatting sqref="L7:O7">
    <cfRule type="containsText" dxfId="769" priority="19" operator="containsText" text="POLIZA A VALORES TOTALES">
      <formula>NOT(ISERROR(SEARCH("POLIZA A VALORES TOTALES",L7)))</formula>
    </cfRule>
    <cfRule type="containsText" dxfId="768" priority="20" operator="containsText" text="POLIZA SIN PRIMER RIESGO">
      <formula>NOT(ISERROR(SEARCH("POLIZA SIN PRIMER RIESGO",L7)))</formula>
    </cfRule>
  </conditionalFormatting>
  <dataValidations count="10">
    <dataValidation type="list" allowBlank="1" showInputMessage="1" showErrorMessage="1" sqref="L7:O7" xr:uid="{A732DB97-9849-4233-87D3-81EF2ECA0CD4}">
      <formula1>"POLIZA CON COASEGURO CONVENIDO, POLIZA A PRIMER RIESGO, POLIZA A VALORES TOTALES"</formula1>
    </dataValidation>
    <dataValidation type="list" allowBlank="1" showInputMessage="1" showErrorMessage="1" sqref="E18 E42 E24 E242" xr:uid="{76A4707B-1DFE-4612-A1EA-3BAE2B114C4D}">
      <formula1>"Adicional, Sublimite"</formula1>
    </dataValidation>
    <dataValidation type="list" allowBlank="1" showInputMessage="1" showErrorMessage="1" sqref="F12" xr:uid="{9CA1649C-56A7-4B7F-B52B-8E14A82CB77F}">
      <formula1>"ORDINARIO, COMERCIAL E INDUSTRIAL, GRANDES RIESGOS, HABITACIONAL"</formula1>
    </dataValidation>
    <dataValidation type="list" allowBlank="1" showInputMessage="1" showErrorMessage="1" sqref="E37 E235 E25 E407:E409 E29:E30 E32:E33 E44:E58 E62:E63 E39 E70 E72 E74 E76 E87:E89 E91:E94 E96:E98 E118:E121 E65:E66 E164:E165 E170:E171 E176:E177 E180:E181 E397:E400 E192:E201 E204:E205 E125:E128 E219 E222 E225 E229 E232 E184:E185 E244:E265 E267:E268 E270:E271 E332:E335 E275 E279:E281 E339:E343 E372:E378 E208:E209 E349 E20:E23" xr:uid="{4F54BE00-D410-408E-B99F-2AB3D2FFA4D0}">
      <formula1>"Sublimite, Excluido"</formula1>
    </dataValidation>
    <dataValidation type="list" allowBlank="1" showInputMessage="1" showErrorMessage="1" sqref="E406 E396 E168:E169 E365:E368 E26:E27 E188:E191 E68 E19 E101:E102 E105:E106 E109:E110 E79:E86 E331 E43 E131:E136 E139:E144 E147 E150 E153 E156 E174:E175 E59:E60 E113:E114 E381:E393 E162:E163 E371 E403 E159 E212 E215 E218 E228 E278 E269 E274 E124 E338 E346:E348 E352:E362 E238:E239 E266 E243 E35 E117 E284:E328" xr:uid="{001788D3-9403-458E-9E9B-6020A2F1CF1F}">
      <formula1>"Adicional, Sublimite, Excluido"</formula1>
    </dataValidation>
    <dataValidation type="list" allowBlank="1" showInputMessage="1" showErrorMessage="1" sqref="N9:O9" xr:uid="{0B57E88F-41E7-42A4-8A01-0C1A3DD0648E}">
      <formula1>"POLIZA NUEVA, RENOVACION, CANCELACION, ENDOSO DE AUMENTO, ENDOSO DE DISMINUCION, ENDOSO DE DECLARACION, ENDOSO DE EXTENSIÓN DE VIGENCIA, ENDOSO DE REDUCCIÓN DE VIGENCIA, CAMBIO DE FORMA DE PAGO, ANULACIÓN DE PÓLIZA, ANULACIÓN DE ENDOSO"</formula1>
    </dataValidation>
    <dataValidation type="list" allowBlank="1" showInputMessage="1" showErrorMessage="1" sqref="H14" xr:uid="{4EACF846-CB07-4A81-B7C0-B4A18941381F}">
      <formula1>"PRORRATA, DIRECTA"</formula1>
    </dataValidation>
    <dataValidation type="list" allowBlank="1" showInputMessage="1" showErrorMessage="1" sqref="N10" xr:uid="{5243ACA3-D2DB-4E52-A24B-5832332B1430}">
      <formula1>"TODO RIESGO, RIESGOS NOMBRADOS"</formula1>
    </dataValidation>
    <dataValidation type="list" allowBlank="1" showInputMessage="1" showErrorMessage="1" sqref="F13" xr:uid="{8B102822-D656-48D6-B124-BB546F25D349}">
      <formula1>"NACIONAL, DÓLARES"</formula1>
    </dataValidation>
    <dataValidation type="list" allowBlank="1" showInputMessage="1" showErrorMessage="1" sqref="I29:I30 I32:I33 I35 I37 I39 I18:I27 I62:I63 I65:I66 I68 I70 I235 I76 I91:I94 I96:I98 I101:I102 I105:I106 I109:I110 I113:I114 I117:I121 I124:I128 I131:I136 I139:I144 I147 I150 I153 I156 I159 I174:I177 I162:I165 I168:I171 I180:I181 I184:I185 I284:I328 I204:I205 I208:I209 I212 I215 I218:I219 I222 I225 I228:I229 I232 I238:I239 I242:I271 I274:I275 I278:I281 I331:I335 I338:I343 I352:I362 I365:I368 I371:I378 I381:I393 I396:I400 I403 I406:I409 I72 I74 I42:I60 I79:I89 I188:I201 I346:I349" xr:uid="{15E0F97B-1AC0-4CE5-8EA7-55E2233DF640}">
      <formula1>"%o Al Millar,% Al Porciento,$ Prima"</formula1>
    </dataValidation>
  </dataValidations>
  <hyperlinks>
    <hyperlink ref="K416" r:id="rId1" display="juliop@arvida.com.mx" xr:uid="{831B49BB-3145-45A5-9451-C33E02DE4224}"/>
  </hyperlinks>
  <pageMargins left="0.51181102362204722" right="0.31496062992125984" top="0.35433070866141736" bottom="0.35433070866141736" header="0.31496062992125984" footer="0.31496062992125984"/>
  <pageSetup scale="50" orientation="landscape" r:id="rId2"/>
  <headerFooter>
    <oddFooter>&amp;CPágina &amp;P de &amp;F &amp;RBRENDA PEREZ]</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47105" r:id="rId5" name="Drop Down 25">
              <controlPr defaultSize="0" autoLine="0" autoPict="0">
                <anchor moveWithCells="1">
                  <from>
                    <xdr:col>5</xdr:col>
                    <xdr:colOff>7620</xdr:colOff>
                    <xdr:row>13</xdr:row>
                    <xdr:rowOff>0</xdr:rowOff>
                  </from>
                  <to>
                    <xdr:col>5</xdr:col>
                    <xdr:colOff>1546860</xdr:colOff>
                    <xdr:row>14</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containsText" priority="21" operator="containsText" id="{0FDCA608-01FC-477C-BF7D-7931A49DF16B}">
            <xm:f>NOT(ISERROR(SEARCH($L$8,L7)))</xm:f>
            <xm:f>$L$8</xm:f>
            <x14:dxf>
              <font>
                <b/>
                <i val="0"/>
                <color theme="0"/>
              </font>
              <fill>
                <patternFill>
                  <bgColor rgb="FFFF0000"/>
                </patternFill>
              </fill>
            </x14:dxf>
          </x14:cfRule>
          <x14:cfRule type="containsText" priority="22" operator="containsText" id="{FEF3F86A-A825-4EF1-A922-89AF800661CC}">
            <xm:f>NOT(ISERROR(SEARCH($L$8,L7)))</xm:f>
            <xm:f>$L$8</xm:f>
            <x14:dxf>
              <font>
                <color rgb="FF9C0006"/>
              </font>
              <fill>
                <patternFill>
                  <bgColor rgb="FFFFC7CE"/>
                </patternFill>
              </fill>
            </x14:dxf>
          </x14:cfRule>
          <xm:sqref>L7:O8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A8599BE8-CB09-487E-9370-1579382CB1C9}">
          <x14:formula1>
            <xm:f>Hoja3!$F$2:$F$39</xm:f>
          </x14:formula1>
          <xm:sqref>G8:K8</xm:sqref>
        </x14:dataValidation>
        <x14:dataValidation type="list" allowBlank="1" showInputMessage="1" showErrorMessage="1" xr:uid="{E1DF51C1-0353-494F-9D39-F5377F307379}">
          <x14:formula1>
            <xm:f>Hoja1!$B$4653:$B$4730</xm:f>
          </x14:formula1>
          <xm:sqref>C7:J7</xm:sqref>
        </x14:dataValidation>
        <x14:dataValidation type="list" allowBlank="1" showInputMessage="1" showErrorMessage="1" xr:uid="{06EA2504-4CD7-47FC-BE97-62EB9A686564}">
          <x14:formula1>
            <xm:f>Hoja1!$J$3:$J$134</xm:f>
          </x14:formula1>
          <xm:sqref>C8</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D63"/>
  <sheetViews>
    <sheetView topLeftCell="A7" workbookViewId="0">
      <selection activeCell="B2" sqref="B2"/>
    </sheetView>
  </sheetViews>
  <sheetFormatPr baseColWidth="10" defaultColWidth="11.44140625" defaultRowHeight="12" x14ac:dyDescent="0.25"/>
  <cols>
    <col min="1" max="1" width="36" style="1" customWidth="1"/>
    <col min="2" max="2" width="47.6640625" style="1" customWidth="1"/>
    <col min="3" max="3" width="27.33203125" style="1" customWidth="1"/>
    <col min="4" max="4" width="28.109375" style="1" customWidth="1"/>
    <col min="5" max="16384" width="11.44140625" style="1"/>
  </cols>
  <sheetData>
    <row r="1" spans="1:2" x14ac:dyDescent="0.25">
      <c r="A1" s="120" t="s">
        <v>1485</v>
      </c>
      <c r="B1" s="121" t="s">
        <v>1486</v>
      </c>
    </row>
    <row r="2" spans="1:2" x14ac:dyDescent="0.25">
      <c r="A2" s="122" t="s">
        <v>1487</v>
      </c>
      <c r="B2" s="123" t="s">
        <v>1488</v>
      </c>
    </row>
    <row r="3" spans="1:2" x14ac:dyDescent="0.25">
      <c r="A3" s="122" t="s">
        <v>1489</v>
      </c>
      <c r="B3" s="123" t="s">
        <v>1490</v>
      </c>
    </row>
    <row r="5" spans="1:2" x14ac:dyDescent="0.25">
      <c r="A5" s="120" t="s">
        <v>1491</v>
      </c>
      <c r="B5" s="121" t="s">
        <v>1486</v>
      </c>
    </row>
    <row r="6" spans="1:2" x14ac:dyDescent="0.25">
      <c r="A6" s="122" t="s">
        <v>1492</v>
      </c>
      <c r="B6" s="123" t="s">
        <v>1493</v>
      </c>
    </row>
    <row r="7" spans="1:2" x14ac:dyDescent="0.25">
      <c r="A7" s="122" t="s">
        <v>1494</v>
      </c>
      <c r="B7" s="123" t="s">
        <v>1495</v>
      </c>
    </row>
    <row r="8" spans="1:2" x14ac:dyDescent="0.25">
      <c r="A8" s="122" t="s">
        <v>1496</v>
      </c>
      <c r="B8" s="123" t="s">
        <v>1497</v>
      </c>
    </row>
    <row r="9" spans="1:2" x14ac:dyDescent="0.25">
      <c r="A9" s="122" t="s">
        <v>1498</v>
      </c>
      <c r="B9" s="123">
        <v>2000</v>
      </c>
    </row>
    <row r="10" spans="1:2" x14ac:dyDescent="0.25">
      <c r="A10" s="122" t="s">
        <v>1499</v>
      </c>
      <c r="B10" s="123">
        <v>1</v>
      </c>
    </row>
    <row r="11" spans="1:2" x14ac:dyDescent="0.25">
      <c r="A11" s="122" t="s">
        <v>1500</v>
      </c>
      <c r="B11" s="123">
        <v>0</v>
      </c>
    </row>
    <row r="12" spans="1:2" x14ac:dyDescent="0.25">
      <c r="A12" s="122" t="s">
        <v>1501</v>
      </c>
      <c r="B12" s="123">
        <v>1</v>
      </c>
    </row>
    <row r="13" spans="1:2" x14ac:dyDescent="0.25">
      <c r="A13" s="122" t="s">
        <v>1502</v>
      </c>
      <c r="B13" s="123"/>
    </row>
    <row r="14" spans="1:2" x14ac:dyDescent="0.25">
      <c r="A14" s="122" t="s">
        <v>1503</v>
      </c>
      <c r="B14" s="123"/>
    </row>
    <row r="16" spans="1:2" x14ac:dyDescent="0.25">
      <c r="A16" s="120" t="s">
        <v>1504</v>
      </c>
      <c r="B16" s="121" t="s">
        <v>1486</v>
      </c>
    </row>
    <row r="17" spans="1:4" x14ac:dyDescent="0.25">
      <c r="A17" s="122" t="s">
        <v>1505</v>
      </c>
      <c r="B17" s="123" t="s">
        <v>1437</v>
      </c>
    </row>
    <row r="18" spans="1:4" x14ac:dyDescent="0.25">
      <c r="A18" s="122" t="s">
        <v>1506</v>
      </c>
      <c r="B18" s="123" t="s">
        <v>1462</v>
      </c>
    </row>
    <row r="19" spans="1:4" x14ac:dyDescent="0.25">
      <c r="A19" s="122" t="s">
        <v>1507</v>
      </c>
      <c r="B19" s="123" t="s">
        <v>1508</v>
      </c>
    </row>
    <row r="20" spans="1:4" x14ac:dyDescent="0.25">
      <c r="A20" s="122" t="s">
        <v>1509</v>
      </c>
      <c r="B20" s="123" t="s">
        <v>1510</v>
      </c>
    </row>
    <row r="21" spans="1:4" x14ac:dyDescent="0.25">
      <c r="A21" s="122" t="s">
        <v>1511</v>
      </c>
      <c r="B21" s="123" t="s">
        <v>1512</v>
      </c>
    </row>
    <row r="22" spans="1:4" x14ac:dyDescent="0.25">
      <c r="A22" s="122" t="s">
        <v>1513</v>
      </c>
      <c r="B22" s="123" t="s">
        <v>1514</v>
      </c>
    </row>
    <row r="23" spans="1:4" x14ac:dyDescent="0.25">
      <c r="A23" s="122" t="s">
        <v>1515</v>
      </c>
      <c r="B23" s="123" t="s">
        <v>1516</v>
      </c>
    </row>
    <row r="24" spans="1:4" x14ac:dyDescent="0.25">
      <c r="A24" s="122" t="s">
        <v>1517</v>
      </c>
      <c r="B24" s="123" t="s">
        <v>1518</v>
      </c>
    </row>
    <row r="25" spans="1:4" x14ac:dyDescent="0.25">
      <c r="A25" s="122" t="s">
        <v>1519</v>
      </c>
      <c r="B25" s="123" t="s">
        <v>1520</v>
      </c>
    </row>
    <row r="26" spans="1:4" x14ac:dyDescent="0.25">
      <c r="A26" s="122" t="s">
        <v>1521</v>
      </c>
      <c r="B26" s="123" t="s">
        <v>1522</v>
      </c>
    </row>
    <row r="27" spans="1:4" x14ac:dyDescent="0.25">
      <c r="A27" s="122" t="s">
        <v>1523</v>
      </c>
      <c r="B27" s="123" t="s">
        <v>1524</v>
      </c>
    </row>
    <row r="29" spans="1:4" x14ac:dyDescent="0.25">
      <c r="A29" s="120" t="s">
        <v>1525</v>
      </c>
      <c r="B29" s="121" t="s">
        <v>1486</v>
      </c>
      <c r="D29" s="124"/>
    </row>
    <row r="30" spans="1:4" x14ac:dyDescent="0.25">
      <c r="A30" s="122" t="s">
        <v>1526</v>
      </c>
      <c r="B30" s="125" t="s">
        <v>1527</v>
      </c>
      <c r="D30" s="124"/>
    </row>
    <row r="31" spans="1:4" x14ac:dyDescent="0.25">
      <c r="A31" s="122" t="s">
        <v>1528</v>
      </c>
      <c r="B31" s="125" t="s">
        <v>1529</v>
      </c>
      <c r="D31" s="124"/>
    </row>
    <row r="32" spans="1:4" x14ac:dyDescent="0.25">
      <c r="A32" s="122" t="s">
        <v>1530</v>
      </c>
      <c r="B32" s="125" t="s">
        <v>1531</v>
      </c>
      <c r="D32" s="124"/>
    </row>
    <row r="33" spans="1:4" x14ac:dyDescent="0.25">
      <c r="A33" s="122" t="s">
        <v>1532</v>
      </c>
      <c r="B33" s="125" t="s">
        <v>1533</v>
      </c>
      <c r="D33" s="124"/>
    </row>
    <row r="34" spans="1:4" x14ac:dyDescent="0.25">
      <c r="A34" s="122" t="s">
        <v>1534</v>
      </c>
      <c r="B34" s="125" t="s">
        <v>1535</v>
      </c>
      <c r="D34" s="124"/>
    </row>
    <row r="35" spans="1:4" x14ac:dyDescent="0.25">
      <c r="A35" s="122" t="s">
        <v>1536</v>
      </c>
      <c r="B35" s="125" t="s">
        <v>1535</v>
      </c>
      <c r="D35" s="124"/>
    </row>
    <row r="36" spans="1:4" x14ac:dyDescent="0.25">
      <c r="A36" s="122" t="s">
        <v>1537</v>
      </c>
      <c r="B36" s="125" t="s">
        <v>1538</v>
      </c>
      <c r="D36" s="124"/>
    </row>
    <row r="37" spans="1:4" x14ac:dyDescent="0.25">
      <c r="A37" s="122" t="s">
        <v>1539</v>
      </c>
      <c r="B37" s="125" t="s">
        <v>1540</v>
      </c>
      <c r="D37" s="124"/>
    </row>
    <row r="38" spans="1:4" x14ac:dyDescent="0.25">
      <c r="A38" s="122" t="s">
        <v>1541</v>
      </c>
      <c r="B38" s="125" t="s">
        <v>1542</v>
      </c>
      <c r="D38" s="124"/>
    </row>
    <row r="39" spans="1:4" x14ac:dyDescent="0.25">
      <c r="A39" s="122" t="s">
        <v>1543</v>
      </c>
      <c r="B39" s="125" t="s">
        <v>1544</v>
      </c>
      <c r="D39" s="124"/>
    </row>
    <row r="40" spans="1:4" x14ac:dyDescent="0.25">
      <c r="A40" s="122" t="s">
        <v>1545</v>
      </c>
      <c r="B40" s="125">
        <v>0</v>
      </c>
      <c r="D40" s="124"/>
    </row>
    <row r="41" spans="1:4" x14ac:dyDescent="0.25">
      <c r="A41" s="122" t="s">
        <v>1546</v>
      </c>
      <c r="B41" s="125" t="s">
        <v>1547</v>
      </c>
      <c r="D41" s="124"/>
    </row>
    <row r="42" spans="1:4" x14ac:dyDescent="0.25">
      <c r="D42" s="124"/>
    </row>
    <row r="43" spans="1:4" x14ac:dyDescent="0.25">
      <c r="A43" s="120" t="s">
        <v>1548</v>
      </c>
      <c r="B43" s="121" t="s">
        <v>1486</v>
      </c>
      <c r="D43" s="124"/>
    </row>
    <row r="44" spans="1:4" x14ac:dyDescent="0.25">
      <c r="A44" s="122" t="s">
        <v>1549</v>
      </c>
      <c r="B44" s="123" t="s">
        <v>1550</v>
      </c>
      <c r="D44" s="124"/>
    </row>
    <row r="45" spans="1:4" x14ac:dyDescent="0.25">
      <c r="A45" s="122" t="s">
        <v>1551</v>
      </c>
      <c r="B45" s="123" t="s">
        <v>1550</v>
      </c>
      <c r="D45" s="124"/>
    </row>
    <row r="46" spans="1:4" x14ac:dyDescent="0.25">
      <c r="A46" s="122" t="s">
        <v>1552</v>
      </c>
      <c r="B46" s="123"/>
    </row>
    <row r="47" spans="1:4" x14ac:dyDescent="0.25">
      <c r="A47" s="122" t="s">
        <v>1553</v>
      </c>
      <c r="B47" s="123" t="s">
        <v>1554</v>
      </c>
    </row>
    <row r="49" spans="1:2" x14ac:dyDescent="0.25">
      <c r="A49" s="120" t="s">
        <v>1555</v>
      </c>
      <c r="B49" s="121" t="s">
        <v>1486</v>
      </c>
    </row>
    <row r="50" spans="1:2" x14ac:dyDescent="0.25">
      <c r="A50" s="126" t="s">
        <v>1556</v>
      </c>
      <c r="B50" s="127" t="s">
        <v>1557</v>
      </c>
    </row>
    <row r="51" spans="1:2" x14ac:dyDescent="0.25">
      <c r="A51" s="126" t="s">
        <v>1558</v>
      </c>
      <c r="B51" s="127"/>
    </row>
    <row r="52" spans="1:2" x14ac:dyDescent="0.25">
      <c r="A52" s="126" t="s">
        <v>1559</v>
      </c>
      <c r="B52" s="127" t="s">
        <v>1560</v>
      </c>
    </row>
    <row r="53" spans="1:2" x14ac:dyDescent="0.25">
      <c r="A53" s="126" t="s">
        <v>1561</v>
      </c>
      <c r="B53" s="127" t="s">
        <v>1535</v>
      </c>
    </row>
    <row r="54" spans="1:2" ht="24" x14ac:dyDescent="0.25">
      <c r="A54" s="126" t="s">
        <v>1562</v>
      </c>
      <c r="B54" s="127" t="s">
        <v>1563</v>
      </c>
    </row>
    <row r="55" spans="1:2" x14ac:dyDescent="0.25">
      <c r="A55" s="126" t="s">
        <v>1564</v>
      </c>
      <c r="B55" s="127" t="s">
        <v>1563</v>
      </c>
    </row>
    <row r="56" spans="1:2" x14ac:dyDescent="0.25">
      <c r="A56" s="126" t="s">
        <v>1565</v>
      </c>
      <c r="B56" s="127" t="s">
        <v>1566</v>
      </c>
    </row>
    <row r="57" spans="1:2" ht="24" x14ac:dyDescent="0.25">
      <c r="A57" s="126" t="s">
        <v>1567</v>
      </c>
      <c r="B57" s="127" t="s">
        <v>1568</v>
      </c>
    </row>
    <row r="58" spans="1:2" x14ac:dyDescent="0.25">
      <c r="A58" s="126" t="s">
        <v>1569</v>
      </c>
      <c r="B58" s="127" t="s">
        <v>1570</v>
      </c>
    </row>
    <row r="59" spans="1:2" x14ac:dyDescent="0.25">
      <c r="A59" s="126" t="s">
        <v>1571</v>
      </c>
      <c r="B59" s="127" t="s">
        <v>1572</v>
      </c>
    </row>
    <row r="60" spans="1:2" x14ac:dyDescent="0.25">
      <c r="A60" s="126" t="s">
        <v>1573</v>
      </c>
      <c r="B60" s="127" t="s">
        <v>1574</v>
      </c>
    </row>
    <row r="61" spans="1:2" x14ac:dyDescent="0.25">
      <c r="A61" s="126" t="s">
        <v>1575</v>
      </c>
      <c r="B61" s="127" t="s">
        <v>1576</v>
      </c>
    </row>
    <row r="62" spans="1:2" x14ac:dyDescent="0.25">
      <c r="A62" s="126" t="s">
        <v>1577</v>
      </c>
      <c r="B62" s="127" t="s">
        <v>1578</v>
      </c>
    </row>
    <row r="63" spans="1:2" x14ac:dyDescent="0.25">
      <c r="A63" s="126" t="s">
        <v>1579</v>
      </c>
      <c r="B63" s="127" t="s">
        <v>1580</v>
      </c>
    </row>
  </sheetData>
  <dataConsolidate/>
  <dataValidations count="1">
    <dataValidation type="list" allowBlank="1" showInputMessage="1" showErrorMessage="1" sqref="B17:B18" xr:uid="{00000000-0002-0000-0400-000000000000}">
      <formula1>"SI, NO"</formula1>
    </dataValidation>
  </dataValidations>
  <pageMargins left="0.70866141732283472" right="0.70866141732283472" top="0.74803149606299213" bottom="0.74803149606299213" header="0.31496062992125984" footer="0.31496062992125984"/>
  <pageSetup scale="91" orientation="portrait" r:id="rId1"/>
  <extLst>
    <ext xmlns:x14="http://schemas.microsoft.com/office/spreadsheetml/2009/9/main" uri="{CCE6A557-97BC-4b89-ADB6-D9C93CAAB3DF}">
      <x14:dataValidations xmlns:xm="http://schemas.microsoft.com/office/excel/2006/main" count="39">
        <x14:dataValidation type="list" allowBlank="1" showInputMessage="1" showErrorMessage="1" xr:uid="{00000000-0002-0000-0400-000001000000}">
          <x14:formula1>
            <xm:f>'D TEV y FHM'!$B$53:$B$56</xm:f>
          </x14:formula1>
          <xm:sqref>D29:D45 B41</xm:sqref>
        </x14:dataValidation>
        <x14:dataValidation type="list" allowBlank="1" showInputMessage="1" showErrorMessage="1" xr:uid="{00000000-0002-0000-0400-000002000000}">
          <x14:formula1>
            <xm:f>'D TEV y FHM'!$A$84:$A$87</xm:f>
          </x14:formula1>
          <xm:sqref>B63</xm:sqref>
        </x14:dataValidation>
        <x14:dataValidation type="list" allowBlank="1" showInputMessage="1" showErrorMessage="1" xr:uid="{00000000-0002-0000-0400-000003000000}">
          <x14:formula1>
            <xm:f>'D TEV y FHM'!$C$78:$C$81</xm:f>
          </x14:formula1>
          <xm:sqref>B62</xm:sqref>
        </x14:dataValidation>
        <x14:dataValidation type="list" allowBlank="1" showInputMessage="1" showErrorMessage="1" xr:uid="{00000000-0002-0000-0400-000004000000}">
          <x14:formula1>
            <xm:f>'D TEV y FHM'!$F$74:$F$77</xm:f>
          </x14:formula1>
          <xm:sqref>B61</xm:sqref>
        </x14:dataValidation>
        <x14:dataValidation type="list" allowBlank="1" showInputMessage="1" showErrorMessage="1" xr:uid="{00000000-0002-0000-0400-000005000000}">
          <x14:formula1>
            <xm:f>'D TEV y FHM'!$C$74:$C$76</xm:f>
          </x14:formula1>
          <xm:sqref>B60</xm:sqref>
        </x14:dataValidation>
        <x14:dataValidation type="list" allowBlank="1" showInputMessage="1" showErrorMessage="1" xr:uid="{00000000-0002-0000-0400-000006000000}">
          <x14:formula1>
            <xm:f>'D TEV y FHM'!$C$70:$C$72</xm:f>
          </x14:formula1>
          <xm:sqref>B59</xm:sqref>
        </x14:dataValidation>
        <x14:dataValidation type="list" allowBlank="1" showInputMessage="1" showErrorMessage="1" xr:uid="{00000000-0002-0000-0400-000007000000}">
          <x14:formula1>
            <xm:f>'D TEV y FHM'!$A$78:$A$81</xm:f>
          </x14:formula1>
          <xm:sqref>B58</xm:sqref>
        </x14:dataValidation>
        <x14:dataValidation type="list" allowBlank="1" showInputMessage="1" showErrorMessage="1" xr:uid="{00000000-0002-0000-0400-000008000000}">
          <x14:formula1>
            <xm:f>'D TEV y FHM'!$A$74:$A$76</xm:f>
          </x14:formula1>
          <xm:sqref>B57</xm:sqref>
        </x14:dataValidation>
        <x14:dataValidation type="list" allowBlank="1" showInputMessage="1" showErrorMessage="1" xr:uid="{00000000-0002-0000-0400-000009000000}">
          <x14:formula1>
            <xm:f>'D TEV y FHM'!$A$70:$A$72</xm:f>
          </x14:formula1>
          <xm:sqref>B56</xm:sqref>
        </x14:dataValidation>
        <x14:dataValidation type="list" allowBlank="1" showInputMessage="1" showErrorMessage="1" xr:uid="{00000000-0002-0000-0400-00000A000000}">
          <x14:formula1>
            <xm:f>'D TEV y FHM'!$D$67:$D$68</xm:f>
          </x14:formula1>
          <xm:sqref>B54:B55</xm:sqref>
        </x14:dataValidation>
        <x14:dataValidation type="list" allowBlank="1" showInputMessage="1" showErrorMessage="1" xr:uid="{00000000-0002-0000-0400-00000B000000}">
          <x14:formula1>
            <xm:f>'D TEV y FHM'!$D$63:$D$65</xm:f>
          </x14:formula1>
          <xm:sqref>B53</xm:sqref>
        </x14:dataValidation>
        <x14:dataValidation type="list" allowBlank="1" showInputMessage="1" showErrorMessage="1" xr:uid="{00000000-0002-0000-0400-00000C000000}">
          <x14:formula1>
            <xm:f>'D TEV y FHM'!$B$63:$B$67</xm:f>
          </x14:formula1>
          <xm:sqref>B52</xm:sqref>
        </x14:dataValidation>
        <x14:dataValidation type="list" allowBlank="1" showInputMessage="1" showErrorMessage="1" xr:uid="{00000000-0002-0000-0400-00000D000000}">
          <x14:formula1>
            <xm:f>'D TEV y FHM'!$D$58:$D$61</xm:f>
          </x14:formula1>
          <xm:sqref>B50</xm:sqref>
        </x14:dataValidation>
        <x14:dataValidation type="list" allowBlank="1" showInputMessage="1" showErrorMessage="1" xr:uid="{00000000-0002-0000-0400-00000E000000}">
          <x14:formula1>
            <xm:f>'D TEV y FHM'!$D$53:$D$56</xm:f>
          </x14:formula1>
          <xm:sqref>B47</xm:sqref>
        </x14:dataValidation>
        <x14:dataValidation type="list" allowBlank="1" showInputMessage="1" showErrorMessage="1" xr:uid="{00000000-0002-0000-0400-00000F000000}">
          <x14:formula1>
            <xm:f>'D TEV y FHM'!$B$58:$B$59</xm:f>
          </x14:formula1>
          <xm:sqref>B44:B45</xm:sqref>
        </x14:dataValidation>
        <x14:dataValidation type="list" allowBlank="1" showInputMessage="1" showErrorMessage="1" xr:uid="{00000000-0002-0000-0400-000010000000}">
          <x14:formula1>
            <xm:f>'D TEV y FHM'!$D$50:$D$51</xm:f>
          </x14:formula1>
          <xm:sqref>B39</xm:sqref>
        </x14:dataValidation>
        <x14:dataValidation type="list" allowBlank="1" showInputMessage="1" showErrorMessage="1" xr:uid="{00000000-0002-0000-0400-000011000000}">
          <x14:formula1>
            <xm:f>'D TEV y FHM'!$B$50:$B$51</xm:f>
          </x14:formula1>
          <xm:sqref>B38</xm:sqref>
        </x14:dataValidation>
        <x14:dataValidation type="list" allowBlank="1" showInputMessage="1" showErrorMessage="1" xr:uid="{00000000-0002-0000-0400-000012000000}">
          <x14:formula1>
            <xm:f>'D TEV y FHM'!$D$47:$D$49</xm:f>
          </x14:formula1>
          <xm:sqref>B37</xm:sqref>
        </x14:dataValidation>
        <x14:dataValidation type="list" allowBlank="1" showInputMessage="1" showErrorMessage="1" xr:uid="{00000000-0002-0000-0400-000013000000}">
          <x14:formula1>
            <xm:f>'D TEV y FHM'!$B$47:$B$48</xm:f>
          </x14:formula1>
          <xm:sqref>B36</xm:sqref>
        </x14:dataValidation>
        <x14:dataValidation type="list" allowBlank="1" showInputMessage="1" showErrorMessage="1" xr:uid="{00000000-0002-0000-0400-000014000000}">
          <x14:formula1>
            <xm:f>'D TEV y FHM'!$D$43:$D$45</xm:f>
          </x14:formula1>
          <xm:sqref>B35</xm:sqref>
        </x14:dataValidation>
        <x14:dataValidation type="list" allowBlank="1" showInputMessage="1" showErrorMessage="1" xr:uid="{00000000-0002-0000-0400-000015000000}">
          <x14:formula1>
            <xm:f>'D TEV y FHM'!$C$43:$C$45</xm:f>
          </x14:formula1>
          <xm:sqref>B34</xm:sqref>
        </x14:dataValidation>
        <x14:dataValidation type="list" allowBlank="1" showInputMessage="1" showErrorMessage="1" xr:uid="{00000000-0002-0000-0400-000016000000}">
          <x14:formula1>
            <xm:f>'D TEV y FHM'!$B$43:$B$44</xm:f>
          </x14:formula1>
          <xm:sqref>B33</xm:sqref>
        </x14:dataValidation>
        <x14:dataValidation type="list" allowBlank="1" showInputMessage="1" showErrorMessage="1" xr:uid="{00000000-0002-0000-0400-000017000000}">
          <x14:formula1>
            <xm:f>'D TEV y FHM'!$C$38:$C$41</xm:f>
          </x14:formula1>
          <xm:sqref>B32</xm:sqref>
        </x14:dataValidation>
        <x14:dataValidation type="list" allowBlank="1" showInputMessage="1" showErrorMessage="1" xr:uid="{00000000-0002-0000-0400-000018000000}">
          <x14:formula1>
            <xm:f>'D TEV y FHM'!$B$38:$B$39</xm:f>
          </x14:formula1>
          <xm:sqref>B31</xm:sqref>
        </x14:dataValidation>
        <x14:dataValidation type="list" allowBlank="1" showInputMessage="1" showErrorMessage="1" xr:uid="{00000000-0002-0000-0400-000019000000}">
          <x14:formula1>
            <xm:f>'D TEV y FHM'!$C$35:$C$36</xm:f>
          </x14:formula1>
          <xm:sqref>B30</xm:sqref>
        </x14:dataValidation>
        <x14:dataValidation type="list" allowBlank="1" showInputMessage="1" showErrorMessage="1" xr:uid="{00000000-0002-0000-0400-00001A000000}">
          <x14:formula1>
            <xm:f>'D TEV y FHM'!$B$35:$B$36</xm:f>
          </x14:formula1>
          <xm:sqref>B27</xm:sqref>
        </x14:dataValidation>
        <x14:dataValidation type="list" allowBlank="1" showInputMessage="1" showErrorMessage="1" xr:uid="{00000000-0002-0000-0400-00001B000000}">
          <x14:formula1>
            <xm:f>'D TEV y FHM'!$C$31:$C$32</xm:f>
          </x14:formula1>
          <xm:sqref>B26</xm:sqref>
        </x14:dataValidation>
        <x14:dataValidation type="list" allowBlank="1" showInputMessage="1" showErrorMessage="1" xr:uid="{00000000-0002-0000-0400-00001C000000}">
          <x14:formula1>
            <xm:f>'D TEV y FHM'!$B$31:$B$33</xm:f>
          </x14:formula1>
          <xm:sqref>B25</xm:sqref>
        </x14:dataValidation>
        <x14:dataValidation type="list" allowBlank="1" showInputMessage="1" showErrorMessage="1" xr:uid="{00000000-0002-0000-0400-00001D000000}">
          <x14:formula1>
            <xm:f>'D TEV y FHM'!$B$28:$B$29</xm:f>
          </x14:formula1>
          <xm:sqref>B24</xm:sqref>
        </x14:dataValidation>
        <x14:dataValidation type="list" allowBlank="1" showInputMessage="1" showErrorMessage="1" xr:uid="{00000000-0002-0000-0400-00001E000000}">
          <x14:formula1>
            <xm:f>'D TEV y FHM'!$C$28:$C$29</xm:f>
          </x14:formula1>
          <xm:sqref>B23</xm:sqref>
        </x14:dataValidation>
        <x14:dataValidation type="list" allowBlank="1" showInputMessage="1" showErrorMessage="1" xr:uid="{00000000-0002-0000-0400-00001F000000}">
          <x14:formula1>
            <xm:f>'D TEV y FHM'!$C$24:$C$26</xm:f>
          </x14:formula1>
          <xm:sqref>B22</xm:sqref>
        </x14:dataValidation>
        <x14:dataValidation type="list" allowBlank="1" showInputMessage="1" showErrorMessage="1" xr:uid="{00000000-0002-0000-0400-000020000000}">
          <x14:formula1>
            <xm:f>'D TEV y FHM'!$C$20:$C$22</xm:f>
          </x14:formula1>
          <xm:sqref>B21</xm:sqref>
        </x14:dataValidation>
        <x14:dataValidation type="list" allowBlank="1" showInputMessage="1" showErrorMessage="1" xr:uid="{00000000-0002-0000-0400-000021000000}">
          <x14:formula1>
            <xm:f>'D TEV y FHM'!$A$31:$A$59</xm:f>
          </x14:formula1>
          <xm:sqref>B20</xm:sqref>
        </x14:dataValidation>
        <x14:dataValidation type="list" allowBlank="1" showInputMessage="1" showErrorMessage="1" xr:uid="{00000000-0002-0000-0400-000022000000}">
          <x14:formula1>
            <xm:f>'D TEV y FHM'!$B$20:$B$23</xm:f>
          </x14:formula1>
          <xm:sqref>B19</xm:sqref>
        </x14:dataValidation>
        <x14:dataValidation type="list" allowBlank="1" showInputMessage="1" showErrorMessage="1" xr:uid="{00000000-0002-0000-0400-000023000000}">
          <x14:formula1>
            <xm:f>'D TEV y FHM'!$C$14:$C$15</xm:f>
          </x14:formula1>
          <xm:sqref>B8</xm:sqref>
        </x14:dataValidation>
        <x14:dataValidation type="list" allowBlank="1" showInputMessage="1" showErrorMessage="1" xr:uid="{00000000-0002-0000-0400-000024000000}">
          <x14:formula1>
            <xm:f>'D TEV y FHM'!$C$7:$C$12</xm:f>
          </x14:formula1>
          <xm:sqref>B7</xm:sqref>
        </x14:dataValidation>
        <x14:dataValidation type="list" allowBlank="1" showInputMessage="1" showErrorMessage="1" xr:uid="{00000000-0002-0000-0400-000025000000}">
          <x14:formula1>
            <xm:f>'D TEV y FHM'!$B$7:$B$18</xm:f>
          </x14:formula1>
          <xm:sqref>B6</xm:sqref>
        </x14:dataValidation>
        <x14:dataValidation type="list" allowBlank="1" showInputMessage="1" showErrorMessage="1" xr:uid="{00000000-0002-0000-0400-000026000000}">
          <x14:formula1>
            <xm:f>'D TEV y FHM'!$B$2:$B$4</xm:f>
          </x14:formula1>
          <xm:sqref>B3</xm:sqref>
        </x14:dataValidation>
        <x14:dataValidation type="list" allowBlank="1" showInputMessage="1" showErrorMessage="1" xr:uid="{00000000-0002-0000-0400-000027000000}">
          <x14:formula1>
            <xm:f>'D TEV y FHM'!$A$2:$A$29</xm:f>
          </x14:formula1>
          <xm:sqref>B2</xm:sqref>
        </x14:dataValidation>
      </x14:dataValidations>
    </ext>
  </extLs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1C8D0-9D38-4E92-BC14-02D7BD8444B1}">
  <sheetPr filterMode="1"/>
  <dimension ref="A1:IO420"/>
  <sheetViews>
    <sheetView topLeftCell="A72" zoomScaleNormal="100" workbookViewId="0">
      <selection activeCell="G27" sqref="G27"/>
    </sheetView>
  </sheetViews>
  <sheetFormatPr baseColWidth="10" defaultColWidth="11.5546875" defaultRowHeight="14.4" x14ac:dyDescent="0.3"/>
  <cols>
    <col min="1" max="1" width="14.6640625" style="3" customWidth="1"/>
    <col min="2" max="2" width="12.5546875" style="3" customWidth="1"/>
    <col min="3" max="3" width="38" customWidth="1"/>
    <col min="4" max="4" width="14.88671875" customWidth="1"/>
    <col min="5" max="5" width="12.5546875" customWidth="1"/>
    <col min="6" max="6" width="23.6640625" style="4" customWidth="1"/>
    <col min="7" max="7" width="15.88671875" style="4" customWidth="1"/>
    <col min="8" max="8" width="16.109375" style="4" customWidth="1"/>
    <col min="9" max="9" width="14.88671875" style="4" customWidth="1"/>
    <col min="10" max="10" width="15.44140625" style="4" customWidth="1"/>
    <col min="11" max="11" width="14.88671875" style="4" customWidth="1"/>
    <col min="12" max="12" width="14.6640625" style="4" customWidth="1"/>
    <col min="13" max="13" width="12" style="5" customWidth="1"/>
    <col min="14" max="14" width="18.109375" style="4" customWidth="1"/>
    <col min="15" max="15" width="13.44140625" style="4" customWidth="1"/>
    <col min="16" max="16" width="11.44140625" style="6" customWidth="1"/>
    <col min="17" max="19" width="11.44140625" customWidth="1"/>
    <col min="20" max="20" width="14.33203125" customWidth="1"/>
    <col min="21" max="21" width="13" customWidth="1"/>
    <col min="22" max="22" width="14.5546875" customWidth="1"/>
    <col min="23" max="25" width="6.33203125" bestFit="1" customWidth="1"/>
    <col min="26" max="26" width="6.6640625" customWidth="1"/>
    <col min="27" max="27" width="7.33203125" customWidth="1"/>
    <col min="28" max="28" width="6.33203125" bestFit="1" customWidth="1"/>
  </cols>
  <sheetData>
    <row r="1" spans="1:249" x14ac:dyDescent="0.3">
      <c r="S1" s="55">
        <v>3</v>
      </c>
      <c r="T1" s="52" t="str">
        <f>VLOOKUP(S1,S2:T5,2)</f>
        <v>TRIMESTRAL</v>
      </c>
      <c r="U1" s="56">
        <f>IF(F13="NACIONAL",1,2)</f>
        <v>2</v>
      </c>
      <c r="V1" s="53" t="str">
        <f>F13</f>
        <v>DÓLARES</v>
      </c>
    </row>
    <row r="2" spans="1:249" ht="18.75" customHeight="1" x14ac:dyDescent="0.3">
      <c r="E2" s="755" t="str">
        <f>VLOOKUP(C15,UBCINEMEX,2)</f>
        <v>Cinemex San Antonio S.A de C.V.</v>
      </c>
      <c r="F2" s="755"/>
      <c r="G2" s="755"/>
      <c r="H2" s="755"/>
      <c r="S2" s="57">
        <v>1</v>
      </c>
      <c r="T2" s="57" t="s">
        <v>789</v>
      </c>
      <c r="U2" s="54">
        <v>0</v>
      </c>
      <c r="V2" s="54">
        <v>0</v>
      </c>
    </row>
    <row r="3" spans="1:249" x14ac:dyDescent="0.3">
      <c r="E3" s="755"/>
      <c r="F3" s="755"/>
      <c r="G3" s="755"/>
      <c r="H3" s="755"/>
      <c r="S3" s="57">
        <v>2</v>
      </c>
      <c r="T3" s="57" t="s">
        <v>793</v>
      </c>
      <c r="U3" s="54">
        <v>4.2000000000000003E-2</v>
      </c>
      <c r="V3" s="54">
        <v>1.4E-2</v>
      </c>
    </row>
    <row r="4" spans="1:249" x14ac:dyDescent="0.3">
      <c r="S4" s="57">
        <v>3</v>
      </c>
      <c r="T4" s="57" t="s">
        <v>797</v>
      </c>
      <c r="U4" s="54">
        <v>6.4000000000000001E-2</v>
      </c>
      <c r="V4" s="54">
        <v>2.1100000000000001E-2</v>
      </c>
    </row>
    <row r="5" spans="1:249" ht="24.6" x14ac:dyDescent="0.3">
      <c r="A5" s="700" t="s">
        <v>1093</v>
      </c>
      <c r="B5" s="700"/>
      <c r="C5" s="700"/>
      <c r="D5" s="700"/>
      <c r="E5" s="700"/>
      <c r="F5" s="700"/>
      <c r="G5" s="700"/>
      <c r="H5" s="700"/>
      <c r="I5" s="700"/>
      <c r="J5" s="700"/>
      <c r="K5" s="700"/>
      <c r="L5" s="700"/>
      <c r="M5" s="700"/>
      <c r="N5" s="700"/>
      <c r="O5" s="700"/>
      <c r="S5" s="57">
        <v>4</v>
      </c>
      <c r="T5" s="57" t="s">
        <v>801</v>
      </c>
      <c r="U5" s="54">
        <v>7.6999999999999999E-2</v>
      </c>
      <c r="V5" s="54">
        <v>2.58E-2</v>
      </c>
    </row>
    <row r="6" spans="1:249" ht="15" thickBot="1" x14ac:dyDescent="0.35"/>
    <row r="7" spans="1:249" ht="21" customHeight="1" thickTop="1" thickBot="1" x14ac:dyDescent="0.35">
      <c r="A7" s="701" t="s">
        <v>1094</v>
      </c>
      <c r="B7" s="702"/>
      <c r="C7" s="703" t="s">
        <v>1095</v>
      </c>
      <c r="D7" s="704"/>
      <c r="E7" s="704"/>
      <c r="F7" s="704"/>
      <c r="G7" s="704"/>
      <c r="H7" s="704"/>
      <c r="I7" s="704"/>
      <c r="J7" s="705"/>
      <c r="K7" s="116">
        <f>MID(C7,1,2)*1</f>
        <v>20</v>
      </c>
      <c r="L7" s="706" t="s">
        <v>1096</v>
      </c>
      <c r="M7" s="707"/>
      <c r="N7" s="707"/>
      <c r="O7" s="708"/>
      <c r="S7" s="698" t="s">
        <v>1097</v>
      </c>
      <c r="T7" s="698"/>
      <c r="U7" s="54">
        <f>VLOOKUP(S1,S2:V5,U1+2)</f>
        <v>2.1100000000000001E-2</v>
      </c>
    </row>
    <row r="8" spans="1:249" ht="21" customHeight="1" thickTop="1" thickBot="1" x14ac:dyDescent="0.35">
      <c r="A8" s="701" t="s">
        <v>1098</v>
      </c>
      <c r="B8" s="702"/>
      <c r="C8" s="724" t="s">
        <v>1099</v>
      </c>
      <c r="D8" s="725"/>
      <c r="E8" s="726"/>
      <c r="F8" s="117" t="s">
        <v>1100</v>
      </c>
      <c r="G8" s="727" t="s">
        <v>1101</v>
      </c>
      <c r="H8" s="728"/>
      <c r="I8" s="728"/>
      <c r="J8" s="728"/>
      <c r="K8" s="729"/>
      <c r="L8" s="709" t="str">
        <f>Hoja3!A8</f>
        <v/>
      </c>
      <c r="M8" s="710"/>
      <c r="N8" s="710"/>
      <c r="O8" s="711"/>
      <c r="S8" s="90"/>
      <c r="T8" s="90"/>
      <c r="U8" s="54"/>
    </row>
    <row r="9" spans="1:249" ht="16.5" customHeight="1" thickTop="1" x14ac:dyDescent="0.3">
      <c r="A9" s="712" t="s">
        <v>1102</v>
      </c>
      <c r="B9" s="713"/>
      <c r="C9" s="714" t="s">
        <v>695</v>
      </c>
      <c r="D9" s="715"/>
      <c r="E9" s="715"/>
      <c r="F9" s="715"/>
      <c r="G9" s="715"/>
      <c r="H9" s="715"/>
      <c r="I9" s="716"/>
      <c r="J9" s="88" t="s">
        <v>1103</v>
      </c>
      <c r="K9" s="89">
        <v>0</v>
      </c>
      <c r="L9" s="717" t="s">
        <v>1104</v>
      </c>
      <c r="M9" s="717"/>
      <c r="N9" s="718" t="s">
        <v>1463</v>
      </c>
      <c r="O9" s="719"/>
      <c r="P9"/>
      <c r="S9" s="698" t="s">
        <v>1106</v>
      </c>
      <c r="T9" s="698"/>
      <c r="U9" s="58">
        <f>IF(H14="DIRECTA",1,J15/I15)</f>
        <v>1</v>
      </c>
    </row>
    <row r="10" spans="1:249" x14ac:dyDescent="0.3">
      <c r="A10" s="720" t="s">
        <v>1107</v>
      </c>
      <c r="B10" s="721"/>
      <c r="C10" s="722" t="s">
        <v>1108</v>
      </c>
      <c r="D10" s="722"/>
      <c r="E10" s="722"/>
      <c r="F10" s="722"/>
      <c r="G10" s="722"/>
      <c r="H10" s="722"/>
      <c r="I10" s="722"/>
      <c r="J10" s="722"/>
      <c r="K10" s="730"/>
      <c r="L10" s="731" t="s">
        <v>1109</v>
      </c>
      <c r="M10" s="732"/>
      <c r="N10" s="733" t="s">
        <v>1110</v>
      </c>
      <c r="O10" s="734"/>
      <c r="P10"/>
    </row>
    <row r="11" spans="1:249" x14ac:dyDescent="0.3">
      <c r="A11" s="720" t="s">
        <v>1111</v>
      </c>
      <c r="B11" s="721"/>
      <c r="C11" s="722" t="str">
        <f>VLOOKUP(C15,UBCINEMEX,7,0)</f>
        <v>BLVD.AGUA AZUL No.7200 COL. LOMA BONITA NORTE LOCAL A-6 C.C. PLAZA LOMA BONITA TIJUANA, BAJA CALIFORNIABAJA CALIFORNIA NORTETIJUANA22180</v>
      </c>
      <c r="D11" s="722"/>
      <c r="E11" s="722"/>
      <c r="F11" s="722"/>
      <c r="G11" s="722"/>
      <c r="H11" s="722"/>
      <c r="I11" s="722"/>
      <c r="J11" s="722"/>
      <c r="K11" s="723"/>
      <c r="L11" s="79" t="s">
        <v>1112</v>
      </c>
      <c r="M11" s="207" t="str">
        <f>'COTIZACIÓN M.N.'!G13</f>
        <v xml:space="preserve">A </v>
      </c>
      <c r="N11" s="71" t="s">
        <v>1113</v>
      </c>
      <c r="O11" s="413" t="str">
        <f>'COTIZACIÓN M.N.'!G17</f>
        <v>A1PS</v>
      </c>
      <c r="P11"/>
    </row>
    <row r="12" spans="1:249" x14ac:dyDescent="0.3">
      <c r="A12" s="720" t="s">
        <v>1114</v>
      </c>
      <c r="B12" s="721"/>
      <c r="C12" s="50">
        <v>45107</v>
      </c>
      <c r="D12" s="73" t="s">
        <v>1115</v>
      </c>
      <c r="E12" s="73"/>
      <c r="F12" s="74" t="s">
        <v>1116</v>
      </c>
      <c r="G12" s="75" t="s">
        <v>1117</v>
      </c>
      <c r="H12" s="737" t="s">
        <v>724</v>
      </c>
      <c r="I12" s="737"/>
      <c r="J12" s="737"/>
      <c r="K12" s="78">
        <v>1</v>
      </c>
      <c r="L12" s="79" t="s">
        <v>1118</v>
      </c>
      <c r="M12" s="80">
        <f>'COTIZACIÓN M.N.'!G15</f>
        <v>0.2</v>
      </c>
      <c r="N12" s="76" t="s">
        <v>1119</v>
      </c>
      <c r="O12" s="77">
        <f>'COTIZACIÓN M.N.'!G16</f>
        <v>0</v>
      </c>
      <c r="P12"/>
    </row>
    <row r="13" spans="1:249" ht="17.25" customHeight="1" x14ac:dyDescent="0.3">
      <c r="A13" s="720" t="s">
        <v>1120</v>
      </c>
      <c r="B13" s="721"/>
      <c r="C13" s="50">
        <v>45473</v>
      </c>
      <c r="D13" s="738" t="s">
        <v>1121</v>
      </c>
      <c r="E13" s="739"/>
      <c r="F13" s="72" t="s">
        <v>1122</v>
      </c>
      <c r="G13" s="70" t="s">
        <v>1123</v>
      </c>
      <c r="H13" s="740" t="s">
        <v>98</v>
      </c>
      <c r="I13" s="740"/>
      <c r="J13" s="741" t="s">
        <v>1124</v>
      </c>
      <c r="N13" s="76" t="s">
        <v>1125</v>
      </c>
      <c r="O13" s="77">
        <f>100%-'COTIZACIÓN M.N.'!G18</f>
        <v>1</v>
      </c>
      <c r="P13"/>
    </row>
    <row r="14" spans="1:249" ht="16.5" customHeight="1" thickBot="1" x14ac:dyDescent="0.35">
      <c r="A14" s="742" t="s">
        <v>1126</v>
      </c>
      <c r="B14" s="743"/>
      <c r="C14" s="109" t="s">
        <v>1127</v>
      </c>
      <c r="D14" s="744" t="s">
        <v>1128</v>
      </c>
      <c r="E14" s="745"/>
      <c r="F14" s="133"/>
      <c r="G14" s="134" t="s">
        <v>1129</v>
      </c>
      <c r="H14" s="135" t="s">
        <v>1130</v>
      </c>
      <c r="I14" s="51"/>
      <c r="J14" s="741"/>
      <c r="K14" s="7" t="s">
        <v>1131</v>
      </c>
      <c r="N14" s="76" t="s">
        <v>1132</v>
      </c>
      <c r="O14" s="77">
        <f>100%-'COTIZACIÓN M.N.'!G14</f>
        <v>1</v>
      </c>
      <c r="P14"/>
    </row>
    <row r="15" spans="1:249" ht="15.6" thickTop="1" thickBot="1" x14ac:dyDescent="0.35">
      <c r="A15" s="746"/>
      <c r="B15" s="747"/>
      <c r="C15" s="748">
        <v>2</v>
      </c>
      <c r="D15" s="749"/>
      <c r="E15" s="138"/>
      <c r="F15" s="139"/>
      <c r="G15" s="139"/>
      <c r="H15" s="140"/>
      <c r="I15" s="59">
        <v>365</v>
      </c>
      <c r="J15" s="59">
        <f>C13-C12</f>
        <v>366</v>
      </c>
      <c r="K15" s="60">
        <v>0.16</v>
      </c>
      <c r="O15" s="61"/>
      <c r="P15" s="8"/>
    </row>
    <row r="16" spans="1:249" s="41" customFormat="1" ht="30" customHeight="1" thickTop="1" thickBot="1" x14ac:dyDescent="0.3">
      <c r="A16" s="62" t="s">
        <v>1133</v>
      </c>
      <c r="B16" s="63" t="s">
        <v>1134</v>
      </c>
      <c r="C16" s="64" t="s">
        <v>1135</v>
      </c>
      <c r="D16" s="64" t="s">
        <v>1136</v>
      </c>
      <c r="E16" s="136" t="s">
        <v>1137</v>
      </c>
      <c r="F16" s="137" t="s">
        <v>1138</v>
      </c>
      <c r="G16" s="137" t="s">
        <v>1139</v>
      </c>
      <c r="H16" s="137" t="s">
        <v>1140</v>
      </c>
      <c r="I16" s="65" t="s">
        <v>1141</v>
      </c>
      <c r="J16" s="65" t="s">
        <v>1142</v>
      </c>
      <c r="K16" s="65" t="s">
        <v>1131</v>
      </c>
      <c r="L16" s="65" t="s">
        <v>73</v>
      </c>
      <c r="M16" s="66" t="s">
        <v>1143</v>
      </c>
      <c r="N16" s="65" t="s">
        <v>1144</v>
      </c>
      <c r="O16" s="67" t="s">
        <v>1145</v>
      </c>
      <c r="P16" s="40" t="s">
        <v>1146</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pans="1:23" ht="15.6" thickTop="1" thickBot="1" x14ac:dyDescent="0.35">
      <c r="A17" s="82" t="s">
        <v>1147</v>
      </c>
      <c r="B17" s="30" t="s">
        <v>1148</v>
      </c>
      <c r="C17" s="28" t="s">
        <v>1149</v>
      </c>
      <c r="D17" s="28" t="str">
        <f>'Ramo Comercial'!C121</f>
        <v>INCLUIDO</v>
      </c>
      <c r="E17" s="28"/>
      <c r="F17" s="113">
        <f>VLOOKUP(C15,UBCINEMEX,8,0)</f>
        <v>0</v>
      </c>
      <c r="G17" s="210">
        <f>'COTIZACIÓN M.N.'!E24+'COTIZACIÓN M.N.'!E25+'COTIZACIÓN M.N.'!E26</f>
        <v>0.30781530000000001</v>
      </c>
      <c r="H17" s="28"/>
      <c r="I17" s="28"/>
      <c r="J17" s="28"/>
      <c r="K17" s="28"/>
      <c r="L17" s="28"/>
      <c r="M17" s="68">
        <v>0.1201</v>
      </c>
      <c r="N17" s="28"/>
      <c r="O17" s="83"/>
      <c r="P17" s="13" t="str">
        <f>IF(Q17=1,"SI","NO")</f>
        <v>NO</v>
      </c>
      <c r="Q17" s="48">
        <f t="shared" ref="Q17:Q27" si="0">IF(D17="INCLUIDO",IF(F17&lt;&gt;0,1,0),0)</f>
        <v>0</v>
      </c>
      <c r="T17" s="146">
        <f>G17</f>
        <v>0.30781530000000001</v>
      </c>
      <c r="U17" s="150"/>
      <c r="V17" s="151"/>
    </row>
    <row r="18" spans="1:23" x14ac:dyDescent="0.3">
      <c r="A18" s="31" t="s">
        <v>1150</v>
      </c>
      <c r="B18" s="32" t="s">
        <v>1148</v>
      </c>
      <c r="C18" s="27" t="s">
        <v>1151</v>
      </c>
      <c r="D18" s="27" t="str">
        <f>$D$17</f>
        <v>INCLUIDO</v>
      </c>
      <c r="E18" s="27" t="s">
        <v>1137</v>
      </c>
      <c r="F18" s="9">
        <f>$F$17*S18</f>
        <v>0</v>
      </c>
      <c r="G18" s="49">
        <f>V18</f>
        <v>0</v>
      </c>
      <c r="H18" s="9">
        <f>(((IF(I18="$ Prima",G18,G18*F18/R18))*$U$9)/365)*$J$15</f>
        <v>0</v>
      </c>
      <c r="I18" s="9" t="s">
        <v>1153</v>
      </c>
      <c r="J18" s="9">
        <f>H18*$U$7</f>
        <v>0</v>
      </c>
      <c r="K18" s="9">
        <f>(H18+J18)*$K$15</f>
        <v>0</v>
      </c>
      <c r="L18" s="9">
        <f>ROUND(H18+J18+K18,2)</f>
        <v>0</v>
      </c>
      <c r="M18" s="11">
        <f t="shared" ref="M18:M27" si="1">$M$17</f>
        <v>0.1201</v>
      </c>
      <c r="N18" s="9">
        <f>H18*M18</f>
        <v>0</v>
      </c>
      <c r="O18" s="12">
        <f>N18</f>
        <v>0</v>
      </c>
      <c r="P18" s="13" t="str">
        <f t="shared" ref="P18:P90" si="2">IF(Q18=1,"SI","NO")</f>
        <v>NO</v>
      </c>
      <c r="Q18">
        <f t="shared" si="0"/>
        <v>0</v>
      </c>
      <c r="R18">
        <f t="shared" ref="R18:R27" si="3">IF(I18="%o Al Millar",1000,IF(I18="% Al Porciento",100,IF(I18="$ Prima",G18)))</f>
        <v>1000</v>
      </c>
      <c r="S18">
        <f t="shared" ref="S18:S39" si="4">IF(E18="Excluido",0,IF(D18="NO APLICA",0,1))</f>
        <v>1</v>
      </c>
      <c r="T18" s="152">
        <v>0.8</v>
      </c>
      <c r="U18">
        <f>IF(E18="Excluido",0,T17*T18)</f>
        <v>0.24625224000000001</v>
      </c>
      <c r="V18" s="153">
        <f>IF(F17=0,0,(U23-U22-U20)+(T17-U23))</f>
        <v>0</v>
      </c>
    </row>
    <row r="19" spans="1:23" hidden="1" x14ac:dyDescent="0.3">
      <c r="A19" s="31" t="s">
        <v>1150</v>
      </c>
      <c r="B19" s="32"/>
      <c r="C19" s="81">
        <f>$O$12</f>
        <v>0</v>
      </c>
      <c r="D19" s="27" t="str">
        <f t="shared" ref="D19:D39" si="5">$D$17</f>
        <v>INCLUIDO</v>
      </c>
      <c r="E19" s="27" t="s">
        <v>1152</v>
      </c>
      <c r="F19" s="9">
        <f>(F18*$O$12)*S19</f>
        <v>0</v>
      </c>
      <c r="G19" s="10">
        <f>G18*0.35</f>
        <v>0</v>
      </c>
      <c r="H19" s="9">
        <f t="shared" ref="H19" si="6">(IF(I19="$ Prima",G19,G19*F19/R19))*$U$9</f>
        <v>0</v>
      </c>
      <c r="I19" s="9" t="s">
        <v>1153</v>
      </c>
      <c r="J19" s="9">
        <f t="shared" ref="J19" si="7">H19*$U$7</f>
        <v>0</v>
      </c>
      <c r="K19" s="9">
        <f t="shared" ref="K19" si="8">(H19+J19)*$K$15</f>
        <v>0</v>
      </c>
      <c r="L19" s="9">
        <f t="shared" ref="L19:L27" si="9">ROUND(H19+J19+K19,2)</f>
        <v>0</v>
      </c>
      <c r="M19" s="11">
        <f t="shared" si="1"/>
        <v>0.1201</v>
      </c>
      <c r="N19" s="9">
        <f t="shared" ref="N19:N27" si="10">H19*M19</f>
        <v>0</v>
      </c>
      <c r="O19" s="12">
        <f t="shared" ref="O19:O27" si="11">N19</f>
        <v>0</v>
      </c>
      <c r="P19" s="13" t="str">
        <f t="shared" si="2"/>
        <v>NO</v>
      </c>
      <c r="Q19">
        <f t="shared" si="0"/>
        <v>0</v>
      </c>
      <c r="R19">
        <f t="shared" si="3"/>
        <v>1000</v>
      </c>
      <c r="S19">
        <f t="shared" si="4"/>
        <v>1</v>
      </c>
      <c r="T19" s="152"/>
      <c r="V19" s="153"/>
    </row>
    <row r="20" spans="1:23" ht="20.399999999999999" x14ac:dyDescent="0.3">
      <c r="A20" s="31" t="s">
        <v>1150</v>
      </c>
      <c r="B20" s="32" t="s">
        <v>1154</v>
      </c>
      <c r="C20" s="27" t="s">
        <v>1155</v>
      </c>
      <c r="D20" s="27" t="str">
        <f t="shared" si="5"/>
        <v>INCLUIDO</v>
      </c>
      <c r="E20" s="27" t="s">
        <v>1137</v>
      </c>
      <c r="F20" s="9">
        <f>$F$17*S20</f>
        <v>0</v>
      </c>
      <c r="G20" s="49">
        <f>V20</f>
        <v>0</v>
      </c>
      <c r="H20" s="9">
        <f>(((IF(I20="$ Prima",G20,G20*F20/R20))*$U$9)/365)*$J$15</f>
        <v>0</v>
      </c>
      <c r="I20" s="9" t="s">
        <v>1153</v>
      </c>
      <c r="J20" s="9">
        <f>H20*$U$7</f>
        <v>0</v>
      </c>
      <c r="K20" s="9">
        <f>(H20+J20)*$K$15</f>
        <v>0</v>
      </c>
      <c r="L20" s="9">
        <f t="shared" si="9"/>
        <v>0</v>
      </c>
      <c r="M20" s="11">
        <f t="shared" si="1"/>
        <v>0.1201</v>
      </c>
      <c r="N20" s="9">
        <f t="shared" si="10"/>
        <v>0</v>
      </c>
      <c r="O20" s="12">
        <f t="shared" si="11"/>
        <v>0</v>
      </c>
      <c r="P20" s="13" t="str">
        <f t="shared" si="2"/>
        <v>NO</v>
      </c>
      <c r="Q20">
        <f t="shared" si="0"/>
        <v>0</v>
      </c>
      <c r="R20">
        <f t="shared" si="3"/>
        <v>1000</v>
      </c>
      <c r="S20">
        <f t="shared" si="4"/>
        <v>1</v>
      </c>
      <c r="T20" s="152">
        <v>0.1</v>
      </c>
      <c r="U20">
        <f>IF(E20="Excluido",0,T17*T20)</f>
        <v>3.0781530000000001E-2</v>
      </c>
      <c r="V20" s="153">
        <f>IF(F$17=0,0,U20)</f>
        <v>0</v>
      </c>
    </row>
    <row r="21" spans="1:23" hidden="1" x14ac:dyDescent="0.3">
      <c r="A21" s="31" t="s">
        <v>1150</v>
      </c>
      <c r="B21" s="32"/>
      <c r="C21" s="81">
        <f>$O$12</f>
        <v>0</v>
      </c>
      <c r="D21" s="27" t="str">
        <f t="shared" si="5"/>
        <v>INCLUIDO</v>
      </c>
      <c r="E21" s="27" t="str">
        <f>E20</f>
        <v>Sublimite</v>
      </c>
      <c r="F21" s="9">
        <f>(F20*$O$12)*S21</f>
        <v>0</v>
      </c>
      <c r="G21" s="10">
        <f>G20*0.35</f>
        <v>0</v>
      </c>
      <c r="H21" s="9">
        <f t="shared" ref="H21" si="12">(IF(I21="$ Prima",G21,G21*F21/R21))*$U$9</f>
        <v>0</v>
      </c>
      <c r="I21" s="9" t="s">
        <v>1153</v>
      </c>
      <c r="J21" s="9">
        <f t="shared" ref="J21" si="13">H21*$U$7</f>
        <v>0</v>
      </c>
      <c r="K21" s="9">
        <f t="shared" ref="K21" si="14">(H21+J21)*$K$15</f>
        <v>0</v>
      </c>
      <c r="L21" s="9">
        <f t="shared" si="9"/>
        <v>0</v>
      </c>
      <c r="M21" s="11">
        <f t="shared" si="1"/>
        <v>0.1201</v>
      </c>
      <c r="N21" s="9">
        <f t="shared" si="10"/>
        <v>0</v>
      </c>
      <c r="O21" s="12">
        <f t="shared" si="11"/>
        <v>0</v>
      </c>
      <c r="P21" s="13" t="str">
        <f t="shared" si="2"/>
        <v>NO</v>
      </c>
      <c r="Q21">
        <f t="shared" si="0"/>
        <v>0</v>
      </c>
      <c r="R21">
        <f t="shared" si="3"/>
        <v>1000</v>
      </c>
      <c r="S21">
        <f t="shared" si="4"/>
        <v>1</v>
      </c>
      <c r="T21" s="152"/>
      <c r="V21" s="153"/>
    </row>
    <row r="22" spans="1:23" ht="15" customHeight="1" x14ac:dyDescent="0.3">
      <c r="A22" s="31" t="s">
        <v>1150</v>
      </c>
      <c r="B22" s="32" t="s">
        <v>1156</v>
      </c>
      <c r="C22" s="27" t="s">
        <v>1110</v>
      </c>
      <c r="D22" s="27" t="str">
        <f t="shared" si="5"/>
        <v>INCLUIDO</v>
      </c>
      <c r="E22" s="27" t="s">
        <v>1137</v>
      </c>
      <c r="F22" s="9">
        <f>F17</f>
        <v>0</v>
      </c>
      <c r="G22" s="49">
        <f>V22</f>
        <v>0</v>
      </c>
      <c r="H22" s="9">
        <f>(((IF(I22="$ Prima",G22,G22*F22/R22))*$U$9)/365)*$J$15</f>
        <v>0</v>
      </c>
      <c r="I22" s="9" t="s">
        <v>1153</v>
      </c>
      <c r="J22" s="9">
        <f>H22*$U$7</f>
        <v>0</v>
      </c>
      <c r="K22" s="9">
        <f>(H22+J22)*$K$15</f>
        <v>0</v>
      </c>
      <c r="L22" s="9">
        <f t="shared" si="9"/>
        <v>0</v>
      </c>
      <c r="M22" s="11">
        <f t="shared" si="1"/>
        <v>0.1201</v>
      </c>
      <c r="N22" s="9">
        <f t="shared" si="10"/>
        <v>0</v>
      </c>
      <c r="O22" s="12">
        <f t="shared" si="11"/>
        <v>0</v>
      </c>
      <c r="P22" s="13" t="str">
        <f t="shared" si="2"/>
        <v>NO</v>
      </c>
      <c r="Q22">
        <f t="shared" si="0"/>
        <v>0</v>
      </c>
      <c r="R22">
        <f t="shared" si="3"/>
        <v>1000</v>
      </c>
      <c r="S22">
        <f t="shared" si="4"/>
        <v>1</v>
      </c>
      <c r="T22" s="152">
        <v>0.1</v>
      </c>
      <c r="U22">
        <f>IF(E22="Excluido",0,T17*T22)</f>
        <v>3.0781530000000001E-2</v>
      </c>
      <c r="V22" s="153">
        <f>IF(F$17=0,0,U22)</f>
        <v>0</v>
      </c>
    </row>
    <row r="23" spans="1:23" ht="15" hidden="1" customHeight="1" thickBot="1" x14ac:dyDescent="0.35">
      <c r="A23" s="31" t="s">
        <v>1150</v>
      </c>
      <c r="B23" s="32"/>
      <c r="C23" s="81">
        <f>$O$12</f>
        <v>0</v>
      </c>
      <c r="D23" s="27" t="str">
        <f t="shared" si="5"/>
        <v>INCLUIDO</v>
      </c>
      <c r="E23" s="27" t="str">
        <f>E22</f>
        <v>Sublimite</v>
      </c>
      <c r="F23" s="9">
        <f>(F22*$O$12)*S23</f>
        <v>0</v>
      </c>
      <c r="G23" s="10">
        <f>G22*0.35</f>
        <v>0</v>
      </c>
      <c r="H23" s="9">
        <f t="shared" ref="H23:H25" si="15">(IF(I23="$ Prima",G23,G23*F23/R23))*$U$9</f>
        <v>0</v>
      </c>
      <c r="I23" s="9" t="s">
        <v>1153</v>
      </c>
      <c r="J23" s="9">
        <f t="shared" ref="J23:J25" si="16">H23*$U$7</f>
        <v>0</v>
      </c>
      <c r="K23" s="9">
        <f t="shared" ref="K23:K25" si="17">(H23+J23)*$K$15</f>
        <v>0</v>
      </c>
      <c r="L23" s="9">
        <f t="shared" si="9"/>
        <v>0</v>
      </c>
      <c r="M23" s="11">
        <f t="shared" si="1"/>
        <v>0.1201</v>
      </c>
      <c r="N23" s="9">
        <f t="shared" si="10"/>
        <v>0</v>
      </c>
      <c r="O23" s="12">
        <f t="shared" si="11"/>
        <v>0</v>
      </c>
      <c r="P23" s="13" t="str">
        <f t="shared" si="2"/>
        <v>NO</v>
      </c>
      <c r="Q23">
        <f t="shared" si="0"/>
        <v>0</v>
      </c>
      <c r="R23">
        <f t="shared" si="3"/>
        <v>1000</v>
      </c>
      <c r="S23">
        <f t="shared" si="4"/>
        <v>1</v>
      </c>
      <c r="T23" s="143">
        <f>SUM(T18:T22)</f>
        <v>1</v>
      </c>
      <c r="U23" s="147">
        <f>SUM(U18:U22)</f>
        <v>0.30781530000000001</v>
      </c>
      <c r="V23" s="148">
        <f>SUM(V18:V22)</f>
        <v>0</v>
      </c>
      <c r="W23" s="141"/>
    </row>
    <row r="24" spans="1:23" ht="15" hidden="1" customHeight="1" x14ac:dyDescent="0.3">
      <c r="A24" s="31" t="s">
        <v>1150</v>
      </c>
      <c r="B24" s="32">
        <v>280</v>
      </c>
      <c r="C24" s="27" t="s">
        <v>1157</v>
      </c>
      <c r="D24" s="27" t="str">
        <f t="shared" si="5"/>
        <v>INCLUIDO</v>
      </c>
      <c r="E24" s="27" t="s">
        <v>1137</v>
      </c>
      <c r="F24" s="113">
        <v>0</v>
      </c>
      <c r="G24" s="113">
        <v>0</v>
      </c>
      <c r="H24" s="9">
        <f t="shared" si="15"/>
        <v>0</v>
      </c>
      <c r="I24" s="9" t="s">
        <v>1153</v>
      </c>
      <c r="J24" s="9">
        <f t="shared" si="16"/>
        <v>0</v>
      </c>
      <c r="K24" s="9">
        <f t="shared" si="17"/>
        <v>0</v>
      </c>
      <c r="L24" s="9">
        <f t="shared" si="9"/>
        <v>0</v>
      </c>
      <c r="M24" s="11">
        <f t="shared" si="1"/>
        <v>0.1201</v>
      </c>
      <c r="N24" s="9">
        <f t="shared" si="10"/>
        <v>0</v>
      </c>
      <c r="O24" s="12">
        <f t="shared" si="11"/>
        <v>0</v>
      </c>
      <c r="P24" s="13" t="str">
        <f t="shared" si="2"/>
        <v>NO</v>
      </c>
      <c r="Q24">
        <f t="shared" si="0"/>
        <v>0</v>
      </c>
      <c r="R24">
        <f t="shared" si="3"/>
        <v>1000</v>
      </c>
      <c r="S24">
        <f t="shared" si="4"/>
        <v>1</v>
      </c>
    </row>
    <row r="25" spans="1:23" ht="15" hidden="1" customHeight="1" x14ac:dyDescent="0.3">
      <c r="A25" s="31" t="s">
        <v>1150</v>
      </c>
      <c r="B25" s="32"/>
      <c r="C25" s="81">
        <f>$O$12</f>
        <v>0</v>
      </c>
      <c r="D25" s="27" t="str">
        <f t="shared" si="5"/>
        <v>INCLUIDO</v>
      </c>
      <c r="E25" s="27" t="str">
        <f>E24</f>
        <v>Sublimite</v>
      </c>
      <c r="F25" s="9">
        <f>(F24*$O$12)*S25</f>
        <v>0</v>
      </c>
      <c r="G25" s="10">
        <f>G24*0.35</f>
        <v>0</v>
      </c>
      <c r="H25" s="9">
        <f t="shared" si="15"/>
        <v>0</v>
      </c>
      <c r="I25" s="9" t="s">
        <v>1153</v>
      </c>
      <c r="J25" s="9">
        <f t="shared" si="16"/>
        <v>0</v>
      </c>
      <c r="K25" s="9">
        <f t="shared" si="17"/>
        <v>0</v>
      </c>
      <c r="L25" s="9">
        <f t="shared" si="9"/>
        <v>0</v>
      </c>
      <c r="M25" s="11">
        <f t="shared" si="1"/>
        <v>0.1201</v>
      </c>
      <c r="N25" s="9">
        <f t="shared" si="10"/>
        <v>0</v>
      </c>
      <c r="O25" s="12">
        <f t="shared" si="11"/>
        <v>0</v>
      </c>
      <c r="P25" s="13" t="str">
        <f t="shared" si="2"/>
        <v>NO</v>
      </c>
      <c r="Q25">
        <f t="shared" si="0"/>
        <v>0</v>
      </c>
      <c r="R25">
        <f t="shared" si="3"/>
        <v>1000</v>
      </c>
      <c r="S25">
        <f t="shared" si="4"/>
        <v>1</v>
      </c>
    </row>
    <row r="26" spans="1:23" ht="15" customHeight="1" x14ac:dyDescent="0.3">
      <c r="A26" s="31" t="s">
        <v>1150</v>
      </c>
      <c r="B26" s="32" t="s">
        <v>1158</v>
      </c>
      <c r="C26" s="27" t="s">
        <v>1159</v>
      </c>
      <c r="D26" s="27" t="str">
        <f t="shared" si="5"/>
        <v>INCLUIDO</v>
      </c>
      <c r="E26" s="27" t="s">
        <v>1137</v>
      </c>
      <c r="F26" s="42">
        <v>0</v>
      </c>
      <c r="G26" s="10">
        <f>'COTIZACIÓN M.N.'!E67*50%</f>
        <v>1.1000000000000001E-3</v>
      </c>
      <c r="H26" s="75">
        <f>(((IF(I26="$ Prima",G26,G26*F26/R26))*$U$9)/365)*$J$15/'Ubicaciones total (2)'!A366</f>
        <v>0</v>
      </c>
      <c r="I26" s="9" t="s">
        <v>1153</v>
      </c>
      <c r="J26" s="9">
        <f>H26*$U$7</f>
        <v>0</v>
      </c>
      <c r="K26" s="9">
        <f>(H26+J26)*$K$15</f>
        <v>0</v>
      </c>
      <c r="L26" s="9">
        <f t="shared" si="9"/>
        <v>0</v>
      </c>
      <c r="M26" s="11">
        <f t="shared" si="1"/>
        <v>0.1201</v>
      </c>
      <c r="N26" s="9">
        <f t="shared" si="10"/>
        <v>0</v>
      </c>
      <c r="O26" s="12">
        <f t="shared" si="11"/>
        <v>0</v>
      </c>
      <c r="P26" s="13" t="str">
        <f t="shared" si="2"/>
        <v>NO</v>
      </c>
      <c r="Q26">
        <f t="shared" si="0"/>
        <v>0</v>
      </c>
      <c r="R26">
        <f t="shared" si="3"/>
        <v>1000</v>
      </c>
      <c r="S26">
        <f t="shared" si="4"/>
        <v>1</v>
      </c>
    </row>
    <row r="27" spans="1:23" ht="15" customHeight="1" x14ac:dyDescent="0.3">
      <c r="A27" s="31" t="s">
        <v>1150</v>
      </c>
      <c r="B27" s="32" t="s">
        <v>1160</v>
      </c>
      <c r="C27" s="27" t="s">
        <v>1161</v>
      </c>
      <c r="D27" s="27" t="str">
        <f t="shared" si="5"/>
        <v>INCLUIDO</v>
      </c>
      <c r="E27" s="27" t="s">
        <v>1137</v>
      </c>
      <c r="F27" s="42">
        <v>0</v>
      </c>
      <c r="G27" s="10">
        <f>G26</f>
        <v>1.1000000000000001E-3</v>
      </c>
      <c r="H27" s="75">
        <f>(((IF(I27="$ Prima",G27,G27*F27/R27))*$U$9)/365)*$J$15/'Ubicaciones total (2)'!A366</f>
        <v>0</v>
      </c>
      <c r="I27" s="9" t="s">
        <v>1153</v>
      </c>
      <c r="J27" s="9">
        <f>H27*$U$7</f>
        <v>0</v>
      </c>
      <c r="K27" s="9">
        <f>(H27+J27)*$K$15</f>
        <v>0</v>
      </c>
      <c r="L27" s="9">
        <f t="shared" si="9"/>
        <v>0</v>
      </c>
      <c r="M27" s="11">
        <f t="shared" si="1"/>
        <v>0.1201</v>
      </c>
      <c r="N27" s="9">
        <f t="shared" si="10"/>
        <v>0</v>
      </c>
      <c r="O27" s="12">
        <f t="shared" si="11"/>
        <v>0</v>
      </c>
      <c r="P27" s="13" t="str">
        <f t="shared" si="2"/>
        <v>NO</v>
      </c>
      <c r="Q27">
        <f t="shared" si="0"/>
        <v>0</v>
      </c>
      <c r="R27">
        <f t="shared" si="3"/>
        <v>1000</v>
      </c>
      <c r="S27">
        <f t="shared" si="4"/>
        <v>1</v>
      </c>
    </row>
    <row r="28" spans="1:23" x14ac:dyDescent="0.3">
      <c r="A28" s="82" t="s">
        <v>1162</v>
      </c>
      <c r="B28" s="33">
        <v>1</v>
      </c>
      <c r="C28" s="28" t="s">
        <v>1163</v>
      </c>
      <c r="D28" s="28" t="str">
        <f>$D$17</f>
        <v>INCLUIDO</v>
      </c>
      <c r="E28" s="28"/>
      <c r="F28" s="28"/>
      <c r="G28" s="28"/>
      <c r="H28" s="28"/>
      <c r="I28" s="28"/>
      <c r="J28" s="28"/>
      <c r="K28" s="28"/>
      <c r="L28" s="28"/>
      <c r="M28" s="68">
        <v>0.05</v>
      </c>
      <c r="N28" s="28"/>
      <c r="O28" s="83"/>
      <c r="P28" s="13" t="str">
        <f t="shared" si="2"/>
        <v>NO</v>
      </c>
      <c r="Q28" s="47">
        <f>IF(D28="INCLUIDO",IF(F29&lt;&gt;0,1,0),0)</f>
        <v>0</v>
      </c>
    </row>
    <row r="29" spans="1:23" x14ac:dyDescent="0.3">
      <c r="A29" s="31" t="s">
        <v>1164</v>
      </c>
      <c r="B29" s="32" t="s">
        <v>1165</v>
      </c>
      <c r="C29" s="27" t="s">
        <v>1166</v>
      </c>
      <c r="D29" s="27" t="str">
        <f t="shared" si="5"/>
        <v>INCLUIDO</v>
      </c>
      <c r="E29" s="27" t="s">
        <v>1137</v>
      </c>
      <c r="F29" s="9">
        <f>$F$17*S29</f>
        <v>0</v>
      </c>
      <c r="G29" s="10">
        <f>'COTIZACIÓN M.N.'!E28</f>
        <v>0.25</v>
      </c>
      <c r="H29" s="75">
        <f>((((IF(I29="$ Prima",G29,G29*F29/R29))*$U$9)/365)*$J$15)</f>
        <v>0</v>
      </c>
      <c r="I29" s="9" t="s">
        <v>1153</v>
      </c>
      <c r="J29" s="9">
        <f t="shared" ref="J29:J30" si="18">H29*$U$7</f>
        <v>0</v>
      </c>
      <c r="K29" s="9">
        <f t="shared" ref="K29:K30" si="19">(H29+J29)*$K$15</f>
        <v>0</v>
      </c>
      <c r="L29" s="9">
        <f t="shared" ref="L29:L30" si="20">ROUND(H29+J29+K29,2)</f>
        <v>0</v>
      </c>
      <c r="M29" s="11">
        <f>$M$28</f>
        <v>0.05</v>
      </c>
      <c r="N29" s="9">
        <f t="shared" ref="N29:N30" si="21">H29*M29</f>
        <v>0</v>
      </c>
      <c r="O29" s="12">
        <f t="shared" ref="O29:O30" si="22">N29</f>
        <v>0</v>
      </c>
      <c r="P29" s="13" t="str">
        <f t="shared" si="2"/>
        <v>NO</v>
      </c>
      <c r="Q29">
        <f>IF(D29="INCLUIDO",IF(F29&lt;&gt;0,1,0),0)</f>
        <v>0</v>
      </c>
      <c r="R29">
        <f>IF(I29="%o Al Millar",1000,IF(I29="% Al Porciento",100,IF(I29="$ Prima",G29)))</f>
        <v>1000</v>
      </c>
      <c r="S29">
        <f t="shared" si="4"/>
        <v>1</v>
      </c>
    </row>
    <row r="30" spans="1:23" hidden="1" x14ac:dyDescent="0.3">
      <c r="A30" s="31" t="s">
        <v>1164</v>
      </c>
      <c r="B30" s="32"/>
      <c r="C30" s="81">
        <f>$O$12</f>
        <v>0</v>
      </c>
      <c r="D30" s="27" t="str">
        <f t="shared" si="5"/>
        <v>INCLUIDO</v>
      </c>
      <c r="E30" s="27" t="str">
        <f>E29</f>
        <v>Sublimite</v>
      </c>
      <c r="F30" s="9">
        <f>(F29*$O$12)*S30</f>
        <v>0</v>
      </c>
      <c r="G30" s="10">
        <f>G29*0.35</f>
        <v>8.7499999999999994E-2</v>
      </c>
      <c r="H30" s="9">
        <f>((IF(I30="$ Prima",G30,G30*F30/R30))*$U$9)*O13</f>
        <v>0</v>
      </c>
      <c r="I30" s="9" t="s">
        <v>1153</v>
      </c>
      <c r="J30" s="9">
        <f t="shared" si="18"/>
        <v>0</v>
      </c>
      <c r="K30" s="9">
        <f t="shared" si="19"/>
        <v>0</v>
      </c>
      <c r="L30" s="9">
        <f t="shared" si="20"/>
        <v>0</v>
      </c>
      <c r="M30" s="11">
        <f>$M$28</f>
        <v>0.05</v>
      </c>
      <c r="N30" s="9">
        <f t="shared" si="21"/>
        <v>0</v>
      </c>
      <c r="O30" s="12">
        <f t="shared" si="22"/>
        <v>0</v>
      </c>
      <c r="P30" s="13" t="str">
        <f t="shared" si="2"/>
        <v>NO</v>
      </c>
      <c r="Q30">
        <f>IF(D30="INCLUIDO",IF(F30&lt;&gt;0,1,0),0)</f>
        <v>0</v>
      </c>
      <c r="R30">
        <f>IF(I30="%o Al Millar",1000,IF(I30="% Al Porciento",100,IF(I30="$ Prima",G30)))</f>
        <v>1000</v>
      </c>
      <c r="S30">
        <f t="shared" si="4"/>
        <v>1</v>
      </c>
    </row>
    <row r="31" spans="1:23" x14ac:dyDescent="0.3">
      <c r="A31" s="82">
        <v>904</v>
      </c>
      <c r="B31" s="33">
        <v>1</v>
      </c>
      <c r="C31" s="28" t="s">
        <v>1167</v>
      </c>
      <c r="D31" s="28" t="str">
        <f>$D$17</f>
        <v>INCLUIDO</v>
      </c>
      <c r="E31" s="28"/>
      <c r="F31" s="28"/>
      <c r="G31" s="28"/>
      <c r="H31" s="28"/>
      <c r="I31" s="28"/>
      <c r="J31" s="28"/>
      <c r="K31" s="28"/>
      <c r="L31" s="28"/>
      <c r="M31" s="68">
        <v>0.05</v>
      </c>
      <c r="N31" s="28"/>
      <c r="O31" s="83"/>
      <c r="P31" s="13" t="str">
        <f t="shared" si="2"/>
        <v>NO</v>
      </c>
      <c r="Q31" s="47">
        <f>IF(D31="INCLUIDO",IF(F32&lt;&gt;0,1,0),0)</f>
        <v>0</v>
      </c>
    </row>
    <row r="32" spans="1:23" x14ac:dyDescent="0.3">
      <c r="A32" s="31" t="s">
        <v>1168</v>
      </c>
      <c r="B32" s="32" t="s">
        <v>1169</v>
      </c>
      <c r="C32" s="27" t="s">
        <v>1170</v>
      </c>
      <c r="D32" s="27" t="str">
        <f t="shared" si="5"/>
        <v>INCLUIDO</v>
      </c>
      <c r="E32" s="27" t="s">
        <v>1137</v>
      </c>
      <c r="F32" s="9">
        <f>F17</f>
        <v>0</v>
      </c>
      <c r="G32" s="10">
        <f>'COTIZACIÓN M.N.'!E30</f>
        <v>0.4</v>
      </c>
      <c r="H32" s="75">
        <f>((((IF(I32="$ Prima",G32,G32*F32/R32))*$U$9)*O14)/365)*$J$15</f>
        <v>0</v>
      </c>
      <c r="I32" s="9" t="s">
        <v>1153</v>
      </c>
      <c r="J32" s="9">
        <f t="shared" ref="J32:J33" si="23">H32*$U$7</f>
        <v>0</v>
      </c>
      <c r="K32" s="9">
        <f t="shared" ref="K32:K33" si="24">(H32+J32)*$K$15</f>
        <v>0</v>
      </c>
      <c r="L32" s="9">
        <f t="shared" ref="L32:L33" si="25">ROUND(H32+J32+K32,2)</f>
        <v>0</v>
      </c>
      <c r="M32" s="11">
        <f>$M$31</f>
        <v>0.05</v>
      </c>
      <c r="N32" s="9">
        <f t="shared" ref="N32:N33" si="26">H32*M32</f>
        <v>0</v>
      </c>
      <c r="O32" s="12">
        <f t="shared" ref="O32:O33" si="27">N32</f>
        <v>0</v>
      </c>
      <c r="P32" s="13" t="str">
        <f t="shared" si="2"/>
        <v>NO</v>
      </c>
      <c r="Q32">
        <f>IF(D32="INCLUIDO",IF(F32&lt;&gt;0,1,0),0)</f>
        <v>0</v>
      </c>
      <c r="R32">
        <f>IF(I32="%o Al Millar",1000,IF(I32="% Al Porciento",100,IF(I32="$ Prima",G32)))</f>
        <v>1000</v>
      </c>
      <c r="S32">
        <f t="shared" si="4"/>
        <v>1</v>
      </c>
    </row>
    <row r="33" spans="1:22" hidden="1" x14ac:dyDescent="0.3">
      <c r="A33" s="31" t="s">
        <v>1168</v>
      </c>
      <c r="B33" s="32"/>
      <c r="C33" s="81">
        <f>$O$12</f>
        <v>0</v>
      </c>
      <c r="D33" s="27" t="str">
        <f t="shared" si="5"/>
        <v>INCLUIDO</v>
      </c>
      <c r="E33" s="27" t="str">
        <f>E32</f>
        <v>Sublimite</v>
      </c>
      <c r="F33" s="9">
        <f>(F32*$O$12)*S33</f>
        <v>0</v>
      </c>
      <c r="G33" s="10">
        <f>G32*0.35</f>
        <v>0.13999999999999999</v>
      </c>
      <c r="H33" s="9">
        <f>((IF(I33="$ Prima",G33,G33*F33/R33))*$U$9)*O14</f>
        <v>0</v>
      </c>
      <c r="I33" s="9" t="s">
        <v>1153</v>
      </c>
      <c r="J33" s="9">
        <f t="shared" si="23"/>
        <v>0</v>
      </c>
      <c r="K33" s="9">
        <f t="shared" si="24"/>
        <v>0</v>
      </c>
      <c r="L33" s="9">
        <f t="shared" si="25"/>
        <v>0</v>
      </c>
      <c r="M33" s="11">
        <f>$M$31</f>
        <v>0.05</v>
      </c>
      <c r="N33" s="9">
        <f t="shared" si="26"/>
        <v>0</v>
      </c>
      <c r="O33" s="12">
        <f t="shared" si="27"/>
        <v>0</v>
      </c>
      <c r="P33" s="13" t="str">
        <f t="shared" si="2"/>
        <v>NO</v>
      </c>
      <c r="Q33">
        <f>IF(D33="INCLUIDO",IF(F33&lt;&gt;0,1,0),0)</f>
        <v>0</v>
      </c>
      <c r="R33">
        <f>IF(I33="%o Al Millar",1000,IF(I33="% Al Porciento",100,IF(I33="$ Prima",G33)))</f>
        <v>1000</v>
      </c>
      <c r="S33">
        <f t="shared" si="4"/>
        <v>1</v>
      </c>
    </row>
    <row r="34" spans="1:22" x14ac:dyDescent="0.3">
      <c r="A34" s="82" t="s">
        <v>1147</v>
      </c>
      <c r="B34" s="33" t="s">
        <v>1148</v>
      </c>
      <c r="C34" s="28" t="s">
        <v>1171</v>
      </c>
      <c r="D34" s="28" t="str">
        <f>$D$17</f>
        <v>INCLUIDO</v>
      </c>
      <c r="E34" s="28"/>
      <c r="F34" s="113">
        <f>F17*M12</f>
        <v>0</v>
      </c>
      <c r="G34" s="28"/>
      <c r="H34" s="28"/>
      <c r="I34" s="28"/>
      <c r="J34" s="28"/>
      <c r="K34" s="28"/>
      <c r="L34" s="28"/>
      <c r="M34" s="68">
        <v>0.25</v>
      </c>
      <c r="N34" s="28"/>
      <c r="O34" s="83"/>
      <c r="P34" s="13" t="str">
        <f t="shared" si="2"/>
        <v>NO</v>
      </c>
      <c r="Q34" s="47">
        <f>IF(D34="INCLUIDO",IF(F35&lt;&gt;0,1,0),0)</f>
        <v>0</v>
      </c>
    </row>
    <row r="35" spans="1:22" x14ac:dyDescent="0.3">
      <c r="A35" s="31" t="s">
        <v>1150</v>
      </c>
      <c r="B35" s="32" t="s">
        <v>1172</v>
      </c>
      <c r="C35" s="27" t="s">
        <v>1173</v>
      </c>
      <c r="D35" s="27" t="str">
        <f t="shared" si="5"/>
        <v>INCLUIDO</v>
      </c>
      <c r="E35" s="27" t="s">
        <v>1137</v>
      </c>
      <c r="F35" s="9">
        <f>F34*S35</f>
        <v>0</v>
      </c>
      <c r="G35" s="10">
        <f>'COTIZACIÓN M.N.'!E61*75%</f>
        <v>4.1836147500000004E-2</v>
      </c>
      <c r="H35" s="471">
        <f>(((IF(I35="$ Prima",G35,G35*F35/R35))*$U$9)/365)*$J$15</f>
        <v>0</v>
      </c>
      <c r="I35" s="9" t="s">
        <v>1153</v>
      </c>
      <c r="J35" s="9">
        <f>H35*$U$7</f>
        <v>0</v>
      </c>
      <c r="K35" s="9">
        <f>(H35+J35)*$K$15</f>
        <v>0</v>
      </c>
      <c r="L35" s="9">
        <f>ROUND(H35+J35+K35,2)</f>
        <v>0</v>
      </c>
      <c r="M35" s="11">
        <f>M34</f>
        <v>0.25</v>
      </c>
      <c r="N35" s="9">
        <f>H35*M35</f>
        <v>0</v>
      </c>
      <c r="O35" s="12">
        <f>N35</f>
        <v>0</v>
      </c>
      <c r="P35" s="13" t="str">
        <f t="shared" si="2"/>
        <v>NO</v>
      </c>
      <c r="Q35">
        <f>IF(D35="INCLUIDO",IF(F35&lt;&gt;0,1,0),0)</f>
        <v>0</v>
      </c>
      <c r="R35">
        <f>IF(I35="%o Al Millar",1000,IF(I35="% Al Porciento",100,IF(I35="$ Prima",G35)))</f>
        <v>1000</v>
      </c>
      <c r="S35">
        <f t="shared" si="4"/>
        <v>1</v>
      </c>
    </row>
    <row r="36" spans="1:22" x14ac:dyDescent="0.3">
      <c r="A36" s="82" t="s">
        <v>1162</v>
      </c>
      <c r="B36" s="33">
        <v>1</v>
      </c>
      <c r="C36" s="28" t="s">
        <v>1163</v>
      </c>
      <c r="D36" s="28" t="str">
        <f>$D$17</f>
        <v>INCLUIDO</v>
      </c>
      <c r="E36" s="28"/>
      <c r="F36" s="28"/>
      <c r="G36" s="28"/>
      <c r="H36" s="28"/>
      <c r="I36" s="28"/>
      <c r="J36" s="28"/>
      <c r="K36" s="28"/>
      <c r="L36" s="28"/>
      <c r="M36" s="68">
        <f>M28</f>
        <v>0.05</v>
      </c>
      <c r="N36" s="28"/>
      <c r="O36" s="83"/>
      <c r="P36" s="13" t="str">
        <f t="shared" si="2"/>
        <v>NO</v>
      </c>
      <c r="Q36" s="47">
        <f>IF(D36="INCLUIDO",IF(F37&lt;&gt;0,1,0),0)</f>
        <v>0</v>
      </c>
    </row>
    <row r="37" spans="1:22" ht="20.399999999999999" x14ac:dyDescent="0.3">
      <c r="A37" s="31" t="s">
        <v>1164</v>
      </c>
      <c r="B37" s="32" t="s">
        <v>1174</v>
      </c>
      <c r="C37" s="27" t="s">
        <v>1175</v>
      </c>
      <c r="D37" s="27" t="str">
        <f t="shared" si="5"/>
        <v>INCLUIDO</v>
      </c>
      <c r="E37" s="27" t="s">
        <v>1137</v>
      </c>
      <c r="F37" s="9">
        <f>F34</f>
        <v>0</v>
      </c>
      <c r="G37" s="10">
        <f>'COTIZACIÓN M.N.'!E61*25%</f>
        <v>1.3945382500000001E-2</v>
      </c>
      <c r="H37" s="75">
        <f>(((IF(I37="$ Prima",G37,G37*F37/R37))*$U$9)/365)*$J$15</f>
        <v>0</v>
      </c>
      <c r="I37" s="9" t="s">
        <v>1153</v>
      </c>
      <c r="J37" s="9">
        <f>H37*$U$7</f>
        <v>0</v>
      </c>
      <c r="K37" s="9">
        <f>(H37+J37)*$K$15</f>
        <v>0</v>
      </c>
      <c r="L37" s="9">
        <f>ROUND(H37+J37+K37,2)</f>
        <v>0</v>
      </c>
      <c r="M37" s="11">
        <f>M36</f>
        <v>0.05</v>
      </c>
      <c r="N37" s="9">
        <f>H37*M37</f>
        <v>0</v>
      </c>
      <c r="O37" s="12">
        <f>N37</f>
        <v>0</v>
      </c>
      <c r="P37" s="13" t="str">
        <f t="shared" si="2"/>
        <v>NO</v>
      </c>
      <c r="Q37">
        <f>IF(D37="INCLUIDO",IF(F37&lt;&gt;0,1,0),0)</f>
        <v>0</v>
      </c>
      <c r="R37">
        <f>IF(I37="%o Al Millar",1000,IF(I37="% Al Porciento",100,IF(I37="$ Prima",G37)))</f>
        <v>1000</v>
      </c>
      <c r="S37">
        <f t="shared" si="4"/>
        <v>1</v>
      </c>
    </row>
    <row r="38" spans="1:22" x14ac:dyDescent="0.3">
      <c r="A38" s="82">
        <v>904</v>
      </c>
      <c r="B38" s="33">
        <v>1</v>
      </c>
      <c r="C38" s="28" t="s">
        <v>1167</v>
      </c>
      <c r="D38" s="28" t="str">
        <f>$D$17</f>
        <v>INCLUIDO</v>
      </c>
      <c r="E38" s="28"/>
      <c r="F38" s="28"/>
      <c r="G38" s="28"/>
      <c r="H38" s="28"/>
      <c r="I38" s="28"/>
      <c r="J38" s="28"/>
      <c r="K38" s="28"/>
      <c r="L38" s="28"/>
      <c r="M38" s="68">
        <f>M31</f>
        <v>0.05</v>
      </c>
      <c r="N38" s="28"/>
      <c r="O38" s="83"/>
      <c r="P38" s="13" t="str">
        <f t="shared" si="2"/>
        <v>NO</v>
      </c>
      <c r="Q38" s="47">
        <f>IF(D38="INCLUIDO",IF(F39&lt;&gt;0,1,0),0)</f>
        <v>0</v>
      </c>
    </row>
    <row r="39" spans="1:22" ht="20.399999999999999" x14ac:dyDescent="0.3">
      <c r="A39" s="31" t="s">
        <v>1168</v>
      </c>
      <c r="B39" s="32" t="s">
        <v>1176</v>
      </c>
      <c r="C39" s="27" t="s">
        <v>1175</v>
      </c>
      <c r="D39" s="27" t="str">
        <f t="shared" si="5"/>
        <v>INCLUIDO</v>
      </c>
      <c r="E39" s="27" t="s">
        <v>1137</v>
      </c>
      <c r="F39" s="9">
        <f>F34</f>
        <v>0</v>
      </c>
      <c r="G39" s="10">
        <f>'COTIZACIÓN M.N.'!E62</f>
        <v>4.0000000000000008E-2</v>
      </c>
      <c r="H39" s="75">
        <f>(((IF(I39="$ Prima",G39,G39*F39/R39))*$U$9)/365)*$J$15</f>
        <v>0</v>
      </c>
      <c r="I39" s="9" t="s">
        <v>1153</v>
      </c>
      <c r="J39" s="9">
        <f>H39*$U$7</f>
        <v>0</v>
      </c>
      <c r="K39" s="9">
        <f>(H39+J39)*$K$15</f>
        <v>0</v>
      </c>
      <c r="L39" s="9">
        <f>ROUND(H39+J39+K39,2)</f>
        <v>0</v>
      </c>
      <c r="M39" s="11">
        <f>M38</f>
        <v>0.05</v>
      </c>
      <c r="N39" s="9">
        <f>H39*M39</f>
        <v>0</v>
      </c>
      <c r="O39" s="12">
        <f>N39</f>
        <v>0</v>
      </c>
      <c r="P39" s="13" t="str">
        <f t="shared" si="2"/>
        <v>NO</v>
      </c>
      <c r="Q39">
        <f>IF(D39="INCLUIDO",IF(F39&lt;&gt;0,1,0),0)</f>
        <v>0</v>
      </c>
      <c r="R39">
        <f>IF(I39="%o Al Millar",1000,IF(I39="% Al Porciento",100,IF(I39="$ Prima",G39)))</f>
        <v>1000</v>
      </c>
      <c r="S39">
        <f t="shared" si="4"/>
        <v>1</v>
      </c>
    </row>
    <row r="40" spans="1:22" s="18" customFormat="1" ht="15" thickBot="1" x14ac:dyDescent="0.35">
      <c r="A40" s="14"/>
      <c r="B40" s="25"/>
      <c r="C40" s="15" t="s">
        <v>1177</v>
      </c>
      <c r="D40" s="38" t="str">
        <f>D39</f>
        <v>INCLUIDO</v>
      </c>
      <c r="E40" s="38"/>
      <c r="F40" s="16">
        <f>SUMIF(E18:E39,"Adicional",F18:F39)</f>
        <v>0</v>
      </c>
      <c r="G40" s="17"/>
      <c r="H40" s="16">
        <f>SUM(H18:H39)</f>
        <v>0</v>
      </c>
      <c r="I40" s="16"/>
      <c r="J40" s="16">
        <f>SUM(J18:J39)</f>
        <v>0</v>
      </c>
      <c r="K40" s="16">
        <f>SUM(K18:K39)</f>
        <v>0</v>
      </c>
      <c r="L40" s="16">
        <f>SUM(L18:L39)</f>
        <v>0</v>
      </c>
      <c r="M40" s="16" t="s">
        <v>1178</v>
      </c>
      <c r="N40" s="16">
        <f>SUM(N18:N39)</f>
        <v>0</v>
      </c>
      <c r="O40" s="84">
        <f>SUM(O18:O39)</f>
        <v>0</v>
      </c>
      <c r="P40" s="13" t="str">
        <f t="shared" si="2"/>
        <v>NO</v>
      </c>
      <c r="Q40">
        <f>IF(D40="INCLUIDO",IF(H40&lt;&gt;0,1,0),0)</f>
        <v>0</v>
      </c>
    </row>
    <row r="41" spans="1:22" ht="15" thickBot="1" x14ac:dyDescent="0.35">
      <c r="A41" s="82" t="s">
        <v>1147</v>
      </c>
      <c r="B41" s="33">
        <v>2</v>
      </c>
      <c r="C41" s="28" t="s">
        <v>1179</v>
      </c>
      <c r="D41" s="28" t="str">
        <f>$D$17</f>
        <v>INCLUIDO</v>
      </c>
      <c r="E41" s="28"/>
      <c r="F41" s="113">
        <f>VLOOKUP(C15,UBCINEMEX,9,0)</f>
        <v>2210134.96</v>
      </c>
      <c r="G41" s="209">
        <f>'COTIZACIÓN M.N.'!E33+'COTIZACIÓN M.N.'!E34+'COTIZACIÓN M.N.'!E35</f>
        <v>0.30781530000000001</v>
      </c>
      <c r="H41" s="28"/>
      <c r="I41" s="28"/>
      <c r="J41" s="28"/>
      <c r="K41" s="28"/>
      <c r="L41" s="28"/>
      <c r="M41" s="68">
        <f>M17</f>
        <v>0.1201</v>
      </c>
      <c r="N41" s="28"/>
      <c r="O41" s="83"/>
      <c r="P41" s="13" t="str">
        <f t="shared" si="2"/>
        <v>SI</v>
      </c>
      <c r="Q41" s="48">
        <f t="shared" ref="Q41:Q60" si="28">IF(D41="INCLUIDO",IF(F41&lt;&gt;0,1,0),0)</f>
        <v>1</v>
      </c>
      <c r="T41" s="146">
        <f>G41</f>
        <v>0.30781530000000001</v>
      </c>
      <c r="U41" s="150"/>
      <c r="V41" s="151"/>
    </row>
    <row r="42" spans="1:22" x14ac:dyDescent="0.3">
      <c r="A42" s="34" t="s">
        <v>1150</v>
      </c>
      <c r="B42" s="35" t="s">
        <v>1180</v>
      </c>
      <c r="C42" s="29" t="s">
        <v>1151</v>
      </c>
      <c r="D42" s="27" t="str">
        <f t="shared" ref="D42:D76" si="29">$D$17</f>
        <v>INCLUIDO</v>
      </c>
      <c r="E42" s="27" t="s">
        <v>1137</v>
      </c>
      <c r="F42" s="20">
        <f>$F$41*S42</f>
        <v>2210134.96</v>
      </c>
      <c r="G42" s="49">
        <f>V42</f>
        <v>0.24625224000000001</v>
      </c>
      <c r="H42" s="9">
        <f>(((IF(I42="$ Prima",G42,G42*F42/R42))*$U$9)/365)*$J$15</f>
        <v>545.74178236834416</v>
      </c>
      <c r="I42" s="9" t="s">
        <v>1153</v>
      </c>
      <c r="J42" s="9">
        <f t="shared" ref="J42:J60" si="30">H42*$U$7</f>
        <v>11.515151607972061</v>
      </c>
      <c r="K42" s="9">
        <f t="shared" ref="K42:K60" si="31">(H42+J42)*$K$15</f>
        <v>89.161109436210594</v>
      </c>
      <c r="L42" s="9">
        <f t="shared" ref="L42:L60" si="32">ROUND(H42+J42+K42,2)</f>
        <v>646.41999999999996</v>
      </c>
      <c r="M42" s="11">
        <f>$M$41</f>
        <v>0.1201</v>
      </c>
      <c r="N42" s="9">
        <f t="shared" ref="N42:N60" si="33">H42*M42</f>
        <v>65.543588062438133</v>
      </c>
      <c r="O42" s="12">
        <f t="shared" ref="O42:O60" si="34">N42</f>
        <v>65.543588062438133</v>
      </c>
      <c r="P42" s="13" t="str">
        <f t="shared" si="2"/>
        <v>SI</v>
      </c>
      <c r="Q42">
        <f t="shared" si="28"/>
        <v>1</v>
      </c>
      <c r="R42">
        <f t="shared" ref="R42:R60" si="35">IF(I42="%o Al Millar",1000,IF(I42="% Al Porciento",100,IF(I42="$ Prima",G42)))</f>
        <v>1000</v>
      </c>
      <c r="S42">
        <f t="shared" ref="S42:S76" si="36">IF(E42="Excluido",0,IF(D42="NO APLICA",0,1))</f>
        <v>1</v>
      </c>
      <c r="T42" s="152">
        <v>0.7</v>
      </c>
      <c r="U42">
        <f>IF(E42="Excluido",0,T41*T42)</f>
        <v>0.21547071000000001</v>
      </c>
      <c r="V42" s="153">
        <f>IF(F41=0,0,(U51-U46-U44-U50)+(T41-U51))</f>
        <v>0.24625224000000001</v>
      </c>
    </row>
    <row r="43" spans="1:22" hidden="1" x14ac:dyDescent="0.3">
      <c r="A43" s="34" t="s">
        <v>1150</v>
      </c>
      <c r="B43" s="35"/>
      <c r="C43" s="81">
        <f>$O$12</f>
        <v>0</v>
      </c>
      <c r="D43" s="27" t="str">
        <f t="shared" si="29"/>
        <v>INCLUIDO</v>
      </c>
      <c r="E43" s="27" t="str">
        <f>E42</f>
        <v>Sublimite</v>
      </c>
      <c r="F43" s="9">
        <f>(F42*$O$12)*S42</f>
        <v>0</v>
      </c>
      <c r="G43" s="10">
        <f>G42*0.35</f>
        <v>8.6188284000000004E-2</v>
      </c>
      <c r="H43" s="9">
        <f t="shared" ref="H43" si="37">(IF(I43="$ Prima",G43,G43*F43/R43))*$U$9</f>
        <v>0</v>
      </c>
      <c r="I43" s="9" t="s">
        <v>1153</v>
      </c>
      <c r="J43" s="9">
        <f t="shared" si="30"/>
        <v>0</v>
      </c>
      <c r="K43" s="9">
        <f t="shared" si="31"/>
        <v>0</v>
      </c>
      <c r="L43" s="9">
        <f t="shared" si="32"/>
        <v>0</v>
      </c>
      <c r="M43" s="11">
        <f t="shared" ref="M43:M60" si="38">$M$41</f>
        <v>0.1201</v>
      </c>
      <c r="N43" s="9">
        <f t="shared" si="33"/>
        <v>0</v>
      </c>
      <c r="O43" s="12">
        <f t="shared" si="34"/>
        <v>0</v>
      </c>
      <c r="P43" s="13" t="str">
        <f t="shared" si="2"/>
        <v>NO</v>
      </c>
      <c r="Q43">
        <f t="shared" si="28"/>
        <v>0</v>
      </c>
      <c r="R43">
        <f t="shared" si="35"/>
        <v>1000</v>
      </c>
      <c r="S43">
        <f t="shared" si="36"/>
        <v>1</v>
      </c>
      <c r="T43" s="152"/>
      <c r="V43" s="153"/>
    </row>
    <row r="44" spans="1:22" ht="20.399999999999999" x14ac:dyDescent="0.3">
      <c r="A44" s="34" t="s">
        <v>1150</v>
      </c>
      <c r="B44" s="35" t="s">
        <v>1181</v>
      </c>
      <c r="C44" s="29" t="s">
        <v>1155</v>
      </c>
      <c r="D44" s="27" t="str">
        <f t="shared" si="29"/>
        <v>INCLUIDO</v>
      </c>
      <c r="E44" s="27" t="s">
        <v>1137</v>
      </c>
      <c r="F44" s="20">
        <f>$F$41*S44</f>
        <v>2210134.96</v>
      </c>
      <c r="G44" s="49">
        <f>V44</f>
        <v>3.0781530000000001E-2</v>
      </c>
      <c r="H44" s="9">
        <f>(((IF(I44="$ Prima",G44,G44*F44/R44))*$U$9)/365)*$J$15</f>
        <v>68.21772279604302</v>
      </c>
      <c r="I44" s="9" t="s">
        <v>1153</v>
      </c>
      <c r="J44" s="9">
        <f t="shared" si="30"/>
        <v>1.4393939509965077</v>
      </c>
      <c r="K44" s="9">
        <f t="shared" si="31"/>
        <v>11.145138679526324</v>
      </c>
      <c r="L44" s="9">
        <f t="shared" si="32"/>
        <v>80.8</v>
      </c>
      <c r="M44" s="11">
        <f t="shared" si="38"/>
        <v>0.1201</v>
      </c>
      <c r="N44" s="9">
        <f t="shared" si="33"/>
        <v>8.1929485078047666</v>
      </c>
      <c r="O44" s="12">
        <f t="shared" si="34"/>
        <v>8.1929485078047666</v>
      </c>
      <c r="P44" s="13" t="str">
        <f t="shared" si="2"/>
        <v>SI</v>
      </c>
      <c r="Q44">
        <f t="shared" si="28"/>
        <v>1</v>
      </c>
      <c r="R44">
        <f t="shared" si="35"/>
        <v>1000</v>
      </c>
      <c r="S44">
        <f t="shared" si="36"/>
        <v>1</v>
      </c>
      <c r="T44" s="152">
        <v>0.1</v>
      </c>
      <c r="U44">
        <f>IF(E44="Excluido",0,T41*T44)</f>
        <v>3.0781530000000001E-2</v>
      </c>
      <c r="V44" s="153">
        <f>IF(F41=0,0,U44)</f>
        <v>3.0781530000000001E-2</v>
      </c>
    </row>
    <row r="45" spans="1:22" hidden="1" x14ac:dyDescent="0.3">
      <c r="A45" s="34" t="s">
        <v>1150</v>
      </c>
      <c r="B45" s="35"/>
      <c r="C45" s="81">
        <f>$O$12</f>
        <v>0</v>
      </c>
      <c r="D45" s="27" t="str">
        <f t="shared" si="29"/>
        <v>INCLUIDO</v>
      </c>
      <c r="E45" s="27" t="str">
        <f>E44</f>
        <v>Sublimite</v>
      </c>
      <c r="F45" s="9">
        <f>(F44*$O$12)*S44</f>
        <v>0</v>
      </c>
      <c r="G45" s="10">
        <f>G44*0.35</f>
        <v>1.07735355E-2</v>
      </c>
      <c r="H45" s="9">
        <f t="shared" ref="H45:H58" si="39">(IF(I45="$ Prima",G45,G45*F45/R45))*$U$9</f>
        <v>0</v>
      </c>
      <c r="I45" s="9" t="s">
        <v>1153</v>
      </c>
      <c r="J45" s="9">
        <f t="shared" si="30"/>
        <v>0</v>
      </c>
      <c r="K45" s="9">
        <f t="shared" si="31"/>
        <v>0</v>
      </c>
      <c r="L45" s="9">
        <f t="shared" si="32"/>
        <v>0</v>
      </c>
      <c r="M45" s="11">
        <f t="shared" si="38"/>
        <v>0.1201</v>
      </c>
      <c r="N45" s="9">
        <f t="shared" si="33"/>
        <v>0</v>
      </c>
      <c r="O45" s="12">
        <f t="shared" si="34"/>
        <v>0</v>
      </c>
      <c r="P45" s="13" t="str">
        <f t="shared" si="2"/>
        <v>NO</v>
      </c>
      <c r="Q45">
        <f t="shared" si="28"/>
        <v>0</v>
      </c>
      <c r="R45">
        <f t="shared" si="35"/>
        <v>1000</v>
      </c>
      <c r="S45">
        <f t="shared" si="36"/>
        <v>1</v>
      </c>
      <c r="T45" s="152"/>
      <c r="V45" s="153"/>
    </row>
    <row r="46" spans="1:22" x14ac:dyDescent="0.3">
      <c r="A46" s="34" t="s">
        <v>1150</v>
      </c>
      <c r="B46" s="35" t="s">
        <v>1182</v>
      </c>
      <c r="C46" s="29" t="s">
        <v>1110</v>
      </c>
      <c r="D46" s="27" t="str">
        <f t="shared" si="29"/>
        <v>INCLUIDO</v>
      </c>
      <c r="E46" s="27" t="s">
        <v>1137</v>
      </c>
      <c r="F46" s="20">
        <f>F41</f>
        <v>2210134.96</v>
      </c>
      <c r="G46" s="49">
        <f>V46</f>
        <v>3.0781530000000001E-2</v>
      </c>
      <c r="H46" s="9">
        <f>(((IF(I46="$ Prima",G46,G46*F46/R46))*$U$9)/365)*$J$15</f>
        <v>68.21772279604302</v>
      </c>
      <c r="I46" s="9" t="s">
        <v>1153</v>
      </c>
      <c r="J46" s="9">
        <f t="shared" si="30"/>
        <v>1.4393939509965077</v>
      </c>
      <c r="K46" s="9">
        <f t="shared" si="31"/>
        <v>11.145138679526324</v>
      </c>
      <c r="L46" s="9">
        <f t="shared" si="32"/>
        <v>80.8</v>
      </c>
      <c r="M46" s="11">
        <f t="shared" si="38"/>
        <v>0.1201</v>
      </c>
      <c r="N46" s="9">
        <f t="shared" si="33"/>
        <v>8.1929485078047666</v>
      </c>
      <c r="O46" s="12">
        <f t="shared" si="34"/>
        <v>8.1929485078047666</v>
      </c>
      <c r="P46" s="13" t="str">
        <f t="shared" si="2"/>
        <v>SI</v>
      </c>
      <c r="Q46">
        <f t="shared" si="28"/>
        <v>1</v>
      </c>
      <c r="R46">
        <f t="shared" si="35"/>
        <v>1000</v>
      </c>
      <c r="S46">
        <f t="shared" si="36"/>
        <v>1</v>
      </c>
      <c r="T46" s="152">
        <v>0.1</v>
      </c>
      <c r="U46">
        <f>IF(E46="Excluido",0,T41*T46)</f>
        <v>3.0781530000000001E-2</v>
      </c>
      <c r="V46" s="153">
        <f>IF(F41=0,0,U46)</f>
        <v>3.0781530000000001E-2</v>
      </c>
    </row>
    <row r="47" spans="1:22" hidden="1" x14ac:dyDescent="0.3">
      <c r="A47" s="34" t="s">
        <v>1150</v>
      </c>
      <c r="B47" s="35"/>
      <c r="C47" s="81">
        <f>$O$12</f>
        <v>0</v>
      </c>
      <c r="D47" s="27" t="str">
        <f t="shared" si="29"/>
        <v>INCLUIDO</v>
      </c>
      <c r="E47" s="27" t="str">
        <f>E46</f>
        <v>Sublimite</v>
      </c>
      <c r="F47" s="9">
        <f>(F46*$O$12)*S46</f>
        <v>0</v>
      </c>
      <c r="G47" s="10">
        <f>G46*0.35</f>
        <v>1.07735355E-2</v>
      </c>
      <c r="H47" s="9">
        <f t="shared" ref="H47" si="40">(IF(I47="$ Prima",G47,G47*F47/R47))*$U$9</f>
        <v>0</v>
      </c>
      <c r="I47" s="9" t="s">
        <v>1153</v>
      </c>
      <c r="J47" s="9">
        <f t="shared" si="30"/>
        <v>0</v>
      </c>
      <c r="K47" s="9">
        <f t="shared" si="31"/>
        <v>0</v>
      </c>
      <c r="L47" s="9">
        <f t="shared" si="32"/>
        <v>0</v>
      </c>
      <c r="M47" s="11">
        <f t="shared" si="38"/>
        <v>0.1201</v>
      </c>
      <c r="N47" s="9">
        <f t="shared" si="33"/>
        <v>0</v>
      </c>
      <c r="O47" s="12">
        <f t="shared" si="34"/>
        <v>0</v>
      </c>
      <c r="P47" s="13" t="str">
        <f t="shared" si="2"/>
        <v>NO</v>
      </c>
      <c r="Q47">
        <f t="shared" si="28"/>
        <v>0</v>
      </c>
      <c r="R47">
        <f t="shared" si="35"/>
        <v>1000</v>
      </c>
      <c r="S47">
        <f t="shared" si="36"/>
        <v>1</v>
      </c>
      <c r="T47" s="154"/>
      <c r="V47" s="153"/>
    </row>
    <row r="48" spans="1:22" ht="15" hidden="1" customHeight="1" x14ac:dyDescent="0.3">
      <c r="A48" s="34" t="s">
        <v>1150</v>
      </c>
      <c r="B48" s="35" t="s">
        <v>1183</v>
      </c>
      <c r="C48" s="29" t="s">
        <v>1184</v>
      </c>
      <c r="D48" s="27" t="str">
        <f t="shared" si="29"/>
        <v>INCLUIDO</v>
      </c>
      <c r="E48" s="27" t="s">
        <v>1137</v>
      </c>
      <c r="F48" s="43">
        <v>0</v>
      </c>
      <c r="G48" s="21">
        <v>0</v>
      </c>
      <c r="H48" s="9">
        <f t="shared" si="39"/>
        <v>0</v>
      </c>
      <c r="I48" s="9" t="s">
        <v>1153</v>
      </c>
      <c r="J48" s="9">
        <f t="shared" si="30"/>
        <v>0</v>
      </c>
      <c r="K48" s="9">
        <f t="shared" si="31"/>
        <v>0</v>
      </c>
      <c r="L48" s="9">
        <f t="shared" si="32"/>
        <v>0</v>
      </c>
      <c r="M48" s="11">
        <f t="shared" si="38"/>
        <v>0.1201</v>
      </c>
      <c r="N48" s="9">
        <f t="shared" si="33"/>
        <v>0</v>
      </c>
      <c r="O48" s="12">
        <f t="shared" si="34"/>
        <v>0</v>
      </c>
      <c r="P48" s="13" t="str">
        <f t="shared" si="2"/>
        <v>NO</v>
      </c>
      <c r="Q48">
        <f t="shared" si="28"/>
        <v>0</v>
      </c>
      <c r="R48">
        <f t="shared" si="35"/>
        <v>1000</v>
      </c>
      <c r="S48">
        <f t="shared" si="36"/>
        <v>1</v>
      </c>
      <c r="T48" s="154"/>
      <c r="V48" s="153"/>
    </row>
    <row r="49" spans="1:22" ht="15" hidden="1" customHeight="1" x14ac:dyDescent="0.3">
      <c r="A49" s="34" t="s">
        <v>1150</v>
      </c>
      <c r="B49" s="35"/>
      <c r="C49" s="81">
        <f>$O$12</f>
        <v>0</v>
      </c>
      <c r="D49" s="27" t="str">
        <f t="shared" si="29"/>
        <v>INCLUIDO</v>
      </c>
      <c r="E49" s="27" t="str">
        <f>E48</f>
        <v>Sublimite</v>
      </c>
      <c r="F49" s="9">
        <f>(F48*$O$12)*S48</f>
        <v>0</v>
      </c>
      <c r="G49" s="10">
        <f>G48*0.35</f>
        <v>0</v>
      </c>
      <c r="H49" s="9">
        <f t="shared" si="39"/>
        <v>0</v>
      </c>
      <c r="I49" s="9" t="s">
        <v>1153</v>
      </c>
      <c r="J49" s="9">
        <f t="shared" si="30"/>
        <v>0</v>
      </c>
      <c r="K49" s="9">
        <f t="shared" si="31"/>
        <v>0</v>
      </c>
      <c r="L49" s="9">
        <f t="shared" si="32"/>
        <v>0</v>
      </c>
      <c r="M49" s="11">
        <f t="shared" si="38"/>
        <v>0.1201</v>
      </c>
      <c r="N49" s="9">
        <f t="shared" si="33"/>
        <v>0</v>
      </c>
      <c r="O49" s="12">
        <f t="shared" si="34"/>
        <v>0</v>
      </c>
      <c r="P49" s="13" t="str">
        <f t="shared" si="2"/>
        <v>NO</v>
      </c>
      <c r="Q49">
        <f t="shared" si="28"/>
        <v>0</v>
      </c>
      <c r="R49">
        <f t="shared" si="35"/>
        <v>1000</v>
      </c>
      <c r="S49">
        <f t="shared" si="36"/>
        <v>1</v>
      </c>
      <c r="T49" s="154"/>
      <c r="V49" s="153"/>
    </row>
    <row r="50" spans="1:22" ht="15" hidden="1" customHeight="1" thickBot="1" x14ac:dyDescent="0.35">
      <c r="A50" s="34" t="s">
        <v>1150</v>
      </c>
      <c r="B50" s="35">
        <v>229</v>
      </c>
      <c r="C50" s="29" t="s">
        <v>1185</v>
      </c>
      <c r="D50" s="27" t="str">
        <f t="shared" si="29"/>
        <v>INCLUIDO</v>
      </c>
      <c r="E50" s="27" t="s">
        <v>1186</v>
      </c>
      <c r="F50" s="20">
        <f>$F$41*S50</f>
        <v>0</v>
      </c>
      <c r="G50" s="21">
        <f>V50</f>
        <v>0</v>
      </c>
      <c r="H50" s="9">
        <f t="shared" si="39"/>
        <v>0</v>
      </c>
      <c r="I50" s="9" t="s">
        <v>1153</v>
      </c>
      <c r="J50" s="9">
        <f t="shared" si="30"/>
        <v>0</v>
      </c>
      <c r="K50" s="9">
        <f t="shared" si="31"/>
        <v>0</v>
      </c>
      <c r="L50" s="9">
        <f t="shared" si="32"/>
        <v>0</v>
      </c>
      <c r="M50" s="11">
        <f t="shared" si="38"/>
        <v>0.1201</v>
      </c>
      <c r="N50" s="9">
        <f t="shared" si="33"/>
        <v>0</v>
      </c>
      <c r="O50" s="12">
        <f t="shared" si="34"/>
        <v>0</v>
      </c>
      <c r="P50" s="13" t="str">
        <f t="shared" si="2"/>
        <v>NO</v>
      </c>
      <c r="Q50">
        <f t="shared" si="28"/>
        <v>0</v>
      </c>
      <c r="R50">
        <f t="shared" si="35"/>
        <v>1000</v>
      </c>
      <c r="S50">
        <f t="shared" si="36"/>
        <v>0</v>
      </c>
      <c r="T50" s="152">
        <v>0.1</v>
      </c>
      <c r="U50">
        <f>IF(E50="Excluido",0,T41*T50)</f>
        <v>0</v>
      </c>
      <c r="V50" s="153">
        <f>IF(F41=0,0,U50)</f>
        <v>0</v>
      </c>
    </row>
    <row r="51" spans="1:22" ht="15" hidden="1" customHeight="1" thickBot="1" x14ac:dyDescent="0.35">
      <c r="A51" s="34" t="s">
        <v>1150</v>
      </c>
      <c r="B51" s="35"/>
      <c r="C51" s="81">
        <f>$O$12</f>
        <v>0</v>
      </c>
      <c r="D51" s="27" t="str">
        <f t="shared" si="29"/>
        <v>INCLUIDO</v>
      </c>
      <c r="E51" s="27" t="str">
        <f>E50</f>
        <v>Excluido</v>
      </c>
      <c r="F51" s="9">
        <f>(F50*$O$12)*S50</f>
        <v>0</v>
      </c>
      <c r="G51" s="10">
        <f>G50*0.35</f>
        <v>0</v>
      </c>
      <c r="H51" s="9">
        <f t="shared" si="39"/>
        <v>0</v>
      </c>
      <c r="I51" s="9" t="s">
        <v>1153</v>
      </c>
      <c r="J51" s="9">
        <f t="shared" si="30"/>
        <v>0</v>
      </c>
      <c r="K51" s="9">
        <f t="shared" si="31"/>
        <v>0</v>
      </c>
      <c r="L51" s="9">
        <f t="shared" si="32"/>
        <v>0</v>
      </c>
      <c r="M51" s="11">
        <f t="shared" si="38"/>
        <v>0.1201</v>
      </c>
      <c r="N51" s="9">
        <f t="shared" si="33"/>
        <v>0</v>
      </c>
      <c r="O51" s="12">
        <f t="shared" si="34"/>
        <v>0</v>
      </c>
      <c r="P51" s="13" t="str">
        <f t="shared" si="2"/>
        <v>NO</v>
      </c>
      <c r="Q51">
        <f t="shared" si="28"/>
        <v>0</v>
      </c>
      <c r="R51">
        <f t="shared" si="35"/>
        <v>1000</v>
      </c>
      <c r="S51">
        <f t="shared" si="36"/>
        <v>0</v>
      </c>
      <c r="T51" s="143">
        <f>SUM(T42:T50)</f>
        <v>0.99999999999999989</v>
      </c>
      <c r="U51" s="147">
        <f>SUM(U42:U50)</f>
        <v>0.27703377000000001</v>
      </c>
      <c r="V51" s="148">
        <f>SUM(V42:V50)</f>
        <v>0.30781530000000001</v>
      </c>
    </row>
    <row r="52" spans="1:22" ht="15" hidden="1" customHeight="1" x14ac:dyDescent="0.3">
      <c r="A52" s="34" t="s">
        <v>1150</v>
      </c>
      <c r="B52" s="35">
        <v>230</v>
      </c>
      <c r="C52" s="29" t="s">
        <v>1187</v>
      </c>
      <c r="D52" s="27" t="str">
        <f t="shared" si="29"/>
        <v>INCLUIDO</v>
      </c>
      <c r="E52" s="27" t="s">
        <v>1137</v>
      </c>
      <c r="F52" s="43">
        <v>0</v>
      </c>
      <c r="G52" s="21">
        <v>0</v>
      </c>
      <c r="H52" s="9">
        <f t="shared" si="39"/>
        <v>0</v>
      </c>
      <c r="I52" s="9" t="s">
        <v>1153</v>
      </c>
      <c r="J52" s="9">
        <f t="shared" si="30"/>
        <v>0</v>
      </c>
      <c r="K52" s="9">
        <f t="shared" si="31"/>
        <v>0</v>
      </c>
      <c r="L52" s="9">
        <f t="shared" si="32"/>
        <v>0</v>
      </c>
      <c r="M52" s="11">
        <f t="shared" si="38"/>
        <v>0.1201</v>
      </c>
      <c r="N52" s="9">
        <f t="shared" si="33"/>
        <v>0</v>
      </c>
      <c r="O52" s="12">
        <f t="shared" si="34"/>
        <v>0</v>
      </c>
      <c r="P52" s="13" t="str">
        <f t="shared" si="2"/>
        <v>NO</v>
      </c>
      <c r="Q52">
        <f t="shared" si="28"/>
        <v>0</v>
      </c>
      <c r="R52">
        <f t="shared" si="35"/>
        <v>1000</v>
      </c>
      <c r="S52">
        <f t="shared" si="36"/>
        <v>1</v>
      </c>
    </row>
    <row r="53" spans="1:22" ht="15" hidden="1" customHeight="1" x14ac:dyDescent="0.3">
      <c r="A53" s="34" t="s">
        <v>1150</v>
      </c>
      <c r="B53" s="35"/>
      <c r="C53" s="81">
        <f>$O$12</f>
        <v>0</v>
      </c>
      <c r="D53" s="27" t="str">
        <f t="shared" si="29"/>
        <v>INCLUIDO</v>
      </c>
      <c r="E53" s="27" t="str">
        <f>E52</f>
        <v>Sublimite</v>
      </c>
      <c r="F53" s="9">
        <f>(F52*$O$12)*S52</f>
        <v>0</v>
      </c>
      <c r="G53" s="10">
        <f>G52*0.35</f>
        <v>0</v>
      </c>
      <c r="H53" s="9">
        <f t="shared" si="39"/>
        <v>0</v>
      </c>
      <c r="I53" s="9" t="s">
        <v>1153</v>
      </c>
      <c r="J53" s="9">
        <f t="shared" si="30"/>
        <v>0</v>
      </c>
      <c r="K53" s="9">
        <f t="shared" si="31"/>
        <v>0</v>
      </c>
      <c r="L53" s="9">
        <f t="shared" si="32"/>
        <v>0</v>
      </c>
      <c r="M53" s="11">
        <f t="shared" si="38"/>
        <v>0.1201</v>
      </c>
      <c r="N53" s="9">
        <f t="shared" si="33"/>
        <v>0</v>
      </c>
      <c r="O53" s="12">
        <f t="shared" si="34"/>
        <v>0</v>
      </c>
      <c r="P53" s="13" t="str">
        <f t="shared" si="2"/>
        <v>NO</v>
      </c>
      <c r="Q53">
        <f t="shared" si="28"/>
        <v>0</v>
      </c>
      <c r="R53">
        <f t="shared" si="35"/>
        <v>1000</v>
      </c>
      <c r="S53">
        <f t="shared" si="36"/>
        <v>1</v>
      </c>
    </row>
    <row r="54" spans="1:22" ht="15" hidden="1" customHeight="1" x14ac:dyDescent="0.3">
      <c r="A54" s="34" t="s">
        <v>1150</v>
      </c>
      <c r="B54" s="35">
        <v>231</v>
      </c>
      <c r="C54" s="29" t="s">
        <v>1188</v>
      </c>
      <c r="D54" s="27" t="str">
        <f t="shared" si="29"/>
        <v>INCLUIDO</v>
      </c>
      <c r="E54" s="27" t="s">
        <v>1137</v>
      </c>
      <c r="F54" s="43">
        <v>0</v>
      </c>
      <c r="G54" s="21">
        <v>0</v>
      </c>
      <c r="H54" s="9">
        <f t="shared" si="39"/>
        <v>0</v>
      </c>
      <c r="I54" s="9" t="s">
        <v>1153</v>
      </c>
      <c r="J54" s="9">
        <f t="shared" si="30"/>
        <v>0</v>
      </c>
      <c r="K54" s="9">
        <f t="shared" si="31"/>
        <v>0</v>
      </c>
      <c r="L54" s="9">
        <f t="shared" si="32"/>
        <v>0</v>
      </c>
      <c r="M54" s="11">
        <f t="shared" si="38"/>
        <v>0.1201</v>
      </c>
      <c r="N54" s="9">
        <f t="shared" si="33"/>
        <v>0</v>
      </c>
      <c r="O54" s="12">
        <f t="shared" si="34"/>
        <v>0</v>
      </c>
      <c r="P54" s="13" t="str">
        <f t="shared" si="2"/>
        <v>NO</v>
      </c>
      <c r="Q54">
        <f t="shared" si="28"/>
        <v>0</v>
      </c>
      <c r="R54">
        <f t="shared" si="35"/>
        <v>1000</v>
      </c>
      <c r="S54">
        <f t="shared" si="36"/>
        <v>1</v>
      </c>
    </row>
    <row r="55" spans="1:22" ht="15" customHeight="1" x14ac:dyDescent="0.3">
      <c r="A55" s="34" t="s">
        <v>1150</v>
      </c>
      <c r="B55" s="35" t="s">
        <v>1189</v>
      </c>
      <c r="C55" s="29" t="s">
        <v>1190</v>
      </c>
      <c r="D55" s="27" t="str">
        <f t="shared" si="29"/>
        <v>INCLUIDO</v>
      </c>
      <c r="E55" s="27" t="s">
        <v>1137</v>
      </c>
      <c r="F55" s="43">
        <f>'COTIZACIÓN M.N.'!D65</f>
        <v>3000000</v>
      </c>
      <c r="G55" s="21">
        <f>'COTIZACIÓN M.N.'!E65</f>
        <v>0.25</v>
      </c>
      <c r="H55" s="75">
        <f>(((((IF(I55="$ Prima",G55,G55*F55/R55))*$U$9)/365)*$J$15)/3)/'Ubicaciones total (2)'!A366</f>
        <v>0.68869486677705871</v>
      </c>
      <c r="I55" s="9" t="s">
        <v>1153</v>
      </c>
      <c r="J55" s="9">
        <f t="shared" si="30"/>
        <v>1.4531461688995939E-2</v>
      </c>
      <c r="K55" s="9">
        <f t="shared" si="31"/>
        <v>0.11251621255456876</v>
      </c>
      <c r="L55" s="9">
        <f t="shared" si="32"/>
        <v>0.82</v>
      </c>
      <c r="M55" s="11">
        <f t="shared" si="38"/>
        <v>0.1201</v>
      </c>
      <c r="N55" s="9">
        <f t="shared" si="33"/>
        <v>8.2712253499924754E-2</v>
      </c>
      <c r="O55" s="12">
        <f t="shared" si="34"/>
        <v>8.2712253499924754E-2</v>
      </c>
      <c r="P55" s="13" t="str">
        <f t="shared" si="2"/>
        <v>SI</v>
      </c>
      <c r="Q55">
        <f t="shared" si="28"/>
        <v>1</v>
      </c>
      <c r="R55">
        <f t="shared" si="35"/>
        <v>1000</v>
      </c>
      <c r="S55">
        <f t="shared" si="36"/>
        <v>1</v>
      </c>
    </row>
    <row r="56" spans="1:22" ht="15" hidden="1" customHeight="1" x14ac:dyDescent="0.3">
      <c r="A56" s="34" t="s">
        <v>1150</v>
      </c>
      <c r="B56" s="35"/>
      <c r="C56" s="81">
        <f>$O$12</f>
        <v>0</v>
      </c>
      <c r="D56" s="27" t="str">
        <f t="shared" si="29"/>
        <v>INCLUIDO</v>
      </c>
      <c r="E56" s="27" t="str">
        <f>E55</f>
        <v>Sublimite</v>
      </c>
      <c r="F56" s="9">
        <v>0</v>
      </c>
      <c r="G56" s="10">
        <f>G55*0.35</f>
        <v>8.7499999999999994E-2</v>
      </c>
      <c r="H56" s="9">
        <f t="shared" ref="H56" si="41">(IF(I56="$ Prima",G56,G56*F56/R56))*$U$9</f>
        <v>0</v>
      </c>
      <c r="I56" s="9" t="s">
        <v>1153</v>
      </c>
      <c r="J56" s="9">
        <f t="shared" si="30"/>
        <v>0</v>
      </c>
      <c r="K56" s="9">
        <f t="shared" si="31"/>
        <v>0</v>
      </c>
      <c r="L56" s="9">
        <f t="shared" si="32"/>
        <v>0</v>
      </c>
      <c r="M56" s="11">
        <f t="shared" si="38"/>
        <v>0.1201</v>
      </c>
      <c r="N56" s="9">
        <f t="shared" si="33"/>
        <v>0</v>
      </c>
      <c r="O56" s="12">
        <f t="shared" si="34"/>
        <v>0</v>
      </c>
      <c r="P56" s="13" t="str">
        <f t="shared" si="2"/>
        <v>NO</v>
      </c>
      <c r="Q56">
        <f t="shared" si="28"/>
        <v>0</v>
      </c>
      <c r="R56">
        <f t="shared" si="35"/>
        <v>1000</v>
      </c>
      <c r="S56">
        <f t="shared" si="36"/>
        <v>1</v>
      </c>
    </row>
    <row r="57" spans="1:22" ht="15" customHeight="1" x14ac:dyDescent="0.3">
      <c r="A57" s="34" t="s">
        <v>1150</v>
      </c>
      <c r="B57" s="35" t="s">
        <v>1191</v>
      </c>
      <c r="C57" s="29" t="s">
        <v>1192</v>
      </c>
      <c r="D57" s="27" t="str">
        <f t="shared" si="29"/>
        <v>INCLUIDO</v>
      </c>
      <c r="E57" s="27" t="s">
        <v>1137</v>
      </c>
      <c r="F57" s="43">
        <f>'COTIZACIÓN M.N.'!D66</f>
        <v>150000</v>
      </c>
      <c r="G57" s="21">
        <f>'COTIZACIÓN M.N.'!E66</f>
        <v>0.2</v>
      </c>
      <c r="H57" s="75">
        <f>(((IF(I57="$ Prima",G57,G57*F57/R57))*$U$9)/365)*$J$15/'Ubicaciones total (2)'!A366</f>
        <v>8.2643384013247015E-2</v>
      </c>
      <c r="I57" s="9" t="s">
        <v>1153</v>
      </c>
      <c r="J57" s="9">
        <f t="shared" si="30"/>
        <v>1.7437754026795121E-3</v>
      </c>
      <c r="K57" s="9">
        <f t="shared" si="31"/>
        <v>1.3501945506548246E-2</v>
      </c>
      <c r="L57" s="9">
        <f t="shared" si="32"/>
        <v>0.1</v>
      </c>
      <c r="M57" s="11">
        <f t="shared" si="38"/>
        <v>0.1201</v>
      </c>
      <c r="N57" s="9">
        <f t="shared" si="33"/>
        <v>9.9254704199909661E-3</v>
      </c>
      <c r="O57" s="12">
        <f t="shared" si="34"/>
        <v>9.9254704199909661E-3</v>
      </c>
      <c r="P57" s="13" t="str">
        <f t="shared" si="2"/>
        <v>SI</v>
      </c>
      <c r="Q57">
        <f t="shared" si="28"/>
        <v>1</v>
      </c>
      <c r="R57">
        <f t="shared" si="35"/>
        <v>1000</v>
      </c>
      <c r="S57">
        <f t="shared" si="36"/>
        <v>1</v>
      </c>
    </row>
    <row r="58" spans="1:22" ht="15" hidden="1" customHeight="1" x14ac:dyDescent="0.3">
      <c r="A58" s="34" t="s">
        <v>1150</v>
      </c>
      <c r="B58" s="35"/>
      <c r="C58" s="81">
        <f>$O$12</f>
        <v>0</v>
      </c>
      <c r="D58" s="27" t="str">
        <f t="shared" si="29"/>
        <v>INCLUIDO</v>
      </c>
      <c r="E58" s="27" t="str">
        <f>E57</f>
        <v>Sublimite</v>
      </c>
      <c r="F58" s="9">
        <v>0</v>
      </c>
      <c r="G58" s="10">
        <f>G57*0.35</f>
        <v>6.9999999999999993E-2</v>
      </c>
      <c r="H58" s="9">
        <f t="shared" si="39"/>
        <v>0</v>
      </c>
      <c r="I58" s="9" t="s">
        <v>1153</v>
      </c>
      <c r="J58" s="9">
        <f t="shared" si="30"/>
        <v>0</v>
      </c>
      <c r="K58" s="9">
        <f t="shared" si="31"/>
        <v>0</v>
      </c>
      <c r="L58" s="9">
        <f t="shared" si="32"/>
        <v>0</v>
      </c>
      <c r="M58" s="11">
        <f t="shared" si="38"/>
        <v>0.1201</v>
      </c>
      <c r="N58" s="9">
        <f t="shared" si="33"/>
        <v>0</v>
      </c>
      <c r="O58" s="12">
        <f t="shared" si="34"/>
        <v>0</v>
      </c>
      <c r="P58" s="13" t="str">
        <f t="shared" si="2"/>
        <v>NO</v>
      </c>
      <c r="Q58">
        <f t="shared" si="28"/>
        <v>0</v>
      </c>
      <c r="R58">
        <f t="shared" si="35"/>
        <v>1000</v>
      </c>
      <c r="S58">
        <f t="shared" si="36"/>
        <v>1</v>
      </c>
    </row>
    <row r="59" spans="1:22" ht="15" customHeight="1" x14ac:dyDescent="0.3">
      <c r="A59" s="34" t="s">
        <v>1150</v>
      </c>
      <c r="B59" s="35" t="s">
        <v>1193</v>
      </c>
      <c r="C59" s="29" t="s">
        <v>1159</v>
      </c>
      <c r="D59" s="27" t="str">
        <f t="shared" si="29"/>
        <v>INCLUIDO</v>
      </c>
      <c r="E59" s="27" t="s">
        <v>1137</v>
      </c>
      <c r="F59" s="43">
        <f>'COTIZACIÓN M.N.'!D67</f>
        <v>5000000</v>
      </c>
      <c r="G59" s="49">
        <f>G26</f>
        <v>1.1000000000000001E-3</v>
      </c>
      <c r="H59" s="75">
        <f>(((IF(I59="$ Prima",G59,G59*F59/R59))*$U$9)*2)/'Ubicaciones total (2)'!A366</f>
        <v>3.021978021978022E-2</v>
      </c>
      <c r="I59" s="9" t="s">
        <v>1153</v>
      </c>
      <c r="J59" s="9">
        <f t="shared" si="30"/>
        <v>6.3763736263736266E-4</v>
      </c>
      <c r="K59" s="9">
        <f t="shared" si="31"/>
        <v>4.9371868131868127E-3</v>
      </c>
      <c r="L59" s="9">
        <f t="shared" si="32"/>
        <v>0.04</v>
      </c>
      <c r="M59" s="11">
        <f t="shared" si="38"/>
        <v>0.1201</v>
      </c>
      <c r="N59" s="9">
        <f t="shared" si="33"/>
        <v>3.6293956043956044E-3</v>
      </c>
      <c r="O59" s="12">
        <f t="shared" si="34"/>
        <v>3.6293956043956044E-3</v>
      </c>
      <c r="P59" s="13" t="str">
        <f t="shared" si="2"/>
        <v>SI</v>
      </c>
      <c r="Q59">
        <f t="shared" si="28"/>
        <v>1</v>
      </c>
      <c r="R59">
        <f t="shared" si="35"/>
        <v>1000</v>
      </c>
      <c r="S59">
        <f t="shared" si="36"/>
        <v>1</v>
      </c>
    </row>
    <row r="60" spans="1:22" ht="15" customHeight="1" x14ac:dyDescent="0.3">
      <c r="A60" s="34" t="s">
        <v>1150</v>
      </c>
      <c r="B60" s="35" t="s">
        <v>1194</v>
      </c>
      <c r="C60" s="29" t="s">
        <v>1161</v>
      </c>
      <c r="D60" s="27" t="str">
        <f t="shared" si="29"/>
        <v>INCLUIDO</v>
      </c>
      <c r="E60" s="27" t="s">
        <v>1137</v>
      </c>
      <c r="F60" s="43">
        <f>'COTIZACIÓN M.N.'!D68</f>
        <v>5000000</v>
      </c>
      <c r="G60" s="49">
        <f>G59</f>
        <v>1.1000000000000001E-3</v>
      </c>
      <c r="H60" s="75">
        <f>(((IF(I60="$ Prima",G60,G60*F60/R60))*$U$9)*2)/'Ubicaciones total (2)'!A366</f>
        <v>3.021978021978022E-2</v>
      </c>
      <c r="I60" s="9" t="s">
        <v>1153</v>
      </c>
      <c r="J60" s="9">
        <f t="shared" si="30"/>
        <v>6.3763736263736266E-4</v>
      </c>
      <c r="K60" s="9">
        <f t="shared" si="31"/>
        <v>4.9371868131868127E-3</v>
      </c>
      <c r="L60" s="9">
        <f t="shared" si="32"/>
        <v>0.04</v>
      </c>
      <c r="M60" s="11">
        <f t="shared" si="38"/>
        <v>0.1201</v>
      </c>
      <c r="N60" s="9">
        <f t="shared" si="33"/>
        <v>3.6293956043956044E-3</v>
      </c>
      <c r="O60" s="12">
        <f t="shared" si="34"/>
        <v>3.6293956043956044E-3</v>
      </c>
      <c r="P60" s="13" t="str">
        <f t="shared" si="2"/>
        <v>SI</v>
      </c>
      <c r="Q60">
        <f t="shared" si="28"/>
        <v>1</v>
      </c>
      <c r="R60">
        <f t="shared" si="35"/>
        <v>1000</v>
      </c>
      <c r="S60">
        <f t="shared" si="36"/>
        <v>1</v>
      </c>
    </row>
    <row r="61" spans="1:22" x14ac:dyDescent="0.3">
      <c r="A61" s="82" t="s">
        <v>1162</v>
      </c>
      <c r="B61" s="33">
        <v>2</v>
      </c>
      <c r="C61" s="28" t="s">
        <v>1195</v>
      </c>
      <c r="D61" s="28" t="str">
        <f>$D$17</f>
        <v>INCLUIDO</v>
      </c>
      <c r="E61" s="28"/>
      <c r="F61" s="28"/>
      <c r="G61" s="28"/>
      <c r="H61" s="28"/>
      <c r="I61" s="28"/>
      <c r="J61" s="28"/>
      <c r="K61" s="28"/>
      <c r="L61" s="28"/>
      <c r="M61" s="68">
        <v>0.05</v>
      </c>
      <c r="N61" s="28"/>
      <c r="O61" s="83"/>
      <c r="P61" s="13" t="str">
        <f t="shared" si="2"/>
        <v>SI</v>
      </c>
      <c r="Q61" s="47">
        <f>IF(D61="INCLUIDO",IF(F62&lt;&gt;0,1,0),0)</f>
        <v>1</v>
      </c>
      <c r="S61">
        <f t="shared" si="36"/>
        <v>1</v>
      </c>
    </row>
    <row r="62" spans="1:22" x14ac:dyDescent="0.3">
      <c r="A62" s="31" t="s">
        <v>1164</v>
      </c>
      <c r="B62" s="32" t="s">
        <v>1196</v>
      </c>
      <c r="C62" s="27" t="s">
        <v>1166</v>
      </c>
      <c r="D62" s="27" t="str">
        <f t="shared" si="29"/>
        <v>INCLUIDO</v>
      </c>
      <c r="E62" s="27" t="s">
        <v>1137</v>
      </c>
      <c r="F62" s="20">
        <f>$F$41*S62</f>
        <v>2210134.96</v>
      </c>
      <c r="G62" s="49">
        <f>'COTIZACIÓN M.N.'!E37</f>
        <v>0.25</v>
      </c>
      <c r="H62" s="75">
        <f>((((IF(I62="$ Prima",G62,G62*F62/R62))*$U$9)/365)*$J$15)</f>
        <v>554.04753106849307</v>
      </c>
      <c r="I62" s="9" t="s">
        <v>1153</v>
      </c>
      <c r="J62" s="9">
        <f t="shared" ref="J62:J63" si="42">H62*$U$7</f>
        <v>11.690402905545204</v>
      </c>
      <c r="K62" s="9">
        <f t="shared" ref="K62:K63" si="43">(H62+J62)*$K$15</f>
        <v>90.518069435846115</v>
      </c>
      <c r="L62" s="9">
        <f t="shared" ref="L62:L63" si="44">ROUND(H62+J62+K62,2)</f>
        <v>656.26</v>
      </c>
      <c r="M62" s="11">
        <v>0.05</v>
      </c>
      <c r="N62" s="9">
        <f t="shared" ref="N62:N63" si="45">H62*M62</f>
        <v>27.702376553424656</v>
      </c>
      <c r="O62" s="12">
        <f t="shared" ref="O62:O63" si="46">N62</f>
        <v>27.702376553424656</v>
      </c>
      <c r="P62" s="13" t="str">
        <f t="shared" si="2"/>
        <v>SI</v>
      </c>
      <c r="Q62">
        <f>IF(D62="INCLUIDO",IF(F62&lt;&gt;0,1,0),0)</f>
        <v>1</v>
      </c>
      <c r="R62">
        <f>IF(I62="%o Al Millar",1000,IF(I62="% Al Porciento",100,IF(I62="$ Prima",G62)))</f>
        <v>1000</v>
      </c>
      <c r="S62">
        <f t="shared" si="36"/>
        <v>1</v>
      </c>
    </row>
    <row r="63" spans="1:22" hidden="1" x14ac:dyDescent="0.3">
      <c r="A63" s="31" t="s">
        <v>1164</v>
      </c>
      <c r="B63" s="32"/>
      <c r="C63" s="81">
        <f>$O$12</f>
        <v>0</v>
      </c>
      <c r="D63" s="27" t="str">
        <f t="shared" si="29"/>
        <v>INCLUIDO</v>
      </c>
      <c r="E63" s="27" t="str">
        <f>E62</f>
        <v>Sublimite</v>
      </c>
      <c r="F63" s="9">
        <f>(F62*$O$12)*S62</f>
        <v>0</v>
      </c>
      <c r="G63" s="10">
        <f>G62*35%</f>
        <v>8.7499999999999994E-2</v>
      </c>
      <c r="H63" s="9">
        <f>((IF(I63="$ Prima",G63,G63*F63/R63))*$U$9)</f>
        <v>0</v>
      </c>
      <c r="I63" s="9" t="s">
        <v>1153</v>
      </c>
      <c r="J63" s="9">
        <f t="shared" si="42"/>
        <v>0</v>
      </c>
      <c r="K63" s="9">
        <f t="shared" si="43"/>
        <v>0</v>
      </c>
      <c r="L63" s="9">
        <f t="shared" si="44"/>
        <v>0</v>
      </c>
      <c r="M63" s="11">
        <f>$M$61</f>
        <v>0.05</v>
      </c>
      <c r="N63" s="9">
        <f t="shared" si="45"/>
        <v>0</v>
      </c>
      <c r="O63" s="12">
        <f t="shared" si="46"/>
        <v>0</v>
      </c>
      <c r="P63" s="13" t="str">
        <f t="shared" si="2"/>
        <v>NO</v>
      </c>
      <c r="Q63">
        <f>IF(D63="INCLUIDO",IF(F63&lt;&gt;0,1,0),0)</f>
        <v>0</v>
      </c>
      <c r="R63">
        <f>IF(I63="%o Al Millar",1000,IF(I63="% Al Porciento",100,IF(I63="$ Prima",G63)))</f>
        <v>1000</v>
      </c>
      <c r="S63">
        <f t="shared" si="36"/>
        <v>1</v>
      </c>
    </row>
    <row r="64" spans="1:22" x14ac:dyDescent="0.3">
      <c r="A64" s="82">
        <v>904</v>
      </c>
      <c r="B64" s="33">
        <v>2</v>
      </c>
      <c r="C64" s="28" t="s">
        <v>1197</v>
      </c>
      <c r="D64" s="28" t="str">
        <f>$D$17</f>
        <v>INCLUIDO</v>
      </c>
      <c r="E64" s="28"/>
      <c r="F64" s="28"/>
      <c r="G64" s="28"/>
      <c r="H64" s="28"/>
      <c r="I64" s="28"/>
      <c r="J64" s="28"/>
      <c r="K64" s="28"/>
      <c r="L64" s="28"/>
      <c r="M64" s="68">
        <v>0.05</v>
      </c>
      <c r="N64" s="28"/>
      <c r="O64" s="83"/>
      <c r="P64" s="13" t="str">
        <f t="shared" si="2"/>
        <v>SI</v>
      </c>
      <c r="Q64" s="47">
        <f>IF(D64="INCLUIDO",IF(F65&lt;&gt;0,1,0),0)</f>
        <v>1</v>
      </c>
      <c r="S64">
        <f t="shared" si="36"/>
        <v>1</v>
      </c>
    </row>
    <row r="65" spans="1:19" x14ac:dyDescent="0.3">
      <c r="A65" s="31" t="s">
        <v>1168</v>
      </c>
      <c r="B65" s="36">
        <v>63</v>
      </c>
      <c r="C65" s="37" t="s">
        <v>1170</v>
      </c>
      <c r="D65" s="27" t="str">
        <f t="shared" si="29"/>
        <v>INCLUIDO</v>
      </c>
      <c r="E65" s="27" t="s">
        <v>1137</v>
      </c>
      <c r="F65" s="20">
        <f>F41</f>
        <v>2210134.96</v>
      </c>
      <c r="G65" s="10">
        <f>'COTIZACIÓN M.N.'!E39</f>
        <v>0.2</v>
      </c>
      <c r="H65" s="75">
        <f>((((IF(I65="$ Prima",G65,G65*F65/R65))*$U$9)*O14)/365)*$J$15</f>
        <v>443.23802485479456</v>
      </c>
      <c r="I65" s="9" t="s">
        <v>1153</v>
      </c>
      <c r="J65" s="9">
        <f t="shared" ref="J65:J66" si="47">H65*$U$7</f>
        <v>9.352322324436166</v>
      </c>
      <c r="K65" s="9">
        <f t="shared" ref="K65:K66" si="48">(H65+J65)*$K$15</f>
        <v>72.414455548676912</v>
      </c>
      <c r="L65" s="9">
        <f t="shared" ref="L65:L66" si="49">ROUND(H65+J65+K65,2)</f>
        <v>525</v>
      </c>
      <c r="M65" s="11">
        <f>$M$64</f>
        <v>0.05</v>
      </c>
      <c r="N65" s="9">
        <f t="shared" ref="N65:N66" si="50">H65*M65</f>
        <v>22.161901242739731</v>
      </c>
      <c r="O65" s="12">
        <f t="shared" ref="O65:O66" si="51">N65</f>
        <v>22.161901242739731</v>
      </c>
      <c r="P65" s="13" t="str">
        <f t="shared" si="2"/>
        <v>SI</v>
      </c>
      <c r="Q65">
        <f>IF(D65="INCLUIDO",IF(F65&lt;&gt;0,1,0),0)</f>
        <v>1</v>
      </c>
      <c r="R65">
        <f>IF(I65="%o Al Millar",1000,IF(I65="% Al Porciento",100,IF(I65="$ Prima",G65)))</f>
        <v>1000</v>
      </c>
      <c r="S65">
        <f t="shared" si="36"/>
        <v>1</v>
      </c>
    </row>
    <row r="66" spans="1:19" hidden="1" x14ac:dyDescent="0.3">
      <c r="A66" s="31" t="s">
        <v>1168</v>
      </c>
      <c r="B66" s="32"/>
      <c r="C66" s="81">
        <f>$O$12</f>
        <v>0</v>
      </c>
      <c r="D66" s="27" t="str">
        <f t="shared" si="29"/>
        <v>INCLUIDO</v>
      </c>
      <c r="E66" s="27" t="str">
        <f>E65</f>
        <v>Sublimite</v>
      </c>
      <c r="F66" s="9">
        <f>(F65*$O$12)*S65</f>
        <v>0</v>
      </c>
      <c r="G66" s="10">
        <f>G65*0.35</f>
        <v>6.9999999999999993E-2</v>
      </c>
      <c r="H66" s="9">
        <f>((IF(I66="$ Prima",G66,G66*F66/R66))*$U$9)*O14</f>
        <v>0</v>
      </c>
      <c r="I66" s="9" t="s">
        <v>1153</v>
      </c>
      <c r="J66" s="9">
        <f t="shared" si="47"/>
        <v>0</v>
      </c>
      <c r="K66" s="9">
        <f t="shared" si="48"/>
        <v>0</v>
      </c>
      <c r="L66" s="9">
        <f t="shared" si="49"/>
        <v>0</v>
      </c>
      <c r="M66" s="11">
        <f>$M$64</f>
        <v>0.05</v>
      </c>
      <c r="N66" s="9">
        <f t="shared" si="50"/>
        <v>0</v>
      </c>
      <c r="O66" s="12">
        <f t="shared" si="51"/>
        <v>0</v>
      </c>
      <c r="P66" s="13" t="str">
        <f t="shared" si="2"/>
        <v>NO</v>
      </c>
      <c r="Q66">
        <f>IF(D66="INCLUIDO",IF(F66&lt;&gt;0,1,0),0)</f>
        <v>0</v>
      </c>
      <c r="R66">
        <f>IF(I66="%o Al Millar",1000,IF(I66="% Al Porciento",100,IF(I66="$ Prima",G66)))</f>
        <v>1000</v>
      </c>
      <c r="S66">
        <f t="shared" si="36"/>
        <v>1</v>
      </c>
    </row>
    <row r="67" spans="1:19" x14ac:dyDescent="0.3">
      <c r="A67" s="82">
        <v>902</v>
      </c>
      <c r="B67" s="33">
        <v>2</v>
      </c>
      <c r="C67" s="28" t="s">
        <v>1198</v>
      </c>
      <c r="D67" s="28" t="str">
        <f>$D$17</f>
        <v>INCLUIDO</v>
      </c>
      <c r="E67" s="28"/>
      <c r="F67" s="42">
        <f>F41*M12</f>
        <v>442026.99200000003</v>
      </c>
      <c r="G67" s="28"/>
      <c r="H67" s="28"/>
      <c r="I67" s="28"/>
      <c r="J67" s="28"/>
      <c r="K67" s="28"/>
      <c r="L67" s="28"/>
      <c r="M67" s="68">
        <f>M41</f>
        <v>0.1201</v>
      </c>
      <c r="N67" s="28"/>
      <c r="O67" s="83"/>
      <c r="P67" s="13" t="str">
        <f t="shared" si="2"/>
        <v>SI</v>
      </c>
      <c r="Q67" s="47">
        <f>IF(D67="INCLUIDO",IF(F68&lt;&gt;0,1,0),0)</f>
        <v>1</v>
      </c>
      <c r="S67">
        <f t="shared" si="36"/>
        <v>1</v>
      </c>
    </row>
    <row r="68" spans="1:19" x14ac:dyDescent="0.3">
      <c r="A68" s="31" t="s">
        <v>1150</v>
      </c>
      <c r="B68" s="36">
        <v>27</v>
      </c>
      <c r="C68" s="27" t="s">
        <v>1173</v>
      </c>
      <c r="D68" s="27" t="str">
        <f t="shared" si="29"/>
        <v>INCLUIDO</v>
      </c>
      <c r="E68" s="27" t="s">
        <v>1137</v>
      </c>
      <c r="F68" s="9">
        <f>F67*S68</f>
        <v>442026.99200000003</v>
      </c>
      <c r="G68" s="10">
        <f>'COTIZACIÓN M.N.'!E63*75%</f>
        <v>4.1836147500000004E-2</v>
      </c>
      <c r="H68" s="75">
        <f>(((IF(I68="$ Prima",G68,G68*F68/R68))*$U$9)/365)*$J$15</f>
        <v>18.543371385433854</v>
      </c>
      <c r="I68" s="9" t="s">
        <v>1153</v>
      </c>
      <c r="J68" s="9">
        <f>H68*$U$7</f>
        <v>0.39126513623265435</v>
      </c>
      <c r="K68" s="9">
        <f>(H68+J68)*$K$15</f>
        <v>3.0295418434666415</v>
      </c>
      <c r="L68" s="9">
        <f>ROUND(H68+J68+K68,2)</f>
        <v>21.96</v>
      </c>
      <c r="M68" s="11">
        <f>M67</f>
        <v>0.1201</v>
      </c>
      <c r="N68" s="9">
        <f>H68*M68</f>
        <v>2.2270589033906059</v>
      </c>
      <c r="O68" s="12">
        <f>N68</f>
        <v>2.2270589033906059</v>
      </c>
      <c r="P68" s="13" t="str">
        <f t="shared" si="2"/>
        <v>SI</v>
      </c>
      <c r="Q68">
        <f>IF(D68="INCLUIDO",IF(F68&lt;&gt;0,1,0),0)</f>
        <v>1</v>
      </c>
      <c r="R68">
        <f>IF(I68="%o Al Millar",1000,IF(I68="% Al Porciento",100,IF(I68="$ Prima",G68)))</f>
        <v>1000</v>
      </c>
      <c r="S68">
        <f t="shared" si="36"/>
        <v>1</v>
      </c>
    </row>
    <row r="69" spans="1:19" x14ac:dyDescent="0.3">
      <c r="A69" s="82" t="s">
        <v>1162</v>
      </c>
      <c r="B69" s="33">
        <v>2</v>
      </c>
      <c r="C69" s="28" t="s">
        <v>1195</v>
      </c>
      <c r="D69" s="28" t="str">
        <f>$D$17</f>
        <v>INCLUIDO</v>
      </c>
      <c r="E69" s="28"/>
      <c r="F69" s="28"/>
      <c r="G69" s="28"/>
      <c r="H69" s="28"/>
      <c r="I69" s="28"/>
      <c r="J69" s="28"/>
      <c r="K69" s="28"/>
      <c r="L69" s="28"/>
      <c r="M69" s="68">
        <f>M61</f>
        <v>0.05</v>
      </c>
      <c r="N69" s="28"/>
      <c r="O69" s="83"/>
      <c r="P69" s="13" t="str">
        <f t="shared" si="2"/>
        <v>SI</v>
      </c>
      <c r="Q69" s="47">
        <f>IF(D69="INCLUIDO",IF(F70&lt;&gt;0,1,0),0)</f>
        <v>1</v>
      </c>
      <c r="S69">
        <f t="shared" si="36"/>
        <v>1</v>
      </c>
    </row>
    <row r="70" spans="1:19" ht="20.399999999999999" x14ac:dyDescent="0.3">
      <c r="A70" s="31" t="s">
        <v>1164</v>
      </c>
      <c r="B70" s="36">
        <v>44</v>
      </c>
      <c r="C70" s="27" t="s">
        <v>1175</v>
      </c>
      <c r="D70" s="27" t="str">
        <f t="shared" si="29"/>
        <v>INCLUIDO</v>
      </c>
      <c r="E70" s="27" t="s">
        <v>1137</v>
      </c>
      <c r="F70" s="9">
        <f>F67</f>
        <v>442026.99200000003</v>
      </c>
      <c r="G70" s="10">
        <f>'COTIZACIÓN M.N.'!E63*25%</f>
        <v>1.3945382500000001E-2</v>
      </c>
      <c r="H70" s="75">
        <f>(((IF(I70="$ Prima",G70,G70*F70/R70))*$U$9)/365)*$J$15</f>
        <v>6.1811237951446172</v>
      </c>
      <c r="I70" s="9" t="s">
        <v>1153</v>
      </c>
      <c r="J70" s="9">
        <f>H70*$U$7</f>
        <v>0.13042171207755143</v>
      </c>
      <c r="K70" s="9">
        <f>(H70+J70)*$K$15</f>
        <v>1.009847281155547</v>
      </c>
      <c r="L70" s="9">
        <f>ROUND(H70+J70+K70,2)</f>
        <v>7.32</v>
      </c>
      <c r="M70" s="11">
        <f>M69</f>
        <v>0.05</v>
      </c>
      <c r="N70" s="9">
        <f>H70*M70</f>
        <v>0.30905618975723087</v>
      </c>
      <c r="O70" s="12">
        <f>N70</f>
        <v>0.30905618975723087</v>
      </c>
      <c r="P70" s="13" t="str">
        <f t="shared" si="2"/>
        <v>SI</v>
      </c>
      <c r="Q70">
        <f>IF(D70="INCLUIDO",IF(F70&lt;&gt;0,1,0),0)</f>
        <v>1</v>
      </c>
      <c r="R70">
        <f>IF(I70="%o Al Millar",1000,IF(I70="% Al Porciento",100,IF(I70="$ Prima",G70)))</f>
        <v>1000</v>
      </c>
      <c r="S70">
        <f t="shared" si="36"/>
        <v>1</v>
      </c>
    </row>
    <row r="71" spans="1:19" x14ac:dyDescent="0.3">
      <c r="A71" s="82">
        <v>904</v>
      </c>
      <c r="B71" s="33">
        <v>2</v>
      </c>
      <c r="C71" s="28" t="s">
        <v>1197</v>
      </c>
      <c r="D71" s="28" t="str">
        <f>$D$17</f>
        <v>INCLUIDO</v>
      </c>
      <c r="E71" s="28"/>
      <c r="F71" s="28"/>
      <c r="G71" s="28"/>
      <c r="H71" s="28"/>
      <c r="I71" s="28"/>
      <c r="J71" s="28"/>
      <c r="K71" s="28"/>
      <c r="L71" s="28"/>
      <c r="M71" s="68">
        <f>M64</f>
        <v>0.05</v>
      </c>
      <c r="N71" s="28"/>
      <c r="O71" s="83"/>
      <c r="P71" s="13" t="str">
        <f t="shared" si="2"/>
        <v>SI</v>
      </c>
      <c r="Q71" s="47">
        <f>IF(D71="INCLUIDO",IF(F72&lt;&gt;0,1,0),0)</f>
        <v>1</v>
      </c>
      <c r="S71">
        <f t="shared" si="36"/>
        <v>1</v>
      </c>
    </row>
    <row r="72" spans="1:19" ht="20.399999999999999" x14ac:dyDescent="0.3">
      <c r="A72" s="31" t="s">
        <v>1168</v>
      </c>
      <c r="B72" s="36">
        <v>62</v>
      </c>
      <c r="C72" s="27" t="s">
        <v>1199</v>
      </c>
      <c r="D72" s="27" t="str">
        <f t="shared" si="29"/>
        <v>INCLUIDO</v>
      </c>
      <c r="E72" s="27" t="s">
        <v>1137</v>
      </c>
      <c r="F72" s="9">
        <f>F68*S72*O14</f>
        <v>442026.99200000003</v>
      </c>
      <c r="G72" s="10">
        <f>'COTIZACIÓN M.N.'!E64</f>
        <v>2.0000000000000004E-2</v>
      </c>
      <c r="H72" s="75">
        <f>(((IF(I72="$ Prima",G72,G72*F72/R72))*$U$9)/365)*$J$15</f>
        <v>8.8647604970958938</v>
      </c>
      <c r="I72" s="9" t="s">
        <v>1153</v>
      </c>
      <c r="J72" s="9">
        <f>H72*$U$7</f>
        <v>0.18704644648872337</v>
      </c>
      <c r="K72" s="9">
        <f>(H72+J72)*$K$15</f>
        <v>1.4482891109735387</v>
      </c>
      <c r="L72" s="9">
        <f>ROUND(H72+J72+K72,2)</f>
        <v>10.5</v>
      </c>
      <c r="M72" s="11">
        <f>M71</f>
        <v>0.05</v>
      </c>
      <c r="N72" s="9">
        <f>H72*M72</f>
        <v>0.44323802485479469</v>
      </c>
      <c r="O72" s="12">
        <f>N72</f>
        <v>0.44323802485479469</v>
      </c>
      <c r="P72" s="13" t="str">
        <f t="shared" si="2"/>
        <v>SI</v>
      </c>
      <c r="Q72">
        <f>IF(D72="INCLUIDO",IF(F72&lt;&gt;0,1,0),0)</f>
        <v>1</v>
      </c>
      <c r="R72">
        <f>IF(I72="%o Al Millar",1000,IF(I72="% Al Porciento",100,IF(I72="$ Prima",G72)))</f>
        <v>1000</v>
      </c>
      <c r="S72">
        <f t="shared" si="36"/>
        <v>1</v>
      </c>
    </row>
    <row r="73" spans="1:19" ht="15" customHeight="1" x14ac:dyDescent="0.3">
      <c r="A73" s="82" t="s">
        <v>1162</v>
      </c>
      <c r="B73" s="33">
        <v>2</v>
      </c>
      <c r="C73" s="28" t="s">
        <v>1195</v>
      </c>
      <c r="D73" s="28" t="str">
        <f>$D$17</f>
        <v>INCLUIDO</v>
      </c>
      <c r="E73" s="28"/>
      <c r="F73" s="28"/>
      <c r="G73" s="28"/>
      <c r="H73" s="28"/>
      <c r="I73" s="28"/>
      <c r="J73" s="28"/>
      <c r="K73" s="28"/>
      <c r="L73" s="28"/>
      <c r="M73" s="68">
        <f>M61</f>
        <v>0.05</v>
      </c>
      <c r="N73" s="28"/>
      <c r="O73" s="83"/>
      <c r="P73" s="13" t="str">
        <f t="shared" si="2"/>
        <v>SI</v>
      </c>
      <c r="Q73" s="47">
        <f>IF(D73="INCLUIDO",IF(F74&lt;&gt;0,1,0),0)</f>
        <v>1</v>
      </c>
      <c r="S73">
        <f t="shared" si="36"/>
        <v>1</v>
      </c>
    </row>
    <row r="74" spans="1:19" ht="22.5" customHeight="1" x14ac:dyDescent="0.3">
      <c r="A74" s="34" t="s">
        <v>1164</v>
      </c>
      <c r="B74" s="36" t="s">
        <v>1200</v>
      </c>
      <c r="C74" s="29" t="s">
        <v>1201</v>
      </c>
      <c r="D74" s="27" t="str">
        <f t="shared" si="29"/>
        <v>INCLUIDO</v>
      </c>
      <c r="E74" s="27" t="s">
        <v>1137</v>
      </c>
      <c r="F74" s="43">
        <f>F55</f>
        <v>3000000</v>
      </c>
      <c r="G74" s="21">
        <v>0</v>
      </c>
      <c r="H74" s="9">
        <f>H55</f>
        <v>0.68869486677705871</v>
      </c>
      <c r="I74" s="9" t="s">
        <v>1153</v>
      </c>
      <c r="J74" s="9">
        <f>H74*$U$7</f>
        <v>1.4531461688995939E-2</v>
      </c>
      <c r="K74" s="9">
        <f>(H74+J74)*$K$15</f>
        <v>0.11251621255456876</v>
      </c>
      <c r="L74" s="9">
        <f>ROUND(H74+J74+K74,2)</f>
        <v>0.82</v>
      </c>
      <c r="M74" s="11">
        <f>M73</f>
        <v>0.05</v>
      </c>
      <c r="N74" s="9">
        <f>H74*M74</f>
        <v>3.4434743338852936E-2</v>
      </c>
      <c r="O74" s="12">
        <f>N74</f>
        <v>3.4434743338852936E-2</v>
      </c>
      <c r="P74" s="13" t="str">
        <f t="shared" si="2"/>
        <v>SI</v>
      </c>
      <c r="Q74">
        <f>IF(D74="INCLUIDO",IF(F74&lt;&gt;0,1,0),0)</f>
        <v>1</v>
      </c>
      <c r="R74">
        <f>IF(I74="%o Al Millar",1000,IF(I74="% Al Porciento",100,IF(I74="$ Prima",G74)))</f>
        <v>1000</v>
      </c>
      <c r="S74">
        <f t="shared" si="36"/>
        <v>1</v>
      </c>
    </row>
    <row r="75" spans="1:19" ht="15" customHeight="1" x14ac:dyDescent="0.3">
      <c r="A75" s="82">
        <v>904</v>
      </c>
      <c r="B75" s="33">
        <v>2</v>
      </c>
      <c r="C75" s="28" t="s">
        <v>1197</v>
      </c>
      <c r="D75" s="28" t="str">
        <f>$D$17</f>
        <v>INCLUIDO</v>
      </c>
      <c r="E75" s="28"/>
      <c r="F75" s="28"/>
      <c r="G75" s="28"/>
      <c r="H75" s="28"/>
      <c r="I75" s="28"/>
      <c r="J75" s="28"/>
      <c r="K75" s="28"/>
      <c r="L75" s="28"/>
      <c r="M75" s="68">
        <f>M64</f>
        <v>0.05</v>
      </c>
      <c r="N75" s="28"/>
      <c r="O75" s="83"/>
      <c r="P75" s="13" t="str">
        <f t="shared" si="2"/>
        <v>SI</v>
      </c>
      <c r="Q75" s="47">
        <f>IF(D75="INCLUIDO",IF(F76&lt;&gt;0,1,0),0)</f>
        <v>1</v>
      </c>
      <c r="S75">
        <f t="shared" si="36"/>
        <v>1</v>
      </c>
    </row>
    <row r="76" spans="1:19" ht="22.5" customHeight="1" x14ac:dyDescent="0.3">
      <c r="A76" s="34" t="s">
        <v>1168</v>
      </c>
      <c r="B76" s="36">
        <v>58</v>
      </c>
      <c r="C76" s="29" t="s">
        <v>1202</v>
      </c>
      <c r="D76" s="27" t="str">
        <f t="shared" si="29"/>
        <v>INCLUIDO</v>
      </c>
      <c r="E76" s="27" t="s">
        <v>1137</v>
      </c>
      <c r="F76" s="43">
        <f>F74</f>
        <v>3000000</v>
      </c>
      <c r="G76" s="10">
        <v>0</v>
      </c>
      <c r="H76" s="9">
        <f>H74</f>
        <v>0.68869486677705871</v>
      </c>
      <c r="I76" s="9" t="s">
        <v>1153</v>
      </c>
      <c r="J76" s="9">
        <f>H76*$U$7</f>
        <v>1.4531461688995939E-2</v>
      </c>
      <c r="K76" s="9">
        <f>(H76+J76)*$K$15</f>
        <v>0.11251621255456876</v>
      </c>
      <c r="L76" s="9">
        <f>ROUND(H76+J76+K76,2)</f>
        <v>0.82</v>
      </c>
      <c r="M76" s="11">
        <f>M75</f>
        <v>0.05</v>
      </c>
      <c r="N76" s="9">
        <f>H76*M76</f>
        <v>3.4434743338852936E-2</v>
      </c>
      <c r="O76" s="12">
        <f>N76</f>
        <v>3.4434743338852936E-2</v>
      </c>
      <c r="P76" s="13" t="str">
        <f t="shared" si="2"/>
        <v>SI</v>
      </c>
      <c r="Q76">
        <f>IF(D76="INCLUIDO",IF(F76&lt;&gt;0,1,0),0)</f>
        <v>1</v>
      </c>
      <c r="R76">
        <f>IF(I76="%o Al Millar",1000,IF(I76="% Al Porciento",100,IF(I76="$ Prima",G76)))</f>
        <v>1000</v>
      </c>
      <c r="S76">
        <f t="shared" si="36"/>
        <v>1</v>
      </c>
    </row>
    <row r="77" spans="1:19" s="18" customFormat="1" x14ac:dyDescent="0.3">
      <c r="A77" s="24"/>
      <c r="B77" s="26"/>
      <c r="C77" s="15" t="s">
        <v>1177</v>
      </c>
      <c r="D77" s="38" t="str">
        <f>D76</f>
        <v>INCLUIDO</v>
      </c>
      <c r="E77" s="38"/>
      <c r="F77" s="16">
        <f>SUMIF(E42:E76,"Adicional",F42:F76)</f>
        <v>0</v>
      </c>
      <c r="G77" s="17"/>
      <c r="H77" s="16">
        <f>SUM(H42:H76)</f>
        <v>1715.2612071061762</v>
      </c>
      <c r="I77" s="16"/>
      <c r="J77" s="16">
        <f>SUM(J42:J76)</f>
        <v>36.192011469940311</v>
      </c>
      <c r="K77" s="16">
        <f>SUM(K42:K76)</f>
        <v>280.23251497217859</v>
      </c>
      <c r="L77" s="16">
        <f>SUM(L42:L76)</f>
        <v>2031.6999999999996</v>
      </c>
      <c r="M77" s="16" t="s">
        <v>1178</v>
      </c>
      <c r="N77" s="16">
        <f>SUM(N42:N76)</f>
        <v>134.94188199402112</v>
      </c>
      <c r="O77" s="84">
        <f>SUM(O42:O76)</f>
        <v>134.94188199402112</v>
      </c>
      <c r="P77" s="13" t="str">
        <f t="shared" si="2"/>
        <v>SI</v>
      </c>
      <c r="Q77">
        <f>IF(D77="INCLUIDO",IF(H77&lt;&gt;0,1,0),0)</f>
        <v>1</v>
      </c>
    </row>
    <row r="78" spans="1:19" ht="20.25" hidden="1" customHeight="1" x14ac:dyDescent="0.3">
      <c r="A78" s="82" t="s">
        <v>1147</v>
      </c>
      <c r="B78" s="30" t="s">
        <v>1203</v>
      </c>
      <c r="C78" s="19" t="s">
        <v>1204</v>
      </c>
      <c r="D78" s="28" t="str">
        <f>$D$17</f>
        <v>INCLUIDO</v>
      </c>
      <c r="E78" s="28"/>
      <c r="F78" s="28"/>
      <c r="G78" s="28"/>
      <c r="H78" s="28"/>
      <c r="I78" s="28"/>
      <c r="J78" s="28"/>
      <c r="K78" s="28"/>
      <c r="L78" s="28"/>
      <c r="M78" s="68">
        <f>M41</f>
        <v>0.1201</v>
      </c>
      <c r="N78" s="28"/>
      <c r="O78" s="83"/>
      <c r="P78" s="13" t="str">
        <f t="shared" si="2"/>
        <v>NO</v>
      </c>
      <c r="Q78" s="47">
        <f>IF(D78="INCLUIDO",IF(F79&lt;&gt;0,1,0),0)</f>
        <v>0</v>
      </c>
    </row>
    <row r="79" spans="1:19" ht="15" hidden="1" customHeight="1" x14ac:dyDescent="0.3">
      <c r="A79" s="34" t="s">
        <v>1150</v>
      </c>
      <c r="B79" s="36" t="s">
        <v>1205</v>
      </c>
      <c r="C79" s="29" t="s">
        <v>1206</v>
      </c>
      <c r="D79" s="27" t="str">
        <f t="shared" ref="D79:D98" si="52">$D$17</f>
        <v>INCLUIDO</v>
      </c>
      <c r="E79" s="27" t="s">
        <v>1186</v>
      </c>
      <c r="F79" s="42">
        <v>0</v>
      </c>
      <c r="G79" s="10">
        <v>0</v>
      </c>
      <c r="H79" s="9">
        <f t="shared" ref="H79:H89" si="53">(IF(I79="$ Prima",G79,G79*F79/R79))*$U$9</f>
        <v>0</v>
      </c>
      <c r="I79" s="9" t="s">
        <v>1153</v>
      </c>
      <c r="J79" s="9">
        <f t="shared" ref="J79:J89" si="54">H79*$U$7</f>
        <v>0</v>
      </c>
      <c r="K79" s="9">
        <f t="shared" ref="K79:K89" si="55">(H79+J79)*$K$15</f>
        <v>0</v>
      </c>
      <c r="L79" s="9">
        <f t="shared" ref="L79:L89" si="56">ROUND(H79+J79+K79,2)</f>
        <v>0</v>
      </c>
      <c r="M79" s="11">
        <f>$M$78</f>
        <v>0.1201</v>
      </c>
      <c r="N79" s="9">
        <f t="shared" ref="N79:N89" si="57">H79*M79</f>
        <v>0</v>
      </c>
      <c r="O79" s="12">
        <f t="shared" ref="O79:O89" si="58">N79</f>
        <v>0</v>
      </c>
      <c r="P79" s="13" t="str">
        <f t="shared" si="2"/>
        <v>NO</v>
      </c>
      <c r="Q79">
        <f t="shared" ref="Q79:Q89" si="59">IF(D79="INCLUIDO",IF(F79&lt;&gt;0,1,0),0)</f>
        <v>0</v>
      </c>
      <c r="R79">
        <f t="shared" ref="R79:R89" si="60">IF(I79="%o Al Millar",1000,IF(I79="% Al Porciento",100,IF(I79="$ Prima",G79)))</f>
        <v>1000</v>
      </c>
      <c r="S79">
        <f t="shared" ref="S79:S89" si="61">IF(E79="Excluido",0,IF(D79="NO APLICA",0,1))</f>
        <v>0</v>
      </c>
    </row>
    <row r="80" spans="1:19" ht="15" customHeight="1" x14ac:dyDescent="0.3">
      <c r="A80" s="34" t="s">
        <v>1150</v>
      </c>
      <c r="B80" s="36" t="s">
        <v>1207</v>
      </c>
      <c r="C80" s="29" t="s">
        <v>1208</v>
      </c>
      <c r="D80" s="27" t="str">
        <f t="shared" si="52"/>
        <v>INCLUIDO</v>
      </c>
      <c r="E80" s="27" t="s">
        <v>1137</v>
      </c>
      <c r="F80" s="42">
        <f>VLOOKUP(C15,UBCINEMEX,11,0)</f>
        <v>970304.06638409069</v>
      </c>
      <c r="G80" s="10">
        <f>'COTIZACIÓN M.N.'!E42</f>
        <v>0.24625224000000001</v>
      </c>
      <c r="H80" s="9">
        <f>(((IF(I80="$ Prima",G80,G80*F80/R80))*$U$9)/365)*$J$15</f>
        <v>239.59417873182994</v>
      </c>
      <c r="I80" s="9" t="s">
        <v>1153</v>
      </c>
      <c r="J80" s="9">
        <f t="shared" si="54"/>
        <v>5.0554371712416115</v>
      </c>
      <c r="K80" s="9">
        <f t="shared" si="55"/>
        <v>39.143938544491448</v>
      </c>
      <c r="L80" s="9">
        <f t="shared" si="56"/>
        <v>283.79000000000002</v>
      </c>
      <c r="M80" s="11">
        <f t="shared" ref="M80:M89" si="62">$M$78</f>
        <v>0.1201</v>
      </c>
      <c r="N80" s="9">
        <f t="shared" si="57"/>
        <v>28.775260865692776</v>
      </c>
      <c r="O80" s="12">
        <f t="shared" si="58"/>
        <v>28.775260865692776</v>
      </c>
      <c r="P80" s="13" t="str">
        <f t="shared" si="2"/>
        <v>SI</v>
      </c>
      <c r="Q80">
        <f t="shared" si="59"/>
        <v>1</v>
      </c>
      <c r="R80">
        <f t="shared" si="60"/>
        <v>1000</v>
      </c>
      <c r="S80">
        <f t="shared" si="61"/>
        <v>1</v>
      </c>
    </row>
    <row r="81" spans="1:19" ht="15" hidden="1" customHeight="1" x14ac:dyDescent="0.3">
      <c r="A81" s="34" t="s">
        <v>1150</v>
      </c>
      <c r="B81" s="36" t="s">
        <v>1209</v>
      </c>
      <c r="C81" s="29" t="s">
        <v>1210</v>
      </c>
      <c r="D81" s="27" t="str">
        <f t="shared" si="52"/>
        <v>INCLUIDO</v>
      </c>
      <c r="E81" s="27" t="s">
        <v>1152</v>
      </c>
      <c r="F81" s="42">
        <v>0</v>
      </c>
      <c r="G81" s="10">
        <v>0</v>
      </c>
      <c r="H81" s="9">
        <f t="shared" si="53"/>
        <v>0</v>
      </c>
      <c r="I81" s="9" t="s">
        <v>1153</v>
      </c>
      <c r="J81" s="9">
        <f t="shared" si="54"/>
        <v>0</v>
      </c>
      <c r="K81" s="9">
        <f t="shared" si="55"/>
        <v>0</v>
      </c>
      <c r="L81" s="9">
        <f t="shared" si="56"/>
        <v>0</v>
      </c>
      <c r="M81" s="11">
        <f t="shared" si="62"/>
        <v>0.1201</v>
      </c>
      <c r="N81" s="9">
        <f t="shared" si="57"/>
        <v>0</v>
      </c>
      <c r="O81" s="12">
        <f t="shared" si="58"/>
        <v>0</v>
      </c>
      <c r="P81" s="13" t="str">
        <f t="shared" si="2"/>
        <v>NO</v>
      </c>
      <c r="Q81">
        <f t="shared" si="59"/>
        <v>0</v>
      </c>
      <c r="R81">
        <f t="shared" si="60"/>
        <v>1000</v>
      </c>
      <c r="S81">
        <f t="shared" si="61"/>
        <v>1</v>
      </c>
    </row>
    <row r="82" spans="1:19" ht="22.5" hidden="1" customHeight="1" x14ac:dyDescent="0.3">
      <c r="A82" s="34" t="s">
        <v>1150</v>
      </c>
      <c r="B82" s="36">
        <v>276</v>
      </c>
      <c r="C82" s="29" t="s">
        <v>1211</v>
      </c>
      <c r="D82" s="27" t="str">
        <f t="shared" si="52"/>
        <v>INCLUIDO</v>
      </c>
      <c r="E82" s="27" t="s">
        <v>1186</v>
      </c>
      <c r="F82" s="42">
        <v>0</v>
      </c>
      <c r="G82" s="10">
        <v>0</v>
      </c>
      <c r="H82" s="9">
        <f t="shared" si="53"/>
        <v>0</v>
      </c>
      <c r="I82" s="9" t="s">
        <v>1153</v>
      </c>
      <c r="J82" s="9">
        <f t="shared" si="54"/>
        <v>0</v>
      </c>
      <c r="K82" s="9">
        <f t="shared" si="55"/>
        <v>0</v>
      </c>
      <c r="L82" s="9">
        <f t="shared" si="56"/>
        <v>0</v>
      </c>
      <c r="M82" s="11">
        <f t="shared" si="62"/>
        <v>0.1201</v>
      </c>
      <c r="N82" s="9">
        <f t="shared" si="57"/>
        <v>0</v>
      </c>
      <c r="O82" s="12">
        <f t="shared" si="58"/>
        <v>0</v>
      </c>
      <c r="P82" s="13" t="str">
        <f t="shared" si="2"/>
        <v>NO</v>
      </c>
      <c r="Q82">
        <f t="shared" si="59"/>
        <v>0</v>
      </c>
      <c r="R82">
        <f t="shared" si="60"/>
        <v>1000</v>
      </c>
      <c r="S82">
        <f t="shared" si="61"/>
        <v>0</v>
      </c>
    </row>
    <row r="83" spans="1:19" ht="15" customHeight="1" x14ac:dyDescent="0.3">
      <c r="A83" s="34" t="s">
        <v>1150</v>
      </c>
      <c r="B83" s="36" t="s">
        <v>1212</v>
      </c>
      <c r="C83" s="29" t="s">
        <v>1213</v>
      </c>
      <c r="D83" s="27" t="str">
        <f t="shared" si="52"/>
        <v>INCLUIDO</v>
      </c>
      <c r="E83" s="27" t="s">
        <v>1137</v>
      </c>
      <c r="F83" s="43">
        <f>'COTIZACIÓN M.N.'!D58</f>
        <v>86937199.982531995</v>
      </c>
      <c r="G83" s="10">
        <f>'COTIZACIÓN M.N.'!E58</f>
        <v>0.11240080626426369</v>
      </c>
      <c r="H83" s="9">
        <f>(((IF(I83="$ Prima",G83,G83*F83/R83))*$U$9)/365)*$J$15/'Ubicaciones total (2)'!A366</f>
        <v>26.91918532512608</v>
      </c>
      <c r="I83" s="9" t="s">
        <v>1153</v>
      </c>
      <c r="J83" s="9">
        <f t="shared" si="54"/>
        <v>0.56799481036016031</v>
      </c>
      <c r="K83" s="9">
        <f t="shared" si="55"/>
        <v>4.3979488216777991</v>
      </c>
      <c r="L83" s="9">
        <f t="shared" si="56"/>
        <v>31.89</v>
      </c>
      <c r="M83" s="11">
        <f t="shared" si="62"/>
        <v>0.1201</v>
      </c>
      <c r="N83" s="9">
        <f t="shared" si="57"/>
        <v>3.2329941575476422</v>
      </c>
      <c r="O83" s="12">
        <f t="shared" si="58"/>
        <v>3.2329941575476422</v>
      </c>
      <c r="P83" s="13" t="str">
        <f t="shared" si="2"/>
        <v>SI</v>
      </c>
      <c r="Q83">
        <f t="shared" si="59"/>
        <v>1</v>
      </c>
      <c r="R83">
        <f t="shared" si="60"/>
        <v>1000</v>
      </c>
      <c r="S83">
        <f t="shared" si="61"/>
        <v>1</v>
      </c>
    </row>
    <row r="84" spans="1:19" ht="22.5" hidden="1" customHeight="1" x14ac:dyDescent="0.3">
      <c r="A84" s="34" t="s">
        <v>1150</v>
      </c>
      <c r="B84" s="36" t="s">
        <v>1214</v>
      </c>
      <c r="C84" s="29" t="s">
        <v>1215</v>
      </c>
      <c r="D84" s="27" t="str">
        <f t="shared" si="52"/>
        <v>INCLUIDO</v>
      </c>
      <c r="E84" s="27" t="s">
        <v>1186</v>
      </c>
      <c r="F84" s="43">
        <v>0</v>
      </c>
      <c r="G84" s="10">
        <v>0</v>
      </c>
      <c r="H84" s="9">
        <f t="shared" si="53"/>
        <v>0</v>
      </c>
      <c r="I84" s="9" t="s">
        <v>1153</v>
      </c>
      <c r="J84" s="9">
        <f t="shared" si="54"/>
        <v>0</v>
      </c>
      <c r="K84" s="9">
        <f t="shared" si="55"/>
        <v>0</v>
      </c>
      <c r="L84" s="9">
        <f t="shared" si="56"/>
        <v>0</v>
      </c>
      <c r="M84" s="11">
        <f t="shared" si="62"/>
        <v>0.1201</v>
      </c>
      <c r="N84" s="9">
        <f t="shared" si="57"/>
        <v>0</v>
      </c>
      <c r="O84" s="12">
        <f t="shared" si="58"/>
        <v>0</v>
      </c>
      <c r="P84" s="13" t="str">
        <f t="shared" si="2"/>
        <v>NO</v>
      </c>
      <c r="Q84">
        <f t="shared" si="59"/>
        <v>0</v>
      </c>
      <c r="R84">
        <f t="shared" si="60"/>
        <v>1000</v>
      </c>
      <c r="S84">
        <f t="shared" si="61"/>
        <v>0</v>
      </c>
    </row>
    <row r="85" spans="1:19" ht="15" hidden="1" customHeight="1" x14ac:dyDescent="0.3">
      <c r="A85" s="34" t="s">
        <v>1150</v>
      </c>
      <c r="B85" s="36" t="s">
        <v>1216</v>
      </c>
      <c r="C85" s="29" t="s">
        <v>1217</v>
      </c>
      <c r="D85" s="27" t="str">
        <f t="shared" si="52"/>
        <v>INCLUIDO</v>
      </c>
      <c r="E85" s="27" t="s">
        <v>1186</v>
      </c>
      <c r="F85" s="43">
        <v>0</v>
      </c>
      <c r="G85" s="21">
        <v>0</v>
      </c>
      <c r="H85" s="9">
        <f t="shared" si="53"/>
        <v>0</v>
      </c>
      <c r="I85" s="9" t="s">
        <v>1153</v>
      </c>
      <c r="J85" s="9">
        <f t="shared" si="54"/>
        <v>0</v>
      </c>
      <c r="K85" s="9">
        <f t="shared" si="55"/>
        <v>0</v>
      </c>
      <c r="L85" s="9">
        <f t="shared" si="56"/>
        <v>0</v>
      </c>
      <c r="M85" s="11">
        <f t="shared" si="62"/>
        <v>0.1201</v>
      </c>
      <c r="N85" s="9">
        <f t="shared" si="57"/>
        <v>0</v>
      </c>
      <c r="O85" s="12">
        <f t="shared" si="58"/>
        <v>0</v>
      </c>
      <c r="P85" s="13" t="str">
        <f t="shared" si="2"/>
        <v>NO</v>
      </c>
      <c r="Q85">
        <f t="shared" si="59"/>
        <v>0</v>
      </c>
      <c r="R85">
        <f t="shared" si="60"/>
        <v>1000</v>
      </c>
      <c r="S85">
        <f t="shared" si="61"/>
        <v>0</v>
      </c>
    </row>
    <row r="86" spans="1:19" ht="15" hidden="1" customHeight="1" x14ac:dyDescent="0.3">
      <c r="A86" s="34" t="s">
        <v>1150</v>
      </c>
      <c r="B86" s="36" t="s">
        <v>1218</v>
      </c>
      <c r="C86" s="29" t="s">
        <v>1219</v>
      </c>
      <c r="D86" s="27" t="str">
        <f t="shared" si="52"/>
        <v>INCLUIDO</v>
      </c>
      <c r="E86" s="27" t="s">
        <v>1186</v>
      </c>
      <c r="F86" s="43">
        <v>0</v>
      </c>
      <c r="G86" s="21">
        <v>0</v>
      </c>
      <c r="H86" s="9">
        <f t="shared" si="53"/>
        <v>0</v>
      </c>
      <c r="I86" s="9" t="s">
        <v>1153</v>
      </c>
      <c r="J86" s="9">
        <f t="shared" si="54"/>
        <v>0</v>
      </c>
      <c r="K86" s="9">
        <f t="shared" si="55"/>
        <v>0</v>
      </c>
      <c r="L86" s="9">
        <f t="shared" si="56"/>
        <v>0</v>
      </c>
      <c r="M86" s="11">
        <f t="shared" si="62"/>
        <v>0.1201</v>
      </c>
      <c r="N86" s="9">
        <f t="shared" si="57"/>
        <v>0</v>
      </c>
      <c r="O86" s="12">
        <f t="shared" si="58"/>
        <v>0</v>
      </c>
      <c r="P86" s="13" t="str">
        <f t="shared" si="2"/>
        <v>NO</v>
      </c>
      <c r="Q86">
        <f t="shared" si="59"/>
        <v>0</v>
      </c>
      <c r="R86">
        <f t="shared" si="60"/>
        <v>1000</v>
      </c>
      <c r="S86">
        <f t="shared" si="61"/>
        <v>0</v>
      </c>
    </row>
    <row r="87" spans="1:19" ht="15" hidden="1" customHeight="1" x14ac:dyDescent="0.3">
      <c r="A87" s="34" t="s">
        <v>1150</v>
      </c>
      <c r="B87" s="36">
        <v>277</v>
      </c>
      <c r="C87" s="29" t="s">
        <v>1220</v>
      </c>
      <c r="D87" s="27" t="str">
        <f t="shared" si="52"/>
        <v>INCLUIDO</v>
      </c>
      <c r="E87" s="27" t="s">
        <v>1186</v>
      </c>
      <c r="F87" s="43">
        <v>0</v>
      </c>
      <c r="G87" s="21">
        <v>0</v>
      </c>
      <c r="H87" s="9">
        <f t="shared" si="53"/>
        <v>0</v>
      </c>
      <c r="I87" s="9" t="s">
        <v>1153</v>
      </c>
      <c r="J87" s="9">
        <f t="shared" si="54"/>
        <v>0</v>
      </c>
      <c r="K87" s="9">
        <f t="shared" si="55"/>
        <v>0</v>
      </c>
      <c r="L87" s="9">
        <f t="shared" si="56"/>
        <v>0</v>
      </c>
      <c r="M87" s="11">
        <f t="shared" si="62"/>
        <v>0.1201</v>
      </c>
      <c r="N87" s="9">
        <f t="shared" si="57"/>
        <v>0</v>
      </c>
      <c r="O87" s="12">
        <f t="shared" si="58"/>
        <v>0</v>
      </c>
      <c r="P87" s="13" t="str">
        <f t="shared" si="2"/>
        <v>NO</v>
      </c>
      <c r="Q87">
        <f t="shared" si="59"/>
        <v>0</v>
      </c>
      <c r="R87">
        <f t="shared" si="60"/>
        <v>1000</v>
      </c>
      <c r="S87">
        <f t="shared" si="61"/>
        <v>0</v>
      </c>
    </row>
    <row r="88" spans="1:19" ht="15" hidden="1" customHeight="1" x14ac:dyDescent="0.3">
      <c r="A88" s="34" t="s">
        <v>1150</v>
      </c>
      <c r="B88" s="36">
        <v>278</v>
      </c>
      <c r="C88" s="29" t="s">
        <v>1221</v>
      </c>
      <c r="D88" s="27" t="str">
        <f t="shared" si="52"/>
        <v>INCLUIDO</v>
      </c>
      <c r="E88" s="27" t="s">
        <v>1186</v>
      </c>
      <c r="F88" s="43">
        <v>0</v>
      </c>
      <c r="G88" s="21">
        <v>0</v>
      </c>
      <c r="H88" s="9">
        <f t="shared" si="53"/>
        <v>0</v>
      </c>
      <c r="I88" s="9" t="s">
        <v>1153</v>
      </c>
      <c r="J88" s="9">
        <f t="shared" si="54"/>
        <v>0</v>
      </c>
      <c r="K88" s="9">
        <f t="shared" si="55"/>
        <v>0</v>
      </c>
      <c r="L88" s="9">
        <f t="shared" si="56"/>
        <v>0</v>
      </c>
      <c r="M88" s="11">
        <f t="shared" si="62"/>
        <v>0.1201</v>
      </c>
      <c r="N88" s="9">
        <f t="shared" si="57"/>
        <v>0</v>
      </c>
      <c r="O88" s="12">
        <f t="shared" si="58"/>
        <v>0</v>
      </c>
      <c r="P88" s="13" t="str">
        <f t="shared" si="2"/>
        <v>NO</v>
      </c>
      <c r="Q88">
        <f t="shared" si="59"/>
        <v>0</v>
      </c>
      <c r="R88">
        <f t="shared" si="60"/>
        <v>1000</v>
      </c>
      <c r="S88">
        <f t="shared" si="61"/>
        <v>0</v>
      </c>
    </row>
    <row r="89" spans="1:19" ht="15" hidden="1" customHeight="1" x14ac:dyDescent="0.3">
      <c r="A89" s="34" t="s">
        <v>1150</v>
      </c>
      <c r="B89" s="36">
        <v>279</v>
      </c>
      <c r="C89" s="29" t="s">
        <v>1222</v>
      </c>
      <c r="D89" s="27" t="str">
        <f t="shared" si="52"/>
        <v>INCLUIDO</v>
      </c>
      <c r="E89" s="27" t="s">
        <v>1186</v>
      </c>
      <c r="F89" s="43">
        <v>0</v>
      </c>
      <c r="G89" s="21">
        <v>0</v>
      </c>
      <c r="H89" s="9">
        <f t="shared" si="53"/>
        <v>0</v>
      </c>
      <c r="I89" s="9" t="s">
        <v>1153</v>
      </c>
      <c r="J89" s="9">
        <f t="shared" si="54"/>
        <v>0</v>
      </c>
      <c r="K89" s="9">
        <f t="shared" si="55"/>
        <v>0</v>
      </c>
      <c r="L89" s="9">
        <f t="shared" si="56"/>
        <v>0</v>
      </c>
      <c r="M89" s="11">
        <f t="shared" si="62"/>
        <v>0.1201</v>
      </c>
      <c r="N89" s="9">
        <f t="shared" si="57"/>
        <v>0</v>
      </c>
      <c r="O89" s="12">
        <f t="shared" si="58"/>
        <v>0</v>
      </c>
      <c r="P89" s="13" t="str">
        <f t="shared" si="2"/>
        <v>NO</v>
      </c>
      <c r="Q89">
        <f t="shared" si="59"/>
        <v>0</v>
      </c>
      <c r="R89">
        <f t="shared" si="60"/>
        <v>1000</v>
      </c>
      <c r="S89">
        <f t="shared" si="61"/>
        <v>0</v>
      </c>
    </row>
    <row r="90" spans="1:19" ht="15" customHeight="1" x14ac:dyDescent="0.3">
      <c r="A90" s="82" t="s">
        <v>1162</v>
      </c>
      <c r="B90" s="33">
        <v>3</v>
      </c>
      <c r="C90" s="19" t="s">
        <v>1223</v>
      </c>
      <c r="D90" s="28" t="str">
        <f>$D$17</f>
        <v>INCLUIDO</v>
      </c>
      <c r="E90" s="28"/>
      <c r="F90" s="28"/>
      <c r="G90" s="28"/>
      <c r="H90" s="28"/>
      <c r="I90" s="28"/>
      <c r="J90" s="28"/>
      <c r="K90" s="28"/>
      <c r="L90" s="28"/>
      <c r="M90" s="68">
        <f>M61</f>
        <v>0.05</v>
      </c>
      <c r="N90" s="28"/>
      <c r="O90" s="83"/>
      <c r="P90" s="13" t="str">
        <f t="shared" si="2"/>
        <v>SI</v>
      </c>
      <c r="Q90" s="47">
        <f>IF(D90="INCLUIDO",IF(F91&lt;&gt;0,1,0),0)</f>
        <v>1</v>
      </c>
    </row>
    <row r="91" spans="1:19" ht="22.5" customHeight="1" x14ac:dyDescent="0.3">
      <c r="A91" s="34" t="s">
        <v>1164</v>
      </c>
      <c r="B91" s="36">
        <v>50</v>
      </c>
      <c r="C91" s="29" t="s">
        <v>1224</v>
      </c>
      <c r="D91" s="27" t="str">
        <f t="shared" si="52"/>
        <v>INCLUIDO</v>
      </c>
      <c r="E91" s="27" t="s">
        <v>1137</v>
      </c>
      <c r="F91" s="42">
        <f>F80</f>
        <v>970304.06638409069</v>
      </c>
      <c r="G91" s="10">
        <f>'COTIZACIÓN M.N.'!E43</f>
        <v>0.2</v>
      </c>
      <c r="H91" s="9">
        <f t="shared" ref="H91" si="63">(((IF(I91="$ Prima",G91,G91*F91/R91))*$U$9)/365)*$J$15</f>
        <v>194.59248673785052</v>
      </c>
      <c r="I91" s="9" t="s">
        <v>1153</v>
      </c>
      <c r="J91" s="9">
        <f t="shared" ref="J91:J94" si="64">H91*$U$7</f>
        <v>4.1059014701686465</v>
      </c>
      <c r="K91" s="9">
        <f t="shared" ref="K91:K94" si="65">(H91+J91)*$K$15</f>
        <v>31.791742113283068</v>
      </c>
      <c r="L91" s="9">
        <f t="shared" ref="L91:L94" si="66">ROUND(H91+J91+K91,2)</f>
        <v>230.49</v>
      </c>
      <c r="M91" s="11">
        <f>$M$90</f>
        <v>0.05</v>
      </c>
      <c r="N91" s="9">
        <f t="shared" ref="N91:N94" si="67">H91*M91</f>
        <v>9.7296243368925275</v>
      </c>
      <c r="O91" s="12">
        <f t="shared" ref="O91:O94" si="68">N91</f>
        <v>9.7296243368925275</v>
      </c>
      <c r="P91" s="13" t="str">
        <f t="shared" ref="P91:P154" si="69">IF(Q91=1,"SI","NO")</f>
        <v>SI</v>
      </c>
      <c r="Q91">
        <f>IF(D91="INCLUIDO",IF(F91&lt;&gt;0,1,0),0)</f>
        <v>1</v>
      </c>
      <c r="R91">
        <f>IF(I91="%o Al Millar",1000,IF(I91="% Al Porciento",100,IF(I91="$ Prima",G91)))</f>
        <v>1000</v>
      </c>
      <c r="S91">
        <f t="shared" ref="S91:S94" si="70">IF(E91="Excluido",0,IF(D91="NO APLICA",0,1))</f>
        <v>1</v>
      </c>
    </row>
    <row r="92" spans="1:19" ht="22.5" customHeight="1" x14ac:dyDescent="0.3">
      <c r="A92" s="34" t="s">
        <v>1164</v>
      </c>
      <c r="B92" s="36">
        <v>49</v>
      </c>
      <c r="C92" s="29" t="s">
        <v>1225</v>
      </c>
      <c r="D92" s="27" t="str">
        <f t="shared" si="52"/>
        <v>INCLUIDO</v>
      </c>
      <c r="E92" s="27" t="s">
        <v>1137</v>
      </c>
      <c r="F92" s="43">
        <f>'COTIZACIÓN M.N.'!D59</f>
        <v>86937199.982531995</v>
      </c>
      <c r="G92" s="10">
        <f>'COTIZACIÓN M.N.'!E59</f>
        <v>9.1289164528423131E-2</v>
      </c>
      <c r="H92" s="9">
        <f>(((IF(I92="$ Prima",G92,G92*F92/R92))*$U$9)/365)*$J$15/'Ubicaciones total (2)'!A366</f>
        <v>21.863098849477336</v>
      </c>
      <c r="I92" s="9" t="s">
        <v>1153</v>
      </c>
      <c r="J92" s="9">
        <f t="shared" si="64"/>
        <v>0.46131138572397179</v>
      </c>
      <c r="K92" s="9">
        <f t="shared" si="65"/>
        <v>3.5719056376322089</v>
      </c>
      <c r="L92" s="9">
        <f t="shared" si="66"/>
        <v>25.9</v>
      </c>
      <c r="M92" s="11">
        <f t="shared" ref="M92:M94" si="71">$M$90</f>
        <v>0.05</v>
      </c>
      <c r="N92" s="9">
        <f t="shared" si="67"/>
        <v>1.0931549424738669</v>
      </c>
      <c r="O92" s="12">
        <f t="shared" si="68"/>
        <v>1.0931549424738669</v>
      </c>
      <c r="P92" s="13" t="str">
        <f t="shared" si="69"/>
        <v>SI</v>
      </c>
      <c r="Q92">
        <f>IF(D92="INCLUIDO",IF(F92&lt;&gt;0,1,0),0)</f>
        <v>1</v>
      </c>
      <c r="R92">
        <f>IF(I92="%o Al Millar",1000,IF(I92="% Al Porciento",100,IF(I92="$ Prima",G92)))</f>
        <v>1000</v>
      </c>
      <c r="S92">
        <f t="shared" si="70"/>
        <v>1</v>
      </c>
    </row>
    <row r="93" spans="1:19" ht="22.5" hidden="1" customHeight="1" x14ac:dyDescent="0.3">
      <c r="A93" s="34" t="s">
        <v>1164</v>
      </c>
      <c r="B93" s="36">
        <v>48</v>
      </c>
      <c r="C93" s="29" t="s">
        <v>1226</v>
      </c>
      <c r="D93" s="27" t="str">
        <f t="shared" si="52"/>
        <v>INCLUIDO</v>
      </c>
      <c r="E93" s="27" t="s">
        <v>1186</v>
      </c>
      <c r="F93" s="43">
        <v>0</v>
      </c>
      <c r="G93" s="21">
        <v>0</v>
      </c>
      <c r="H93" s="9">
        <f t="shared" ref="H93:H94" si="72">(IF(I93="$ Prima",G93,G93*F93/R93))*$U$9</f>
        <v>0</v>
      </c>
      <c r="I93" s="9" t="s">
        <v>1153</v>
      </c>
      <c r="J93" s="9">
        <f t="shared" si="64"/>
        <v>0</v>
      </c>
      <c r="K93" s="9">
        <f t="shared" si="65"/>
        <v>0</v>
      </c>
      <c r="L93" s="9">
        <f t="shared" si="66"/>
        <v>0</v>
      </c>
      <c r="M93" s="11">
        <f t="shared" si="71"/>
        <v>0.05</v>
      </c>
      <c r="N93" s="9">
        <f t="shared" si="67"/>
        <v>0</v>
      </c>
      <c r="O93" s="12">
        <f t="shared" si="68"/>
        <v>0</v>
      </c>
      <c r="P93" s="13" t="str">
        <f t="shared" si="69"/>
        <v>NO</v>
      </c>
      <c r="Q93">
        <f>IF(D93="INCLUIDO",IF(F93&lt;&gt;0,1,0),0)</f>
        <v>0</v>
      </c>
      <c r="R93">
        <f>IF(I93="%o Al Millar",1000,IF(I93="% Al Porciento",100,IF(I93="$ Prima",G93)))</f>
        <v>1000</v>
      </c>
      <c r="S93">
        <f t="shared" si="70"/>
        <v>0</v>
      </c>
    </row>
    <row r="94" spans="1:19" ht="15" hidden="1" customHeight="1" x14ac:dyDescent="0.3">
      <c r="A94" s="34" t="s">
        <v>1164</v>
      </c>
      <c r="B94" s="36">
        <v>47</v>
      </c>
      <c r="C94" s="29" t="s">
        <v>1227</v>
      </c>
      <c r="D94" s="27" t="str">
        <f t="shared" si="52"/>
        <v>INCLUIDO</v>
      </c>
      <c r="E94" s="27" t="s">
        <v>1186</v>
      </c>
      <c r="F94" s="43">
        <v>0</v>
      </c>
      <c r="G94" s="21">
        <v>0</v>
      </c>
      <c r="H94" s="9">
        <f t="shared" si="72"/>
        <v>0</v>
      </c>
      <c r="I94" s="9" t="s">
        <v>1153</v>
      </c>
      <c r="J94" s="9">
        <f t="shared" si="64"/>
        <v>0</v>
      </c>
      <c r="K94" s="9">
        <f t="shared" si="65"/>
        <v>0</v>
      </c>
      <c r="L94" s="9">
        <f t="shared" si="66"/>
        <v>0</v>
      </c>
      <c r="M94" s="11">
        <f t="shared" si="71"/>
        <v>0.05</v>
      </c>
      <c r="N94" s="9">
        <f t="shared" si="67"/>
        <v>0</v>
      </c>
      <c r="O94" s="12">
        <f t="shared" si="68"/>
        <v>0</v>
      </c>
      <c r="P94" s="13" t="str">
        <f t="shared" si="69"/>
        <v>NO</v>
      </c>
      <c r="Q94">
        <f>IF(D94="INCLUIDO",IF(F94&lt;&gt;0,1,0),0)</f>
        <v>0</v>
      </c>
      <c r="R94">
        <f>IF(I94="%o Al Millar",1000,IF(I94="% Al Porciento",100,IF(I94="$ Prima",G94)))</f>
        <v>1000</v>
      </c>
      <c r="S94">
        <f t="shared" si="70"/>
        <v>0</v>
      </c>
    </row>
    <row r="95" spans="1:19" ht="15" customHeight="1" x14ac:dyDescent="0.3">
      <c r="A95" s="82">
        <v>904</v>
      </c>
      <c r="B95" s="33">
        <v>3</v>
      </c>
      <c r="C95" s="19" t="s">
        <v>1228</v>
      </c>
      <c r="D95" s="28" t="str">
        <f>$D$17</f>
        <v>INCLUIDO</v>
      </c>
      <c r="E95" s="28"/>
      <c r="F95" s="28"/>
      <c r="G95" s="28"/>
      <c r="H95" s="28"/>
      <c r="I95" s="28"/>
      <c r="J95" s="28"/>
      <c r="K95" s="28"/>
      <c r="L95" s="28"/>
      <c r="M95" s="68">
        <f>M64</f>
        <v>0.05</v>
      </c>
      <c r="N95" s="28"/>
      <c r="O95" s="83"/>
      <c r="P95" s="13" t="str">
        <f t="shared" si="69"/>
        <v>SI</v>
      </c>
      <c r="Q95" s="47">
        <f>IF(D95="INCLUIDO",IF(F96&lt;&gt;0,1,0),0)</f>
        <v>1</v>
      </c>
    </row>
    <row r="96" spans="1:19" ht="22.5" customHeight="1" x14ac:dyDescent="0.3">
      <c r="A96" s="34" t="s">
        <v>1168</v>
      </c>
      <c r="B96" s="36">
        <v>68</v>
      </c>
      <c r="C96" s="29" t="s">
        <v>1229</v>
      </c>
      <c r="D96" s="27" t="str">
        <f t="shared" si="52"/>
        <v>INCLUIDO</v>
      </c>
      <c r="E96" s="27" t="s">
        <v>1137</v>
      </c>
      <c r="F96" s="42">
        <f>F80</f>
        <v>970304.06638409069</v>
      </c>
      <c r="G96" s="10">
        <f>'COTIZACIÓN M.N.'!E44</f>
        <v>0.32000000000000006</v>
      </c>
      <c r="H96" s="9">
        <f t="shared" ref="H96" si="73">(((IF(I96="$ Prima",G96,G96*F96/R96))*$U$9)/365)*$J$15</f>
        <v>311.34797878056094</v>
      </c>
      <c r="I96" s="9" t="s">
        <v>1153</v>
      </c>
      <c r="J96" s="9">
        <f t="shared" ref="J96:J98" si="74">H96*$U$7</f>
        <v>6.569442352269836</v>
      </c>
      <c r="K96" s="9">
        <f t="shared" ref="K96:K98" si="75">(H96+J96)*$K$15</f>
        <v>50.866787381252927</v>
      </c>
      <c r="L96" s="9">
        <f t="shared" ref="L96:L98" si="76">ROUND(H96+J96+K96,2)</f>
        <v>368.78</v>
      </c>
      <c r="M96" s="11">
        <f>$M$95</f>
        <v>0.05</v>
      </c>
      <c r="N96" s="9">
        <f t="shared" ref="N96:N98" si="77">H96*M96</f>
        <v>15.567398939028047</v>
      </c>
      <c r="O96" s="12">
        <f t="shared" ref="O96:O98" si="78">N96</f>
        <v>15.567398939028047</v>
      </c>
      <c r="P96" s="13" t="str">
        <f t="shared" si="69"/>
        <v>SI</v>
      </c>
      <c r="Q96">
        <f>IF(D96="INCLUIDO",IF(F96&lt;&gt;0,1,0),0)</f>
        <v>1</v>
      </c>
      <c r="R96">
        <f>IF(I96="%o Al Millar",1000,IF(I96="% Al Porciento",100,IF(I96="$ Prima",G96)))</f>
        <v>1000</v>
      </c>
      <c r="S96">
        <f t="shared" ref="S96:S98" si="79">IF(E96="Excluido",0,IF(D96="NO APLICA",0,1))</f>
        <v>1</v>
      </c>
    </row>
    <row r="97" spans="1:19" ht="22.5" customHeight="1" x14ac:dyDescent="0.3">
      <c r="A97" s="34" t="s">
        <v>1168</v>
      </c>
      <c r="B97" s="36">
        <v>67</v>
      </c>
      <c r="C97" s="29" t="s">
        <v>1230</v>
      </c>
      <c r="D97" s="27" t="str">
        <f t="shared" si="52"/>
        <v>INCLUIDO</v>
      </c>
      <c r="E97" s="27" t="s">
        <v>1137</v>
      </c>
      <c r="F97" s="43">
        <f>'COTIZACIÓN M.N.'!D60</f>
        <v>86937199.982531995</v>
      </c>
      <c r="G97" s="10">
        <f>'COTIZACIÓN M.N.'!E60</f>
        <v>7.304439852819071E-2</v>
      </c>
      <c r="H97" s="9">
        <f>(((IF(I97="$ Prima",G97,G97*F97/R97))*$U$9)/365)*$J$15/'Ubicaciones total (2)'!A366</f>
        <v>17.493608509531565</v>
      </c>
      <c r="I97" s="9" t="s">
        <v>1153</v>
      </c>
      <c r="J97" s="9">
        <f t="shared" si="74"/>
        <v>0.36911513955111602</v>
      </c>
      <c r="K97" s="9">
        <f t="shared" si="75"/>
        <v>2.8580357838532291</v>
      </c>
      <c r="L97" s="9">
        <f t="shared" si="76"/>
        <v>20.72</v>
      </c>
      <c r="M97" s="11">
        <f t="shared" ref="M97:M98" si="80">$M$95</f>
        <v>0.05</v>
      </c>
      <c r="N97" s="9">
        <f t="shared" si="77"/>
        <v>0.87468042547657832</v>
      </c>
      <c r="O97" s="12">
        <f t="shared" si="78"/>
        <v>0.87468042547657832</v>
      </c>
      <c r="P97" s="13" t="str">
        <f t="shared" si="69"/>
        <v>SI</v>
      </c>
      <c r="Q97">
        <f>IF(D97="INCLUIDO",IF(F97&lt;&gt;0,1,0),0)</f>
        <v>1</v>
      </c>
      <c r="R97">
        <f>IF(I97="%o Al Millar",1000,IF(I97="% Al Porciento",100,IF(I97="$ Prima",G97)))</f>
        <v>1000</v>
      </c>
      <c r="S97">
        <f t="shared" si="79"/>
        <v>1</v>
      </c>
    </row>
    <row r="98" spans="1:19" ht="22.5" hidden="1" customHeight="1" x14ac:dyDescent="0.3">
      <c r="A98" s="34" t="s">
        <v>1168</v>
      </c>
      <c r="B98" s="36">
        <v>65</v>
      </c>
      <c r="C98" s="29" t="s">
        <v>1231</v>
      </c>
      <c r="D98" s="27" t="str">
        <f t="shared" si="52"/>
        <v>INCLUIDO</v>
      </c>
      <c r="E98" s="27" t="s">
        <v>1186</v>
      </c>
      <c r="F98" s="43">
        <v>0</v>
      </c>
      <c r="G98" s="21">
        <v>0</v>
      </c>
      <c r="H98" s="9">
        <f t="shared" ref="H98" si="81">(IF(I98="$ Prima",G98,G98*F98/R98))*$U$9</f>
        <v>0</v>
      </c>
      <c r="I98" s="9" t="s">
        <v>1153</v>
      </c>
      <c r="J98" s="9">
        <f t="shared" si="74"/>
        <v>0</v>
      </c>
      <c r="K98" s="9">
        <f t="shared" si="75"/>
        <v>0</v>
      </c>
      <c r="L98" s="9">
        <f t="shared" si="76"/>
        <v>0</v>
      </c>
      <c r="M98" s="11">
        <f t="shared" si="80"/>
        <v>0.05</v>
      </c>
      <c r="N98" s="9">
        <f t="shared" si="77"/>
        <v>0</v>
      </c>
      <c r="O98" s="12">
        <f t="shared" si="78"/>
        <v>0</v>
      </c>
      <c r="P98" s="13" t="str">
        <f t="shared" si="69"/>
        <v>NO</v>
      </c>
      <c r="Q98">
        <f>IF(D98="INCLUIDO",IF(F98&lt;&gt;0,1,0),0)</f>
        <v>0</v>
      </c>
      <c r="R98">
        <f>IF(I98="%o Al Millar",1000,IF(I98="% Al Porciento",100,IF(I98="$ Prima",G98)))</f>
        <v>1000</v>
      </c>
      <c r="S98">
        <f t="shared" si="79"/>
        <v>0</v>
      </c>
    </row>
    <row r="99" spans="1:19" s="18" customFormat="1" ht="15" customHeight="1" x14ac:dyDescent="0.3">
      <c r="A99" s="24"/>
      <c r="B99" s="26"/>
      <c r="C99" s="15" t="s">
        <v>1177</v>
      </c>
      <c r="D99" s="38" t="str">
        <f>D98</f>
        <v>INCLUIDO</v>
      </c>
      <c r="E99" s="38"/>
      <c r="F99" s="16">
        <f>SUMIF(E79:E98,"Adicional",F79:F98)</f>
        <v>0</v>
      </c>
      <c r="G99" s="17"/>
      <c r="H99" s="16">
        <f>SUM(H79:H98)</f>
        <v>811.81053693437639</v>
      </c>
      <c r="I99" s="16"/>
      <c r="J99" s="16">
        <f>SUM(J79:J98)</f>
        <v>17.129202329315344</v>
      </c>
      <c r="K99" s="16">
        <f>SUM(K79:K98)</f>
        <v>132.63035828219068</v>
      </c>
      <c r="L99" s="16">
        <f>SUM(L79:L98)</f>
        <v>961.57</v>
      </c>
      <c r="M99" s="16" t="s">
        <v>1178</v>
      </c>
      <c r="N99" s="16">
        <f>SUM(N79:N98)</f>
        <v>59.273113667111431</v>
      </c>
      <c r="O99" s="84">
        <f>SUM(O79:O98)</f>
        <v>59.273113667111431</v>
      </c>
      <c r="P99" s="13" t="str">
        <f t="shared" si="69"/>
        <v>SI</v>
      </c>
      <c r="Q99">
        <f>IF(D99="INCLUIDO",IF(H99&lt;&gt;0,1,0),0)</f>
        <v>1</v>
      </c>
    </row>
    <row r="100" spans="1:19" ht="15" customHeight="1" x14ac:dyDescent="0.3">
      <c r="A100" s="82">
        <v>905</v>
      </c>
      <c r="B100" s="33">
        <v>1</v>
      </c>
      <c r="C100" s="19" t="s">
        <v>1232</v>
      </c>
      <c r="D100" s="23" t="str">
        <f>'Ramo Comercial'!C130</f>
        <v>INCLUIDO</v>
      </c>
      <c r="E100" s="91"/>
      <c r="F100" s="43">
        <f>'COTIZACIÓN M.N.'!D86</f>
        <v>13000</v>
      </c>
      <c r="G100" s="43">
        <f>'COTIZACIÓN M.N.'!E86/'Ubicaciones total (2)'!A366</f>
        <v>1.3736263736263736E-2</v>
      </c>
      <c r="H100" s="28"/>
      <c r="I100" s="28"/>
      <c r="J100" s="28"/>
      <c r="K100" s="28"/>
      <c r="L100" s="28"/>
      <c r="M100" s="68">
        <v>0.1</v>
      </c>
      <c r="N100" s="28"/>
      <c r="O100" s="83"/>
      <c r="P100" s="13" t="str">
        <f t="shared" si="69"/>
        <v>SI</v>
      </c>
      <c r="Q100" s="48">
        <f>IF(D100="INCLUIDO",IF(F100&lt;&gt;0,1,0),0)</f>
        <v>1</v>
      </c>
      <c r="S100">
        <f t="shared" ref="S100:S102" si="82">IF(E100="Excluido",0,IF(D100="NO APLICA",0,1))</f>
        <v>1</v>
      </c>
    </row>
    <row r="101" spans="1:19" ht="15" customHeight="1" x14ac:dyDescent="0.3">
      <c r="A101" s="34" t="s">
        <v>1233</v>
      </c>
      <c r="B101" s="36">
        <v>71</v>
      </c>
      <c r="C101" s="29" t="s">
        <v>1234</v>
      </c>
      <c r="D101" s="29" t="str">
        <f>$D$100</f>
        <v>INCLUIDO</v>
      </c>
      <c r="E101" s="27" t="s">
        <v>1137</v>
      </c>
      <c r="F101" s="20">
        <f>F100*S101</f>
        <v>13000</v>
      </c>
      <c r="G101" s="21">
        <f>G100</f>
        <v>1.3736263736263736E-2</v>
      </c>
      <c r="H101" s="9">
        <f t="shared" ref="H101" si="83">(((IF(I101="$ Prima",G101,G101*F101/R101))*$U$9)/365)*$J$15</f>
        <v>1.7906066536203522</v>
      </c>
      <c r="I101" s="9" t="s">
        <v>1235</v>
      </c>
      <c r="J101" s="9">
        <f t="shared" ref="J101:J102" si="84">H101*$U$7</f>
        <v>3.7781800391389432E-2</v>
      </c>
      <c r="K101" s="9">
        <f t="shared" ref="K101:K102" si="85">(H101+J101)*$K$15</f>
        <v>0.29254215264187866</v>
      </c>
      <c r="L101" s="9">
        <f t="shared" ref="L101:L102" si="86">ROUND(H101+J101+K101,2)</f>
        <v>2.12</v>
      </c>
      <c r="M101" s="11">
        <f>$M$100</f>
        <v>0.1</v>
      </c>
      <c r="N101" s="9">
        <f t="shared" ref="N101:N102" si="87">H101*M101</f>
        <v>0.17906066536203524</v>
      </c>
      <c r="O101" s="12">
        <f t="shared" ref="O101:O102" si="88">N101</f>
        <v>0.17906066536203524</v>
      </c>
      <c r="P101" s="13" t="str">
        <f t="shared" si="69"/>
        <v>SI</v>
      </c>
      <c r="Q101">
        <f>IF(D101="INCLUIDO",IF(F101&lt;&gt;0,1,0),0)</f>
        <v>1</v>
      </c>
      <c r="R101">
        <f>IF(I101="%o Al Millar",1000,IF(I101="% Al Porciento",100,IF(I101="$ Prima",G101)))</f>
        <v>100</v>
      </c>
      <c r="S101">
        <f t="shared" si="82"/>
        <v>1</v>
      </c>
    </row>
    <row r="102" spans="1:19" ht="15" hidden="1" customHeight="1" x14ac:dyDescent="0.3">
      <c r="A102" s="34" t="s">
        <v>1233</v>
      </c>
      <c r="B102" s="36"/>
      <c r="C102" s="81">
        <f>$O$12</f>
        <v>0</v>
      </c>
      <c r="D102" s="29" t="str">
        <f>$D$100</f>
        <v>INCLUIDO</v>
      </c>
      <c r="E102" s="27" t="s">
        <v>1186</v>
      </c>
      <c r="F102" s="9">
        <f>(F101*$O$12)*S102</f>
        <v>0</v>
      </c>
      <c r="G102" s="10">
        <f>G101*0.35</f>
        <v>4.8076923076923071E-3</v>
      </c>
      <c r="H102" s="9">
        <f t="shared" ref="H102" si="89">(IF(I102="$ Prima",G102,G102*F102/R102))*$U$9</f>
        <v>0</v>
      </c>
      <c r="I102" s="9" t="s">
        <v>1235</v>
      </c>
      <c r="J102" s="9">
        <f t="shared" si="84"/>
        <v>0</v>
      </c>
      <c r="K102" s="9">
        <f t="shared" si="85"/>
        <v>0</v>
      </c>
      <c r="L102" s="9">
        <f t="shared" si="86"/>
        <v>0</v>
      </c>
      <c r="M102" s="11">
        <f>$M$100</f>
        <v>0.1</v>
      </c>
      <c r="N102" s="9">
        <f t="shared" si="87"/>
        <v>0</v>
      </c>
      <c r="O102" s="12">
        <f t="shared" si="88"/>
        <v>0</v>
      </c>
      <c r="P102" s="13" t="str">
        <f t="shared" si="69"/>
        <v>NO</v>
      </c>
      <c r="Q102">
        <f>IF(D102="INCLUIDO",IF(F102&lt;&gt;0,1,0),0)</f>
        <v>0</v>
      </c>
      <c r="R102">
        <f>IF(I102="%o Al Millar",1000,IF(I102="% Al Porciento",100,IF(I102="$ Prima",G102)))</f>
        <v>100</v>
      </c>
      <c r="S102">
        <f t="shared" si="82"/>
        <v>0</v>
      </c>
    </row>
    <row r="103" spans="1:19" s="18" customFormat="1" ht="15" customHeight="1" x14ac:dyDescent="0.3">
      <c r="A103" s="24"/>
      <c r="B103" s="26"/>
      <c r="C103" s="15" t="s">
        <v>1177</v>
      </c>
      <c r="D103" s="38" t="str">
        <f>D102</f>
        <v>INCLUIDO</v>
      </c>
      <c r="E103" s="38"/>
      <c r="F103" s="16">
        <f>SUMIF(E101:E102,"Adicional",F101:F102)</f>
        <v>0</v>
      </c>
      <c r="G103" s="17"/>
      <c r="H103" s="16">
        <f>SUM(H101:H102)</f>
        <v>1.7906066536203522</v>
      </c>
      <c r="I103" s="16"/>
      <c r="J103" s="16">
        <f t="shared" ref="J103:L103" si="90">SUM(J101:J102)</f>
        <v>3.7781800391389432E-2</v>
      </c>
      <c r="K103" s="16">
        <f t="shared" si="90"/>
        <v>0.29254215264187866</v>
      </c>
      <c r="L103" s="16">
        <f t="shared" si="90"/>
        <v>2.12</v>
      </c>
      <c r="M103" s="16" t="s">
        <v>1178</v>
      </c>
      <c r="N103" s="16">
        <f t="shared" ref="N103:O103" si="91">SUM(N101:N102)</f>
        <v>0.17906066536203524</v>
      </c>
      <c r="O103" s="84">
        <f t="shared" si="91"/>
        <v>0.17906066536203524</v>
      </c>
      <c r="P103" s="13" t="str">
        <f t="shared" si="69"/>
        <v>SI</v>
      </c>
      <c r="Q103">
        <f>IF(D103="INCLUIDO",IF(H103&lt;&gt;0,1,0),0)</f>
        <v>1</v>
      </c>
    </row>
    <row r="104" spans="1:19" ht="15" hidden="1" customHeight="1" x14ac:dyDescent="0.3">
      <c r="A104" s="82">
        <v>905</v>
      </c>
      <c r="B104" s="33">
        <v>2</v>
      </c>
      <c r="C104" s="19" t="s">
        <v>1236</v>
      </c>
      <c r="D104" s="23" t="str">
        <f>$D$100</f>
        <v>INCLUIDO</v>
      </c>
      <c r="E104" s="91"/>
      <c r="F104" s="43">
        <v>0</v>
      </c>
      <c r="G104" s="43">
        <v>0</v>
      </c>
      <c r="H104" s="28"/>
      <c r="I104" s="28"/>
      <c r="J104" s="28"/>
      <c r="K104" s="28"/>
      <c r="L104" s="28"/>
      <c r="M104" s="68">
        <v>0</v>
      </c>
      <c r="N104" s="28"/>
      <c r="O104" s="83"/>
      <c r="P104" s="13" t="str">
        <f t="shared" si="69"/>
        <v>NO</v>
      </c>
      <c r="Q104" s="48">
        <f>IF(D104="INCLUIDO",IF(F104&lt;&gt;0,1,0),0)</f>
        <v>0</v>
      </c>
    </row>
    <row r="105" spans="1:19" ht="15" hidden="1" customHeight="1" x14ac:dyDescent="0.3">
      <c r="A105" s="34" t="s">
        <v>1233</v>
      </c>
      <c r="B105" s="36">
        <v>73</v>
      </c>
      <c r="C105" s="29" t="s">
        <v>1234</v>
      </c>
      <c r="D105" s="29" t="str">
        <f>$D$100</f>
        <v>INCLUIDO</v>
      </c>
      <c r="E105" s="27" t="s">
        <v>1186</v>
      </c>
      <c r="F105" s="20">
        <f>F104*S105</f>
        <v>0</v>
      </c>
      <c r="G105" s="21">
        <v>0</v>
      </c>
      <c r="H105" s="9">
        <f t="shared" ref="H105:H106" si="92">(IF(I105="$ Prima",G105,G105*F105/R105))*$U$9</f>
        <v>0</v>
      </c>
      <c r="I105" s="9" t="s">
        <v>1235</v>
      </c>
      <c r="J105" s="9">
        <f t="shared" ref="J105:J106" si="93">H105*$U$7</f>
        <v>0</v>
      </c>
      <c r="K105" s="9">
        <f t="shared" ref="K105:K106" si="94">(H105+J105)*$K$15</f>
        <v>0</v>
      </c>
      <c r="L105" s="9">
        <f t="shared" ref="L105:L106" si="95">ROUND(H105+J105+K105,2)</f>
        <v>0</v>
      </c>
      <c r="M105" s="11">
        <v>0</v>
      </c>
      <c r="N105" s="9">
        <f t="shared" ref="N105:N106" si="96">H105*M105</f>
        <v>0</v>
      </c>
      <c r="O105" s="12">
        <f t="shared" ref="O105:O106" si="97">N105</f>
        <v>0</v>
      </c>
      <c r="P105" s="13" t="str">
        <f t="shared" si="69"/>
        <v>NO</v>
      </c>
      <c r="Q105">
        <f>IF(D105="INCLUIDO",IF(F105&lt;&gt;0,1,0),0)</f>
        <v>0</v>
      </c>
      <c r="R105">
        <f>IF(I105="%o Al Millar",1000,IF(I105="% Al Porciento",100,IF(I105="$ Prima",G105)))</f>
        <v>100</v>
      </c>
      <c r="S105">
        <f t="shared" ref="S105:S106" si="98">IF(E105="Excluido",0,IF(D105="NO APLICA",0,1))</f>
        <v>0</v>
      </c>
    </row>
    <row r="106" spans="1:19" ht="15" hidden="1" customHeight="1" x14ac:dyDescent="0.3">
      <c r="A106" s="34" t="s">
        <v>1233</v>
      </c>
      <c r="B106" s="36"/>
      <c r="C106" s="81">
        <f>$O$12</f>
        <v>0</v>
      </c>
      <c r="D106" s="29" t="str">
        <f>$D$100</f>
        <v>INCLUIDO</v>
      </c>
      <c r="E106" s="27" t="str">
        <f>E105</f>
        <v>Excluido</v>
      </c>
      <c r="F106" s="9">
        <f>(F105*$O$12)*S106</f>
        <v>0</v>
      </c>
      <c r="G106" s="10">
        <f>G105*0.35</f>
        <v>0</v>
      </c>
      <c r="H106" s="9">
        <f t="shared" si="92"/>
        <v>0</v>
      </c>
      <c r="I106" s="9" t="s">
        <v>1235</v>
      </c>
      <c r="J106" s="9">
        <f t="shared" si="93"/>
        <v>0</v>
      </c>
      <c r="K106" s="9">
        <f t="shared" si="94"/>
        <v>0</v>
      </c>
      <c r="L106" s="9">
        <f t="shared" si="95"/>
        <v>0</v>
      </c>
      <c r="M106" s="11">
        <v>0</v>
      </c>
      <c r="N106" s="9">
        <f t="shared" si="96"/>
        <v>0</v>
      </c>
      <c r="O106" s="12">
        <f t="shared" si="97"/>
        <v>0</v>
      </c>
      <c r="P106" s="13" t="str">
        <f t="shared" si="69"/>
        <v>NO</v>
      </c>
      <c r="Q106">
        <f>IF(D106="INCLUIDO",IF(F106&lt;&gt;0,1,0),0)</f>
        <v>0</v>
      </c>
      <c r="R106">
        <f>IF(I106="%o Al Millar",1000,IF(I106="% Al Porciento",100,IF(I106="$ Prima",G106)))</f>
        <v>100</v>
      </c>
      <c r="S106">
        <f t="shared" si="98"/>
        <v>0</v>
      </c>
    </row>
    <row r="107" spans="1:19" s="18" customFormat="1" ht="15" hidden="1" customHeight="1" x14ac:dyDescent="0.3">
      <c r="A107" s="24"/>
      <c r="B107" s="26"/>
      <c r="C107" s="15" t="s">
        <v>1177</v>
      </c>
      <c r="D107" s="38" t="str">
        <f>D106</f>
        <v>INCLUIDO</v>
      </c>
      <c r="E107" s="38"/>
      <c r="F107" s="16">
        <f>SUMIF(E105:E106,"Adicional",F105:F106)</f>
        <v>0</v>
      </c>
      <c r="G107" s="17"/>
      <c r="H107" s="16">
        <f>SUM(H105:H106)</f>
        <v>0</v>
      </c>
      <c r="I107" s="16"/>
      <c r="J107" s="16">
        <f t="shared" ref="J107:L107" si="99">SUM(J105:J106)</f>
        <v>0</v>
      </c>
      <c r="K107" s="16">
        <f t="shared" si="99"/>
        <v>0</v>
      </c>
      <c r="L107" s="16">
        <f t="shared" si="99"/>
        <v>0</v>
      </c>
      <c r="M107" s="16" t="s">
        <v>1178</v>
      </c>
      <c r="N107" s="16">
        <f t="shared" ref="N107:O107" si="100">SUM(N105:N106)</f>
        <v>0</v>
      </c>
      <c r="O107" s="84">
        <f t="shared" si="100"/>
        <v>0</v>
      </c>
      <c r="P107" s="13" t="str">
        <f t="shared" si="69"/>
        <v>NO</v>
      </c>
      <c r="Q107">
        <f>IF(D107="INCLUIDO",IF(H107&lt;&gt;0,1,0),0)</f>
        <v>0</v>
      </c>
    </row>
    <row r="108" spans="1:19" ht="15" hidden="1" customHeight="1" x14ac:dyDescent="0.3">
      <c r="A108" s="82">
        <v>905</v>
      </c>
      <c r="B108" s="33">
        <v>3</v>
      </c>
      <c r="C108" s="19" t="s">
        <v>1237</v>
      </c>
      <c r="D108" s="23" t="str">
        <f>$D$100</f>
        <v>INCLUIDO</v>
      </c>
      <c r="E108" s="91"/>
      <c r="F108" s="43">
        <v>0</v>
      </c>
      <c r="G108" s="43">
        <v>0</v>
      </c>
      <c r="H108" s="28"/>
      <c r="I108" s="28"/>
      <c r="J108" s="28"/>
      <c r="K108" s="28"/>
      <c r="L108" s="28"/>
      <c r="M108" s="68">
        <v>0</v>
      </c>
      <c r="N108" s="28"/>
      <c r="O108" s="83"/>
      <c r="P108" s="13" t="str">
        <f t="shared" si="69"/>
        <v>NO</v>
      </c>
      <c r="Q108" s="48">
        <f>IF(D108="INCLUIDO",IF(F108&lt;&gt;0,1,0),0)</f>
        <v>0</v>
      </c>
    </row>
    <row r="109" spans="1:19" ht="15" hidden="1" customHeight="1" x14ac:dyDescent="0.3">
      <c r="A109" s="34" t="s">
        <v>1233</v>
      </c>
      <c r="B109" s="36">
        <v>74</v>
      </c>
      <c r="C109" s="29" t="s">
        <v>1237</v>
      </c>
      <c r="D109" s="29" t="str">
        <f>$D$100</f>
        <v>INCLUIDO</v>
      </c>
      <c r="E109" s="27" t="s">
        <v>1186</v>
      </c>
      <c r="F109" s="20">
        <f>F108*S109</f>
        <v>0</v>
      </c>
      <c r="G109" s="21">
        <v>0</v>
      </c>
      <c r="H109" s="9">
        <f t="shared" ref="H109:H110" si="101">(IF(I109="$ Prima",G109,G109*F109/R109))*$U$9</f>
        <v>0</v>
      </c>
      <c r="I109" s="9" t="s">
        <v>1235</v>
      </c>
      <c r="J109" s="9">
        <f t="shared" ref="J109:J110" si="102">H109*$U$7</f>
        <v>0</v>
      </c>
      <c r="K109" s="9">
        <f t="shared" ref="K109:K110" si="103">(H109+J109)*$K$15</f>
        <v>0</v>
      </c>
      <c r="L109" s="9">
        <f t="shared" ref="L109:L110" si="104">ROUND(H109+J109+K109,2)</f>
        <v>0</v>
      </c>
      <c r="M109" s="11">
        <f>$M$108</f>
        <v>0</v>
      </c>
      <c r="N109" s="9">
        <f t="shared" ref="N109:N110" si="105">H109*M109</f>
        <v>0</v>
      </c>
      <c r="O109" s="12">
        <f t="shared" ref="O109:O110" si="106">N109</f>
        <v>0</v>
      </c>
      <c r="P109" s="13" t="str">
        <f t="shared" si="69"/>
        <v>NO</v>
      </c>
      <c r="Q109">
        <f>IF(D109="INCLUIDO",IF(F109&lt;&gt;0,1,0),0)</f>
        <v>0</v>
      </c>
      <c r="R109">
        <f>IF(I109="%o Al Millar",1000,IF(I109="% Al Porciento",100,IF(I109="$ Prima",G109)))</f>
        <v>100</v>
      </c>
      <c r="S109">
        <f t="shared" ref="S109:S110" si="107">IF(E109="Excluido",0,IF(D109="NO APLICA",0,1))</f>
        <v>0</v>
      </c>
    </row>
    <row r="110" spans="1:19" ht="15" hidden="1" customHeight="1" x14ac:dyDescent="0.3">
      <c r="A110" s="34" t="s">
        <v>1233</v>
      </c>
      <c r="B110" s="36"/>
      <c r="C110" s="81">
        <f>$O$12</f>
        <v>0</v>
      </c>
      <c r="D110" s="29" t="str">
        <f>$D$100</f>
        <v>INCLUIDO</v>
      </c>
      <c r="E110" s="27" t="str">
        <f>E109</f>
        <v>Excluido</v>
      </c>
      <c r="F110" s="9">
        <f>(F109*$O$12)*S110</f>
        <v>0</v>
      </c>
      <c r="G110" s="10">
        <f>G109*0.35</f>
        <v>0</v>
      </c>
      <c r="H110" s="9">
        <f t="shared" si="101"/>
        <v>0</v>
      </c>
      <c r="I110" s="9" t="s">
        <v>1235</v>
      </c>
      <c r="J110" s="9">
        <f t="shared" si="102"/>
        <v>0</v>
      </c>
      <c r="K110" s="9">
        <f t="shared" si="103"/>
        <v>0</v>
      </c>
      <c r="L110" s="9">
        <f t="shared" si="104"/>
        <v>0</v>
      </c>
      <c r="M110" s="11">
        <f>$M$108</f>
        <v>0</v>
      </c>
      <c r="N110" s="9">
        <f t="shared" si="105"/>
        <v>0</v>
      </c>
      <c r="O110" s="12">
        <f t="shared" si="106"/>
        <v>0</v>
      </c>
      <c r="P110" s="13" t="str">
        <f t="shared" si="69"/>
        <v>NO</v>
      </c>
      <c r="Q110">
        <f>IF(D110="INCLUIDO",IF(F110&lt;&gt;0,1,0),0)</f>
        <v>0</v>
      </c>
      <c r="R110">
        <f>IF(I110="%o Al Millar",1000,IF(I110="% Al Porciento",100,IF(I110="$ Prima",G110)))</f>
        <v>100</v>
      </c>
      <c r="S110">
        <f t="shared" si="107"/>
        <v>0</v>
      </c>
    </row>
    <row r="111" spans="1:19" s="18" customFormat="1" ht="15" hidden="1" customHeight="1" x14ac:dyDescent="0.3">
      <c r="A111" s="24"/>
      <c r="B111" s="26"/>
      <c r="C111" s="15" t="s">
        <v>1177</v>
      </c>
      <c r="D111" s="38" t="str">
        <f>D110</f>
        <v>INCLUIDO</v>
      </c>
      <c r="E111" s="38"/>
      <c r="F111" s="16">
        <f>SUMIF(E109:E110,"Adicional",F109:F110)</f>
        <v>0</v>
      </c>
      <c r="G111" s="17"/>
      <c r="H111" s="16">
        <f>SUM(H109:H110)</f>
        <v>0</v>
      </c>
      <c r="I111" s="16"/>
      <c r="J111" s="16">
        <f t="shared" ref="J111:L111" si="108">SUM(J109:J110)</f>
        <v>0</v>
      </c>
      <c r="K111" s="16">
        <f t="shared" si="108"/>
        <v>0</v>
      </c>
      <c r="L111" s="16">
        <f t="shared" si="108"/>
        <v>0</v>
      </c>
      <c r="M111" s="16" t="s">
        <v>1178</v>
      </c>
      <c r="N111" s="16">
        <f t="shared" ref="N111:O111" si="109">SUM(N109:N110)</f>
        <v>0</v>
      </c>
      <c r="O111" s="84">
        <f t="shared" si="109"/>
        <v>0</v>
      </c>
      <c r="P111" s="13" t="str">
        <f t="shared" si="69"/>
        <v>NO</v>
      </c>
      <c r="Q111">
        <f>IF(D111="INCLUIDO",IF(H111&lt;&gt;0,1,0),0)</f>
        <v>0</v>
      </c>
    </row>
    <row r="112" spans="1:19" ht="15" customHeight="1" x14ac:dyDescent="0.3">
      <c r="A112" s="82">
        <v>905</v>
      </c>
      <c r="B112" s="33">
        <v>4</v>
      </c>
      <c r="C112" s="19" t="s">
        <v>1238</v>
      </c>
      <c r="D112" s="23" t="str">
        <f>$D$100</f>
        <v>INCLUIDO</v>
      </c>
      <c r="E112" s="91"/>
      <c r="F112" s="43">
        <f>'COTIZACIÓN M.N.'!D89</f>
        <v>13000</v>
      </c>
      <c r="G112" s="43">
        <f>'COTIZACIÓN M.N.'!E89/'Ubicaciones total (2)'!A366</f>
        <v>1.098901098901099E-2</v>
      </c>
      <c r="H112" s="28"/>
      <c r="I112" s="28"/>
      <c r="J112" s="28"/>
      <c r="K112" s="28"/>
      <c r="L112" s="28"/>
      <c r="M112" s="68">
        <f>M100</f>
        <v>0.1</v>
      </c>
      <c r="N112" s="28"/>
      <c r="O112" s="83"/>
      <c r="P112" s="13" t="str">
        <f t="shared" si="69"/>
        <v>SI</v>
      </c>
      <c r="Q112" s="48">
        <f>IF(D112="INCLUIDO",IF(F112&lt;&gt;0,1,0),0)</f>
        <v>1</v>
      </c>
    </row>
    <row r="113" spans="1:22" ht="15" customHeight="1" x14ac:dyDescent="0.3">
      <c r="A113" s="34" t="s">
        <v>1233</v>
      </c>
      <c r="B113" s="36">
        <v>76</v>
      </c>
      <c r="C113" s="29" t="s">
        <v>1237</v>
      </c>
      <c r="D113" s="29" t="str">
        <f>$D$100</f>
        <v>INCLUIDO</v>
      </c>
      <c r="E113" s="27" t="s">
        <v>1137</v>
      </c>
      <c r="F113" s="20">
        <f>F112*S113</f>
        <v>13000</v>
      </c>
      <c r="G113" s="21">
        <f>G112</f>
        <v>1.098901098901099E-2</v>
      </c>
      <c r="H113" s="9">
        <f t="shared" ref="H113:H114" si="110">(IF(I113="$ Prima",G113,G113*F113/R113))*$U$9</f>
        <v>1.4285714285714286</v>
      </c>
      <c r="I113" s="9" t="s">
        <v>1235</v>
      </c>
      <c r="J113" s="9">
        <f t="shared" ref="J113:J114" si="111">H113*$U$7</f>
        <v>3.0142857142857145E-2</v>
      </c>
      <c r="K113" s="9">
        <f t="shared" ref="K113:K114" si="112">(H113+J113)*$K$15</f>
        <v>0.23339428571428575</v>
      </c>
      <c r="L113" s="9">
        <f t="shared" ref="L113:L114" si="113">ROUND(H113+J113+K113,2)</f>
        <v>1.69</v>
      </c>
      <c r="M113" s="11">
        <f>$M$112</f>
        <v>0.1</v>
      </c>
      <c r="N113" s="9">
        <f t="shared" ref="N113:N114" si="114">H113*M113</f>
        <v>0.14285714285714288</v>
      </c>
      <c r="O113" s="12">
        <f t="shared" ref="O113:O114" si="115">N113</f>
        <v>0.14285714285714288</v>
      </c>
      <c r="P113" s="13" t="str">
        <f t="shared" si="69"/>
        <v>SI</v>
      </c>
      <c r="Q113">
        <f>IF(D113="INCLUIDO",IF(F113&lt;&gt;0,1,0),0)</f>
        <v>1</v>
      </c>
      <c r="R113">
        <f>IF(I113="%o Al Millar",1000,IF(I113="% Al Porciento",100,IF(I113="$ Prima",G113)))</f>
        <v>100</v>
      </c>
      <c r="S113">
        <f t="shared" ref="S113:S114" si="116">IF(E113="Excluido",0,IF(D113="NO APLICA",0,1))</f>
        <v>1</v>
      </c>
    </row>
    <row r="114" spans="1:22" ht="15" hidden="1" customHeight="1" x14ac:dyDescent="0.3">
      <c r="A114" s="34" t="s">
        <v>1233</v>
      </c>
      <c r="B114" s="36"/>
      <c r="C114" s="81">
        <f>$O$12</f>
        <v>0</v>
      </c>
      <c r="D114" s="29" t="str">
        <f>$D$100</f>
        <v>INCLUIDO</v>
      </c>
      <c r="E114" s="27" t="str">
        <f>E113</f>
        <v>Sublimite</v>
      </c>
      <c r="F114" s="9">
        <f>(F113*$O$12)*S114</f>
        <v>0</v>
      </c>
      <c r="G114" s="10">
        <f>G113*0.35</f>
        <v>3.8461538461538464E-3</v>
      </c>
      <c r="H114" s="9">
        <f t="shared" si="110"/>
        <v>0</v>
      </c>
      <c r="I114" s="9" t="s">
        <v>1235</v>
      </c>
      <c r="J114" s="9">
        <f t="shared" si="111"/>
        <v>0</v>
      </c>
      <c r="K114" s="9">
        <f t="shared" si="112"/>
        <v>0</v>
      </c>
      <c r="L114" s="9">
        <f t="shared" si="113"/>
        <v>0</v>
      </c>
      <c r="M114" s="11">
        <f>$M$112</f>
        <v>0.1</v>
      </c>
      <c r="N114" s="9">
        <f t="shared" si="114"/>
        <v>0</v>
      </c>
      <c r="O114" s="12">
        <f t="shared" si="115"/>
        <v>0</v>
      </c>
      <c r="P114" s="13" t="str">
        <f t="shared" si="69"/>
        <v>NO</v>
      </c>
      <c r="Q114">
        <f>IF(D114="INCLUIDO",IF(F114&lt;&gt;0,1,0),0)</f>
        <v>0</v>
      </c>
      <c r="R114">
        <f>IF(I114="%o Al Millar",1000,IF(I114="% Al Porciento",100,IF(I114="$ Prima",G114)))</f>
        <v>100</v>
      </c>
      <c r="S114">
        <f t="shared" si="116"/>
        <v>1</v>
      </c>
    </row>
    <row r="115" spans="1:22" s="18" customFormat="1" ht="15" customHeight="1" thickBot="1" x14ac:dyDescent="0.35">
      <c r="A115" s="24"/>
      <c r="B115" s="26"/>
      <c r="C115" s="15" t="s">
        <v>1177</v>
      </c>
      <c r="D115" s="38" t="str">
        <f>D114</f>
        <v>INCLUIDO</v>
      </c>
      <c r="E115" s="38"/>
      <c r="F115" s="16">
        <f>SUMIF(E113:E114,"Adicional",F113:F114)</f>
        <v>0</v>
      </c>
      <c r="G115" s="17"/>
      <c r="H115" s="16">
        <f>SUM(H113:H114)</f>
        <v>1.4285714285714286</v>
      </c>
      <c r="I115" s="16"/>
      <c r="J115" s="16">
        <f t="shared" ref="J115:L115" si="117">SUM(J113:J114)</f>
        <v>3.0142857142857145E-2</v>
      </c>
      <c r="K115" s="16">
        <f t="shared" si="117"/>
        <v>0.23339428571428575</v>
      </c>
      <c r="L115" s="16">
        <f t="shared" si="117"/>
        <v>1.69</v>
      </c>
      <c r="M115" s="16" t="s">
        <v>1178</v>
      </c>
      <c r="N115" s="16">
        <f t="shared" ref="N115:O115" si="118">SUM(N113:N114)</f>
        <v>0.14285714285714288</v>
      </c>
      <c r="O115" s="84">
        <f t="shared" si="118"/>
        <v>0.14285714285714288</v>
      </c>
      <c r="P115" s="13" t="str">
        <f t="shared" si="69"/>
        <v>SI</v>
      </c>
      <c r="Q115">
        <f>IF(D115="INCLUIDO",IF(H115&lt;&gt;0,1,0),0)</f>
        <v>1</v>
      </c>
    </row>
    <row r="116" spans="1:22" ht="15" thickBot="1" x14ac:dyDescent="0.35">
      <c r="A116" s="82">
        <v>905</v>
      </c>
      <c r="B116" s="33">
        <v>5</v>
      </c>
      <c r="C116" s="19" t="s">
        <v>1239</v>
      </c>
      <c r="D116" s="23" t="str">
        <f>$D$100</f>
        <v>INCLUIDO</v>
      </c>
      <c r="E116" s="91"/>
      <c r="F116" s="132">
        <f>'COTIZACIÓN M.N.'!D85</f>
        <v>270000</v>
      </c>
      <c r="G116" s="132">
        <f>'COTIZACIÓN M.N.'!E85/'Ubicaciones total (2)'!A366</f>
        <v>6.3945054945054938E-3</v>
      </c>
      <c r="H116" s="28"/>
      <c r="I116" s="28"/>
      <c r="J116" s="28"/>
      <c r="K116" s="28"/>
      <c r="L116" s="28"/>
      <c r="M116" s="68">
        <f>M100</f>
        <v>0.1</v>
      </c>
      <c r="N116" s="28"/>
      <c r="O116" s="83"/>
      <c r="P116" s="13" t="str">
        <f t="shared" si="69"/>
        <v>SI</v>
      </c>
      <c r="Q116" s="48">
        <f t="shared" ref="Q116:Q121" si="119">IF(D116="INCLUIDO",IF(F116&lt;&gt;0,1,0),0)</f>
        <v>1</v>
      </c>
      <c r="T116" s="142">
        <f>G116</f>
        <v>6.3945054945054938E-3</v>
      </c>
    </row>
    <row r="117" spans="1:22" x14ac:dyDescent="0.3">
      <c r="A117" s="34" t="s">
        <v>1233</v>
      </c>
      <c r="B117" s="36">
        <v>82</v>
      </c>
      <c r="C117" s="29" t="s">
        <v>1240</v>
      </c>
      <c r="D117" s="29" t="str">
        <f>$D$100</f>
        <v>INCLUIDO</v>
      </c>
      <c r="E117" s="27" t="s">
        <v>1137</v>
      </c>
      <c r="F117" s="20">
        <f>$F$116*S117</f>
        <v>270000</v>
      </c>
      <c r="G117" s="21">
        <f>V117</f>
        <v>2.557802197802197E-3</v>
      </c>
      <c r="H117" s="9">
        <f t="shared" ref="H117:H119" si="120">(((IF(I117="$ Prima",G117,G117*F117/R117))*$U$9)/365)*$J$15</f>
        <v>6.9249866626524144</v>
      </c>
      <c r="I117" s="9" t="s">
        <v>1235</v>
      </c>
      <c r="J117" s="9">
        <f t="shared" ref="J117:J121" si="121">H117*$U$7</f>
        <v>0.14611721858196594</v>
      </c>
      <c r="K117" s="9">
        <f t="shared" ref="K117:K121" si="122">(H117+J117)*$K$15</f>
        <v>1.1313766209975009</v>
      </c>
      <c r="L117" s="9">
        <f t="shared" ref="L117:L121" si="123">ROUND(H117+J117+K117,2)</f>
        <v>8.1999999999999993</v>
      </c>
      <c r="M117" s="11">
        <f>$M$116</f>
        <v>0.1</v>
      </c>
      <c r="N117" s="9">
        <f t="shared" ref="N117:N121" si="124">H117*M117</f>
        <v>0.69249866626524148</v>
      </c>
      <c r="O117" s="12">
        <f t="shared" ref="O117:O121" si="125">N117</f>
        <v>0.69249866626524148</v>
      </c>
      <c r="P117" s="13" t="str">
        <f t="shared" si="69"/>
        <v>SI</v>
      </c>
      <c r="Q117">
        <f t="shared" si="119"/>
        <v>1</v>
      </c>
      <c r="R117">
        <f>IF(I117="%o Al Millar",1000,IF(I117="% Al Porciento",100,IF(I117="$ Prima",G117)))</f>
        <v>100</v>
      </c>
      <c r="S117">
        <f t="shared" ref="S117:S121" si="126">IF(E117="Excluido",0,IF(D117="NO APLICA",0,1))</f>
        <v>1</v>
      </c>
      <c r="T117" s="110">
        <v>0.4</v>
      </c>
      <c r="U117" s="111">
        <f>IF(E117="Excluido",0,$T$116*T117)</f>
        <v>2.5578021978021979E-3</v>
      </c>
      <c r="V117" s="111">
        <f>IF(F116=0,0,(U120-U118-U119)+(T116-U120))</f>
        <v>2.557802197802197E-3</v>
      </c>
    </row>
    <row r="118" spans="1:22" x14ac:dyDescent="0.3">
      <c r="A118" s="34" t="s">
        <v>1233</v>
      </c>
      <c r="B118" s="36">
        <v>83</v>
      </c>
      <c r="C118" s="29" t="s">
        <v>1241</v>
      </c>
      <c r="D118" s="29" t="str">
        <f>$D$100</f>
        <v>INCLUIDO</v>
      </c>
      <c r="E118" s="27" t="s">
        <v>1137</v>
      </c>
      <c r="F118" s="20">
        <f>$F$117*S118</f>
        <v>270000</v>
      </c>
      <c r="G118" s="21">
        <f t="shared" ref="G118:G119" si="127">V118</f>
        <v>2.5578021978021979E-3</v>
      </c>
      <c r="H118" s="9">
        <f t="shared" si="120"/>
        <v>6.924986662652417</v>
      </c>
      <c r="I118" s="9" t="str">
        <f>I117</f>
        <v>% Al Porciento</v>
      </c>
      <c r="J118" s="9">
        <f t="shared" si="121"/>
        <v>0.146117218581966</v>
      </c>
      <c r="K118" s="9">
        <f t="shared" si="122"/>
        <v>1.1313766209975014</v>
      </c>
      <c r="L118" s="9">
        <f t="shared" si="123"/>
        <v>8.1999999999999993</v>
      </c>
      <c r="M118" s="11">
        <f t="shared" ref="M118:M121" si="128">$M$116</f>
        <v>0.1</v>
      </c>
      <c r="N118" s="9">
        <f t="shared" si="124"/>
        <v>0.6924986662652417</v>
      </c>
      <c r="O118" s="12">
        <f t="shared" si="125"/>
        <v>0.6924986662652417</v>
      </c>
      <c r="P118" s="13" t="str">
        <f t="shared" si="69"/>
        <v>SI</v>
      </c>
      <c r="Q118">
        <f t="shared" si="119"/>
        <v>1</v>
      </c>
      <c r="R118">
        <f>IF(I118="%o Al Millar",1000,IF(I118="% Al Porciento",100,IF(I118="$ Prima",G118)))</f>
        <v>100</v>
      </c>
      <c r="S118">
        <f t="shared" si="126"/>
        <v>1</v>
      </c>
      <c r="T118" s="110">
        <v>0.4</v>
      </c>
      <c r="U118" s="111">
        <f t="shared" ref="U118:U119" si="129">IF(E118="Excluido",0,$T$116*T118)</f>
        <v>2.5578021978021979E-3</v>
      </c>
      <c r="V118" s="111">
        <f>IF($F$116=0,0,U118)</f>
        <v>2.5578021978021979E-3</v>
      </c>
    </row>
    <row r="119" spans="1:22" x14ac:dyDescent="0.3">
      <c r="A119" s="34" t="s">
        <v>1233</v>
      </c>
      <c r="B119" s="36">
        <v>79</v>
      </c>
      <c r="C119" s="29" t="s">
        <v>1242</v>
      </c>
      <c r="D119" s="29" t="str">
        <f t="shared" ref="D119:D121" si="130">$D$100</f>
        <v>INCLUIDO</v>
      </c>
      <c r="E119" s="27" t="s">
        <v>1137</v>
      </c>
      <c r="F119" s="20">
        <f>$F$117*S119</f>
        <v>270000</v>
      </c>
      <c r="G119" s="21">
        <f t="shared" si="127"/>
        <v>1.2789010989010989E-3</v>
      </c>
      <c r="H119" s="9">
        <f t="shared" si="120"/>
        <v>3.4624933313262085</v>
      </c>
      <c r="I119" s="9" t="str">
        <f>I117</f>
        <v>% Al Porciento</v>
      </c>
      <c r="J119" s="9">
        <f t="shared" si="121"/>
        <v>7.3058609290982998E-2</v>
      </c>
      <c r="K119" s="9">
        <f t="shared" si="122"/>
        <v>0.56568831049875068</v>
      </c>
      <c r="L119" s="9">
        <f t="shared" si="123"/>
        <v>4.0999999999999996</v>
      </c>
      <c r="M119" s="11">
        <f t="shared" si="128"/>
        <v>0.1</v>
      </c>
      <c r="N119" s="9">
        <f t="shared" si="124"/>
        <v>0.34624933313262085</v>
      </c>
      <c r="O119" s="12">
        <f t="shared" si="125"/>
        <v>0.34624933313262085</v>
      </c>
      <c r="P119" s="13" t="str">
        <f t="shared" si="69"/>
        <v>SI</v>
      </c>
      <c r="Q119">
        <f t="shared" si="119"/>
        <v>1</v>
      </c>
      <c r="R119">
        <f>IF(I119="%o Al Millar",1000,IF(I119="% Al Porciento",100,IF(I119="$ Prima",G119)))</f>
        <v>100</v>
      </c>
      <c r="S119">
        <f t="shared" si="126"/>
        <v>1</v>
      </c>
      <c r="T119" s="110">
        <v>0.2</v>
      </c>
      <c r="U119" s="111">
        <f t="shared" si="129"/>
        <v>1.2789010989010989E-3</v>
      </c>
      <c r="V119" s="111">
        <f>IF($F$116=0,0,U119)</f>
        <v>1.2789010989010989E-3</v>
      </c>
    </row>
    <row r="120" spans="1:22" ht="15" hidden="1" customHeight="1" thickBot="1" x14ac:dyDescent="0.35">
      <c r="A120" s="34" t="s">
        <v>1233</v>
      </c>
      <c r="B120" s="36">
        <v>80</v>
      </c>
      <c r="C120" s="29" t="s">
        <v>1243</v>
      </c>
      <c r="D120" s="29" t="str">
        <f t="shared" si="130"/>
        <v>INCLUIDO</v>
      </c>
      <c r="E120" s="27" t="s">
        <v>1186</v>
      </c>
      <c r="F120" s="43">
        <v>0</v>
      </c>
      <c r="G120" s="42">
        <v>0</v>
      </c>
      <c r="H120" s="9">
        <f t="shared" ref="H120:H121" si="131">(IF(I120="$ Prima",G120,G120*F120/R120))*$U$9</f>
        <v>0</v>
      </c>
      <c r="I120" s="9" t="s">
        <v>1235</v>
      </c>
      <c r="J120" s="9">
        <f t="shared" si="121"/>
        <v>0</v>
      </c>
      <c r="K120" s="9">
        <f t="shared" si="122"/>
        <v>0</v>
      </c>
      <c r="L120" s="9">
        <f t="shared" si="123"/>
        <v>0</v>
      </c>
      <c r="M120" s="11">
        <f t="shared" si="128"/>
        <v>0.1</v>
      </c>
      <c r="N120" s="9">
        <f t="shared" si="124"/>
        <v>0</v>
      </c>
      <c r="O120" s="12">
        <f t="shared" si="125"/>
        <v>0</v>
      </c>
      <c r="P120" s="13" t="str">
        <f t="shared" si="69"/>
        <v>NO</v>
      </c>
      <c r="Q120" s="48">
        <f t="shared" si="119"/>
        <v>0</v>
      </c>
      <c r="R120">
        <f>IF(I120="%o Al Millar",1000,IF(I120="% Al Porciento",100,IF(I120="$ Prima",G120)))</f>
        <v>100</v>
      </c>
      <c r="S120">
        <f t="shared" si="126"/>
        <v>0</v>
      </c>
      <c r="T120" s="143">
        <f>SUM(T117:T119)</f>
        <v>1</v>
      </c>
      <c r="U120" s="144">
        <f>SUM(U117:U119)</f>
        <v>6.3945054945054947E-3</v>
      </c>
      <c r="V120" s="145">
        <f>SUM(V117:V119)</f>
        <v>6.3945054945054938E-3</v>
      </c>
    </row>
    <row r="121" spans="1:22" ht="15" hidden="1" customHeight="1" x14ac:dyDescent="0.3">
      <c r="A121" s="34" t="s">
        <v>1233</v>
      </c>
      <c r="B121" s="36">
        <v>78</v>
      </c>
      <c r="C121" s="29" t="s">
        <v>1244</v>
      </c>
      <c r="D121" s="29" t="str">
        <f t="shared" si="130"/>
        <v>INCLUIDO</v>
      </c>
      <c r="E121" s="27" t="s">
        <v>1186</v>
      </c>
      <c r="F121" s="43">
        <v>0</v>
      </c>
      <c r="G121" s="42">
        <v>0</v>
      </c>
      <c r="H121" s="9">
        <f t="shared" si="131"/>
        <v>0</v>
      </c>
      <c r="I121" s="9" t="s">
        <v>1235</v>
      </c>
      <c r="J121" s="9">
        <f t="shared" si="121"/>
        <v>0</v>
      </c>
      <c r="K121" s="9">
        <f t="shared" si="122"/>
        <v>0</v>
      </c>
      <c r="L121" s="9">
        <f t="shared" si="123"/>
        <v>0</v>
      </c>
      <c r="M121" s="11">
        <f t="shared" si="128"/>
        <v>0.1</v>
      </c>
      <c r="N121" s="9">
        <f t="shared" si="124"/>
        <v>0</v>
      </c>
      <c r="O121" s="12">
        <f t="shared" si="125"/>
        <v>0</v>
      </c>
      <c r="P121" s="13" t="str">
        <f t="shared" si="69"/>
        <v>NO</v>
      </c>
      <c r="Q121" s="48">
        <f t="shared" si="119"/>
        <v>0</v>
      </c>
      <c r="R121">
        <f>IF(I121="%o Al Millar",1000,IF(I121="% Al Porciento",100,IF(I121="$ Prima",G121)))</f>
        <v>100</v>
      </c>
      <c r="S121">
        <f t="shared" si="126"/>
        <v>0</v>
      </c>
    </row>
    <row r="122" spans="1:22" s="18" customFormat="1" x14ac:dyDescent="0.3">
      <c r="A122" s="24"/>
      <c r="B122" s="26"/>
      <c r="C122" s="15" t="s">
        <v>1177</v>
      </c>
      <c r="D122" s="38" t="str">
        <f>D121</f>
        <v>INCLUIDO</v>
      </c>
      <c r="E122" s="38"/>
      <c r="F122" s="16">
        <f>SUMIF(E117:E121,"Adicional",F117:F121)</f>
        <v>0</v>
      </c>
      <c r="G122" s="17"/>
      <c r="H122" s="16">
        <f>SUM(H117:H121)</f>
        <v>17.312466656631038</v>
      </c>
      <c r="I122" s="16"/>
      <c r="J122" s="16">
        <f t="shared" ref="J122:L122" si="132">SUM(J117:J121)</f>
        <v>0.36529304645491495</v>
      </c>
      <c r="K122" s="16">
        <f t="shared" si="132"/>
        <v>2.8284415524937527</v>
      </c>
      <c r="L122" s="16">
        <f t="shared" si="132"/>
        <v>20.5</v>
      </c>
      <c r="M122" s="16" t="s">
        <v>1178</v>
      </c>
      <c r="N122" s="16">
        <f t="shared" ref="N122:O122" si="133">SUM(N117:N121)</f>
        <v>1.731246665663104</v>
      </c>
      <c r="O122" s="84">
        <f t="shared" si="133"/>
        <v>1.731246665663104</v>
      </c>
      <c r="P122" s="13" t="str">
        <f t="shared" si="69"/>
        <v>SI</v>
      </c>
      <c r="Q122">
        <f>IF(D122="INCLUIDO",IF(H122&lt;&gt;0,1,0),0)</f>
        <v>1</v>
      </c>
    </row>
    <row r="123" spans="1:22" ht="15" hidden="1" thickBot="1" x14ac:dyDescent="0.35">
      <c r="A123" s="82">
        <v>905</v>
      </c>
      <c r="B123" s="33">
        <v>6</v>
      </c>
      <c r="C123" s="19" t="s">
        <v>1245</v>
      </c>
      <c r="D123" s="23" t="str">
        <f>$D$100</f>
        <v>INCLUIDO</v>
      </c>
      <c r="E123" s="91"/>
      <c r="F123" s="132">
        <v>0</v>
      </c>
      <c r="G123" s="132">
        <v>0</v>
      </c>
      <c r="H123" s="28"/>
      <c r="I123" s="28"/>
      <c r="J123" s="28"/>
      <c r="K123" s="28"/>
      <c r="L123" s="28"/>
      <c r="M123" s="68">
        <v>0</v>
      </c>
      <c r="N123" s="28"/>
      <c r="O123" s="83"/>
      <c r="P123" s="13" t="str">
        <f t="shared" si="69"/>
        <v>NO</v>
      </c>
      <c r="Q123" s="48">
        <f t="shared" ref="Q123:Q128" si="134">IF(D123="INCLUIDO",IF(F123&lt;&gt;0,1,0),0)</f>
        <v>0</v>
      </c>
      <c r="S123">
        <f t="shared" ref="S123:S128" si="135">IF(E123="Excluido",0,IF(D123="NO APLICA",0,1))</f>
        <v>1</v>
      </c>
      <c r="T123" s="142">
        <f>G123</f>
        <v>0</v>
      </c>
    </row>
    <row r="124" spans="1:22" ht="15" hidden="1" customHeight="1" x14ac:dyDescent="0.3">
      <c r="A124" s="34" t="s">
        <v>1233</v>
      </c>
      <c r="B124" s="36">
        <v>88</v>
      </c>
      <c r="C124" s="29" t="s">
        <v>1240</v>
      </c>
      <c r="D124" s="29" t="str">
        <f>$D$100</f>
        <v>INCLUIDO</v>
      </c>
      <c r="E124" s="27" t="s">
        <v>1186</v>
      </c>
      <c r="F124" s="20">
        <f>$F$123*S124</f>
        <v>0</v>
      </c>
      <c r="G124" s="21">
        <f>V124</f>
        <v>0</v>
      </c>
      <c r="H124" s="9">
        <f t="shared" ref="H124:H128" si="136">(IF(I124="$ Prima",G124,G124*F124/R124))*$U$9</f>
        <v>0</v>
      </c>
      <c r="I124" s="9" t="s">
        <v>1235</v>
      </c>
      <c r="J124" s="9">
        <f t="shared" ref="J124:J128" si="137">H124*$U$7</f>
        <v>0</v>
      </c>
      <c r="K124" s="9">
        <f t="shared" ref="K124:K128" si="138">(H124+J124)*$K$15</f>
        <v>0</v>
      </c>
      <c r="L124" s="9">
        <f t="shared" ref="L124:L128" si="139">ROUND(H124+J124+K124,2)</f>
        <v>0</v>
      </c>
      <c r="M124" s="11">
        <f>$M$123</f>
        <v>0</v>
      </c>
      <c r="N124" s="9">
        <f t="shared" ref="N124:N128" si="140">H124*M124</f>
        <v>0</v>
      </c>
      <c r="O124" s="12">
        <f t="shared" ref="O124:O128" si="141">N124</f>
        <v>0</v>
      </c>
      <c r="P124" s="13" t="str">
        <f t="shared" si="69"/>
        <v>NO</v>
      </c>
      <c r="Q124">
        <f t="shared" si="134"/>
        <v>0</v>
      </c>
      <c r="R124">
        <f>IF(I124="%o Al Millar",1000,IF(I124="% Al Porciento",100,IF(I124="$ Prima",G124)))</f>
        <v>100</v>
      </c>
      <c r="S124">
        <f t="shared" si="135"/>
        <v>0</v>
      </c>
      <c r="T124" s="110">
        <v>0.9</v>
      </c>
      <c r="U124" s="111">
        <f>IF(E124="Excluido",0,$T$123*T124)</f>
        <v>0</v>
      </c>
      <c r="V124" s="111">
        <f>IF(F123=0,0,(U127-U125-U126)+(T123-U127))</f>
        <v>0</v>
      </c>
    </row>
    <row r="125" spans="1:22" ht="15" hidden="1" customHeight="1" x14ac:dyDescent="0.3">
      <c r="A125" s="34" t="s">
        <v>1233</v>
      </c>
      <c r="B125" s="36">
        <v>89</v>
      </c>
      <c r="C125" s="29" t="s">
        <v>1241</v>
      </c>
      <c r="D125" s="29" t="str">
        <f>$D$100</f>
        <v>INCLUIDO</v>
      </c>
      <c r="E125" s="27" t="s">
        <v>1186</v>
      </c>
      <c r="F125" s="20">
        <f>$F$124*S125</f>
        <v>0</v>
      </c>
      <c r="G125" s="21">
        <f t="shared" ref="G125:G126" si="142">V125</f>
        <v>0</v>
      </c>
      <c r="H125" s="9">
        <f t="shared" si="136"/>
        <v>0</v>
      </c>
      <c r="I125" s="9" t="s">
        <v>1235</v>
      </c>
      <c r="J125" s="9">
        <f t="shared" si="137"/>
        <v>0</v>
      </c>
      <c r="K125" s="9">
        <f t="shared" si="138"/>
        <v>0</v>
      </c>
      <c r="L125" s="9">
        <f t="shared" si="139"/>
        <v>0</v>
      </c>
      <c r="M125" s="11">
        <f t="shared" ref="M125:M128" si="143">$M$123</f>
        <v>0</v>
      </c>
      <c r="N125" s="9">
        <f t="shared" si="140"/>
        <v>0</v>
      </c>
      <c r="O125" s="12">
        <f t="shared" si="141"/>
        <v>0</v>
      </c>
      <c r="P125" s="13" t="str">
        <f t="shared" si="69"/>
        <v>NO</v>
      </c>
      <c r="Q125">
        <f t="shared" si="134"/>
        <v>0</v>
      </c>
      <c r="R125">
        <f>IF(I125="%o Al Millar",1000,IF(I125="% Al Porciento",100,IF(I125="$ Prima",G125)))</f>
        <v>100</v>
      </c>
      <c r="S125">
        <f t="shared" si="135"/>
        <v>0</v>
      </c>
      <c r="T125" s="110">
        <v>0.05</v>
      </c>
      <c r="U125" s="111">
        <f t="shared" ref="U125:U126" si="144">IF(E125="Excluido",0,$T$123*T125)</f>
        <v>0</v>
      </c>
      <c r="V125" s="111">
        <f>IF($F$123=0,0,U125)</f>
        <v>0</v>
      </c>
    </row>
    <row r="126" spans="1:22" ht="15" hidden="1" customHeight="1" thickBot="1" x14ac:dyDescent="0.35">
      <c r="A126" s="34" t="s">
        <v>1233</v>
      </c>
      <c r="B126" s="36">
        <v>85</v>
      </c>
      <c r="C126" s="29" t="s">
        <v>1242</v>
      </c>
      <c r="D126" s="29" t="str">
        <f t="shared" ref="D126:D128" si="145">$D$100</f>
        <v>INCLUIDO</v>
      </c>
      <c r="E126" s="27" t="s">
        <v>1186</v>
      </c>
      <c r="F126" s="20">
        <f>$F$124*S126</f>
        <v>0</v>
      </c>
      <c r="G126" s="21">
        <f t="shared" si="142"/>
        <v>0</v>
      </c>
      <c r="H126" s="9">
        <f t="shared" si="136"/>
        <v>0</v>
      </c>
      <c r="I126" s="9" t="s">
        <v>1235</v>
      </c>
      <c r="J126" s="9">
        <f t="shared" si="137"/>
        <v>0</v>
      </c>
      <c r="K126" s="9">
        <f t="shared" si="138"/>
        <v>0</v>
      </c>
      <c r="L126" s="9">
        <f t="shared" si="139"/>
        <v>0</v>
      </c>
      <c r="M126" s="11">
        <f t="shared" si="143"/>
        <v>0</v>
      </c>
      <c r="N126" s="9">
        <f t="shared" si="140"/>
        <v>0</v>
      </c>
      <c r="O126" s="12">
        <f t="shared" si="141"/>
        <v>0</v>
      </c>
      <c r="P126" s="13" t="str">
        <f t="shared" si="69"/>
        <v>NO</v>
      </c>
      <c r="Q126">
        <f t="shared" si="134"/>
        <v>0</v>
      </c>
      <c r="R126">
        <f>IF(I126="%o Al Millar",1000,IF(I126="% Al Porciento",100,IF(I126="$ Prima",G126)))</f>
        <v>100</v>
      </c>
      <c r="S126">
        <f t="shared" si="135"/>
        <v>0</v>
      </c>
      <c r="T126" s="110">
        <v>0.05</v>
      </c>
      <c r="U126" s="111">
        <f t="shared" si="144"/>
        <v>0</v>
      </c>
      <c r="V126" s="111">
        <f>IF($F$123=0,0,U126)</f>
        <v>0</v>
      </c>
    </row>
    <row r="127" spans="1:22" ht="15" hidden="1" customHeight="1" thickBot="1" x14ac:dyDescent="0.35">
      <c r="A127" s="34" t="s">
        <v>1233</v>
      </c>
      <c r="B127" s="36">
        <v>86</v>
      </c>
      <c r="C127" s="29" t="s">
        <v>1243</v>
      </c>
      <c r="D127" s="29" t="str">
        <f t="shared" si="145"/>
        <v>INCLUIDO</v>
      </c>
      <c r="E127" s="27" t="s">
        <v>1186</v>
      </c>
      <c r="F127" s="43">
        <v>0</v>
      </c>
      <c r="G127" s="113">
        <v>0</v>
      </c>
      <c r="H127" s="9">
        <f t="shared" si="136"/>
        <v>0</v>
      </c>
      <c r="I127" s="9" t="s">
        <v>1235</v>
      </c>
      <c r="J127" s="9">
        <f t="shared" si="137"/>
        <v>0</v>
      </c>
      <c r="K127" s="9">
        <f t="shared" si="138"/>
        <v>0</v>
      </c>
      <c r="L127" s="9">
        <f t="shared" si="139"/>
        <v>0</v>
      </c>
      <c r="M127" s="11">
        <f t="shared" si="143"/>
        <v>0</v>
      </c>
      <c r="N127" s="9">
        <f t="shared" si="140"/>
        <v>0</v>
      </c>
      <c r="O127" s="12">
        <f t="shared" si="141"/>
        <v>0</v>
      </c>
      <c r="P127" s="13" t="str">
        <f t="shared" si="69"/>
        <v>NO</v>
      </c>
      <c r="Q127" s="48">
        <f t="shared" si="134"/>
        <v>0</v>
      </c>
      <c r="R127">
        <f>IF(I127="%o Al Millar",1000,IF(I127="% Al Porciento",100,IF(I127="$ Prima",G127)))</f>
        <v>100</v>
      </c>
      <c r="S127">
        <f t="shared" si="135"/>
        <v>0</v>
      </c>
      <c r="T127" s="143">
        <f>SUM(T124:T126)</f>
        <v>1</v>
      </c>
      <c r="U127" s="144">
        <f>SUM(U124:U126)</f>
        <v>0</v>
      </c>
      <c r="V127" s="145">
        <f>SUM(V124:V126)</f>
        <v>0</v>
      </c>
    </row>
    <row r="128" spans="1:22" ht="15" hidden="1" customHeight="1" x14ac:dyDescent="0.3">
      <c r="A128" s="34" t="s">
        <v>1233</v>
      </c>
      <c r="B128" s="36">
        <v>84</v>
      </c>
      <c r="C128" s="29" t="s">
        <v>1244</v>
      </c>
      <c r="D128" s="29" t="str">
        <f t="shared" si="145"/>
        <v>INCLUIDO</v>
      </c>
      <c r="E128" s="27" t="s">
        <v>1186</v>
      </c>
      <c r="F128" s="43">
        <v>0</v>
      </c>
      <c r="G128" s="113">
        <v>0</v>
      </c>
      <c r="H128" s="9">
        <f t="shared" si="136"/>
        <v>0</v>
      </c>
      <c r="I128" s="9" t="s">
        <v>1235</v>
      </c>
      <c r="J128" s="9">
        <f t="shared" si="137"/>
        <v>0</v>
      </c>
      <c r="K128" s="9">
        <f t="shared" si="138"/>
        <v>0</v>
      </c>
      <c r="L128" s="9">
        <f t="shared" si="139"/>
        <v>0</v>
      </c>
      <c r="M128" s="11">
        <f t="shared" si="143"/>
        <v>0</v>
      </c>
      <c r="N128" s="9">
        <f t="shared" si="140"/>
        <v>0</v>
      </c>
      <c r="O128" s="12">
        <f t="shared" si="141"/>
        <v>0</v>
      </c>
      <c r="P128" s="13" t="str">
        <f t="shared" si="69"/>
        <v>NO</v>
      </c>
      <c r="Q128" s="48">
        <f t="shared" si="134"/>
        <v>0</v>
      </c>
      <c r="R128">
        <f>IF(I128="%o Al Millar",1000,IF(I128="% Al Porciento",100,IF(I128="$ Prima",G128)))</f>
        <v>100</v>
      </c>
      <c r="S128">
        <f t="shared" si="135"/>
        <v>0</v>
      </c>
    </row>
    <row r="129" spans="1:19" s="18" customFormat="1" ht="15" hidden="1" customHeight="1" x14ac:dyDescent="0.3">
      <c r="A129" s="24"/>
      <c r="B129" s="26"/>
      <c r="C129" s="15" t="s">
        <v>1177</v>
      </c>
      <c r="D129" s="38" t="str">
        <f>D128</f>
        <v>INCLUIDO</v>
      </c>
      <c r="E129" s="38"/>
      <c r="F129" s="16">
        <f>SUMIF(E124:E128,"Adicional",F124:F128)</f>
        <v>0</v>
      </c>
      <c r="G129" s="17"/>
      <c r="H129" s="16">
        <f>SUM(H124:H128)</f>
        <v>0</v>
      </c>
      <c r="I129" s="16"/>
      <c r="J129" s="16">
        <f t="shared" ref="J129:L129" si="146">SUM(J124:J128)</f>
        <v>0</v>
      </c>
      <c r="K129" s="16">
        <f t="shared" si="146"/>
        <v>0</v>
      </c>
      <c r="L129" s="16">
        <f t="shared" si="146"/>
        <v>0</v>
      </c>
      <c r="M129" s="16" t="s">
        <v>1178</v>
      </c>
      <c r="N129" s="16">
        <f t="shared" ref="N129:O129" si="147">SUM(N124:N128)</f>
        <v>0</v>
      </c>
      <c r="O129" s="84">
        <f t="shared" si="147"/>
        <v>0</v>
      </c>
      <c r="P129" s="13" t="str">
        <f t="shared" si="69"/>
        <v>NO</v>
      </c>
      <c r="Q129">
        <f>IF(D129="INCLUIDO",IF(H129&lt;&gt;0,1,0),0)</f>
        <v>0</v>
      </c>
    </row>
    <row r="130" spans="1:19" x14ac:dyDescent="0.3">
      <c r="A130" s="82">
        <v>905</v>
      </c>
      <c r="B130" s="33">
        <v>7</v>
      </c>
      <c r="C130" s="19" t="s">
        <v>1246</v>
      </c>
      <c r="D130" s="23" t="str">
        <f>$D$100</f>
        <v>INCLUIDO</v>
      </c>
      <c r="E130" s="91"/>
      <c r="F130" s="208">
        <f>'COTIZACIÓN M.N.'!D88</f>
        <v>54000</v>
      </c>
      <c r="G130" s="28">
        <f>'COTIZACIÓN M.N.'!E88/'Ubicaciones total (2)'!A366</f>
        <v>3.2967032967032968E-2</v>
      </c>
      <c r="H130" s="28"/>
      <c r="I130" s="28"/>
      <c r="J130" s="28"/>
      <c r="K130" s="28"/>
      <c r="L130" s="28"/>
      <c r="M130" s="68">
        <f>M100</f>
        <v>0.1</v>
      </c>
      <c r="N130" s="28"/>
      <c r="O130" s="83"/>
      <c r="P130" s="13" t="str">
        <f t="shared" si="69"/>
        <v>SI</v>
      </c>
      <c r="Q130" s="47">
        <f>IF(D130="INCLUIDO",IF(F131&lt;&gt;0,1,0),0)</f>
        <v>1</v>
      </c>
    </row>
    <row r="131" spans="1:19" x14ac:dyDescent="0.3">
      <c r="A131" s="34" t="s">
        <v>1233</v>
      </c>
      <c r="B131" s="36">
        <v>92</v>
      </c>
      <c r="C131" s="29" t="s">
        <v>1247</v>
      </c>
      <c r="D131" s="29" t="str">
        <f>$D$100</f>
        <v>INCLUIDO</v>
      </c>
      <c r="E131" s="27" t="s">
        <v>1137</v>
      </c>
      <c r="F131" s="43">
        <f>F130</f>
        <v>54000</v>
      </c>
      <c r="G131" s="43">
        <f>G130</f>
        <v>3.2967032967032968E-2</v>
      </c>
      <c r="H131" s="9">
        <f>(((IF(I131="$ Prima",G131,G131*F131/R131))*$U$9)/365)*$J$15</f>
        <v>17.850970946861359</v>
      </c>
      <c r="I131" s="9" t="s">
        <v>1235</v>
      </c>
      <c r="J131" s="9">
        <f t="shared" ref="J131:J136" si="148">H131*$U$7</f>
        <v>0.37665548697877471</v>
      </c>
      <c r="K131" s="9">
        <f t="shared" ref="K131:K136" si="149">(H131+J131)*$K$15</f>
        <v>2.9164202294144213</v>
      </c>
      <c r="L131" s="9">
        <f t="shared" ref="L131:L136" si="150">ROUND(H131+J131+K131,2)</f>
        <v>21.14</v>
      </c>
      <c r="M131" s="11">
        <f>$M$130</f>
        <v>0.1</v>
      </c>
      <c r="N131" s="9">
        <f t="shared" ref="N131:N136" si="151">H131*M131</f>
        <v>1.785097094686136</v>
      </c>
      <c r="O131" s="12">
        <f t="shared" ref="O131:O136" si="152">N131</f>
        <v>1.785097094686136</v>
      </c>
      <c r="P131" s="13" t="str">
        <f t="shared" si="69"/>
        <v>SI</v>
      </c>
      <c r="Q131" s="48">
        <f t="shared" ref="Q131:Q136" si="153">IF(D131="INCLUIDO",IF(F131&lt;&gt;0,1,0),0)</f>
        <v>1</v>
      </c>
      <c r="R131">
        <f t="shared" ref="R131:R136" si="154">IF(I131="%o Al Millar",1000,IF(I131="% Al Porciento",100,IF(I131="$ Prima",G131)))</f>
        <v>100</v>
      </c>
      <c r="S131">
        <f t="shared" ref="S131:S136" si="155">IF(E131="Excluido",0,IF(D131="NO APLICA",0,1))</f>
        <v>1</v>
      </c>
    </row>
    <row r="132" spans="1:19" ht="15" hidden="1" customHeight="1" x14ac:dyDescent="0.3">
      <c r="A132" s="34" t="s">
        <v>1233</v>
      </c>
      <c r="B132" s="36">
        <v>91</v>
      </c>
      <c r="C132" s="29" t="s">
        <v>1248</v>
      </c>
      <c r="D132" s="29" t="str">
        <f>$D$100</f>
        <v>INCLUIDO</v>
      </c>
      <c r="E132" s="27" t="s">
        <v>1186</v>
      </c>
      <c r="F132" s="43">
        <v>0</v>
      </c>
      <c r="G132" s="42">
        <v>0</v>
      </c>
      <c r="H132" s="9">
        <f t="shared" ref="H132:H136" si="156">(IF(I132="$ Prima",G132,G132*F132/R132))*$U$9</f>
        <v>0</v>
      </c>
      <c r="I132" s="9" t="s">
        <v>1235</v>
      </c>
      <c r="J132" s="9">
        <f t="shared" si="148"/>
        <v>0</v>
      </c>
      <c r="K132" s="9">
        <f t="shared" si="149"/>
        <v>0</v>
      </c>
      <c r="L132" s="9">
        <f t="shared" si="150"/>
        <v>0</v>
      </c>
      <c r="M132" s="11">
        <f t="shared" ref="M132:M136" si="157">$M$130</f>
        <v>0.1</v>
      </c>
      <c r="N132" s="9">
        <f t="shared" si="151"/>
        <v>0</v>
      </c>
      <c r="O132" s="12">
        <f t="shared" si="152"/>
        <v>0</v>
      </c>
      <c r="P132" s="13" t="str">
        <f t="shared" si="69"/>
        <v>NO</v>
      </c>
      <c r="Q132" s="48">
        <f t="shared" si="153"/>
        <v>0</v>
      </c>
      <c r="R132">
        <f t="shared" si="154"/>
        <v>100</v>
      </c>
      <c r="S132">
        <f t="shared" si="155"/>
        <v>0</v>
      </c>
    </row>
    <row r="133" spans="1:19" ht="15" hidden="1" customHeight="1" x14ac:dyDescent="0.3">
      <c r="A133" s="34" t="s">
        <v>1233</v>
      </c>
      <c r="B133" s="36">
        <v>96</v>
      </c>
      <c r="C133" s="29" t="s">
        <v>1249</v>
      </c>
      <c r="D133" s="29" t="str">
        <f t="shared" ref="D133:D136" si="158">$D$100</f>
        <v>INCLUIDO</v>
      </c>
      <c r="E133" s="27" t="s">
        <v>1186</v>
      </c>
      <c r="F133" s="43">
        <v>0</v>
      </c>
      <c r="G133" s="42">
        <v>0</v>
      </c>
      <c r="H133" s="9">
        <f t="shared" si="156"/>
        <v>0</v>
      </c>
      <c r="I133" s="9" t="s">
        <v>1235</v>
      </c>
      <c r="J133" s="9">
        <f t="shared" si="148"/>
        <v>0</v>
      </c>
      <c r="K133" s="9">
        <f t="shared" si="149"/>
        <v>0</v>
      </c>
      <c r="L133" s="9">
        <f t="shared" si="150"/>
        <v>0</v>
      </c>
      <c r="M133" s="11">
        <f t="shared" si="157"/>
        <v>0.1</v>
      </c>
      <c r="N133" s="9">
        <f t="shared" si="151"/>
        <v>0</v>
      </c>
      <c r="O133" s="12">
        <f t="shared" si="152"/>
        <v>0</v>
      </c>
      <c r="P133" s="13" t="str">
        <f t="shared" si="69"/>
        <v>NO</v>
      </c>
      <c r="Q133" s="48">
        <f t="shared" si="153"/>
        <v>0</v>
      </c>
      <c r="R133">
        <f t="shared" si="154"/>
        <v>100</v>
      </c>
      <c r="S133">
        <f t="shared" si="155"/>
        <v>0</v>
      </c>
    </row>
    <row r="134" spans="1:19" ht="22.5" hidden="1" customHeight="1" x14ac:dyDescent="0.3">
      <c r="A134" s="34" t="s">
        <v>1233</v>
      </c>
      <c r="B134" s="36">
        <v>94</v>
      </c>
      <c r="C134" s="29" t="s">
        <v>1250</v>
      </c>
      <c r="D134" s="29" t="str">
        <f t="shared" si="158"/>
        <v>INCLUIDO</v>
      </c>
      <c r="E134" s="27" t="s">
        <v>1186</v>
      </c>
      <c r="F134" s="43">
        <v>0</v>
      </c>
      <c r="G134" s="42">
        <v>0</v>
      </c>
      <c r="H134" s="9">
        <f t="shared" si="156"/>
        <v>0</v>
      </c>
      <c r="I134" s="9" t="s">
        <v>1235</v>
      </c>
      <c r="J134" s="9">
        <f t="shared" si="148"/>
        <v>0</v>
      </c>
      <c r="K134" s="9">
        <f t="shared" si="149"/>
        <v>0</v>
      </c>
      <c r="L134" s="9">
        <f t="shared" si="150"/>
        <v>0</v>
      </c>
      <c r="M134" s="11">
        <f t="shared" si="157"/>
        <v>0.1</v>
      </c>
      <c r="N134" s="9">
        <f t="shared" si="151"/>
        <v>0</v>
      </c>
      <c r="O134" s="12">
        <f t="shared" si="152"/>
        <v>0</v>
      </c>
      <c r="P134" s="13" t="str">
        <f t="shared" si="69"/>
        <v>NO</v>
      </c>
      <c r="Q134" s="48">
        <f t="shared" si="153"/>
        <v>0</v>
      </c>
      <c r="R134">
        <f t="shared" si="154"/>
        <v>100</v>
      </c>
      <c r="S134">
        <f t="shared" si="155"/>
        <v>0</v>
      </c>
    </row>
    <row r="135" spans="1:19" ht="15" hidden="1" customHeight="1" x14ac:dyDescent="0.3">
      <c r="A135" s="34" t="s">
        <v>1233</v>
      </c>
      <c r="B135" s="36">
        <v>93</v>
      </c>
      <c r="C135" s="29" t="s">
        <v>1251</v>
      </c>
      <c r="D135" s="29" t="str">
        <f t="shared" si="158"/>
        <v>INCLUIDO</v>
      </c>
      <c r="E135" s="27" t="s">
        <v>1186</v>
      </c>
      <c r="F135" s="43">
        <v>0</v>
      </c>
      <c r="G135" s="42">
        <v>0</v>
      </c>
      <c r="H135" s="9">
        <f t="shared" si="156"/>
        <v>0</v>
      </c>
      <c r="I135" s="9" t="s">
        <v>1235</v>
      </c>
      <c r="J135" s="9">
        <f t="shared" si="148"/>
        <v>0</v>
      </c>
      <c r="K135" s="9">
        <f t="shared" si="149"/>
        <v>0</v>
      </c>
      <c r="L135" s="9">
        <f t="shared" si="150"/>
        <v>0</v>
      </c>
      <c r="M135" s="11">
        <f t="shared" si="157"/>
        <v>0.1</v>
      </c>
      <c r="N135" s="9">
        <f t="shared" si="151"/>
        <v>0</v>
      </c>
      <c r="O135" s="12">
        <f t="shared" si="152"/>
        <v>0</v>
      </c>
      <c r="P135" s="13" t="str">
        <f t="shared" si="69"/>
        <v>NO</v>
      </c>
      <c r="Q135" s="48">
        <f t="shared" si="153"/>
        <v>0</v>
      </c>
      <c r="R135">
        <f t="shared" si="154"/>
        <v>100</v>
      </c>
      <c r="S135">
        <f t="shared" si="155"/>
        <v>0</v>
      </c>
    </row>
    <row r="136" spans="1:19" ht="15" hidden="1" customHeight="1" x14ac:dyDescent="0.3">
      <c r="A136" s="34" t="s">
        <v>1233</v>
      </c>
      <c r="B136" s="36">
        <v>95</v>
      </c>
      <c r="C136" s="29" t="s">
        <v>1252</v>
      </c>
      <c r="D136" s="29" t="str">
        <f t="shared" si="158"/>
        <v>INCLUIDO</v>
      </c>
      <c r="E136" s="27" t="s">
        <v>1186</v>
      </c>
      <c r="F136" s="43">
        <v>0</v>
      </c>
      <c r="G136" s="42">
        <v>0</v>
      </c>
      <c r="H136" s="9">
        <f t="shared" si="156"/>
        <v>0</v>
      </c>
      <c r="I136" s="9" t="s">
        <v>1235</v>
      </c>
      <c r="J136" s="9">
        <f t="shared" si="148"/>
        <v>0</v>
      </c>
      <c r="K136" s="9">
        <f t="shared" si="149"/>
        <v>0</v>
      </c>
      <c r="L136" s="9">
        <f t="shared" si="150"/>
        <v>0</v>
      </c>
      <c r="M136" s="11">
        <f t="shared" si="157"/>
        <v>0.1</v>
      </c>
      <c r="N136" s="9">
        <f t="shared" si="151"/>
        <v>0</v>
      </c>
      <c r="O136" s="12">
        <f t="shared" si="152"/>
        <v>0</v>
      </c>
      <c r="P136" s="13" t="str">
        <f t="shared" si="69"/>
        <v>NO</v>
      </c>
      <c r="Q136" s="48">
        <f t="shared" si="153"/>
        <v>0</v>
      </c>
      <c r="R136">
        <f t="shared" si="154"/>
        <v>100</v>
      </c>
      <c r="S136">
        <f t="shared" si="155"/>
        <v>0</v>
      </c>
    </row>
    <row r="137" spans="1:19" s="18" customFormat="1" ht="15" thickBot="1" x14ac:dyDescent="0.35">
      <c r="A137" s="24"/>
      <c r="B137" s="26"/>
      <c r="C137" s="15" t="s">
        <v>1177</v>
      </c>
      <c r="D137" s="38" t="str">
        <f>D136</f>
        <v>INCLUIDO</v>
      </c>
      <c r="E137" s="38"/>
      <c r="F137" s="16">
        <f>SUMIF(E131:E136,"Adicional",F131:F136)</f>
        <v>0</v>
      </c>
      <c r="G137" s="17"/>
      <c r="H137" s="16">
        <f>SUM(H131:H136)</f>
        <v>17.850970946861359</v>
      </c>
      <c r="I137" s="16"/>
      <c r="J137" s="16">
        <f t="shared" ref="J137:L137" si="159">SUM(J131:J136)</f>
        <v>0.37665548697877471</v>
      </c>
      <c r="K137" s="16">
        <f t="shared" si="159"/>
        <v>2.9164202294144213</v>
      </c>
      <c r="L137" s="16">
        <f t="shared" si="159"/>
        <v>21.14</v>
      </c>
      <c r="M137" s="16" t="s">
        <v>1178</v>
      </c>
      <c r="N137" s="16">
        <f t="shared" ref="N137:O137" si="160">SUM(N131:N136)</f>
        <v>1.785097094686136</v>
      </c>
      <c r="O137" s="84">
        <f t="shared" si="160"/>
        <v>1.785097094686136</v>
      </c>
      <c r="P137" s="13" t="str">
        <f t="shared" si="69"/>
        <v>SI</v>
      </c>
      <c r="Q137">
        <f>IF(D137="INCLUIDO",IF(H137&lt;&gt;0,1,0),0)</f>
        <v>1</v>
      </c>
    </row>
    <row r="138" spans="1:19" ht="15" hidden="1" customHeight="1" x14ac:dyDescent="0.3">
      <c r="A138" s="82">
        <v>905</v>
      </c>
      <c r="B138" s="33">
        <v>8</v>
      </c>
      <c r="C138" s="19" t="s">
        <v>1253</v>
      </c>
      <c r="D138" s="23" t="str">
        <f>$D$100</f>
        <v>INCLUIDO</v>
      </c>
      <c r="E138" s="91"/>
      <c r="F138" s="28"/>
      <c r="G138" s="28"/>
      <c r="H138" s="28"/>
      <c r="I138" s="28"/>
      <c r="J138" s="28"/>
      <c r="K138" s="28"/>
      <c r="L138" s="28"/>
      <c r="M138" s="68">
        <v>0</v>
      </c>
      <c r="N138" s="28"/>
      <c r="O138" s="83"/>
      <c r="P138" s="13" t="str">
        <f t="shared" si="69"/>
        <v>NO</v>
      </c>
      <c r="Q138" s="47">
        <f>IF(D138="INCLUIDO",IF(F139&lt;&gt;0,1,0),0)</f>
        <v>0</v>
      </c>
    </row>
    <row r="139" spans="1:19" ht="15" hidden="1" customHeight="1" x14ac:dyDescent="0.3">
      <c r="A139" s="34" t="s">
        <v>1233</v>
      </c>
      <c r="B139" s="36">
        <v>99</v>
      </c>
      <c r="C139" s="29" t="s">
        <v>1247</v>
      </c>
      <c r="D139" s="29" t="str">
        <f>$D$100</f>
        <v>INCLUIDO</v>
      </c>
      <c r="E139" s="27" t="s">
        <v>1186</v>
      </c>
      <c r="F139" s="43">
        <v>0</v>
      </c>
      <c r="G139" s="43">
        <v>0</v>
      </c>
      <c r="H139" s="9">
        <f t="shared" ref="H139:H144" si="161">(IF(I139="$ Prima",G139,G139*F139/R139))*$U$9</f>
        <v>0</v>
      </c>
      <c r="I139" s="9" t="s">
        <v>1235</v>
      </c>
      <c r="J139" s="9">
        <f t="shared" ref="J139:J144" si="162">H139*$U$7</f>
        <v>0</v>
      </c>
      <c r="K139" s="9">
        <f t="shared" ref="K139:K144" si="163">(H139+J139)*$K$15</f>
        <v>0</v>
      </c>
      <c r="L139" s="9">
        <f t="shared" ref="L139:L144" si="164">ROUND(H139+J139+K139,2)</f>
        <v>0</v>
      </c>
      <c r="M139" s="11">
        <f>$M$138</f>
        <v>0</v>
      </c>
      <c r="N139" s="9">
        <f t="shared" ref="N139:N144" si="165">H139*M139</f>
        <v>0</v>
      </c>
      <c r="O139" s="12">
        <f t="shared" ref="O139:O144" si="166">N139</f>
        <v>0</v>
      </c>
      <c r="P139" s="13" t="str">
        <f t="shared" si="69"/>
        <v>NO</v>
      </c>
      <c r="Q139" s="48">
        <f t="shared" ref="Q139:Q144" si="167">IF(D139="INCLUIDO",IF(F139&lt;&gt;0,1,0),0)</f>
        <v>0</v>
      </c>
      <c r="R139">
        <f t="shared" ref="R139:R144" si="168">IF(I139="%o Al Millar",1000,IF(I139="% Al Porciento",100,IF(I139="$ Prima",G139)))</f>
        <v>100</v>
      </c>
      <c r="S139">
        <f t="shared" ref="S139:S144" si="169">IF(E139="Excluido",0,IF(D139="NO APLICA",0,1))</f>
        <v>0</v>
      </c>
    </row>
    <row r="140" spans="1:19" ht="15" hidden="1" customHeight="1" x14ac:dyDescent="0.3">
      <c r="A140" s="34" t="s">
        <v>1233</v>
      </c>
      <c r="B140" s="36">
        <v>98</v>
      </c>
      <c r="C140" s="29" t="s">
        <v>1248</v>
      </c>
      <c r="D140" s="29" t="str">
        <f>$D$100</f>
        <v>INCLUIDO</v>
      </c>
      <c r="E140" s="27" t="s">
        <v>1186</v>
      </c>
      <c r="F140" s="43">
        <v>0</v>
      </c>
      <c r="G140" s="42">
        <v>0</v>
      </c>
      <c r="H140" s="9">
        <f t="shared" si="161"/>
        <v>0</v>
      </c>
      <c r="I140" s="9" t="s">
        <v>1235</v>
      </c>
      <c r="J140" s="9">
        <f t="shared" si="162"/>
        <v>0</v>
      </c>
      <c r="K140" s="9">
        <f t="shared" si="163"/>
        <v>0</v>
      </c>
      <c r="L140" s="9">
        <f t="shared" si="164"/>
        <v>0</v>
      </c>
      <c r="M140" s="11">
        <f t="shared" ref="M140:M144" si="170">$M$138</f>
        <v>0</v>
      </c>
      <c r="N140" s="9">
        <f t="shared" si="165"/>
        <v>0</v>
      </c>
      <c r="O140" s="12">
        <f t="shared" si="166"/>
        <v>0</v>
      </c>
      <c r="P140" s="13" t="str">
        <f t="shared" si="69"/>
        <v>NO</v>
      </c>
      <c r="Q140" s="48">
        <f t="shared" si="167"/>
        <v>0</v>
      </c>
      <c r="R140">
        <f t="shared" si="168"/>
        <v>100</v>
      </c>
      <c r="S140">
        <f t="shared" si="169"/>
        <v>0</v>
      </c>
    </row>
    <row r="141" spans="1:19" ht="15" hidden="1" customHeight="1" x14ac:dyDescent="0.3">
      <c r="A141" s="34" t="s">
        <v>1233</v>
      </c>
      <c r="B141" s="36">
        <v>103</v>
      </c>
      <c r="C141" s="29" t="s">
        <v>1249</v>
      </c>
      <c r="D141" s="29" t="str">
        <f t="shared" ref="D141:D144" si="171">$D$100</f>
        <v>INCLUIDO</v>
      </c>
      <c r="E141" s="27" t="s">
        <v>1186</v>
      </c>
      <c r="F141" s="43">
        <v>0</v>
      </c>
      <c r="G141" s="42">
        <v>0</v>
      </c>
      <c r="H141" s="9">
        <f t="shared" si="161"/>
        <v>0</v>
      </c>
      <c r="I141" s="9" t="s">
        <v>1235</v>
      </c>
      <c r="J141" s="9">
        <f t="shared" si="162"/>
        <v>0</v>
      </c>
      <c r="K141" s="9">
        <f t="shared" si="163"/>
        <v>0</v>
      </c>
      <c r="L141" s="9">
        <f t="shared" si="164"/>
        <v>0</v>
      </c>
      <c r="M141" s="11">
        <f t="shared" si="170"/>
        <v>0</v>
      </c>
      <c r="N141" s="9">
        <f t="shared" si="165"/>
        <v>0</v>
      </c>
      <c r="O141" s="12">
        <f t="shared" si="166"/>
        <v>0</v>
      </c>
      <c r="P141" s="13" t="str">
        <f t="shared" si="69"/>
        <v>NO</v>
      </c>
      <c r="Q141" s="48">
        <f t="shared" si="167"/>
        <v>0</v>
      </c>
      <c r="R141">
        <f t="shared" si="168"/>
        <v>100</v>
      </c>
      <c r="S141">
        <f t="shared" si="169"/>
        <v>0</v>
      </c>
    </row>
    <row r="142" spans="1:19" ht="22.5" hidden="1" customHeight="1" x14ac:dyDescent="0.3">
      <c r="A142" s="34" t="s">
        <v>1233</v>
      </c>
      <c r="B142" s="36">
        <v>101</v>
      </c>
      <c r="C142" s="29" t="s">
        <v>1250</v>
      </c>
      <c r="D142" s="29" t="str">
        <f t="shared" si="171"/>
        <v>INCLUIDO</v>
      </c>
      <c r="E142" s="27" t="s">
        <v>1186</v>
      </c>
      <c r="F142" s="43">
        <v>0</v>
      </c>
      <c r="G142" s="42">
        <v>0</v>
      </c>
      <c r="H142" s="9">
        <f t="shared" si="161"/>
        <v>0</v>
      </c>
      <c r="I142" s="9" t="s">
        <v>1235</v>
      </c>
      <c r="J142" s="9">
        <f t="shared" si="162"/>
        <v>0</v>
      </c>
      <c r="K142" s="9">
        <f t="shared" si="163"/>
        <v>0</v>
      </c>
      <c r="L142" s="9">
        <f t="shared" si="164"/>
        <v>0</v>
      </c>
      <c r="M142" s="11">
        <f t="shared" si="170"/>
        <v>0</v>
      </c>
      <c r="N142" s="9">
        <f t="shared" si="165"/>
        <v>0</v>
      </c>
      <c r="O142" s="12">
        <f t="shared" si="166"/>
        <v>0</v>
      </c>
      <c r="P142" s="13" t="str">
        <f t="shared" si="69"/>
        <v>NO</v>
      </c>
      <c r="Q142" s="48">
        <f t="shared" si="167"/>
        <v>0</v>
      </c>
      <c r="R142">
        <f t="shared" si="168"/>
        <v>100</v>
      </c>
      <c r="S142">
        <f t="shared" si="169"/>
        <v>0</v>
      </c>
    </row>
    <row r="143" spans="1:19" ht="15" hidden="1" customHeight="1" x14ac:dyDescent="0.3">
      <c r="A143" s="34" t="s">
        <v>1233</v>
      </c>
      <c r="B143" s="36">
        <v>102</v>
      </c>
      <c r="C143" s="29" t="s">
        <v>1252</v>
      </c>
      <c r="D143" s="29" t="str">
        <f t="shared" si="171"/>
        <v>INCLUIDO</v>
      </c>
      <c r="E143" s="27" t="s">
        <v>1186</v>
      </c>
      <c r="F143" s="43">
        <v>0</v>
      </c>
      <c r="G143" s="42">
        <v>0</v>
      </c>
      <c r="H143" s="9">
        <f t="shared" si="161"/>
        <v>0</v>
      </c>
      <c r="I143" s="9" t="s">
        <v>1235</v>
      </c>
      <c r="J143" s="9">
        <f t="shared" si="162"/>
        <v>0</v>
      </c>
      <c r="K143" s="9">
        <f t="shared" si="163"/>
        <v>0</v>
      </c>
      <c r="L143" s="9">
        <f t="shared" si="164"/>
        <v>0</v>
      </c>
      <c r="M143" s="11">
        <f t="shared" si="170"/>
        <v>0</v>
      </c>
      <c r="N143" s="9">
        <f t="shared" si="165"/>
        <v>0</v>
      </c>
      <c r="O143" s="12">
        <f t="shared" si="166"/>
        <v>0</v>
      </c>
      <c r="P143" s="13" t="str">
        <f t="shared" si="69"/>
        <v>NO</v>
      </c>
      <c r="Q143" s="48">
        <f t="shared" si="167"/>
        <v>0</v>
      </c>
      <c r="R143">
        <f t="shared" si="168"/>
        <v>100</v>
      </c>
      <c r="S143">
        <f t="shared" si="169"/>
        <v>0</v>
      </c>
    </row>
    <row r="144" spans="1:19" ht="15" hidden="1" customHeight="1" x14ac:dyDescent="0.3">
      <c r="A144" s="34" t="s">
        <v>1233</v>
      </c>
      <c r="B144" s="36">
        <v>100</v>
      </c>
      <c r="C144" s="29" t="s">
        <v>1251</v>
      </c>
      <c r="D144" s="29" t="str">
        <f t="shared" si="171"/>
        <v>INCLUIDO</v>
      </c>
      <c r="E144" s="27" t="s">
        <v>1186</v>
      </c>
      <c r="F144" s="43">
        <v>0</v>
      </c>
      <c r="G144" s="42">
        <v>0</v>
      </c>
      <c r="H144" s="9">
        <f t="shared" si="161"/>
        <v>0</v>
      </c>
      <c r="I144" s="9" t="s">
        <v>1235</v>
      </c>
      <c r="J144" s="9">
        <f t="shared" si="162"/>
        <v>0</v>
      </c>
      <c r="K144" s="9">
        <f t="shared" si="163"/>
        <v>0</v>
      </c>
      <c r="L144" s="9">
        <f t="shared" si="164"/>
        <v>0</v>
      </c>
      <c r="M144" s="11">
        <f t="shared" si="170"/>
        <v>0</v>
      </c>
      <c r="N144" s="9">
        <f t="shared" si="165"/>
        <v>0</v>
      </c>
      <c r="O144" s="12">
        <f t="shared" si="166"/>
        <v>0</v>
      </c>
      <c r="P144" s="13" t="str">
        <f t="shared" si="69"/>
        <v>NO</v>
      </c>
      <c r="Q144" s="48">
        <f t="shared" si="167"/>
        <v>0</v>
      </c>
      <c r="R144">
        <f t="shared" si="168"/>
        <v>100</v>
      </c>
      <c r="S144">
        <f t="shared" si="169"/>
        <v>0</v>
      </c>
    </row>
    <row r="145" spans="1:19" s="18" customFormat="1" ht="15" hidden="1" customHeight="1" x14ac:dyDescent="0.3">
      <c r="A145" s="24"/>
      <c r="B145" s="26"/>
      <c r="C145" s="15" t="s">
        <v>1177</v>
      </c>
      <c r="D145" s="38" t="str">
        <f>'Ramo Comercial'!C174</f>
        <v>INCLUIDO</v>
      </c>
      <c r="E145" s="38"/>
      <c r="F145" s="16">
        <f>SUMIF(E139:E144,"Adicional",F139:F144)</f>
        <v>0</v>
      </c>
      <c r="G145" s="17"/>
      <c r="H145" s="16">
        <f>SUM(H139:H144)</f>
        <v>0</v>
      </c>
      <c r="I145" s="16"/>
      <c r="J145" s="16">
        <f t="shared" ref="J145:L145" si="172">SUM(J139:J144)</f>
        <v>0</v>
      </c>
      <c r="K145" s="16">
        <f t="shared" si="172"/>
        <v>0</v>
      </c>
      <c r="L145" s="16">
        <f t="shared" si="172"/>
        <v>0</v>
      </c>
      <c r="M145" s="16" t="s">
        <v>1178</v>
      </c>
      <c r="N145" s="16">
        <f t="shared" ref="N145:O145" si="173">SUM(N139:N144)</f>
        <v>0</v>
      </c>
      <c r="O145" s="84">
        <f t="shared" si="173"/>
        <v>0</v>
      </c>
      <c r="P145" s="13" t="str">
        <f t="shared" si="69"/>
        <v>NO</v>
      </c>
      <c r="Q145">
        <f>IF(D145="INCLUIDO",IF(H145&lt;&gt;0,1,0),0)</f>
        <v>0</v>
      </c>
    </row>
    <row r="146" spans="1:19" ht="15" hidden="1" customHeight="1" x14ac:dyDescent="0.3">
      <c r="A146" s="82">
        <v>905</v>
      </c>
      <c r="B146" s="33">
        <v>9</v>
      </c>
      <c r="C146" s="19" t="s">
        <v>1254</v>
      </c>
      <c r="D146" s="23" t="str">
        <f>$D$100</f>
        <v>INCLUIDO</v>
      </c>
      <c r="E146" s="91"/>
      <c r="F146" s="42">
        <v>0</v>
      </c>
      <c r="G146" s="28"/>
      <c r="H146" s="28"/>
      <c r="I146" s="28"/>
      <c r="J146" s="28"/>
      <c r="K146" s="28"/>
      <c r="L146" s="28"/>
      <c r="M146" s="68">
        <v>0</v>
      </c>
      <c r="N146" s="28"/>
      <c r="O146" s="83"/>
      <c r="P146" s="13" t="str">
        <f t="shared" si="69"/>
        <v>NO</v>
      </c>
      <c r="Q146" s="48">
        <f>IF(D146="INCLUIDO",IF(F146&lt;&gt;0,1,0),0)</f>
        <v>0</v>
      </c>
    </row>
    <row r="147" spans="1:19" ht="15" hidden="1" customHeight="1" x14ac:dyDescent="0.3">
      <c r="A147" s="34" t="s">
        <v>1233</v>
      </c>
      <c r="B147" s="36">
        <v>104</v>
      </c>
      <c r="C147" s="29" t="s">
        <v>1255</v>
      </c>
      <c r="D147" s="29" t="str">
        <f>D146</f>
        <v>INCLUIDO</v>
      </c>
      <c r="E147" s="27" t="s">
        <v>1186</v>
      </c>
      <c r="F147" s="20">
        <v>0</v>
      </c>
      <c r="G147" s="21">
        <v>0</v>
      </c>
      <c r="H147" s="9">
        <f>(IF(I147="$ Prima",G147,G147*F147/R147))*$U$9</f>
        <v>0</v>
      </c>
      <c r="I147" s="9" t="s">
        <v>1235</v>
      </c>
      <c r="J147" s="9">
        <f>H147*$U$7</f>
        <v>0</v>
      </c>
      <c r="K147" s="9">
        <f>(H147+J147)*$K$15</f>
        <v>0</v>
      </c>
      <c r="L147" s="9">
        <f>ROUND(H147+J147+K147,2)</f>
        <v>0</v>
      </c>
      <c r="M147" s="11">
        <f>M146</f>
        <v>0</v>
      </c>
      <c r="N147" s="9">
        <f>H147*M147</f>
        <v>0</v>
      </c>
      <c r="O147" s="12">
        <f>N147</f>
        <v>0</v>
      </c>
      <c r="P147" s="13" t="str">
        <f t="shared" si="69"/>
        <v>NO</v>
      </c>
      <c r="Q147">
        <f>IF(D147="INCLUIDO",IF(F147&lt;&gt;0,1,0),0)</f>
        <v>0</v>
      </c>
      <c r="R147">
        <f>IF(I147="%o Al Millar",1000,IF(I147="% Al Porciento",100,IF(I147="$ Prima",G147)))</f>
        <v>100</v>
      </c>
      <c r="S147">
        <f t="shared" ref="S147" si="174">IF(E147="Excluido",0,IF(D147="NO APLICA",0,1))</f>
        <v>0</v>
      </c>
    </row>
    <row r="148" spans="1:19" s="18" customFormat="1" ht="15" hidden="1" customHeight="1" x14ac:dyDescent="0.3">
      <c r="A148" s="24"/>
      <c r="B148" s="26"/>
      <c r="C148" s="15" t="s">
        <v>1177</v>
      </c>
      <c r="D148" s="38" t="str">
        <f>D147</f>
        <v>INCLUIDO</v>
      </c>
      <c r="E148" s="38"/>
      <c r="F148" s="16">
        <f>F147</f>
        <v>0</v>
      </c>
      <c r="G148" s="17"/>
      <c r="H148" s="16">
        <f>SUM(H147)</f>
        <v>0</v>
      </c>
      <c r="I148" s="16"/>
      <c r="J148" s="16">
        <f t="shared" ref="J148:L148" si="175">SUM(J147)</f>
        <v>0</v>
      </c>
      <c r="K148" s="16">
        <f t="shared" si="175"/>
        <v>0</v>
      </c>
      <c r="L148" s="16">
        <f t="shared" si="175"/>
        <v>0</v>
      </c>
      <c r="M148" s="16" t="s">
        <v>1178</v>
      </c>
      <c r="N148" s="16">
        <f t="shared" ref="N148:O148" si="176">SUM(N147)</f>
        <v>0</v>
      </c>
      <c r="O148" s="84">
        <f t="shared" si="176"/>
        <v>0</v>
      </c>
      <c r="P148" s="13" t="str">
        <f t="shared" si="69"/>
        <v>NO</v>
      </c>
      <c r="Q148">
        <f>IF(D148="INCLUIDO",IF(H148&lt;&gt;0,1,0),0)</f>
        <v>0</v>
      </c>
    </row>
    <row r="149" spans="1:19" ht="22.5" hidden="1" customHeight="1" x14ac:dyDescent="0.3">
      <c r="A149" s="82">
        <v>905</v>
      </c>
      <c r="B149" s="33">
        <v>10</v>
      </c>
      <c r="C149" s="19" t="s">
        <v>1256</v>
      </c>
      <c r="D149" s="23" t="str">
        <f>'Ramo Comercial'!C176</f>
        <v>NO APLICA</v>
      </c>
      <c r="E149" s="91"/>
      <c r="F149" s="28"/>
      <c r="G149" s="28"/>
      <c r="H149" s="28"/>
      <c r="I149" s="28"/>
      <c r="J149" s="28"/>
      <c r="K149" s="28"/>
      <c r="L149" s="28"/>
      <c r="M149" s="68">
        <v>0</v>
      </c>
      <c r="N149" s="28"/>
      <c r="O149" s="83"/>
      <c r="P149" s="13" t="str">
        <f t="shared" si="69"/>
        <v>NO</v>
      </c>
      <c r="Q149" s="47">
        <f>IF(D149="INCLUIDO",IF(F150&lt;&gt;0,1,0),0)</f>
        <v>0</v>
      </c>
    </row>
    <row r="150" spans="1:19" ht="15" hidden="1" customHeight="1" x14ac:dyDescent="0.3">
      <c r="A150" s="34" t="s">
        <v>1233</v>
      </c>
      <c r="B150" s="36">
        <v>105</v>
      </c>
      <c r="C150" s="29" t="s">
        <v>1256</v>
      </c>
      <c r="D150" s="29" t="str">
        <f>D149</f>
        <v>NO APLICA</v>
      </c>
      <c r="E150" s="27" t="s">
        <v>1152</v>
      </c>
      <c r="F150" s="20">
        <v>0</v>
      </c>
      <c r="G150" s="21">
        <v>0</v>
      </c>
      <c r="H150" s="9">
        <f>(IF(I150="$ Prima",G150,G150*F150/R150))*$U$9</f>
        <v>0</v>
      </c>
      <c r="I150" s="9" t="s">
        <v>1153</v>
      </c>
      <c r="J150" s="9">
        <f>H150*$U$7</f>
        <v>0</v>
      </c>
      <c r="K150" s="9">
        <f>(H150+J150)*$K$15</f>
        <v>0</v>
      </c>
      <c r="L150" s="9">
        <f>ROUND(H150+J150+K150,2)</f>
        <v>0</v>
      </c>
      <c r="M150" s="11">
        <f>M149</f>
        <v>0</v>
      </c>
      <c r="N150" s="9">
        <f>H150*M150</f>
        <v>0</v>
      </c>
      <c r="O150" s="12">
        <f>N150</f>
        <v>0</v>
      </c>
      <c r="P150" s="13" t="str">
        <f t="shared" si="69"/>
        <v>NO</v>
      </c>
      <c r="Q150">
        <f>IF(D150="INCLUIDO",IF(F150&lt;&gt;0,1,0),0)</f>
        <v>0</v>
      </c>
      <c r="R150">
        <f>IF(I150="%o Al Millar",1000,IF(I150="% Al Porciento",100,IF(I150="$ Prima",G150)))</f>
        <v>1000</v>
      </c>
      <c r="S150">
        <f t="shared" ref="S150" si="177">IF(E150="Excluido",0,IF(D150="NO APLICA",0,1))</f>
        <v>0</v>
      </c>
    </row>
    <row r="151" spans="1:19" s="18" customFormat="1" ht="15" hidden="1" customHeight="1" x14ac:dyDescent="0.3">
      <c r="A151" s="24"/>
      <c r="B151" s="26"/>
      <c r="C151" s="15" t="s">
        <v>1177</v>
      </c>
      <c r="D151" s="38" t="str">
        <f>D150</f>
        <v>NO APLICA</v>
      </c>
      <c r="E151" s="38"/>
      <c r="F151" s="16">
        <f>F150</f>
        <v>0</v>
      </c>
      <c r="G151" s="17"/>
      <c r="H151" s="16">
        <f>SUM(H150)</f>
        <v>0</v>
      </c>
      <c r="I151" s="16"/>
      <c r="J151" s="16">
        <f t="shared" ref="J151:L151" si="178">SUM(J150)</f>
        <v>0</v>
      </c>
      <c r="K151" s="16">
        <f t="shared" si="178"/>
        <v>0</v>
      </c>
      <c r="L151" s="16">
        <f t="shared" si="178"/>
        <v>0</v>
      </c>
      <c r="M151" s="16" t="s">
        <v>1178</v>
      </c>
      <c r="N151" s="16">
        <f t="shared" ref="N151:O151" si="179">SUM(N150)</f>
        <v>0</v>
      </c>
      <c r="O151" s="84">
        <f t="shared" si="179"/>
        <v>0</v>
      </c>
      <c r="P151" s="13" t="str">
        <f t="shared" si="69"/>
        <v>NO</v>
      </c>
      <c r="Q151">
        <f>IF(D151="INCLUIDO",IF(H151&lt;&gt;0,1,0),0)</f>
        <v>0</v>
      </c>
    </row>
    <row r="152" spans="1:19" ht="15" hidden="1" customHeight="1" x14ac:dyDescent="0.3">
      <c r="A152" s="82">
        <v>905</v>
      </c>
      <c r="B152" s="33">
        <v>11</v>
      </c>
      <c r="C152" s="19" t="s">
        <v>1257</v>
      </c>
      <c r="D152" s="23" t="str">
        <f>'Ramo Comercial'!C177</f>
        <v>NO APLICA</v>
      </c>
      <c r="E152" s="91"/>
      <c r="F152" s="42">
        <v>0</v>
      </c>
      <c r="G152" s="28"/>
      <c r="H152" s="28"/>
      <c r="I152" s="28"/>
      <c r="J152" s="28"/>
      <c r="K152" s="28"/>
      <c r="L152" s="28"/>
      <c r="M152" s="68">
        <v>0</v>
      </c>
      <c r="N152" s="28"/>
      <c r="O152" s="83"/>
      <c r="P152" s="13" t="str">
        <f t="shared" si="69"/>
        <v>NO</v>
      </c>
      <c r="Q152" s="48">
        <f>IF(D152="INCLUIDO",IF(F152&lt;&gt;0,1,0),0)</f>
        <v>0</v>
      </c>
    </row>
    <row r="153" spans="1:19" ht="15" hidden="1" customHeight="1" x14ac:dyDescent="0.3">
      <c r="A153" s="34" t="s">
        <v>1233</v>
      </c>
      <c r="B153" s="36">
        <v>224</v>
      </c>
      <c r="C153" s="29" t="s">
        <v>1257</v>
      </c>
      <c r="D153" s="29" t="str">
        <f>D152</f>
        <v>NO APLICA</v>
      </c>
      <c r="E153" s="27" t="s">
        <v>1152</v>
      </c>
      <c r="F153" s="20">
        <f>F152</f>
        <v>0</v>
      </c>
      <c r="G153" s="21">
        <v>0</v>
      </c>
      <c r="H153" s="9">
        <f>(IF(I153="$ Prima",G153,G153*F153/R153))*$U$9</f>
        <v>0</v>
      </c>
      <c r="I153" s="9" t="s">
        <v>1235</v>
      </c>
      <c r="J153" s="9">
        <f>H153*$U$7</f>
        <v>0</v>
      </c>
      <c r="K153" s="9">
        <f>(H153+J153)*$K$15</f>
        <v>0</v>
      </c>
      <c r="L153" s="9">
        <f>ROUND(H153+J153+K153,2)</f>
        <v>0</v>
      </c>
      <c r="M153" s="11">
        <f>M152</f>
        <v>0</v>
      </c>
      <c r="N153" s="9">
        <f>H153*M153</f>
        <v>0</v>
      </c>
      <c r="O153" s="12">
        <f>N153</f>
        <v>0</v>
      </c>
      <c r="P153" s="13" t="str">
        <f t="shared" si="69"/>
        <v>NO</v>
      </c>
      <c r="Q153">
        <f>IF(D153="INCLUIDO",IF(F153&lt;&gt;0,1,0),0)</f>
        <v>0</v>
      </c>
      <c r="R153">
        <f>IF(I153="%o Al Millar",1000,IF(I153="% Al Porciento",100,IF(I153="$ Prima",G153)))</f>
        <v>100</v>
      </c>
      <c r="S153">
        <f t="shared" ref="S153" si="180">IF(E153="Excluido",0,IF(D153="NO APLICA",0,1))</f>
        <v>0</v>
      </c>
    </row>
    <row r="154" spans="1:19" s="18" customFormat="1" ht="15" hidden="1" customHeight="1" x14ac:dyDescent="0.3">
      <c r="A154" s="24"/>
      <c r="B154" s="26"/>
      <c r="C154" s="15" t="s">
        <v>1177</v>
      </c>
      <c r="D154" s="38" t="str">
        <f>D153</f>
        <v>NO APLICA</v>
      </c>
      <c r="E154" s="38"/>
      <c r="F154" s="16">
        <f>F153</f>
        <v>0</v>
      </c>
      <c r="G154" s="17"/>
      <c r="H154" s="16">
        <f>SUM(H153)</f>
        <v>0</v>
      </c>
      <c r="I154" s="16"/>
      <c r="J154" s="16">
        <f t="shared" ref="J154:L154" si="181">SUM(J153)</f>
        <v>0</v>
      </c>
      <c r="K154" s="16">
        <f t="shared" si="181"/>
        <v>0</v>
      </c>
      <c r="L154" s="16">
        <f t="shared" si="181"/>
        <v>0</v>
      </c>
      <c r="M154" s="16" t="s">
        <v>1178</v>
      </c>
      <c r="N154" s="16">
        <f t="shared" ref="N154:O154" si="182">SUM(N153)</f>
        <v>0</v>
      </c>
      <c r="O154" s="84">
        <f t="shared" si="182"/>
        <v>0</v>
      </c>
      <c r="P154" s="13" t="str">
        <f t="shared" si="69"/>
        <v>NO</v>
      </c>
      <c r="Q154">
        <f>IF(D154="INCLUIDO",IF(H154&lt;&gt;0,1,0),0)</f>
        <v>0</v>
      </c>
    </row>
    <row r="155" spans="1:19" ht="15" hidden="1" customHeight="1" x14ac:dyDescent="0.3">
      <c r="A155" s="82">
        <v>905</v>
      </c>
      <c r="B155" s="33">
        <v>12</v>
      </c>
      <c r="C155" s="19" t="s">
        <v>1258</v>
      </c>
      <c r="D155" s="23" t="str">
        <f>'Ramo Comercial'!C181</f>
        <v>NO APLICA</v>
      </c>
      <c r="E155" s="91"/>
      <c r="F155" s="97">
        <f>F154</f>
        <v>0</v>
      </c>
      <c r="G155" s="28"/>
      <c r="H155" s="28"/>
      <c r="I155" s="28"/>
      <c r="J155" s="28"/>
      <c r="K155" s="28"/>
      <c r="L155" s="28"/>
      <c r="M155" s="68">
        <v>0</v>
      </c>
      <c r="N155" s="28"/>
      <c r="O155" s="83"/>
      <c r="P155" s="13" t="str">
        <f t="shared" ref="P155:P218" si="183">IF(Q155=1,"SI","NO")</f>
        <v>NO</v>
      </c>
      <c r="Q155" s="47">
        <f>IF(D155="INCLUIDO",IF(F156&lt;&gt;0,1,0),0)</f>
        <v>0</v>
      </c>
    </row>
    <row r="156" spans="1:19" ht="15" hidden="1" customHeight="1" x14ac:dyDescent="0.3">
      <c r="A156" s="34" t="s">
        <v>1233</v>
      </c>
      <c r="B156" s="36">
        <v>259</v>
      </c>
      <c r="C156" s="29" t="s">
        <v>1258</v>
      </c>
      <c r="D156" s="29" t="str">
        <f>D155</f>
        <v>NO APLICA</v>
      </c>
      <c r="E156" s="27" t="s">
        <v>1152</v>
      </c>
      <c r="F156" s="20">
        <v>0</v>
      </c>
      <c r="G156" s="21">
        <v>0</v>
      </c>
      <c r="H156" s="9">
        <f>(IF(I156="$ Prima",G156,G156*F156/R156))*$U$9</f>
        <v>0</v>
      </c>
      <c r="I156" s="9" t="s">
        <v>1235</v>
      </c>
      <c r="J156" s="9">
        <f>H156*$U$7</f>
        <v>0</v>
      </c>
      <c r="K156" s="9">
        <f>(H156+J156)*$K$15</f>
        <v>0</v>
      </c>
      <c r="L156" s="9">
        <f>ROUND(H156+J156+K156,2)</f>
        <v>0</v>
      </c>
      <c r="M156" s="11">
        <f>M155</f>
        <v>0</v>
      </c>
      <c r="N156" s="9">
        <f>H156*M156</f>
        <v>0</v>
      </c>
      <c r="O156" s="12">
        <f>N156</f>
        <v>0</v>
      </c>
      <c r="P156" s="13" t="str">
        <f t="shared" si="183"/>
        <v>NO</v>
      </c>
      <c r="Q156">
        <f>IF(D156="INCLUIDO",IF(F156&lt;&gt;0,1,0),0)</f>
        <v>0</v>
      </c>
      <c r="R156">
        <f>IF(I156="%o Al Millar",1000,IF(I156="% Al Porciento",100,IF(I156="$ Prima",G156)))</f>
        <v>100</v>
      </c>
      <c r="S156">
        <f t="shared" ref="S156" si="184">IF(E156="Excluido",0,IF(D156="NO APLICA",0,1))</f>
        <v>0</v>
      </c>
    </row>
    <row r="157" spans="1:19" s="18" customFormat="1" ht="15" hidden="1" customHeight="1" x14ac:dyDescent="0.3">
      <c r="A157" s="24"/>
      <c r="B157" s="26"/>
      <c r="C157" s="15" t="s">
        <v>1177</v>
      </c>
      <c r="D157" s="38" t="str">
        <f>D156</f>
        <v>NO APLICA</v>
      </c>
      <c r="E157" s="38"/>
      <c r="F157" s="16">
        <f>F156</f>
        <v>0</v>
      </c>
      <c r="G157" s="17"/>
      <c r="H157" s="16">
        <f>SUM(H156)</f>
        <v>0</v>
      </c>
      <c r="I157" s="16"/>
      <c r="J157" s="16">
        <f t="shared" ref="J157:L157" si="185">SUM(J156)</f>
        <v>0</v>
      </c>
      <c r="K157" s="16">
        <f t="shared" si="185"/>
        <v>0</v>
      </c>
      <c r="L157" s="16">
        <f t="shared" si="185"/>
        <v>0</v>
      </c>
      <c r="M157" s="16" t="s">
        <v>1178</v>
      </c>
      <c r="N157" s="16">
        <f t="shared" ref="N157:O157" si="186">SUM(N156)</f>
        <v>0</v>
      </c>
      <c r="O157" s="84">
        <f t="shared" si="186"/>
        <v>0</v>
      </c>
      <c r="P157" s="13" t="str">
        <f t="shared" si="183"/>
        <v>NO</v>
      </c>
      <c r="Q157">
        <f>IF(D157="INCLUIDO",IF(H157&lt;&gt;0,1,0),0)</f>
        <v>0</v>
      </c>
    </row>
    <row r="158" spans="1:19" ht="15" hidden="1" customHeight="1" x14ac:dyDescent="0.3">
      <c r="A158" s="82">
        <v>905</v>
      </c>
      <c r="B158" s="33">
        <v>13</v>
      </c>
      <c r="C158" s="19" t="s">
        <v>1259</v>
      </c>
      <c r="D158" s="23" t="str">
        <f>'Ramo Comercial'!C180</f>
        <v>INCLUIDO</v>
      </c>
      <c r="E158" s="91"/>
      <c r="F158" s="42">
        <v>0</v>
      </c>
      <c r="G158" s="28"/>
      <c r="H158" s="28"/>
      <c r="I158" s="28"/>
      <c r="J158" s="28"/>
      <c r="K158" s="28"/>
      <c r="L158" s="28"/>
      <c r="M158" s="68">
        <v>0</v>
      </c>
      <c r="N158" s="28"/>
      <c r="O158" s="83"/>
      <c r="P158" s="13" t="str">
        <f t="shared" si="183"/>
        <v>NO</v>
      </c>
      <c r="Q158" s="48">
        <f>IF(D158="INCLUIDO",IF(F158&lt;&gt;0,1,0),0)</f>
        <v>0</v>
      </c>
    </row>
    <row r="159" spans="1:19" ht="15" hidden="1" customHeight="1" x14ac:dyDescent="0.3">
      <c r="A159" s="34" t="s">
        <v>1233</v>
      </c>
      <c r="B159" s="36">
        <v>260</v>
      </c>
      <c r="C159" s="29" t="s">
        <v>1259</v>
      </c>
      <c r="D159" s="29" t="str">
        <f>D158</f>
        <v>INCLUIDO</v>
      </c>
      <c r="E159" s="27" t="s">
        <v>1186</v>
      </c>
      <c r="F159" s="20">
        <f>F158</f>
        <v>0</v>
      </c>
      <c r="G159" s="21">
        <v>0</v>
      </c>
      <c r="H159" s="9">
        <f>(IF(I159="$ Prima",G159,G159*F159/R159))*$U$9</f>
        <v>0</v>
      </c>
      <c r="I159" s="9" t="s">
        <v>1235</v>
      </c>
      <c r="J159" s="9">
        <f>H159*$U$7</f>
        <v>0</v>
      </c>
      <c r="K159" s="9">
        <f>(H159+J159)*$K$15</f>
        <v>0</v>
      </c>
      <c r="L159" s="9">
        <f>ROUND(H159+J159+K159,2)</f>
        <v>0</v>
      </c>
      <c r="M159" s="11">
        <f>M158</f>
        <v>0</v>
      </c>
      <c r="N159" s="9">
        <f>H159*M159</f>
        <v>0</v>
      </c>
      <c r="O159" s="12">
        <f>N159</f>
        <v>0</v>
      </c>
      <c r="P159" s="13" t="str">
        <f t="shared" si="183"/>
        <v>NO</v>
      </c>
      <c r="Q159">
        <f>IF(D159="INCLUIDO",IF(F159&lt;&gt;0,1,0),0)</f>
        <v>0</v>
      </c>
      <c r="R159">
        <f>IF(I159="%o Al Millar",1000,IF(I159="% Al Porciento",100,IF(I159="$ Prima",G159)))</f>
        <v>100</v>
      </c>
      <c r="S159">
        <f t="shared" ref="S159" si="187">IF(E159="Excluido",0,IF(D159="NO APLICA",0,1))</f>
        <v>0</v>
      </c>
    </row>
    <row r="160" spans="1:19" s="18" customFormat="1" ht="15" hidden="1" customHeight="1" thickBot="1" x14ac:dyDescent="0.35">
      <c r="A160" s="24"/>
      <c r="B160" s="26"/>
      <c r="C160" s="15" t="s">
        <v>1177</v>
      </c>
      <c r="D160" s="38" t="str">
        <f>D159</f>
        <v>INCLUIDO</v>
      </c>
      <c r="E160" s="38"/>
      <c r="F160" s="16">
        <f>F159</f>
        <v>0</v>
      </c>
      <c r="G160" s="17"/>
      <c r="H160" s="16">
        <f>SUM(H159)</f>
        <v>0</v>
      </c>
      <c r="I160" s="16"/>
      <c r="J160" s="16">
        <f t="shared" ref="J160:L160" si="188">SUM(J159)</f>
        <v>0</v>
      </c>
      <c r="K160" s="16">
        <f t="shared" si="188"/>
        <v>0</v>
      </c>
      <c r="L160" s="16">
        <f t="shared" si="188"/>
        <v>0</v>
      </c>
      <c r="M160" s="16" t="s">
        <v>1178</v>
      </c>
      <c r="N160" s="16">
        <f t="shared" ref="N160:O160" si="189">SUM(N159)</f>
        <v>0</v>
      </c>
      <c r="O160" s="84">
        <f t="shared" si="189"/>
        <v>0</v>
      </c>
      <c r="P160" s="13" t="str">
        <f t="shared" si="183"/>
        <v>NO</v>
      </c>
      <c r="Q160">
        <f>IF(D160="INCLUIDO",IF(H160&lt;&gt;0,1,0),0)</f>
        <v>0</v>
      </c>
    </row>
    <row r="161" spans="1:22" ht="21" hidden="1" customHeight="1" thickBot="1" x14ac:dyDescent="0.35">
      <c r="A161" s="82">
        <v>906</v>
      </c>
      <c r="B161" s="33">
        <v>1</v>
      </c>
      <c r="C161" s="19" t="s">
        <v>1260</v>
      </c>
      <c r="D161" s="23" t="str">
        <f>'Ramo Comercial'!C138</f>
        <v>INCLUIDO</v>
      </c>
      <c r="E161" s="91"/>
      <c r="F161" s="132">
        <f>'COTIZACIÓN M.N.'!D75</f>
        <v>0</v>
      </c>
      <c r="G161" s="132">
        <f>'COTIZACIÓN M.N.'!E75</f>
        <v>1.6</v>
      </c>
      <c r="H161" s="28"/>
      <c r="I161" s="28"/>
      <c r="J161" s="28"/>
      <c r="K161" s="28"/>
      <c r="L161" s="28"/>
      <c r="M161" s="68">
        <v>5.8000000000000003E-2</v>
      </c>
      <c r="N161" s="28"/>
      <c r="O161" s="83"/>
      <c r="P161" s="13" t="str">
        <f t="shared" si="183"/>
        <v>NO</v>
      </c>
      <c r="Q161" s="48">
        <f>IF(D161="INCLUIDO",IF(F161&lt;&gt;0,1,0),0)</f>
        <v>0</v>
      </c>
      <c r="T161" s="155">
        <f>G161</f>
        <v>1.6</v>
      </c>
    </row>
    <row r="162" spans="1:22" ht="15" hidden="1" customHeight="1" x14ac:dyDescent="0.3">
      <c r="A162" s="34" t="s">
        <v>1261</v>
      </c>
      <c r="B162" s="36">
        <v>107</v>
      </c>
      <c r="C162" s="29" t="s">
        <v>1151</v>
      </c>
      <c r="D162" s="29" t="str">
        <f>D161</f>
        <v>INCLUIDO</v>
      </c>
      <c r="E162" s="27" t="s">
        <v>1152</v>
      </c>
      <c r="F162" s="20">
        <f>$F$161*S162</f>
        <v>0</v>
      </c>
      <c r="G162" s="21">
        <f>V162</f>
        <v>1.1200000000000001</v>
      </c>
      <c r="H162" s="9">
        <f t="shared" ref="H162:H165" si="190">(IF(I162="$ Prima",G162,G162*F162/R162))*$U$9</f>
        <v>0</v>
      </c>
      <c r="I162" s="9" t="s">
        <v>1153</v>
      </c>
      <c r="J162" s="9">
        <f t="shared" ref="J162:J165" si="191">H162*$U$7</f>
        <v>0</v>
      </c>
      <c r="K162" s="9">
        <f t="shared" ref="K162:K165" si="192">(H162+J162)*$K$15</f>
        <v>0</v>
      </c>
      <c r="L162" s="9">
        <f t="shared" ref="L162:L165" si="193">ROUND(H162+J162+K162,2)</f>
        <v>0</v>
      </c>
      <c r="M162" s="11">
        <f>$M$161</f>
        <v>5.8000000000000003E-2</v>
      </c>
      <c r="N162" s="9">
        <f t="shared" ref="N162:N165" si="194">H162*M162</f>
        <v>0</v>
      </c>
      <c r="O162" s="12">
        <f t="shared" ref="O162:O165" si="195">N162</f>
        <v>0</v>
      </c>
      <c r="P162" s="13" t="str">
        <f t="shared" si="183"/>
        <v>NO</v>
      </c>
      <c r="Q162">
        <f>IF(D162="INCLUIDO",IF(F162&lt;&gt;0,1,0),0)</f>
        <v>0</v>
      </c>
      <c r="R162">
        <f>IF(I162="%o Al Millar",1000,IF(I162="% Al Porciento",100,IF(I162="$ Prima",G162)))</f>
        <v>1000</v>
      </c>
      <c r="S162">
        <f t="shared" ref="S162:S165" si="196">IF(E162="Excluido",0,IF(D162="NO APLICA",0,1))</f>
        <v>1</v>
      </c>
      <c r="T162" s="156">
        <v>0.7</v>
      </c>
      <c r="U162" s="157">
        <f>IF(E162="Excluido",0,T161*T162)</f>
        <v>1.1199999999999999</v>
      </c>
      <c r="V162" s="158">
        <f>IF(D161="NO APLICA",0,(U166-U164)+(T161-U166))</f>
        <v>1.1200000000000001</v>
      </c>
    </row>
    <row r="163" spans="1:22" ht="15" hidden="1" customHeight="1" x14ac:dyDescent="0.3">
      <c r="A163" s="34" t="s">
        <v>1261</v>
      </c>
      <c r="B163" s="36"/>
      <c r="C163" s="81">
        <f>$O$12</f>
        <v>0</v>
      </c>
      <c r="D163" s="29" t="str">
        <f t="shared" ref="D163:D175" si="197">$D$161</f>
        <v>INCLUIDO</v>
      </c>
      <c r="E163" s="27" t="s">
        <v>1186</v>
      </c>
      <c r="F163" s="9">
        <f>(F162*$O$12)*S163</f>
        <v>0</v>
      </c>
      <c r="G163" s="10">
        <f>G162*0.35</f>
        <v>0.39200000000000002</v>
      </c>
      <c r="H163" s="9">
        <f t="shared" si="190"/>
        <v>0</v>
      </c>
      <c r="I163" s="9" t="s">
        <v>1153</v>
      </c>
      <c r="J163" s="9">
        <f t="shared" si="191"/>
        <v>0</v>
      </c>
      <c r="K163" s="9">
        <f t="shared" si="192"/>
        <v>0</v>
      </c>
      <c r="L163" s="9">
        <f t="shared" si="193"/>
        <v>0</v>
      </c>
      <c r="M163" s="11">
        <f t="shared" ref="M163:M165" si="198">$M$161</f>
        <v>5.8000000000000003E-2</v>
      </c>
      <c r="N163" s="9">
        <f t="shared" si="194"/>
        <v>0</v>
      </c>
      <c r="O163" s="12">
        <f t="shared" si="195"/>
        <v>0</v>
      </c>
      <c r="P163" s="13" t="str">
        <f t="shared" si="183"/>
        <v>NO</v>
      </c>
      <c r="Q163">
        <f>IF(D163="INCLUIDO",IF(F163&lt;&gt;0,1,0),0)</f>
        <v>0</v>
      </c>
      <c r="R163">
        <f>IF(I163="%o Al Millar",1000,IF(I163="% Al Porciento",100,IF(I163="$ Prima",G163)))</f>
        <v>1000</v>
      </c>
      <c r="S163">
        <f t="shared" si="196"/>
        <v>0</v>
      </c>
      <c r="T163" s="152"/>
      <c r="U163" s="159"/>
      <c r="V163" s="160"/>
    </row>
    <row r="164" spans="1:22" ht="15" hidden="1" customHeight="1" x14ac:dyDescent="0.3">
      <c r="A164" s="34" t="s">
        <v>1261</v>
      </c>
      <c r="B164" s="36">
        <v>106</v>
      </c>
      <c r="C164" s="29" t="s">
        <v>1262</v>
      </c>
      <c r="D164" s="29" t="str">
        <f t="shared" si="197"/>
        <v>INCLUIDO</v>
      </c>
      <c r="E164" s="27" t="s">
        <v>1137</v>
      </c>
      <c r="F164" s="20">
        <f>$F$161*S164</f>
        <v>0</v>
      </c>
      <c r="G164" s="21">
        <f>V164</f>
        <v>0</v>
      </c>
      <c r="H164" s="9">
        <f t="shared" si="190"/>
        <v>0</v>
      </c>
      <c r="I164" s="9" t="s">
        <v>1153</v>
      </c>
      <c r="J164" s="9">
        <f t="shared" si="191"/>
        <v>0</v>
      </c>
      <c r="K164" s="9">
        <f t="shared" si="192"/>
        <v>0</v>
      </c>
      <c r="L164" s="9">
        <f t="shared" si="193"/>
        <v>0</v>
      </c>
      <c r="M164" s="11">
        <f t="shared" si="198"/>
        <v>5.8000000000000003E-2</v>
      </c>
      <c r="N164" s="9">
        <f t="shared" si="194"/>
        <v>0</v>
      </c>
      <c r="O164" s="12">
        <f t="shared" si="195"/>
        <v>0</v>
      </c>
      <c r="P164" s="13" t="str">
        <f t="shared" si="183"/>
        <v>NO</v>
      </c>
      <c r="Q164">
        <f>IF(D164="INCLUIDO",IF(F164&lt;&gt;0,1,0),0)</f>
        <v>0</v>
      </c>
      <c r="R164">
        <f>IF(I164="%o Al Millar",1000,IF(I164="% Al Porciento",100,IF(I164="$ Prima",G164)))</f>
        <v>1000</v>
      </c>
      <c r="S164">
        <f t="shared" si="196"/>
        <v>1</v>
      </c>
      <c r="T164" s="152">
        <v>0.3</v>
      </c>
      <c r="U164" s="159">
        <f>IF(E164="Excluido",0,$T$161*T164)</f>
        <v>0.48</v>
      </c>
      <c r="V164" s="160">
        <f>IF($F164=0,0,U164)</f>
        <v>0</v>
      </c>
    </row>
    <row r="165" spans="1:22" ht="15" hidden="1" customHeight="1" thickBot="1" x14ac:dyDescent="0.35">
      <c r="A165" s="34" t="s">
        <v>1261</v>
      </c>
      <c r="B165" s="36"/>
      <c r="C165" s="81">
        <f>$O$12</f>
        <v>0</v>
      </c>
      <c r="D165" s="29" t="str">
        <f t="shared" si="197"/>
        <v>INCLUIDO</v>
      </c>
      <c r="E165" s="27" t="s">
        <v>1186</v>
      </c>
      <c r="F165" s="9">
        <f>(F164*$O$12)*S165</f>
        <v>0</v>
      </c>
      <c r="G165" s="10">
        <f>G164*0.35</f>
        <v>0</v>
      </c>
      <c r="H165" s="9">
        <f t="shared" si="190"/>
        <v>0</v>
      </c>
      <c r="I165" s="9" t="s">
        <v>1153</v>
      </c>
      <c r="J165" s="9">
        <f t="shared" si="191"/>
        <v>0</v>
      </c>
      <c r="K165" s="9">
        <f t="shared" si="192"/>
        <v>0</v>
      </c>
      <c r="L165" s="9">
        <f t="shared" si="193"/>
        <v>0</v>
      </c>
      <c r="M165" s="11">
        <f t="shared" si="198"/>
        <v>5.8000000000000003E-2</v>
      </c>
      <c r="N165" s="9">
        <f t="shared" si="194"/>
        <v>0</v>
      </c>
      <c r="O165" s="12">
        <f t="shared" si="195"/>
        <v>0</v>
      </c>
      <c r="P165" s="13" t="str">
        <f t="shared" si="183"/>
        <v>NO</v>
      </c>
      <c r="Q165">
        <f>IF(D165="INCLUIDO",IF(F165&lt;&gt;0,1,0),0)</f>
        <v>0</v>
      </c>
      <c r="R165">
        <f>IF(I165="%o Al Millar",1000,IF(I165="% Al Porciento",100,IF(I165="$ Prima",G165)))</f>
        <v>1000</v>
      </c>
      <c r="S165">
        <f t="shared" si="196"/>
        <v>0</v>
      </c>
      <c r="T165" s="154"/>
      <c r="V165" s="153"/>
    </row>
    <row r="166" spans="1:22" s="18" customFormat="1" ht="15" hidden="1" customHeight="1" thickBot="1" x14ac:dyDescent="0.35">
      <c r="A166" s="24"/>
      <c r="B166" s="26"/>
      <c r="C166" s="15" t="s">
        <v>1177</v>
      </c>
      <c r="D166" s="38" t="str">
        <f>D165</f>
        <v>INCLUIDO</v>
      </c>
      <c r="E166" s="38"/>
      <c r="F166" s="16">
        <f>SUMIF(E162:E165,"Adicional",F162:F165)</f>
        <v>0</v>
      </c>
      <c r="G166" s="17"/>
      <c r="H166" s="16">
        <f>SUM(H162:H165)</f>
        <v>0</v>
      </c>
      <c r="I166" s="16"/>
      <c r="J166" s="16">
        <f t="shared" ref="J166:L166" si="199">SUM(J162:J165)</f>
        <v>0</v>
      </c>
      <c r="K166" s="16">
        <f t="shared" si="199"/>
        <v>0</v>
      </c>
      <c r="L166" s="16">
        <f t="shared" si="199"/>
        <v>0</v>
      </c>
      <c r="M166" s="16" t="s">
        <v>1178</v>
      </c>
      <c r="N166" s="16">
        <f t="shared" ref="N166:O166" si="200">SUM(N162:N165)</f>
        <v>0</v>
      </c>
      <c r="O166" s="84">
        <f t="shared" si="200"/>
        <v>0</v>
      </c>
      <c r="P166" s="13" t="str">
        <f t="shared" si="183"/>
        <v>NO</v>
      </c>
      <c r="Q166">
        <f>IF(D166="INCLUIDO",IF(H166&lt;&gt;0,1,0),0)</f>
        <v>0</v>
      </c>
      <c r="T166" s="161">
        <f>SUM(T162:T165)</f>
        <v>1</v>
      </c>
      <c r="U166" s="162">
        <f>SUM(U162:U164)</f>
        <v>1.5999999999999999</v>
      </c>
      <c r="V166" s="163">
        <f>SUM(V162:V164)</f>
        <v>1.1200000000000001</v>
      </c>
    </row>
    <row r="167" spans="1:22" ht="15" thickBot="1" x14ac:dyDescent="0.35">
      <c r="A167" s="82">
        <v>906</v>
      </c>
      <c r="B167" s="33">
        <v>2</v>
      </c>
      <c r="C167" s="19" t="s">
        <v>1263</v>
      </c>
      <c r="D167" s="23" t="str">
        <f>'Ramo Comercial'!C139</f>
        <v>INCLUIDO</v>
      </c>
      <c r="E167" s="91"/>
      <c r="F167" s="132">
        <f>'COTIZACIÓN M.N.'!D73</f>
        <v>250000</v>
      </c>
      <c r="G167" s="132">
        <f>'COTIZACIÓN M.N.'!E73/'Ubicaciones total (2)'!A366</f>
        <v>1.3736263736263736E-2</v>
      </c>
      <c r="H167" s="28"/>
      <c r="I167" s="28"/>
      <c r="J167" s="28"/>
      <c r="K167" s="28"/>
      <c r="L167" s="28"/>
      <c r="M167" s="68">
        <v>0.1</v>
      </c>
      <c r="N167" s="28"/>
      <c r="O167" s="83"/>
      <c r="P167" s="13" t="str">
        <f t="shared" si="183"/>
        <v>SI</v>
      </c>
      <c r="Q167" s="48">
        <f>IF(D167="INCLUIDO",IF(F167&lt;&gt;0,1,0),0)</f>
        <v>1</v>
      </c>
      <c r="T167" s="142">
        <f>G167</f>
        <v>1.3736263736263736E-2</v>
      </c>
      <c r="U167" s="150"/>
      <c r="V167" s="151"/>
    </row>
    <row r="168" spans="1:22" x14ac:dyDescent="0.3">
      <c r="A168" s="34" t="s">
        <v>1261</v>
      </c>
      <c r="B168" s="36">
        <v>110</v>
      </c>
      <c r="C168" s="29" t="s">
        <v>1151</v>
      </c>
      <c r="D168" s="29" t="str">
        <f>D167</f>
        <v>INCLUIDO</v>
      </c>
      <c r="E168" s="27" t="s">
        <v>1137</v>
      </c>
      <c r="F168" s="20">
        <f>$F$167*S168</f>
        <v>250000</v>
      </c>
      <c r="G168" s="21">
        <f>V168</f>
        <v>9.6153846153846159E-3</v>
      </c>
      <c r="H168" s="9">
        <f t="shared" ref="H168:H171" si="201">(IF(I168="$ Prima",G168,G168*F168/R168))*$U$9</f>
        <v>2.4038461538461537</v>
      </c>
      <c r="I168" s="9" t="s">
        <v>1153</v>
      </c>
      <c r="J168" s="9">
        <f t="shared" ref="J168:J171" si="202">H168*$U$7</f>
        <v>5.0721153846153846E-2</v>
      </c>
      <c r="K168" s="9">
        <f t="shared" ref="K168:K171" si="203">(H168+J168)*$K$15</f>
        <v>0.39273076923076922</v>
      </c>
      <c r="L168" s="9">
        <f t="shared" ref="L168:L171" si="204">ROUND(H168+J168+K168,2)</f>
        <v>2.85</v>
      </c>
      <c r="M168" s="11">
        <f>$M$167</f>
        <v>0.1</v>
      </c>
      <c r="N168" s="9">
        <f t="shared" ref="N168:N171" si="205">H168*M168</f>
        <v>0.24038461538461539</v>
      </c>
      <c r="O168" s="12">
        <f t="shared" ref="O168:O171" si="206">N168</f>
        <v>0.24038461538461539</v>
      </c>
      <c r="P168" s="13" t="str">
        <f t="shared" si="183"/>
        <v>SI</v>
      </c>
      <c r="Q168">
        <f>IF(D168="INCLUIDO",IF(F168&lt;&gt;0,1,0),0)</f>
        <v>1</v>
      </c>
      <c r="R168">
        <f>IF(I168="%o Al Millar",1000,IF(I168="% Al Porciento",100,IF(I168="$ Prima",G168)))</f>
        <v>1000</v>
      </c>
      <c r="S168">
        <f t="shared" ref="S168:S171" si="207">IF(E168="Excluido",0,IF(D168="NO APLICA",0,1))</f>
        <v>1</v>
      </c>
      <c r="T168" s="152">
        <v>0.7</v>
      </c>
      <c r="U168" s="159">
        <f>IF(E168="Excluido",0,T167*T168)</f>
        <v>9.6153846153846142E-3</v>
      </c>
      <c r="V168" s="160">
        <f>IF(D167="NO APLICA",0,(U172-U170)+(T167-U172))</f>
        <v>9.6153846153846159E-3</v>
      </c>
    </row>
    <row r="169" spans="1:22" hidden="1" x14ac:dyDescent="0.3">
      <c r="A169" s="34" t="s">
        <v>1261</v>
      </c>
      <c r="B169" s="36"/>
      <c r="C169" s="81">
        <f>$O$12</f>
        <v>0</v>
      </c>
      <c r="D169" s="29" t="str">
        <f t="shared" si="197"/>
        <v>INCLUIDO</v>
      </c>
      <c r="E169" s="27" t="s">
        <v>1186</v>
      </c>
      <c r="F169" s="9">
        <f>(F168*$O$12)*S169</f>
        <v>0</v>
      </c>
      <c r="G169" s="10">
        <f>G168*0.35</f>
        <v>3.3653846153846156E-3</v>
      </c>
      <c r="H169" s="9">
        <f t="shared" si="201"/>
        <v>0</v>
      </c>
      <c r="I169" s="9" t="s">
        <v>1153</v>
      </c>
      <c r="J169" s="9">
        <f t="shared" si="202"/>
        <v>0</v>
      </c>
      <c r="K169" s="9">
        <f t="shared" si="203"/>
        <v>0</v>
      </c>
      <c r="L169" s="9">
        <f t="shared" si="204"/>
        <v>0</v>
      </c>
      <c r="M169" s="11">
        <f>M168</f>
        <v>0.1</v>
      </c>
      <c r="N169" s="9">
        <f t="shared" si="205"/>
        <v>0</v>
      </c>
      <c r="O169" s="12">
        <f t="shared" si="206"/>
        <v>0</v>
      </c>
      <c r="P169" s="13" t="str">
        <f t="shared" si="183"/>
        <v>NO</v>
      </c>
      <c r="Q169">
        <f>IF(D169="INCLUIDO",IF(F169&lt;&gt;0,1,0),0)</f>
        <v>0</v>
      </c>
      <c r="R169">
        <f>IF(I169="%o Al Millar",1000,IF(I169="% Al Porciento",100,IF(I169="$ Prima",G169)))</f>
        <v>1000</v>
      </c>
      <c r="S169">
        <f t="shared" si="207"/>
        <v>0</v>
      </c>
      <c r="T169" s="152"/>
      <c r="U169" s="159"/>
      <c r="V169" s="160"/>
    </row>
    <row r="170" spans="1:22" ht="15" customHeight="1" thickBot="1" x14ac:dyDescent="0.35">
      <c r="A170" s="34" t="s">
        <v>1261</v>
      </c>
      <c r="B170" s="36">
        <v>109</v>
      </c>
      <c r="C170" s="29" t="s">
        <v>1262</v>
      </c>
      <c r="D170" s="29" t="str">
        <f>D167</f>
        <v>INCLUIDO</v>
      </c>
      <c r="E170" s="27" t="s">
        <v>1137</v>
      </c>
      <c r="F170" s="20">
        <f>$F$167*S170</f>
        <v>250000</v>
      </c>
      <c r="G170" s="21">
        <f>V170</f>
        <v>4.120879120879121E-3</v>
      </c>
      <c r="H170" s="9">
        <f t="shared" si="201"/>
        <v>1.0302197802197801</v>
      </c>
      <c r="I170" s="9" t="s">
        <v>1153</v>
      </c>
      <c r="J170" s="9">
        <f t="shared" si="202"/>
        <v>2.1737637362637362E-2</v>
      </c>
      <c r="K170" s="9">
        <f t="shared" si="203"/>
        <v>0.16831318681318683</v>
      </c>
      <c r="L170" s="9">
        <f t="shared" si="204"/>
        <v>1.22</v>
      </c>
      <c r="M170" s="11">
        <f t="shared" ref="M170:M171" si="208">$M$167</f>
        <v>0.1</v>
      </c>
      <c r="N170" s="9">
        <f t="shared" si="205"/>
        <v>0.10302197802197802</v>
      </c>
      <c r="O170" s="12">
        <f t="shared" si="206"/>
        <v>0.10302197802197802</v>
      </c>
      <c r="P170" s="13" t="str">
        <f t="shared" si="183"/>
        <v>SI</v>
      </c>
      <c r="Q170">
        <f>IF(D170="INCLUIDO",IF(F170&lt;&gt;0,1,0),0)</f>
        <v>1</v>
      </c>
      <c r="R170">
        <f>IF(I170="%o Al Millar",1000,IF(I170="% Al Porciento",100,IF(I170="$ Prima",G170)))</f>
        <v>1000</v>
      </c>
      <c r="S170">
        <f t="shared" si="207"/>
        <v>1</v>
      </c>
      <c r="T170" s="152">
        <v>0.3</v>
      </c>
      <c r="U170" s="159">
        <f>IF(E170="Excluido",0,$T$167*T170)</f>
        <v>4.120879120879121E-3</v>
      </c>
      <c r="V170" s="160">
        <f>IF($F170=0,0,U170)</f>
        <v>4.120879120879121E-3</v>
      </c>
    </row>
    <row r="171" spans="1:22" ht="15" hidden="1" customHeight="1" thickBot="1" x14ac:dyDescent="0.35">
      <c r="A171" s="34" t="s">
        <v>1261</v>
      </c>
      <c r="B171" s="36"/>
      <c r="C171" s="81">
        <f>$O$12</f>
        <v>0</v>
      </c>
      <c r="D171" s="29" t="str">
        <f>D167</f>
        <v>INCLUIDO</v>
      </c>
      <c r="E171" s="27" t="s">
        <v>1186</v>
      </c>
      <c r="F171" s="9">
        <f>(F170*$O$12)*S171</f>
        <v>0</v>
      </c>
      <c r="G171" s="10">
        <f>G170*0.35</f>
        <v>1.4423076923076922E-3</v>
      </c>
      <c r="H171" s="9">
        <f t="shared" si="201"/>
        <v>0</v>
      </c>
      <c r="I171" s="9" t="s">
        <v>1153</v>
      </c>
      <c r="J171" s="9">
        <f t="shared" si="202"/>
        <v>0</v>
      </c>
      <c r="K171" s="9">
        <f t="shared" si="203"/>
        <v>0</v>
      </c>
      <c r="L171" s="9">
        <f t="shared" si="204"/>
        <v>0</v>
      </c>
      <c r="M171" s="11">
        <f t="shared" si="208"/>
        <v>0.1</v>
      </c>
      <c r="N171" s="9">
        <f t="shared" si="205"/>
        <v>0</v>
      </c>
      <c r="O171" s="12">
        <f t="shared" si="206"/>
        <v>0</v>
      </c>
      <c r="P171" s="13" t="str">
        <f t="shared" si="183"/>
        <v>NO</v>
      </c>
      <c r="Q171">
        <f>IF(D171="INCLUIDO",IF(F171&lt;&gt;0,1,0),0)</f>
        <v>0</v>
      </c>
      <c r="R171">
        <f>IF(I171="%o Al Millar",1000,IF(I171="% Al Porciento",100,IF(I171="$ Prima",G171)))</f>
        <v>1000</v>
      </c>
      <c r="S171">
        <f t="shared" si="207"/>
        <v>0</v>
      </c>
      <c r="T171" s="164"/>
      <c r="U171" s="165"/>
      <c r="V171" s="166"/>
    </row>
    <row r="172" spans="1:22" s="18" customFormat="1" ht="15" thickBot="1" x14ac:dyDescent="0.35">
      <c r="A172" s="24"/>
      <c r="B172" s="26"/>
      <c r="C172" s="15" t="s">
        <v>1177</v>
      </c>
      <c r="D172" s="38" t="str">
        <f>D171</f>
        <v>INCLUIDO</v>
      </c>
      <c r="E172" s="38"/>
      <c r="F172" s="16">
        <f>SUMIF(E168:E171,"Adicional",F168:F171)</f>
        <v>0</v>
      </c>
      <c r="G172" s="17"/>
      <c r="H172" s="16">
        <f>SUM(H168:H171)</f>
        <v>3.4340659340659339</v>
      </c>
      <c r="I172" s="16"/>
      <c r="J172" s="16">
        <f t="shared" ref="J172:L172" si="209">SUM(J168:J171)</f>
        <v>7.2458791208791201E-2</v>
      </c>
      <c r="K172" s="16">
        <f t="shared" si="209"/>
        <v>0.56104395604395607</v>
      </c>
      <c r="L172" s="16">
        <f t="shared" si="209"/>
        <v>4.07</v>
      </c>
      <c r="M172" s="16" t="s">
        <v>1178</v>
      </c>
      <c r="N172" s="16">
        <f t="shared" ref="N172:O172" si="210">SUM(N168:N171)</f>
        <v>0.34340659340659341</v>
      </c>
      <c r="O172" s="84">
        <f t="shared" si="210"/>
        <v>0.34340659340659341</v>
      </c>
      <c r="P172" s="13" t="str">
        <f t="shared" si="183"/>
        <v>SI</v>
      </c>
      <c r="Q172">
        <f>IF(D172="INCLUIDO",IF(H172&lt;&gt;0,1,0),0)</f>
        <v>1</v>
      </c>
      <c r="T172" s="143">
        <f>SUM(T168:T171)</f>
        <v>1</v>
      </c>
      <c r="U172" s="144">
        <f>SUM(U168:U170)</f>
        <v>1.3736263736263736E-2</v>
      </c>
      <c r="V172" s="145">
        <f>SUM(V168:V170)</f>
        <v>1.3736263736263736E-2</v>
      </c>
    </row>
    <row r="173" spans="1:22" ht="15" hidden="1" customHeight="1" thickBot="1" x14ac:dyDescent="0.35">
      <c r="A173" s="82">
        <v>906</v>
      </c>
      <c r="B173" s="33">
        <v>3</v>
      </c>
      <c r="C173" s="19" t="s">
        <v>1264</v>
      </c>
      <c r="D173" s="23" t="str">
        <f>'Ramo Comercial'!C140</f>
        <v>INCLUIDO</v>
      </c>
      <c r="E173" s="91"/>
      <c r="F173" s="132">
        <v>0</v>
      </c>
      <c r="G173" s="132">
        <v>1</v>
      </c>
      <c r="H173" s="28"/>
      <c r="I173" s="28"/>
      <c r="J173" s="28"/>
      <c r="K173" s="28"/>
      <c r="L173" s="28"/>
      <c r="M173" s="68">
        <v>0</v>
      </c>
      <c r="N173" s="28"/>
      <c r="O173" s="83"/>
      <c r="P173" s="13" t="str">
        <f t="shared" si="183"/>
        <v>NO</v>
      </c>
      <c r="Q173" s="48">
        <f>IF(D173="INCLUIDO",IF(F173&lt;&gt;0,1,0),0)</f>
        <v>0</v>
      </c>
      <c r="T173" s="142">
        <f>G173</f>
        <v>1</v>
      </c>
      <c r="V173" s="153"/>
    </row>
    <row r="174" spans="1:22" ht="15" hidden="1" customHeight="1" x14ac:dyDescent="0.3">
      <c r="A174" s="34" t="s">
        <v>1261</v>
      </c>
      <c r="B174" s="36">
        <v>114</v>
      </c>
      <c r="C174" s="29" t="s">
        <v>1151</v>
      </c>
      <c r="D174" s="29" t="str">
        <f>D173</f>
        <v>INCLUIDO</v>
      </c>
      <c r="E174" s="27" t="s">
        <v>1186</v>
      </c>
      <c r="F174" s="20">
        <f>$F$173*S174</f>
        <v>0</v>
      </c>
      <c r="G174" s="21">
        <f>V174</f>
        <v>1</v>
      </c>
      <c r="H174" s="9">
        <f t="shared" ref="H174:H177" si="211">(IF(I174="$ Prima",G174,G174*F174/R174))*$U$9</f>
        <v>0</v>
      </c>
      <c r="I174" s="9" t="s">
        <v>1235</v>
      </c>
      <c r="J174" s="9">
        <f t="shared" ref="J174:J177" si="212">H174*$U$7</f>
        <v>0</v>
      </c>
      <c r="K174" s="9">
        <f t="shared" ref="K174:K177" si="213">(H174+J174)*$K$15</f>
        <v>0</v>
      </c>
      <c r="L174" s="9">
        <f t="shared" ref="L174:L177" si="214">ROUND(H174+J174+K174,2)</f>
        <v>0</v>
      </c>
      <c r="M174" s="11">
        <f>$M$173</f>
        <v>0</v>
      </c>
      <c r="N174" s="9">
        <f t="shared" ref="N174:N177" si="215">H174*M174</f>
        <v>0</v>
      </c>
      <c r="O174" s="12">
        <f t="shared" ref="O174:O177" si="216">N174</f>
        <v>0</v>
      </c>
      <c r="P174" s="13" t="str">
        <f t="shared" si="183"/>
        <v>NO</v>
      </c>
      <c r="Q174">
        <f>IF(D174="INCLUIDO",IF(F174&lt;&gt;0,1,0),0)</f>
        <v>0</v>
      </c>
      <c r="R174">
        <f>IF(I174="%o Al Millar",1000,IF(I174="% Al Porciento",100,IF(I174="$ Prima",G174)))</f>
        <v>100</v>
      </c>
      <c r="S174">
        <f t="shared" ref="S174:S177" si="217">IF(E174="Excluido",0,IF(D174="NO APLICA",0,1))</f>
        <v>0</v>
      </c>
      <c r="T174" s="152">
        <v>0.4</v>
      </c>
      <c r="U174" s="159">
        <f>IF(E174="Excluido",0,T173*T174)</f>
        <v>0</v>
      </c>
      <c r="V174" s="160">
        <f>IF(D173="NO APLICA",0,(U186-U176-U180-U184)+(T173-U186))</f>
        <v>1</v>
      </c>
    </row>
    <row r="175" spans="1:22" ht="15" hidden="1" customHeight="1" x14ac:dyDescent="0.3">
      <c r="A175" s="34" t="s">
        <v>1261</v>
      </c>
      <c r="B175" s="36"/>
      <c r="C175" s="81">
        <f>$O$12</f>
        <v>0</v>
      </c>
      <c r="D175" s="29" t="str">
        <f t="shared" si="197"/>
        <v>INCLUIDO</v>
      </c>
      <c r="E175" s="27" t="str">
        <f>E174</f>
        <v>Excluido</v>
      </c>
      <c r="F175" s="9">
        <f>(F174*$O$12)*S175</f>
        <v>0</v>
      </c>
      <c r="G175" s="10">
        <f>G174*0.35</f>
        <v>0.35</v>
      </c>
      <c r="H175" s="9">
        <f t="shared" si="211"/>
        <v>0</v>
      </c>
      <c r="I175" s="9" t="s">
        <v>1235</v>
      </c>
      <c r="J175" s="9">
        <f t="shared" si="212"/>
        <v>0</v>
      </c>
      <c r="K175" s="9">
        <f t="shared" si="213"/>
        <v>0</v>
      </c>
      <c r="L175" s="9">
        <f t="shared" si="214"/>
        <v>0</v>
      </c>
      <c r="M175" s="11">
        <f t="shared" ref="M175" si="218">$M$161</f>
        <v>5.8000000000000003E-2</v>
      </c>
      <c r="N175" s="9">
        <f t="shared" si="215"/>
        <v>0</v>
      </c>
      <c r="O175" s="12">
        <f t="shared" si="216"/>
        <v>0</v>
      </c>
      <c r="P175" s="13" t="str">
        <f t="shared" si="183"/>
        <v>NO</v>
      </c>
      <c r="Q175">
        <f>IF(D175="INCLUIDO",IF(F175&lt;&gt;0,1,0),0)</f>
        <v>0</v>
      </c>
      <c r="R175">
        <f>IF(I175="%o Al Millar",1000,IF(I175="% Al Porciento",100,IF(I175="$ Prima",G175)))</f>
        <v>100</v>
      </c>
      <c r="S175">
        <f t="shared" si="217"/>
        <v>0</v>
      </c>
      <c r="T175" s="152"/>
      <c r="U175" s="159"/>
      <c r="V175" s="160"/>
    </row>
    <row r="176" spans="1:22" ht="15" hidden="1" customHeight="1" x14ac:dyDescent="0.3">
      <c r="A176" s="34" t="s">
        <v>1261</v>
      </c>
      <c r="B176" s="36">
        <v>113</v>
      </c>
      <c r="C176" s="29" t="s">
        <v>1262</v>
      </c>
      <c r="D176" s="29" t="str">
        <f>D173</f>
        <v>INCLUIDO</v>
      </c>
      <c r="E176" s="27" t="s">
        <v>1186</v>
      </c>
      <c r="F176" s="20">
        <f>$F$173*S176</f>
        <v>0</v>
      </c>
      <c r="G176" s="21">
        <f>V176</f>
        <v>0</v>
      </c>
      <c r="H176" s="9">
        <f t="shared" si="211"/>
        <v>0</v>
      </c>
      <c r="I176" s="9" t="s">
        <v>1235</v>
      </c>
      <c r="J176" s="9">
        <f t="shared" si="212"/>
        <v>0</v>
      </c>
      <c r="K176" s="9">
        <f t="shared" si="213"/>
        <v>0</v>
      </c>
      <c r="L176" s="9">
        <f t="shared" si="214"/>
        <v>0</v>
      </c>
      <c r="M176" s="11">
        <f t="shared" ref="M176:M177" si="219">$M$173</f>
        <v>0</v>
      </c>
      <c r="N176" s="9">
        <f t="shared" si="215"/>
        <v>0</v>
      </c>
      <c r="O176" s="12">
        <f t="shared" si="216"/>
        <v>0</v>
      </c>
      <c r="P176" s="13" t="str">
        <f t="shared" si="183"/>
        <v>NO</v>
      </c>
      <c r="Q176">
        <f>IF(D176="INCLUIDO",IF(F176&lt;&gt;0,1,0),0)</f>
        <v>0</v>
      </c>
      <c r="R176">
        <f>IF(I176="%o Al Millar",1000,IF(I176="% Al Porciento",100,IF(I176="$ Prima",G176)))</f>
        <v>100</v>
      </c>
      <c r="S176">
        <f t="shared" si="217"/>
        <v>0</v>
      </c>
      <c r="T176" s="152">
        <v>0.1</v>
      </c>
      <c r="U176" s="159">
        <f>IF(E176="Excluido",0,$T$173*T176)</f>
        <v>0</v>
      </c>
      <c r="V176" s="160">
        <f>IF($F176=0,0,U176)</f>
        <v>0</v>
      </c>
    </row>
    <row r="177" spans="1:22" ht="15" hidden="1" customHeight="1" x14ac:dyDescent="0.3">
      <c r="A177" s="34" t="s">
        <v>1261</v>
      </c>
      <c r="B177" s="36"/>
      <c r="C177" s="81">
        <f>$O$12</f>
        <v>0</v>
      </c>
      <c r="D177" s="29" t="str">
        <f>D173</f>
        <v>INCLUIDO</v>
      </c>
      <c r="E177" s="27" t="str">
        <f>E176</f>
        <v>Excluido</v>
      </c>
      <c r="F177" s="9">
        <f>(F176*$O$12)*S177</f>
        <v>0</v>
      </c>
      <c r="G177" s="21">
        <v>0</v>
      </c>
      <c r="H177" s="9">
        <f t="shared" si="211"/>
        <v>0</v>
      </c>
      <c r="I177" s="9" t="s">
        <v>1235</v>
      </c>
      <c r="J177" s="9">
        <f t="shared" si="212"/>
        <v>0</v>
      </c>
      <c r="K177" s="9">
        <f t="shared" si="213"/>
        <v>0</v>
      </c>
      <c r="L177" s="9">
        <f t="shared" si="214"/>
        <v>0</v>
      </c>
      <c r="M177" s="11">
        <f t="shared" si="219"/>
        <v>0</v>
      </c>
      <c r="N177" s="9">
        <f t="shared" si="215"/>
        <v>0</v>
      </c>
      <c r="O177" s="12">
        <f t="shared" si="216"/>
        <v>0</v>
      </c>
      <c r="P177" s="13" t="str">
        <f t="shared" si="183"/>
        <v>NO</v>
      </c>
      <c r="Q177">
        <f>IF(D177="INCLUIDO",IF(F177&lt;&gt;0,1,0),0)</f>
        <v>0</v>
      </c>
      <c r="R177">
        <f>IF(I177="%o Al Millar",1000,IF(I177="% Al Porciento",100,IF(I177="$ Prima",G177)))</f>
        <v>100</v>
      </c>
      <c r="S177">
        <f t="shared" si="217"/>
        <v>0</v>
      </c>
      <c r="T177" s="154"/>
      <c r="V177" s="153"/>
    </row>
    <row r="178" spans="1:22" s="18" customFormat="1" ht="15" hidden="1" customHeight="1" x14ac:dyDescent="0.3">
      <c r="A178" s="24"/>
      <c r="B178" s="26"/>
      <c r="C178" s="15" t="s">
        <v>1177</v>
      </c>
      <c r="D178" s="38" t="str">
        <f>D177</f>
        <v>INCLUIDO</v>
      </c>
      <c r="E178" s="38"/>
      <c r="F178" s="16"/>
      <c r="G178" s="17"/>
      <c r="H178" s="16">
        <f>SUM(H174:H177)</f>
        <v>0</v>
      </c>
      <c r="I178" s="16"/>
      <c r="J178" s="16">
        <f t="shared" ref="J178:L178" si="220">SUM(J174:J177)</f>
        <v>0</v>
      </c>
      <c r="K178" s="16">
        <f t="shared" si="220"/>
        <v>0</v>
      </c>
      <c r="L178" s="16">
        <f t="shared" si="220"/>
        <v>0</v>
      </c>
      <c r="M178" s="16" t="s">
        <v>1178</v>
      </c>
      <c r="N178" s="16">
        <f t="shared" ref="N178:O178" si="221">SUM(N174:N177)</f>
        <v>0</v>
      </c>
      <c r="O178" s="84">
        <f t="shared" si="221"/>
        <v>0</v>
      </c>
      <c r="P178" s="13" t="str">
        <f t="shared" si="183"/>
        <v>NO</v>
      </c>
      <c r="Q178">
        <f>IF(D178="INCLUIDO",IF(H178&lt;&gt;0,1,0),0)</f>
        <v>0</v>
      </c>
      <c r="T178" s="167"/>
      <c r="V178" s="168"/>
    </row>
    <row r="179" spans="1:22" ht="15" hidden="1" customHeight="1" x14ac:dyDescent="0.3">
      <c r="A179" s="82">
        <v>906</v>
      </c>
      <c r="B179" s="33">
        <v>4</v>
      </c>
      <c r="C179" s="19" t="s">
        <v>1265</v>
      </c>
      <c r="D179" s="23" t="str">
        <f>D173</f>
        <v>INCLUIDO</v>
      </c>
      <c r="E179" s="91"/>
      <c r="F179" s="113">
        <v>0</v>
      </c>
      <c r="G179" s="132"/>
      <c r="H179" s="28"/>
      <c r="I179" s="28"/>
      <c r="J179" s="28"/>
      <c r="K179" s="28"/>
      <c r="L179" s="28"/>
      <c r="M179" s="68">
        <v>0</v>
      </c>
      <c r="N179" s="28"/>
      <c r="O179" s="83"/>
      <c r="P179" s="13" t="str">
        <f t="shared" si="183"/>
        <v>NO</v>
      </c>
      <c r="Q179" s="48">
        <f>IF(D179="INCLUIDO",IF(F179&lt;&gt;0,1,0),0)</f>
        <v>0</v>
      </c>
      <c r="T179" s="154"/>
      <c r="V179" s="153"/>
    </row>
    <row r="180" spans="1:22" ht="15" hidden="1" customHeight="1" x14ac:dyDescent="0.3">
      <c r="A180" s="34" t="s">
        <v>1261</v>
      </c>
      <c r="B180" s="36">
        <v>115</v>
      </c>
      <c r="C180" s="29" t="s">
        <v>1170</v>
      </c>
      <c r="D180" s="29" t="str">
        <f>D173</f>
        <v>INCLUIDO</v>
      </c>
      <c r="E180" s="27" t="s">
        <v>1186</v>
      </c>
      <c r="F180" s="20">
        <f>F179*S180</f>
        <v>0</v>
      </c>
      <c r="G180" s="21">
        <f>V180</f>
        <v>0</v>
      </c>
      <c r="H180" s="9">
        <f t="shared" ref="H180:H181" si="222">(IF(I180="$ Prima",G180,G180*F180/R180))*$U$9</f>
        <v>0</v>
      </c>
      <c r="I180" s="9" t="s">
        <v>1235</v>
      </c>
      <c r="J180" s="9">
        <f t="shared" ref="J180:J181" si="223">H180*$U$7</f>
        <v>0</v>
      </c>
      <c r="K180" s="9">
        <f t="shared" ref="K180:K181" si="224">(H180+J180)*$K$15</f>
        <v>0</v>
      </c>
      <c r="L180" s="9">
        <f t="shared" ref="L180:L181" si="225">ROUND(H180+J180+K180,2)</f>
        <v>0</v>
      </c>
      <c r="M180" s="11">
        <f>$M$179</f>
        <v>0</v>
      </c>
      <c r="N180" s="9">
        <f t="shared" ref="N180:N181" si="226">H180*M180</f>
        <v>0</v>
      </c>
      <c r="O180" s="12">
        <f t="shared" ref="O180:O181" si="227">N180</f>
        <v>0</v>
      </c>
      <c r="P180" s="13" t="str">
        <f t="shared" si="183"/>
        <v>NO</v>
      </c>
      <c r="Q180">
        <f>IF(D180="INCLUIDO",IF(F180&lt;&gt;0,1,0),0)</f>
        <v>0</v>
      </c>
      <c r="R180">
        <f>IF(I180="%o Al Millar",1000,IF(I180="% Al Porciento",100,IF(I180="$ Prima",G180)))</f>
        <v>100</v>
      </c>
      <c r="S180">
        <f t="shared" ref="S180:S181" si="228">IF(E180="Excluido",0,IF(D180="NO APLICA",0,1))</f>
        <v>0</v>
      </c>
      <c r="T180" s="152">
        <v>0.25</v>
      </c>
      <c r="U180" s="159">
        <f>IF(E180="Excluido",0,$T$173*T180)</f>
        <v>0</v>
      </c>
      <c r="V180" s="160">
        <f>IF($F180=0,0,U180)</f>
        <v>0</v>
      </c>
    </row>
    <row r="181" spans="1:22" ht="15" hidden="1" customHeight="1" x14ac:dyDescent="0.3">
      <c r="A181" s="34" t="s">
        <v>1261</v>
      </c>
      <c r="B181" s="36"/>
      <c r="C181" s="81">
        <f>$O$12</f>
        <v>0</v>
      </c>
      <c r="D181" s="29" t="str">
        <f>D173</f>
        <v>INCLUIDO</v>
      </c>
      <c r="E181" s="27" t="str">
        <f>E180</f>
        <v>Excluido</v>
      </c>
      <c r="F181" s="9">
        <f>(F180*$O$12)*S181</f>
        <v>0</v>
      </c>
      <c r="G181" s="21">
        <v>0</v>
      </c>
      <c r="H181" s="9">
        <f t="shared" si="222"/>
        <v>0</v>
      </c>
      <c r="I181" s="9" t="s">
        <v>1235</v>
      </c>
      <c r="J181" s="9">
        <f t="shared" si="223"/>
        <v>0</v>
      </c>
      <c r="K181" s="9">
        <f t="shared" si="224"/>
        <v>0</v>
      </c>
      <c r="L181" s="9">
        <f t="shared" si="225"/>
        <v>0</v>
      </c>
      <c r="M181" s="11">
        <f>$M$179</f>
        <v>0</v>
      </c>
      <c r="N181" s="9">
        <f t="shared" si="226"/>
        <v>0</v>
      </c>
      <c r="O181" s="12">
        <f t="shared" si="227"/>
        <v>0</v>
      </c>
      <c r="P181" s="13" t="str">
        <f t="shared" si="183"/>
        <v>NO</v>
      </c>
      <c r="Q181">
        <f>IF(D181="INCLUIDO",IF(F181&lt;&gt;0,1,0),0)</f>
        <v>0</v>
      </c>
      <c r="R181">
        <f>IF(I181="%o Al Millar",1000,IF(I181="% Al Porciento",100,IF(I181="$ Prima",G181)))</f>
        <v>100</v>
      </c>
      <c r="S181">
        <f t="shared" si="228"/>
        <v>0</v>
      </c>
      <c r="T181" s="154"/>
      <c r="V181" s="153"/>
    </row>
    <row r="182" spans="1:22" s="18" customFormat="1" ht="15" hidden="1" customHeight="1" x14ac:dyDescent="0.3">
      <c r="A182" s="24"/>
      <c r="B182" s="26"/>
      <c r="C182" s="15" t="s">
        <v>1177</v>
      </c>
      <c r="D182" s="38" t="str">
        <f>D181</f>
        <v>INCLUIDO</v>
      </c>
      <c r="E182" s="38"/>
      <c r="F182" s="16"/>
      <c r="G182" s="17"/>
      <c r="H182" s="16">
        <f>SUM(H180:H181)</f>
        <v>0</v>
      </c>
      <c r="I182" s="16"/>
      <c r="J182" s="16">
        <f t="shared" ref="J182:L182" si="229">SUM(J180:J181)</f>
        <v>0</v>
      </c>
      <c r="K182" s="16">
        <f t="shared" si="229"/>
        <v>0</v>
      </c>
      <c r="L182" s="16">
        <f t="shared" si="229"/>
        <v>0</v>
      </c>
      <c r="M182" s="16" t="s">
        <v>1178</v>
      </c>
      <c r="N182" s="16">
        <f t="shared" ref="N182:O182" si="230">SUM(N180:N181)</f>
        <v>0</v>
      </c>
      <c r="O182" s="84">
        <f t="shared" si="230"/>
        <v>0</v>
      </c>
      <c r="P182" s="13" t="str">
        <f t="shared" si="183"/>
        <v>NO</v>
      </c>
      <c r="Q182">
        <f>IF(D182="INCLUIDO",IF(H182&lt;&gt;0,1,0),0)</f>
        <v>0</v>
      </c>
      <c r="T182" s="167"/>
      <c r="V182" s="168"/>
    </row>
    <row r="183" spans="1:22" ht="15" hidden="1" customHeight="1" x14ac:dyDescent="0.3">
      <c r="A183" s="82">
        <v>906</v>
      </c>
      <c r="B183" s="33">
        <v>5</v>
      </c>
      <c r="C183" s="19" t="s">
        <v>1266</v>
      </c>
      <c r="D183" s="23" t="str">
        <f>D173</f>
        <v>INCLUIDO</v>
      </c>
      <c r="E183" s="91"/>
      <c r="F183" s="42">
        <v>0</v>
      </c>
      <c r="G183" s="43"/>
      <c r="H183" s="28"/>
      <c r="I183" s="28"/>
      <c r="J183" s="28"/>
      <c r="K183" s="28"/>
      <c r="L183" s="28"/>
      <c r="M183" s="68">
        <v>0</v>
      </c>
      <c r="N183" s="28"/>
      <c r="O183" s="83"/>
      <c r="P183" s="13" t="str">
        <f t="shared" si="183"/>
        <v>NO</v>
      </c>
      <c r="Q183" s="48">
        <f>IF(D183="INCLUIDO",IF(F183&lt;&gt;0,1,0),0)</f>
        <v>0</v>
      </c>
      <c r="T183" s="154"/>
      <c r="V183" s="153"/>
    </row>
    <row r="184" spans="1:22" ht="15" hidden="1" customHeight="1" x14ac:dyDescent="0.3">
      <c r="A184" s="34" t="s">
        <v>1261</v>
      </c>
      <c r="B184" s="36">
        <v>116</v>
      </c>
      <c r="C184" s="29" t="s">
        <v>1267</v>
      </c>
      <c r="D184" s="29" t="str">
        <f>D173</f>
        <v>INCLUIDO</v>
      </c>
      <c r="E184" s="27" t="s">
        <v>1186</v>
      </c>
      <c r="F184" s="20">
        <f>F183*S184</f>
        <v>0</v>
      </c>
      <c r="G184" s="21">
        <f>V184</f>
        <v>0</v>
      </c>
      <c r="H184" s="9">
        <f t="shared" ref="H184:H185" si="231">(IF(I184="$ Prima",G184,G184*F184/R184))*$U$9</f>
        <v>0</v>
      </c>
      <c r="I184" s="9" t="s">
        <v>1235</v>
      </c>
      <c r="J184" s="9">
        <f t="shared" ref="J184:J185" si="232">H184*$U$7</f>
        <v>0</v>
      </c>
      <c r="K184" s="9">
        <f t="shared" ref="K184:K185" si="233">(H184+J184)*$K$15</f>
        <v>0</v>
      </c>
      <c r="L184" s="9">
        <f t="shared" ref="L184:L185" si="234">ROUND(H184+J184+K184,2)</f>
        <v>0</v>
      </c>
      <c r="M184" s="11">
        <f>$M$183</f>
        <v>0</v>
      </c>
      <c r="N184" s="9">
        <f t="shared" ref="N184:N185" si="235">H184*M184</f>
        <v>0</v>
      </c>
      <c r="O184" s="12">
        <f t="shared" ref="O184:O185" si="236">N184</f>
        <v>0</v>
      </c>
      <c r="P184" s="13" t="str">
        <f t="shared" si="183"/>
        <v>NO</v>
      </c>
      <c r="Q184">
        <f>IF(D184="INCLUIDO",IF(F184&lt;&gt;0,1,0),0)</f>
        <v>0</v>
      </c>
      <c r="R184">
        <f>IF(I184="%o Al Millar",1000,IF(I184="% Al Porciento",100,IF(I184="$ Prima",G184)))</f>
        <v>100</v>
      </c>
      <c r="S184">
        <f t="shared" ref="S184:S185" si="237">IF(E184="Excluido",0,IF(D184="NO APLICA",0,1))</f>
        <v>0</v>
      </c>
      <c r="T184" s="152">
        <v>0.25</v>
      </c>
      <c r="U184" s="159">
        <f>IF(E184="Excluido",0,$T$173*T184)</f>
        <v>0</v>
      </c>
      <c r="V184" s="160">
        <f>IF($F184=0,0,U184)</f>
        <v>0</v>
      </c>
    </row>
    <row r="185" spans="1:22" ht="15" hidden="1" customHeight="1" thickBot="1" x14ac:dyDescent="0.35">
      <c r="A185" s="34" t="s">
        <v>1261</v>
      </c>
      <c r="B185" s="36"/>
      <c r="C185" s="81">
        <f>$O$12</f>
        <v>0</v>
      </c>
      <c r="D185" s="29" t="str">
        <f>D173</f>
        <v>INCLUIDO</v>
      </c>
      <c r="E185" s="27" t="str">
        <f>E184</f>
        <v>Excluido</v>
      </c>
      <c r="F185" s="9">
        <f>(F184*$O$12)*S185</f>
        <v>0</v>
      </c>
      <c r="G185" s="21">
        <v>0</v>
      </c>
      <c r="H185" s="9">
        <f t="shared" si="231"/>
        <v>0</v>
      </c>
      <c r="I185" s="9" t="s">
        <v>1235</v>
      </c>
      <c r="J185" s="9">
        <f t="shared" si="232"/>
        <v>0</v>
      </c>
      <c r="K185" s="9">
        <f t="shared" si="233"/>
        <v>0</v>
      </c>
      <c r="L185" s="9">
        <f t="shared" si="234"/>
        <v>0</v>
      </c>
      <c r="M185" s="11">
        <f>$M$183</f>
        <v>0</v>
      </c>
      <c r="N185" s="9">
        <f t="shared" si="235"/>
        <v>0</v>
      </c>
      <c r="O185" s="12">
        <f t="shared" si="236"/>
        <v>0</v>
      </c>
      <c r="P185" s="13" t="str">
        <f t="shared" si="183"/>
        <v>NO</v>
      </c>
      <c r="Q185">
        <f>IF(D185="INCLUIDO",IF(F185&lt;&gt;0,1,0),0)</f>
        <v>0</v>
      </c>
      <c r="R185">
        <f>IF(I185="%o Al Millar",1000,IF(I185="% Al Porciento",100,IF(I185="$ Prima",G185)))</f>
        <v>100</v>
      </c>
      <c r="S185">
        <f t="shared" si="237"/>
        <v>0</v>
      </c>
      <c r="T185" s="154"/>
      <c r="V185" s="153"/>
    </row>
    <row r="186" spans="1:22" s="18" customFormat="1" ht="15" hidden="1" customHeight="1" thickBot="1" x14ac:dyDescent="0.35">
      <c r="A186" s="24"/>
      <c r="B186" s="26"/>
      <c r="C186" s="15" t="s">
        <v>1177</v>
      </c>
      <c r="D186" s="38" t="str">
        <f>D185</f>
        <v>INCLUIDO</v>
      </c>
      <c r="E186" s="38"/>
      <c r="F186" s="16">
        <f>SUMIF(E174:E185,"Adicional",F174:F185)</f>
        <v>0</v>
      </c>
      <c r="G186" s="17"/>
      <c r="H186" s="16">
        <f>SUM(H184:H185)</f>
        <v>0</v>
      </c>
      <c r="I186" s="16"/>
      <c r="J186" s="16">
        <f t="shared" ref="J186:L186" si="238">SUM(J184:J185)</f>
        <v>0</v>
      </c>
      <c r="K186" s="16">
        <f t="shared" si="238"/>
        <v>0</v>
      </c>
      <c r="L186" s="16">
        <f t="shared" si="238"/>
        <v>0</v>
      </c>
      <c r="M186" s="16" t="s">
        <v>1178</v>
      </c>
      <c r="N186" s="16">
        <f t="shared" ref="N186:O186" si="239">SUM(N184:N185)</f>
        <v>0</v>
      </c>
      <c r="O186" s="84">
        <f t="shared" si="239"/>
        <v>0</v>
      </c>
      <c r="P186" s="13" t="str">
        <f t="shared" si="183"/>
        <v>NO</v>
      </c>
      <c r="Q186">
        <f>IF(D186="INCLUIDO",IF(H186&lt;&gt;0,1,0),0)</f>
        <v>0</v>
      </c>
      <c r="T186" s="143">
        <f>SUM(T174:T185)</f>
        <v>1</v>
      </c>
      <c r="U186" s="144">
        <f t="shared" ref="U186:V186" si="240">SUM(U174:U185)</f>
        <v>0</v>
      </c>
      <c r="V186" s="145">
        <f t="shared" si="240"/>
        <v>1</v>
      </c>
    </row>
    <row r="187" spans="1:22" ht="15" thickBot="1" x14ac:dyDescent="0.35">
      <c r="A187" s="82">
        <v>906</v>
      </c>
      <c r="B187" s="33">
        <v>6</v>
      </c>
      <c r="C187" s="19" t="s">
        <v>1268</v>
      </c>
      <c r="D187" s="23" t="str">
        <f>'Ramo Comercial'!C145</f>
        <v>INCLUIDO</v>
      </c>
      <c r="E187" s="91"/>
      <c r="F187" s="43">
        <f>'COTIZACIÓN M.N.'!D80</f>
        <v>6500000</v>
      </c>
      <c r="G187" s="211">
        <f>'COTIZACIÓN M.N.'!E80/'Ubicaciones total (2)'!A366</f>
        <v>4.9450549450549448E-2</v>
      </c>
      <c r="H187" s="28"/>
      <c r="I187" s="28"/>
      <c r="J187" s="28"/>
      <c r="K187" s="28"/>
      <c r="L187" s="28"/>
      <c r="M187" s="68">
        <f>M167</f>
        <v>0.1</v>
      </c>
      <c r="N187" s="28"/>
      <c r="O187" s="83"/>
      <c r="P187" s="13" t="str">
        <f t="shared" si="183"/>
        <v>SI</v>
      </c>
      <c r="Q187" s="47">
        <f>IF(D187="INCLUIDO",IF(F188&lt;&gt;0,1,0),0)</f>
        <v>1</v>
      </c>
      <c r="T187" s="142">
        <f>G187</f>
        <v>4.9450549450549448E-2</v>
      </c>
      <c r="U187" s="150"/>
      <c r="V187" s="151"/>
    </row>
    <row r="188" spans="1:22" x14ac:dyDescent="0.3">
      <c r="A188" s="34" t="s">
        <v>1261</v>
      </c>
      <c r="B188" s="36">
        <v>256</v>
      </c>
      <c r="C188" s="29" t="s">
        <v>1269</v>
      </c>
      <c r="D188" s="29" t="str">
        <f>$D$187</f>
        <v>INCLUIDO</v>
      </c>
      <c r="E188" s="27" t="s">
        <v>1137</v>
      </c>
      <c r="F188" s="9">
        <f>F187*S188</f>
        <v>6500000</v>
      </c>
      <c r="G188" s="21">
        <f>V188</f>
        <v>3.6098901098901105E-2</v>
      </c>
      <c r="H188" s="479">
        <f>(((IF(I188="$ Prima",G188,G188*F188/R188))*$U$9)/365)*$J$15</f>
        <v>235.28571428571433</v>
      </c>
      <c r="I188" s="9" t="s">
        <v>1153</v>
      </c>
      <c r="J188" s="9">
        <f t="shared" ref="J188:J201" si="241">H188*$U$7</f>
        <v>4.9645285714285725</v>
      </c>
      <c r="K188" s="9">
        <f t="shared" ref="K188:K201" si="242">(H188+J188)*$K$15</f>
        <v>38.440038857142866</v>
      </c>
      <c r="L188" s="9">
        <f t="shared" ref="L188:L201" si="243">ROUND(H188+J188+K188,2)</f>
        <v>278.69</v>
      </c>
      <c r="M188" s="11">
        <f>$M$187</f>
        <v>0.1</v>
      </c>
      <c r="N188" s="9">
        <f t="shared" ref="N188:N201" si="244">H188*M188</f>
        <v>23.528571428571436</v>
      </c>
      <c r="O188" s="12">
        <f t="shared" ref="O188:O201" si="245">N188</f>
        <v>23.528571428571436</v>
      </c>
      <c r="P188" s="13" t="str">
        <f t="shared" si="183"/>
        <v>SI</v>
      </c>
      <c r="Q188">
        <f t="shared" ref="Q188:Q201" si="246">IF(D188="INCLUIDO",IF(F188&lt;&gt;0,1,0),0)</f>
        <v>1</v>
      </c>
      <c r="R188">
        <f t="shared" ref="R188:R201" si="247">IF(I188="%o Al Millar",1000,IF(I188="% Al Porciento",100,IF(I188="$ Prima",G188)))</f>
        <v>1000</v>
      </c>
      <c r="S188">
        <f t="shared" ref="S188:S201" si="248">IF(E188="Excluido",0,IF(D188="NO APLICA",0,1))</f>
        <v>1</v>
      </c>
      <c r="T188" s="152">
        <v>0.73</v>
      </c>
      <c r="U188" s="159">
        <f>IF(E188="Excluido",0,$T$187*T188)</f>
        <v>3.6098901098901098E-2</v>
      </c>
      <c r="V188" s="160">
        <f>IF(D187="NO APLICA",0,(U210-U192-U194-U196-U198-U204-U208)+(T187-U210))</f>
        <v>3.6098901098901105E-2</v>
      </c>
    </row>
    <row r="189" spans="1:22" hidden="1" x14ac:dyDescent="0.3">
      <c r="A189" s="34" t="s">
        <v>1261</v>
      </c>
      <c r="B189" s="36"/>
      <c r="C189" s="81">
        <f>$O$12</f>
        <v>0</v>
      </c>
      <c r="D189" s="29" t="str">
        <f t="shared" ref="D189:D201" si="249">$D$187</f>
        <v>INCLUIDO</v>
      </c>
      <c r="E189" s="27" t="s">
        <v>1186</v>
      </c>
      <c r="F189" s="9">
        <f>(F188*$O$12)*S189</f>
        <v>0</v>
      </c>
      <c r="G189" s="21">
        <f>(G188*0.35)*S189</f>
        <v>0</v>
      </c>
      <c r="H189" s="9">
        <f t="shared" ref="H189:H201" si="250">(IF(I189="$ Prima",G189,G189*F189/R189))*$U$9</f>
        <v>0</v>
      </c>
      <c r="I189" s="9" t="s">
        <v>1153</v>
      </c>
      <c r="J189" s="9">
        <f t="shared" si="241"/>
        <v>0</v>
      </c>
      <c r="K189" s="9">
        <f t="shared" si="242"/>
        <v>0</v>
      </c>
      <c r="L189" s="9">
        <f t="shared" si="243"/>
        <v>0</v>
      </c>
      <c r="M189" s="11">
        <f>M188</f>
        <v>0.1</v>
      </c>
      <c r="N189" s="9">
        <f t="shared" si="244"/>
        <v>0</v>
      </c>
      <c r="O189" s="12">
        <f t="shared" si="245"/>
        <v>0</v>
      </c>
      <c r="P189" s="13" t="str">
        <f t="shared" si="183"/>
        <v>NO</v>
      </c>
      <c r="Q189">
        <f>IF(D189="INCLUIDO",IF(F189&lt;&gt;0,1,0),0)</f>
        <v>0</v>
      </c>
      <c r="R189">
        <f>IF(I189="%o Al Millar",1000,IF(I189="% Al Porciento",100,IF(I189="$ Prima",G189)))</f>
        <v>1000</v>
      </c>
      <c r="S189">
        <f t="shared" si="248"/>
        <v>0</v>
      </c>
      <c r="T189" s="152"/>
      <c r="U189" s="159"/>
      <c r="V189" s="160"/>
    </row>
    <row r="190" spans="1:22" ht="15" customHeight="1" x14ac:dyDescent="0.3">
      <c r="A190" s="34" t="s">
        <v>1261</v>
      </c>
      <c r="B190" s="36">
        <v>257</v>
      </c>
      <c r="C190" s="29" t="s">
        <v>1270</v>
      </c>
      <c r="D190" s="29" t="str">
        <f t="shared" si="249"/>
        <v>INCLUIDO</v>
      </c>
      <c r="E190" s="27" t="s">
        <v>1137</v>
      </c>
      <c r="F190" s="43">
        <f>'COTIZACIÓN M.N.'!D81</f>
        <v>785000</v>
      </c>
      <c r="G190" s="132">
        <f>'COTIZACIÓN M.N.'!E81/'Ubicaciones total (2)'!A366</f>
        <v>2.7472527472527472E-2</v>
      </c>
      <c r="H190" s="479">
        <f>(IF(I190="$ Prima",G190,G190*F190/R190))*$U$9</f>
        <v>21.565934065934066</v>
      </c>
      <c r="I190" s="9" t="s">
        <v>1153</v>
      </c>
      <c r="J190" s="9">
        <f t="shared" si="241"/>
        <v>0.4550412087912088</v>
      </c>
      <c r="K190" s="9">
        <f t="shared" si="242"/>
        <v>3.5233560439560438</v>
      </c>
      <c r="L190" s="9">
        <f t="shared" si="243"/>
        <v>25.54</v>
      </c>
      <c r="M190" s="11">
        <f>$M$187</f>
        <v>0.1</v>
      </c>
      <c r="N190" s="9">
        <f t="shared" si="244"/>
        <v>2.1565934065934065</v>
      </c>
      <c r="O190" s="12">
        <f t="shared" si="245"/>
        <v>2.1565934065934065</v>
      </c>
      <c r="P190" s="13" t="str">
        <f t="shared" si="183"/>
        <v>SI</v>
      </c>
      <c r="Q190">
        <f t="shared" si="246"/>
        <v>1</v>
      </c>
      <c r="R190">
        <f t="shared" si="247"/>
        <v>1000</v>
      </c>
      <c r="S190">
        <f t="shared" si="248"/>
        <v>1</v>
      </c>
      <c r="T190" s="152"/>
      <c r="U190" s="159"/>
      <c r="V190" s="160"/>
    </row>
    <row r="191" spans="1:22" ht="15" hidden="1" customHeight="1" x14ac:dyDescent="0.3">
      <c r="A191" s="34" t="s">
        <v>1261</v>
      </c>
      <c r="B191" s="36"/>
      <c r="C191" s="81">
        <f>$O$12</f>
        <v>0</v>
      </c>
      <c r="D191" s="29" t="str">
        <f t="shared" si="249"/>
        <v>INCLUIDO</v>
      </c>
      <c r="E191" s="27" t="s">
        <v>1186</v>
      </c>
      <c r="F191" s="9">
        <f>(F190*$O$12)*S191</f>
        <v>0</v>
      </c>
      <c r="G191" s="21">
        <f>G190*0.35</f>
        <v>9.6153846153846142E-3</v>
      </c>
      <c r="H191" s="9">
        <f t="shared" ref="H191" si="251">(IF(I191="$ Prima",G191,G191*F191/R191))*$U$9</f>
        <v>0</v>
      </c>
      <c r="I191" s="9" t="s">
        <v>1153</v>
      </c>
      <c r="J191" s="9">
        <f t="shared" si="241"/>
        <v>0</v>
      </c>
      <c r="K191" s="9">
        <f t="shared" si="242"/>
        <v>0</v>
      </c>
      <c r="L191" s="9">
        <f t="shared" si="243"/>
        <v>0</v>
      </c>
      <c r="M191" s="11">
        <f>$M$179</f>
        <v>0</v>
      </c>
      <c r="N191" s="9">
        <f t="shared" si="244"/>
        <v>0</v>
      </c>
      <c r="O191" s="12">
        <f t="shared" si="245"/>
        <v>0</v>
      </c>
      <c r="P191" s="13" t="str">
        <f t="shared" si="183"/>
        <v>NO</v>
      </c>
      <c r="Q191">
        <f>IF(D191="INCLUIDO",IF(F191&lt;&gt;0,1,0),0)</f>
        <v>0</v>
      </c>
      <c r="R191">
        <f>IF(I191="%o Al Millar",1000,IF(I191="% Al Porciento",100,IF(I191="$ Prima",G191)))</f>
        <v>1000</v>
      </c>
      <c r="S191">
        <f t="shared" si="248"/>
        <v>0</v>
      </c>
      <c r="T191" s="154"/>
      <c r="V191" s="153"/>
    </row>
    <row r="192" spans="1:22" x14ac:dyDescent="0.3">
      <c r="A192" s="34" t="s">
        <v>1261</v>
      </c>
      <c r="B192" s="36">
        <v>120</v>
      </c>
      <c r="C192" s="29" t="s">
        <v>1271</v>
      </c>
      <c r="D192" s="29" t="str">
        <f t="shared" si="249"/>
        <v>INCLUIDO</v>
      </c>
      <c r="E192" s="27" t="s">
        <v>1137</v>
      </c>
      <c r="F192" s="20">
        <f>(IF($E$190="Sublimite",$F$188,$F$188+$F$190))*S192</f>
        <v>6500000</v>
      </c>
      <c r="G192" s="21">
        <f>V192</f>
        <v>4.9450549450549448E-3</v>
      </c>
      <c r="H192" s="9">
        <f t="shared" si="250"/>
        <v>32.142857142857139</v>
      </c>
      <c r="I192" s="9" t="s">
        <v>1153</v>
      </c>
      <c r="J192" s="9">
        <f t="shared" si="241"/>
        <v>0.67821428571428566</v>
      </c>
      <c r="K192" s="9">
        <f t="shared" si="242"/>
        <v>5.2513714285714279</v>
      </c>
      <c r="L192" s="9">
        <f t="shared" si="243"/>
        <v>38.07</v>
      </c>
      <c r="M192" s="11">
        <f>$M$187</f>
        <v>0.1</v>
      </c>
      <c r="N192" s="9">
        <f t="shared" si="244"/>
        <v>3.214285714285714</v>
      </c>
      <c r="O192" s="12">
        <f t="shared" si="245"/>
        <v>3.214285714285714</v>
      </c>
      <c r="P192" s="13" t="str">
        <f t="shared" si="183"/>
        <v>SI</v>
      </c>
      <c r="Q192">
        <f t="shared" si="246"/>
        <v>1</v>
      </c>
      <c r="R192">
        <f t="shared" si="247"/>
        <v>1000</v>
      </c>
      <c r="S192">
        <f t="shared" si="248"/>
        <v>1</v>
      </c>
      <c r="T192" s="152">
        <v>0.1</v>
      </c>
      <c r="U192" s="159">
        <f>IF(E192="Excluido",0,$T$187*T192)</f>
        <v>4.9450549450549448E-3</v>
      </c>
      <c r="V192" s="160">
        <f>IF($F$187=0,0,U192)</f>
        <v>4.9450549450549448E-3</v>
      </c>
    </row>
    <row r="193" spans="1:22" hidden="1" x14ac:dyDescent="0.3">
      <c r="A193" s="34" t="s">
        <v>1261</v>
      </c>
      <c r="B193" s="36"/>
      <c r="C193" s="81">
        <f>$O$12</f>
        <v>0</v>
      </c>
      <c r="D193" s="29" t="str">
        <f t="shared" si="249"/>
        <v>INCLUIDO</v>
      </c>
      <c r="E193" s="27" t="s">
        <v>1186</v>
      </c>
      <c r="F193" s="9">
        <f>(F192*$O$12)*S193</f>
        <v>0</v>
      </c>
      <c r="G193" s="21">
        <f>G192*0.35</f>
        <v>1.7307692307692306E-3</v>
      </c>
      <c r="H193" s="9">
        <f t="shared" si="250"/>
        <v>0</v>
      </c>
      <c r="I193" s="9" t="s">
        <v>1153</v>
      </c>
      <c r="J193" s="9">
        <f t="shared" si="241"/>
        <v>0</v>
      </c>
      <c r="K193" s="9">
        <f t="shared" si="242"/>
        <v>0</v>
      </c>
      <c r="L193" s="9">
        <f t="shared" si="243"/>
        <v>0</v>
      </c>
      <c r="M193" s="11">
        <f>M192</f>
        <v>0.1</v>
      </c>
      <c r="N193" s="9">
        <f t="shared" si="244"/>
        <v>0</v>
      </c>
      <c r="O193" s="12">
        <f t="shared" si="245"/>
        <v>0</v>
      </c>
      <c r="P193" s="13" t="str">
        <f>IF(Q193=1,"SI","NO")</f>
        <v>NO</v>
      </c>
      <c r="Q193">
        <f>IF(D193="INCLUIDO",IF(F193&lt;&gt;0,1,0),0)</f>
        <v>0</v>
      </c>
      <c r="R193">
        <f>IF(I193="%o Al Millar",1000,IF(I193="% Al Porciento",100,IF(I193="$ Prima",G193)))</f>
        <v>1000</v>
      </c>
      <c r="S193">
        <f t="shared" si="248"/>
        <v>0</v>
      </c>
      <c r="T193" s="154"/>
      <c r="V193" s="153"/>
    </row>
    <row r="194" spans="1:22" x14ac:dyDescent="0.3">
      <c r="A194" s="34" t="s">
        <v>1261</v>
      </c>
      <c r="B194" s="36">
        <v>121</v>
      </c>
      <c r="C194" s="29" t="s">
        <v>1272</v>
      </c>
      <c r="D194" s="29" t="str">
        <f t="shared" si="249"/>
        <v>INCLUIDO</v>
      </c>
      <c r="E194" s="27" t="s">
        <v>1137</v>
      </c>
      <c r="F194" s="20">
        <f>(IF($E$190="Sublimite",$F$188,$F$188+$F$190))*S194</f>
        <v>6500000</v>
      </c>
      <c r="G194" s="21">
        <f>V194</f>
        <v>2.4725274725274724E-3</v>
      </c>
      <c r="H194" s="9">
        <f t="shared" si="250"/>
        <v>16.071428571428569</v>
      </c>
      <c r="I194" s="9" t="s">
        <v>1153</v>
      </c>
      <c r="J194" s="9">
        <f t="shared" si="241"/>
        <v>0.33910714285714283</v>
      </c>
      <c r="K194" s="9">
        <f t="shared" si="242"/>
        <v>2.625685714285714</v>
      </c>
      <c r="L194" s="9">
        <f t="shared" si="243"/>
        <v>19.04</v>
      </c>
      <c r="M194" s="11">
        <f>$M$187</f>
        <v>0.1</v>
      </c>
      <c r="N194" s="9">
        <f t="shared" si="244"/>
        <v>1.607142857142857</v>
      </c>
      <c r="O194" s="12">
        <f t="shared" si="245"/>
        <v>1.607142857142857</v>
      </c>
      <c r="P194" s="13" t="str">
        <f t="shared" si="183"/>
        <v>SI</v>
      </c>
      <c r="Q194">
        <f t="shared" si="246"/>
        <v>1</v>
      </c>
      <c r="R194">
        <f t="shared" si="247"/>
        <v>1000</v>
      </c>
      <c r="S194">
        <f t="shared" si="248"/>
        <v>1</v>
      </c>
      <c r="T194" s="152">
        <v>0.05</v>
      </c>
      <c r="U194" s="159">
        <f>IF(E194="Excluido",0,$T$187*T194)</f>
        <v>2.4725274725274724E-3</v>
      </c>
      <c r="V194" s="160">
        <f>IF($F$187=0,0,U194)</f>
        <v>2.4725274725274724E-3</v>
      </c>
    </row>
    <row r="195" spans="1:22" hidden="1" x14ac:dyDescent="0.3">
      <c r="A195" s="34" t="s">
        <v>1261</v>
      </c>
      <c r="B195" s="36"/>
      <c r="C195" s="81">
        <f>$O$12</f>
        <v>0</v>
      </c>
      <c r="D195" s="29" t="str">
        <f t="shared" si="249"/>
        <v>INCLUIDO</v>
      </c>
      <c r="E195" s="27" t="s">
        <v>1186</v>
      </c>
      <c r="F195" s="9">
        <f>(F194*$O$12)*S195</f>
        <v>0</v>
      </c>
      <c r="G195" s="21">
        <f>G194*0.35</f>
        <v>8.653846153846153E-4</v>
      </c>
      <c r="H195" s="9">
        <f t="shared" si="250"/>
        <v>0</v>
      </c>
      <c r="I195" s="9" t="s">
        <v>1153</v>
      </c>
      <c r="J195" s="9">
        <f t="shared" si="241"/>
        <v>0</v>
      </c>
      <c r="K195" s="9">
        <f t="shared" si="242"/>
        <v>0</v>
      </c>
      <c r="L195" s="9">
        <f t="shared" si="243"/>
        <v>0</v>
      </c>
      <c r="M195" s="11">
        <f>M194</f>
        <v>0.1</v>
      </c>
      <c r="N195" s="9">
        <f t="shared" si="244"/>
        <v>0</v>
      </c>
      <c r="O195" s="12">
        <f t="shared" si="245"/>
        <v>0</v>
      </c>
      <c r="P195" s="13" t="str">
        <f>IF(Q195=1,"SI","NO")</f>
        <v>NO</v>
      </c>
      <c r="Q195">
        <f>IF(D195="INCLUIDO",IF(F195&lt;&gt;0,1,0),0)</f>
        <v>0</v>
      </c>
      <c r="R195">
        <f>IF(I195="%o Al Millar",1000,IF(I195="% Al Porciento",100,IF(I195="$ Prima",G195)))</f>
        <v>1000</v>
      </c>
      <c r="S195">
        <f t="shared" si="248"/>
        <v>0</v>
      </c>
      <c r="T195" s="154"/>
      <c r="V195" s="153"/>
    </row>
    <row r="196" spans="1:22" x14ac:dyDescent="0.3">
      <c r="A196" s="34" t="s">
        <v>1261</v>
      </c>
      <c r="B196" s="36">
        <v>122</v>
      </c>
      <c r="C196" s="29" t="s">
        <v>1273</v>
      </c>
      <c r="D196" s="29" t="str">
        <f t="shared" si="249"/>
        <v>INCLUIDO</v>
      </c>
      <c r="E196" s="27" t="s">
        <v>1137</v>
      </c>
      <c r="F196" s="20">
        <f>(IF($E$190="Sublimite",$F$188,$F$188+$F$190))*S196</f>
        <v>6500000</v>
      </c>
      <c r="G196" s="21">
        <f>V196</f>
        <v>2.4725274725274724E-3</v>
      </c>
      <c r="H196" s="9">
        <f t="shared" si="250"/>
        <v>16.071428571428569</v>
      </c>
      <c r="I196" s="9" t="s">
        <v>1153</v>
      </c>
      <c r="J196" s="9">
        <f t="shared" si="241"/>
        <v>0.33910714285714283</v>
      </c>
      <c r="K196" s="9">
        <f t="shared" si="242"/>
        <v>2.625685714285714</v>
      </c>
      <c r="L196" s="9">
        <f t="shared" si="243"/>
        <v>19.04</v>
      </c>
      <c r="M196" s="11">
        <f>$M$187</f>
        <v>0.1</v>
      </c>
      <c r="N196" s="9">
        <f t="shared" si="244"/>
        <v>1.607142857142857</v>
      </c>
      <c r="O196" s="12">
        <f t="shared" si="245"/>
        <v>1.607142857142857</v>
      </c>
      <c r="P196" s="13" t="str">
        <f t="shared" si="183"/>
        <v>SI</v>
      </c>
      <c r="Q196">
        <f t="shared" si="246"/>
        <v>1</v>
      </c>
      <c r="R196">
        <f t="shared" si="247"/>
        <v>1000</v>
      </c>
      <c r="S196">
        <f t="shared" si="248"/>
        <v>1</v>
      </c>
      <c r="T196" s="152">
        <v>0.05</v>
      </c>
      <c r="U196" s="159">
        <f>IF(E196="Excluido",0,$T$187*T196)</f>
        <v>2.4725274725274724E-3</v>
      </c>
      <c r="V196" s="160">
        <f>IF($F$187=0,0,U196)</f>
        <v>2.4725274725274724E-3</v>
      </c>
    </row>
    <row r="197" spans="1:22" hidden="1" x14ac:dyDescent="0.3">
      <c r="A197" s="34" t="s">
        <v>1261</v>
      </c>
      <c r="B197" s="36"/>
      <c r="C197" s="81">
        <f>$O$12</f>
        <v>0</v>
      </c>
      <c r="D197" s="29" t="str">
        <f t="shared" si="249"/>
        <v>INCLUIDO</v>
      </c>
      <c r="E197" s="27" t="s">
        <v>1186</v>
      </c>
      <c r="F197" s="9">
        <f>(F196*$O$12)*S197</f>
        <v>0</v>
      </c>
      <c r="G197" s="21">
        <f>G196*0.35</f>
        <v>8.653846153846153E-4</v>
      </c>
      <c r="H197" s="9">
        <f t="shared" si="250"/>
        <v>0</v>
      </c>
      <c r="I197" s="9" t="s">
        <v>1153</v>
      </c>
      <c r="J197" s="9">
        <f t="shared" si="241"/>
        <v>0</v>
      </c>
      <c r="K197" s="9">
        <f t="shared" si="242"/>
        <v>0</v>
      </c>
      <c r="L197" s="9">
        <f t="shared" si="243"/>
        <v>0</v>
      </c>
      <c r="M197" s="11">
        <f>M196</f>
        <v>0.1</v>
      </c>
      <c r="N197" s="9">
        <f t="shared" si="244"/>
        <v>0</v>
      </c>
      <c r="O197" s="12">
        <f t="shared" si="245"/>
        <v>0</v>
      </c>
      <c r="P197" s="13" t="str">
        <f>IF(Q197=1,"SI","NO")</f>
        <v>NO</v>
      </c>
      <c r="Q197">
        <f>IF(D197="INCLUIDO",IF(F197&lt;&gt;0,1,0),0)</f>
        <v>0</v>
      </c>
      <c r="R197">
        <f>IF(I197="%o Al Millar",1000,IF(I197="% Al Porciento",100,IF(I197="$ Prima",G197)))</f>
        <v>1000</v>
      </c>
      <c r="S197">
        <f t="shared" si="248"/>
        <v>0</v>
      </c>
      <c r="T197" s="154"/>
      <c r="V197" s="153"/>
    </row>
    <row r="198" spans="1:22" ht="20.399999999999999" x14ac:dyDescent="0.3">
      <c r="A198" s="34" t="s">
        <v>1261</v>
      </c>
      <c r="B198" s="36">
        <v>119</v>
      </c>
      <c r="C198" s="29" t="s">
        <v>1274</v>
      </c>
      <c r="D198" s="29" t="str">
        <f t="shared" si="249"/>
        <v>INCLUIDO</v>
      </c>
      <c r="E198" s="27" t="s">
        <v>1137</v>
      </c>
      <c r="F198" s="20">
        <f>(IF($E$190="Sublimite",$F$188,$F$188+$F$190))*S198</f>
        <v>6500000</v>
      </c>
      <c r="G198" s="21">
        <f>V198</f>
        <v>2.4725274725274724E-3</v>
      </c>
      <c r="H198" s="9">
        <f t="shared" si="250"/>
        <v>16.071428571428569</v>
      </c>
      <c r="I198" s="9" t="s">
        <v>1153</v>
      </c>
      <c r="J198" s="9">
        <f t="shared" si="241"/>
        <v>0.33910714285714283</v>
      </c>
      <c r="K198" s="9">
        <f t="shared" si="242"/>
        <v>2.625685714285714</v>
      </c>
      <c r="L198" s="9">
        <f t="shared" si="243"/>
        <v>19.04</v>
      </c>
      <c r="M198" s="11">
        <f>$M$187</f>
        <v>0.1</v>
      </c>
      <c r="N198" s="9">
        <f t="shared" si="244"/>
        <v>1.607142857142857</v>
      </c>
      <c r="O198" s="12">
        <f t="shared" si="245"/>
        <v>1.607142857142857</v>
      </c>
      <c r="P198" s="13" t="str">
        <f t="shared" si="183"/>
        <v>SI</v>
      </c>
      <c r="Q198">
        <f t="shared" si="246"/>
        <v>1</v>
      </c>
      <c r="R198">
        <f t="shared" si="247"/>
        <v>1000</v>
      </c>
      <c r="S198">
        <f t="shared" si="248"/>
        <v>1</v>
      </c>
      <c r="T198" s="152">
        <v>0.05</v>
      </c>
      <c r="U198" s="159">
        <f>IF(E198="Excluido",0,$T$187*T198)</f>
        <v>2.4725274725274724E-3</v>
      </c>
      <c r="V198" s="160">
        <f>IF($F$187=0,0,U198)</f>
        <v>2.4725274725274724E-3</v>
      </c>
    </row>
    <row r="199" spans="1:22" hidden="1" x14ac:dyDescent="0.3">
      <c r="A199" s="34" t="s">
        <v>1261</v>
      </c>
      <c r="B199" s="36"/>
      <c r="C199" s="81">
        <f>$O$12</f>
        <v>0</v>
      </c>
      <c r="D199" s="29" t="str">
        <f t="shared" si="249"/>
        <v>INCLUIDO</v>
      </c>
      <c r="E199" s="27" t="s">
        <v>1186</v>
      </c>
      <c r="F199" s="9">
        <f>(F198*$O$12)*S199</f>
        <v>0</v>
      </c>
      <c r="G199" s="21">
        <f>G198*0.35</f>
        <v>8.653846153846153E-4</v>
      </c>
      <c r="H199" s="9">
        <f t="shared" si="250"/>
        <v>0</v>
      </c>
      <c r="I199" s="9" t="s">
        <v>1153</v>
      </c>
      <c r="J199" s="9">
        <f t="shared" si="241"/>
        <v>0</v>
      </c>
      <c r="K199" s="9">
        <f t="shared" si="242"/>
        <v>0</v>
      </c>
      <c r="L199" s="9">
        <f t="shared" si="243"/>
        <v>0</v>
      </c>
      <c r="M199" s="11">
        <f>M198</f>
        <v>0.1</v>
      </c>
      <c r="N199" s="9">
        <f t="shared" si="244"/>
        <v>0</v>
      </c>
      <c r="O199" s="12">
        <f t="shared" si="245"/>
        <v>0</v>
      </c>
      <c r="P199" s="13" t="str">
        <f>IF(Q199=1,"SI","NO")</f>
        <v>NO</v>
      </c>
      <c r="Q199">
        <f>IF(D199="INCLUIDO",IF(F199&lt;&gt;0,1,0),0)</f>
        <v>0</v>
      </c>
      <c r="R199">
        <f>IF(I199="%o Al Millar",1000,IF(I199="% Al Porciento",100,IF(I199="$ Prima",G199)))</f>
        <v>1000</v>
      </c>
      <c r="S199">
        <f t="shared" si="248"/>
        <v>0</v>
      </c>
      <c r="T199" s="154"/>
      <c r="V199" s="153"/>
    </row>
    <row r="200" spans="1:22" ht="15" hidden="1" customHeight="1" x14ac:dyDescent="0.3">
      <c r="A200" s="34" t="s">
        <v>1261</v>
      </c>
      <c r="B200" s="36">
        <v>258</v>
      </c>
      <c r="C200" s="29" t="s">
        <v>1275</v>
      </c>
      <c r="D200" s="29" t="str">
        <f t="shared" si="249"/>
        <v>INCLUIDO</v>
      </c>
      <c r="E200" s="27" t="s">
        <v>1186</v>
      </c>
      <c r="F200" s="20">
        <v>0</v>
      </c>
      <c r="G200" s="43">
        <v>0</v>
      </c>
      <c r="H200" s="9">
        <f t="shared" si="250"/>
        <v>0</v>
      </c>
      <c r="I200" s="9" t="s">
        <v>1153</v>
      </c>
      <c r="J200" s="9">
        <f t="shared" si="241"/>
        <v>0</v>
      </c>
      <c r="K200" s="9">
        <f t="shared" si="242"/>
        <v>0</v>
      </c>
      <c r="L200" s="9">
        <f t="shared" si="243"/>
        <v>0</v>
      </c>
      <c r="M200" s="11">
        <f>$M$187</f>
        <v>0.1</v>
      </c>
      <c r="N200" s="9">
        <f t="shared" si="244"/>
        <v>0</v>
      </c>
      <c r="O200" s="12">
        <f t="shared" si="245"/>
        <v>0</v>
      </c>
      <c r="P200" s="13" t="str">
        <f t="shared" si="183"/>
        <v>NO</v>
      </c>
      <c r="Q200">
        <f t="shared" si="246"/>
        <v>0</v>
      </c>
      <c r="R200">
        <f t="shared" si="247"/>
        <v>1000</v>
      </c>
      <c r="S200">
        <f t="shared" si="248"/>
        <v>0</v>
      </c>
      <c r="T200" s="152"/>
      <c r="U200" s="159"/>
      <c r="V200" s="160"/>
    </row>
    <row r="201" spans="1:22" ht="15" hidden="1" customHeight="1" x14ac:dyDescent="0.3">
      <c r="A201" s="34" t="s">
        <v>1261</v>
      </c>
      <c r="B201" s="36"/>
      <c r="C201" s="81">
        <f>$O$12</f>
        <v>0</v>
      </c>
      <c r="D201" s="29" t="str">
        <f t="shared" si="249"/>
        <v>INCLUIDO</v>
      </c>
      <c r="E201" s="27" t="s">
        <v>1186</v>
      </c>
      <c r="F201" s="9">
        <f>(F200*$O$12)*S201</f>
        <v>0</v>
      </c>
      <c r="G201" s="21">
        <f>G200*0.35</f>
        <v>0</v>
      </c>
      <c r="H201" s="9">
        <f t="shared" si="250"/>
        <v>0</v>
      </c>
      <c r="I201" s="9" t="s">
        <v>1153</v>
      </c>
      <c r="J201" s="9">
        <f t="shared" si="241"/>
        <v>0</v>
      </c>
      <c r="K201" s="9">
        <f t="shared" si="242"/>
        <v>0</v>
      </c>
      <c r="L201" s="9">
        <f t="shared" si="243"/>
        <v>0</v>
      </c>
      <c r="M201" s="11">
        <f>$M$187</f>
        <v>0.1</v>
      </c>
      <c r="N201" s="9">
        <f t="shared" si="244"/>
        <v>0</v>
      </c>
      <c r="O201" s="12">
        <f t="shared" si="245"/>
        <v>0</v>
      </c>
      <c r="P201" s="13" t="str">
        <f t="shared" si="183"/>
        <v>NO</v>
      </c>
      <c r="Q201">
        <f t="shared" si="246"/>
        <v>0</v>
      </c>
      <c r="R201">
        <f t="shared" si="247"/>
        <v>1000</v>
      </c>
      <c r="S201">
        <f t="shared" si="248"/>
        <v>0</v>
      </c>
      <c r="T201" s="154"/>
      <c r="V201" s="153"/>
    </row>
    <row r="202" spans="1:22" s="18" customFormat="1" x14ac:dyDescent="0.3">
      <c r="A202" s="24"/>
      <c r="B202" s="26"/>
      <c r="C202" s="15" t="s">
        <v>1177</v>
      </c>
      <c r="D202" s="38" t="str">
        <f>D201</f>
        <v>INCLUIDO</v>
      </c>
      <c r="E202" s="38"/>
      <c r="F202" s="16">
        <v>0</v>
      </c>
      <c r="G202" s="17"/>
      <c r="H202" s="16">
        <f>SUM(H188:H201)</f>
        <v>337.20879120879124</v>
      </c>
      <c r="I202" s="16"/>
      <c r="J202" s="16">
        <f>SUM(J188:J201)</f>
        <v>7.1151054945054959</v>
      </c>
      <c r="K202" s="16">
        <f>SUM(K188:K201)</f>
        <v>55.091823472527487</v>
      </c>
      <c r="L202" s="16">
        <f>SUM(L188:L201)</f>
        <v>399.42000000000007</v>
      </c>
      <c r="M202" s="16" t="s">
        <v>1178</v>
      </c>
      <c r="N202" s="16">
        <f>SUM(N188:N201)</f>
        <v>33.720879120879125</v>
      </c>
      <c r="O202" s="84">
        <f>SUM(O188:O201)</f>
        <v>33.720879120879125</v>
      </c>
      <c r="P202" s="13" t="str">
        <f t="shared" si="183"/>
        <v>SI</v>
      </c>
      <c r="Q202">
        <f>IF(D202="INCLUIDO",IF(H202&lt;&gt;0,1,0),0)</f>
        <v>1</v>
      </c>
      <c r="T202" s="167"/>
      <c r="V202" s="168"/>
    </row>
    <row r="203" spans="1:22" x14ac:dyDescent="0.3">
      <c r="A203" s="82">
        <v>906</v>
      </c>
      <c r="B203" s="33">
        <v>7</v>
      </c>
      <c r="C203" s="19" t="s">
        <v>1276</v>
      </c>
      <c r="D203" s="23" t="str">
        <f>D187</f>
        <v>INCLUIDO</v>
      </c>
      <c r="E203" s="91"/>
      <c r="F203" s="28"/>
      <c r="G203" s="28"/>
      <c r="H203" s="28"/>
      <c r="I203" s="28"/>
      <c r="J203" s="28"/>
      <c r="K203" s="28"/>
      <c r="L203" s="28"/>
      <c r="M203" s="68">
        <v>0.1</v>
      </c>
      <c r="N203" s="28"/>
      <c r="O203" s="83"/>
      <c r="P203" s="13" t="str">
        <f t="shared" si="183"/>
        <v>SI</v>
      </c>
      <c r="Q203" s="47">
        <f>IF(D203="INCLUIDO",IF(F204&lt;&gt;0,1,0),0)</f>
        <v>1</v>
      </c>
      <c r="T203" s="154"/>
      <c r="V203" s="153"/>
    </row>
    <row r="204" spans="1:22" x14ac:dyDescent="0.3">
      <c r="A204" s="34" t="s">
        <v>1261</v>
      </c>
      <c r="B204" s="36">
        <v>126</v>
      </c>
      <c r="C204" s="29" t="s">
        <v>1170</v>
      </c>
      <c r="D204" s="29" t="str">
        <f t="shared" ref="D204:D205" si="252">$D$187</f>
        <v>INCLUIDO</v>
      </c>
      <c r="E204" s="27" t="s">
        <v>1137</v>
      </c>
      <c r="F204" s="20">
        <f>(IF($E$190="Sublimite",$F$188,$F$188+$F$190))*S204</f>
        <v>6500000</v>
      </c>
      <c r="G204" s="49">
        <f>G187*T204</f>
        <v>4.9450549450549451E-4</v>
      </c>
      <c r="H204" s="9">
        <f>(((IF(I204="$ Prima",G204,G204*F204/R204))*$U$9)/365)*$J$15</f>
        <v>3.2230919765166339</v>
      </c>
      <c r="I204" s="9" t="s">
        <v>1153</v>
      </c>
      <c r="J204" s="9">
        <f t="shared" ref="J204:J205" si="253">H204*$U$7</f>
        <v>6.8007240704500982E-2</v>
      </c>
      <c r="K204" s="9">
        <f t="shared" ref="K204:K205" si="254">(H204+J204)*$K$15</f>
        <v>0.52657587475538159</v>
      </c>
      <c r="L204" s="9">
        <f t="shared" ref="L204:L205" si="255">ROUND(H204+J204+K204,2)</f>
        <v>3.82</v>
      </c>
      <c r="M204" s="11">
        <f>$M$203</f>
        <v>0.1</v>
      </c>
      <c r="N204" s="9">
        <f t="shared" ref="N204:N205" si="256">H204*M204</f>
        <v>0.32230919765166344</v>
      </c>
      <c r="O204" s="12">
        <f t="shared" ref="O204:O205" si="257">N204</f>
        <v>0.32230919765166344</v>
      </c>
      <c r="P204" s="13" t="str">
        <f t="shared" si="183"/>
        <v>SI</v>
      </c>
      <c r="Q204">
        <f>IF(D204="INCLUIDO",IF(F204&lt;&gt;0,1,0),0)</f>
        <v>1</v>
      </c>
      <c r="R204">
        <f>IF(I204="%o Al Millar",1000,IF(I204="% Al Porciento",100,IF(I204="$ Prima",G204)))</f>
        <v>1000</v>
      </c>
      <c r="S204">
        <f t="shared" ref="S204:S205" si="258">IF(E204="Excluido",0,IF(D204="NO APLICA",0,1))</f>
        <v>1</v>
      </c>
      <c r="T204" s="152">
        <v>0.01</v>
      </c>
      <c r="U204" s="159">
        <f>IF(E204="Excluido",0,$T$187*T204)</f>
        <v>4.9450549450549451E-4</v>
      </c>
      <c r="V204" s="160">
        <f>IF($F$187=0,0,U204)</f>
        <v>4.9450549450549451E-4</v>
      </c>
    </row>
    <row r="205" spans="1:22" hidden="1" x14ac:dyDescent="0.3">
      <c r="A205" s="34" t="s">
        <v>1261</v>
      </c>
      <c r="B205" s="36"/>
      <c r="C205" s="81">
        <f>$O$12</f>
        <v>0</v>
      </c>
      <c r="D205" s="29" t="str">
        <f t="shared" si="252"/>
        <v>INCLUIDO</v>
      </c>
      <c r="E205" s="27" t="s">
        <v>1186</v>
      </c>
      <c r="F205" s="9">
        <f>(F204*$O$12)*S205</f>
        <v>0</v>
      </c>
      <c r="G205" s="21">
        <f>G204*0.35</f>
        <v>1.7307692307692307E-4</v>
      </c>
      <c r="H205" s="9">
        <f t="shared" ref="H205" si="259">(IF(I205="$ Prima",G205,G205*F205/R205))*$U$9</f>
        <v>0</v>
      </c>
      <c r="I205" s="9" t="s">
        <v>1153</v>
      </c>
      <c r="J205" s="9">
        <f t="shared" si="253"/>
        <v>0</v>
      </c>
      <c r="K205" s="9">
        <f t="shared" si="254"/>
        <v>0</v>
      </c>
      <c r="L205" s="9">
        <f t="shared" si="255"/>
        <v>0</v>
      </c>
      <c r="M205" s="11">
        <f>$M$203</f>
        <v>0.1</v>
      </c>
      <c r="N205" s="9">
        <f t="shared" si="256"/>
        <v>0</v>
      </c>
      <c r="O205" s="12">
        <f t="shared" si="257"/>
        <v>0</v>
      </c>
      <c r="P205" s="13" t="str">
        <f t="shared" si="183"/>
        <v>NO</v>
      </c>
      <c r="Q205">
        <f>IF(D205="INCLUIDO",IF(F205&lt;&gt;0,1,0),0)</f>
        <v>0</v>
      </c>
      <c r="R205">
        <f>IF(I205="%o Al Millar",1000,IF(I205="% Al Porciento",100,IF(I205="$ Prima",G205)))</f>
        <v>1000</v>
      </c>
      <c r="S205">
        <f t="shared" si="258"/>
        <v>0</v>
      </c>
      <c r="T205" s="154"/>
      <c r="V205" s="153"/>
    </row>
    <row r="206" spans="1:22" s="18" customFormat="1" x14ac:dyDescent="0.3">
      <c r="A206" s="24"/>
      <c r="B206" s="26"/>
      <c r="C206" s="15" t="s">
        <v>1177</v>
      </c>
      <c r="D206" s="38" t="str">
        <f>D187</f>
        <v>INCLUIDO</v>
      </c>
      <c r="E206" s="38"/>
      <c r="F206" s="16">
        <f>SUMIF(E204:E205,"Adicional",F204:F205)</f>
        <v>0</v>
      </c>
      <c r="G206" s="17"/>
      <c r="H206" s="16">
        <f>SUM(H204:H205)</f>
        <v>3.2230919765166339</v>
      </c>
      <c r="I206" s="16"/>
      <c r="J206" s="16">
        <f t="shared" ref="J206:L206" si="260">SUM(J204:J205)</f>
        <v>6.8007240704500982E-2</v>
      </c>
      <c r="K206" s="16">
        <f t="shared" si="260"/>
        <v>0.52657587475538159</v>
      </c>
      <c r="L206" s="16">
        <f t="shared" si="260"/>
        <v>3.82</v>
      </c>
      <c r="M206" s="16" t="s">
        <v>1178</v>
      </c>
      <c r="N206" s="16">
        <f t="shared" ref="N206:O206" si="261">SUM(N204:N205)</f>
        <v>0.32230919765166344</v>
      </c>
      <c r="O206" s="84">
        <f t="shared" si="261"/>
        <v>0.32230919765166344</v>
      </c>
      <c r="P206" s="13" t="str">
        <f t="shared" si="183"/>
        <v>SI</v>
      </c>
      <c r="Q206">
        <f>IF(D206="INCLUIDO",IF(H206&lt;&gt;0,1,0),0)</f>
        <v>1</v>
      </c>
      <c r="T206" s="167"/>
      <c r="V206" s="168"/>
    </row>
    <row r="207" spans="1:22" x14ac:dyDescent="0.3">
      <c r="A207" s="82">
        <v>906</v>
      </c>
      <c r="B207" s="33">
        <v>8</v>
      </c>
      <c r="C207" s="19" t="s">
        <v>1277</v>
      </c>
      <c r="D207" s="23" t="str">
        <f>$D$187</f>
        <v>INCLUIDO</v>
      </c>
      <c r="E207" s="91"/>
      <c r="F207" s="28"/>
      <c r="G207" s="28"/>
      <c r="H207" s="28"/>
      <c r="I207" s="28"/>
      <c r="J207" s="28"/>
      <c r="K207" s="28"/>
      <c r="L207" s="28"/>
      <c r="M207" s="68">
        <v>0.1</v>
      </c>
      <c r="N207" s="28"/>
      <c r="O207" s="83"/>
      <c r="P207" s="13" t="str">
        <f t="shared" si="183"/>
        <v>SI</v>
      </c>
      <c r="Q207" s="47">
        <f>IF(D207="INCLUIDO",IF(F208&lt;&gt;0,1,0),0)</f>
        <v>1</v>
      </c>
      <c r="T207" s="154"/>
      <c r="V207" s="153"/>
    </row>
    <row r="208" spans="1:22" ht="15" thickBot="1" x14ac:dyDescent="0.35">
      <c r="A208" s="34" t="s">
        <v>1261</v>
      </c>
      <c r="B208" s="36">
        <v>127</v>
      </c>
      <c r="C208" s="29" t="s">
        <v>1267</v>
      </c>
      <c r="D208" s="29" t="str">
        <f t="shared" ref="D208:D209" si="262">$D$187</f>
        <v>INCLUIDO</v>
      </c>
      <c r="E208" s="27" t="s">
        <v>1137</v>
      </c>
      <c r="F208" s="20">
        <f>(IF($E$190="Sublimite",$F$188,$F$188+$F$190))*S208</f>
        <v>6500000</v>
      </c>
      <c r="G208" s="49">
        <f>G187*T208</f>
        <v>4.9450549450549451E-4</v>
      </c>
      <c r="H208" s="9">
        <f>(((IF(I208="$ Prima",G208,G208*F208/R208))*$U$9)/365)*$J$15</f>
        <v>3.2230919765166339</v>
      </c>
      <c r="I208" s="9" t="s">
        <v>1153</v>
      </c>
      <c r="J208" s="9">
        <f t="shared" ref="J208:J209" si="263">H208*$U$7</f>
        <v>6.8007240704500982E-2</v>
      </c>
      <c r="K208" s="9">
        <f t="shared" ref="K208:K209" si="264">(H208+J208)*$K$15</f>
        <v>0.52657587475538159</v>
      </c>
      <c r="L208" s="9">
        <f t="shared" ref="L208:L209" si="265">ROUND(H208+J208+K208,2)</f>
        <v>3.82</v>
      </c>
      <c r="M208" s="11">
        <f>$M$207</f>
        <v>0.1</v>
      </c>
      <c r="N208" s="9">
        <f t="shared" ref="N208:N209" si="266">H208*M208</f>
        <v>0.32230919765166344</v>
      </c>
      <c r="O208" s="12">
        <f t="shared" ref="O208:O209" si="267">N208</f>
        <v>0.32230919765166344</v>
      </c>
      <c r="P208" s="13" t="str">
        <f t="shared" si="183"/>
        <v>SI</v>
      </c>
      <c r="Q208">
        <f>IF(D208="INCLUIDO",IF(F208&lt;&gt;0,1,0),0)</f>
        <v>1</v>
      </c>
      <c r="R208">
        <f>IF(I208="%o Al Millar",1000,IF(I208="% Al Porciento",100,IF(I208="$ Prima",G208)))</f>
        <v>1000</v>
      </c>
      <c r="S208">
        <f t="shared" ref="S208:S209" si="268">IF(E208="Excluido",0,IF(D208="NO APLICA",0,1))</f>
        <v>1</v>
      </c>
      <c r="T208" s="152">
        <v>0.01</v>
      </c>
      <c r="U208" s="159">
        <f>IF(E208="Excluido",0,$T$187*T208)</f>
        <v>4.9450549450549451E-4</v>
      </c>
      <c r="V208" s="160">
        <f>IF($F$187=0,0,U208)</f>
        <v>4.9450549450549451E-4</v>
      </c>
    </row>
    <row r="209" spans="1:22" ht="15" hidden="1" thickBot="1" x14ac:dyDescent="0.35">
      <c r="A209" s="34" t="s">
        <v>1261</v>
      </c>
      <c r="B209" s="36"/>
      <c r="C209" s="81">
        <f>$O$12</f>
        <v>0</v>
      </c>
      <c r="D209" s="29" t="str">
        <f t="shared" si="262"/>
        <v>INCLUIDO</v>
      </c>
      <c r="E209" s="27" t="s">
        <v>1186</v>
      </c>
      <c r="F209" s="9">
        <f>(F208*$O$12)*S209</f>
        <v>0</v>
      </c>
      <c r="G209" s="21">
        <f>G208*0.35</f>
        <v>1.7307692307692307E-4</v>
      </c>
      <c r="H209" s="9">
        <f t="shared" ref="H209" si="269">(IF(I209="$ Prima",G209,G209*F209/R209))*$U$9</f>
        <v>0</v>
      </c>
      <c r="I209" s="9" t="s">
        <v>1153</v>
      </c>
      <c r="J209" s="9">
        <f t="shared" si="263"/>
        <v>0</v>
      </c>
      <c r="K209" s="9">
        <f t="shared" si="264"/>
        <v>0</v>
      </c>
      <c r="L209" s="9">
        <f t="shared" si="265"/>
        <v>0</v>
      </c>
      <c r="M209" s="11">
        <f>$M$207</f>
        <v>0.1</v>
      </c>
      <c r="N209" s="9">
        <f t="shared" si="266"/>
        <v>0</v>
      </c>
      <c r="O209" s="12">
        <f t="shared" si="267"/>
        <v>0</v>
      </c>
      <c r="P209" s="13" t="str">
        <f t="shared" si="183"/>
        <v>NO</v>
      </c>
      <c r="Q209">
        <f>IF(D209="INCLUIDO",IF(F209&lt;&gt;0,1,0),0)</f>
        <v>0</v>
      </c>
      <c r="R209">
        <f>IF(I209="%o Al Millar",1000,IF(I209="% Al Porciento",100,IF(I209="$ Prima",G209)))</f>
        <v>1000</v>
      </c>
      <c r="S209">
        <f t="shared" si="268"/>
        <v>0</v>
      </c>
      <c r="T209" s="164"/>
      <c r="U209" s="165"/>
      <c r="V209" s="166"/>
    </row>
    <row r="210" spans="1:22" s="18" customFormat="1" ht="15" thickBot="1" x14ac:dyDescent="0.35">
      <c r="A210" s="24"/>
      <c r="B210" s="26"/>
      <c r="C210" s="15" t="s">
        <v>1177</v>
      </c>
      <c r="D210" s="38" t="str">
        <f>D209</f>
        <v>INCLUIDO</v>
      </c>
      <c r="E210" s="38"/>
      <c r="F210" s="16">
        <f>SUMIF(E208:E209,"Adicional",F208:F209)</f>
        <v>0</v>
      </c>
      <c r="G210" s="17"/>
      <c r="H210" s="16">
        <f>SUM(H208:H209)</f>
        <v>3.2230919765166339</v>
      </c>
      <c r="I210" s="16"/>
      <c r="J210" s="16">
        <f t="shared" ref="J210:L210" si="270">SUM(J208:J209)</f>
        <v>6.8007240704500982E-2</v>
      </c>
      <c r="K210" s="16">
        <f t="shared" si="270"/>
        <v>0.52657587475538159</v>
      </c>
      <c r="L210" s="16">
        <f t="shared" si="270"/>
        <v>3.82</v>
      </c>
      <c r="M210" s="16" t="s">
        <v>1178</v>
      </c>
      <c r="N210" s="16">
        <f t="shared" ref="N210:O210" si="271">SUM(N208:N209)</f>
        <v>0.32230919765166344</v>
      </c>
      <c r="O210" s="84">
        <f t="shared" si="271"/>
        <v>0.32230919765166344</v>
      </c>
      <c r="P210" s="13" t="str">
        <f t="shared" si="183"/>
        <v>SI</v>
      </c>
      <c r="Q210">
        <f>IF(D210="INCLUIDO",IF(H210&lt;&gt;0,1,0),0)</f>
        <v>1</v>
      </c>
      <c r="T210" s="143">
        <f>SUM(T188:T209)</f>
        <v>1</v>
      </c>
      <c r="U210" s="144">
        <f>SUM(U188:U209)</f>
        <v>4.9450549450549434E-2</v>
      </c>
      <c r="V210" s="145">
        <f>SUM(V188:V209)</f>
        <v>4.9450549450549448E-2</v>
      </c>
    </row>
    <row r="211" spans="1:22" ht="15" hidden="1" customHeight="1" x14ac:dyDescent="0.3">
      <c r="A211" s="82">
        <v>906</v>
      </c>
      <c r="B211" s="33">
        <v>9</v>
      </c>
      <c r="C211" s="19" t="s">
        <v>1278</v>
      </c>
      <c r="D211" s="23" t="str">
        <f>$D$187</f>
        <v>INCLUIDO</v>
      </c>
      <c r="E211" s="91"/>
      <c r="F211" s="43">
        <v>0</v>
      </c>
      <c r="G211" s="43">
        <v>0</v>
      </c>
      <c r="H211" s="28"/>
      <c r="I211" s="28"/>
      <c r="J211" s="28"/>
      <c r="K211" s="28"/>
      <c r="L211" s="28"/>
      <c r="M211" s="68">
        <v>0</v>
      </c>
      <c r="N211" s="28"/>
      <c r="O211" s="83"/>
      <c r="P211" s="13" t="str">
        <f t="shared" si="183"/>
        <v>NO</v>
      </c>
      <c r="Q211" s="48">
        <f>IF(D211="INCLUIDO",IF(F211&lt;&gt;0,1,0),0)</f>
        <v>0</v>
      </c>
    </row>
    <row r="212" spans="1:22" ht="15" hidden="1" customHeight="1" x14ac:dyDescent="0.3">
      <c r="A212" s="34" t="s">
        <v>1261</v>
      </c>
      <c r="B212" s="36">
        <v>128</v>
      </c>
      <c r="C212" s="29" t="s">
        <v>1279</v>
      </c>
      <c r="D212" s="29" t="str">
        <f>$D$187</f>
        <v>INCLUIDO</v>
      </c>
      <c r="E212" s="27" t="s">
        <v>1186</v>
      </c>
      <c r="F212" s="20">
        <f>F211*S212</f>
        <v>0</v>
      </c>
      <c r="G212" s="21">
        <v>0</v>
      </c>
      <c r="H212" s="9">
        <f>(IF(I212="$ Prima",G212,G212*F212/R212))*$U$9</f>
        <v>0</v>
      </c>
      <c r="I212" s="9" t="s">
        <v>1153</v>
      </c>
      <c r="J212" s="9">
        <f>H212*$U$7</f>
        <v>0</v>
      </c>
      <c r="K212" s="9">
        <f>(H212+J212)*$K$15</f>
        <v>0</v>
      </c>
      <c r="L212" s="9">
        <f>ROUND(H212+J212+K212,2)</f>
        <v>0</v>
      </c>
      <c r="M212" s="11">
        <f>M211</f>
        <v>0</v>
      </c>
      <c r="N212" s="9">
        <f>H212*M212</f>
        <v>0</v>
      </c>
      <c r="O212" s="12">
        <f>N212</f>
        <v>0</v>
      </c>
      <c r="P212" s="13" t="str">
        <f t="shared" si="183"/>
        <v>NO</v>
      </c>
      <c r="Q212">
        <f>IF(D212="INCLUIDO",IF(F212&lt;&gt;0,1,0),0)</f>
        <v>0</v>
      </c>
      <c r="R212">
        <f>IF(I212="%o Al Millar",1000,IF(I212="% Al Porciento",100,IF(I212="$ Prima",G212)))</f>
        <v>1000</v>
      </c>
      <c r="S212">
        <f t="shared" ref="S212" si="272">IF(E212="Excluido",0,IF(D212="NO APLICA",0,1))</f>
        <v>0</v>
      </c>
    </row>
    <row r="213" spans="1:22" s="18" customFormat="1" ht="15" hidden="1" customHeight="1" x14ac:dyDescent="0.3">
      <c r="A213" s="24"/>
      <c r="B213" s="26"/>
      <c r="C213" s="15" t="s">
        <v>1177</v>
      </c>
      <c r="D213" s="38" t="str">
        <f>D212</f>
        <v>INCLUIDO</v>
      </c>
      <c r="E213" s="38"/>
      <c r="F213" s="16">
        <f>SUMIF(E212,"Adicional",F212)</f>
        <v>0</v>
      </c>
      <c r="G213" s="17"/>
      <c r="H213" s="16">
        <f>SUM(H212)</f>
        <v>0</v>
      </c>
      <c r="I213" s="16"/>
      <c r="J213" s="16">
        <f t="shared" ref="J213:L213" si="273">SUM(J212)</f>
        <v>0</v>
      </c>
      <c r="K213" s="16">
        <f t="shared" si="273"/>
        <v>0</v>
      </c>
      <c r="L213" s="16">
        <f t="shared" si="273"/>
        <v>0</v>
      </c>
      <c r="M213" s="16" t="s">
        <v>1178</v>
      </c>
      <c r="N213" s="16">
        <f t="shared" ref="N213:O213" si="274">SUM(N212)</f>
        <v>0</v>
      </c>
      <c r="O213" s="84">
        <f t="shared" si="274"/>
        <v>0</v>
      </c>
      <c r="P213" s="13" t="str">
        <f t="shared" si="183"/>
        <v>NO</v>
      </c>
      <c r="Q213">
        <f>IF(D213="INCLUIDO",IF(H213&lt;&gt;0,1,0),0)</f>
        <v>0</v>
      </c>
    </row>
    <row r="214" spans="1:22" ht="15" hidden="1" customHeight="1" x14ac:dyDescent="0.3">
      <c r="A214" s="82">
        <v>906</v>
      </c>
      <c r="B214" s="33">
        <v>10</v>
      </c>
      <c r="C214" s="19" t="s">
        <v>1280</v>
      </c>
      <c r="D214" s="23" t="str">
        <f>$D$187</f>
        <v>INCLUIDO</v>
      </c>
      <c r="E214" s="91"/>
      <c r="F214" s="43">
        <v>0</v>
      </c>
      <c r="G214" s="43">
        <v>0</v>
      </c>
      <c r="H214" s="28"/>
      <c r="I214" s="28"/>
      <c r="J214" s="28"/>
      <c r="K214" s="28"/>
      <c r="L214" s="28"/>
      <c r="M214" s="68">
        <v>0</v>
      </c>
      <c r="N214" s="28"/>
      <c r="O214" s="83"/>
      <c r="P214" s="13" t="str">
        <f t="shared" si="183"/>
        <v>NO</v>
      </c>
      <c r="Q214" s="48">
        <f>IF(D214="INCLUIDO",IF(F214&lt;&gt;0,1,0),0)</f>
        <v>0</v>
      </c>
    </row>
    <row r="215" spans="1:22" ht="15" hidden="1" customHeight="1" x14ac:dyDescent="0.3">
      <c r="A215" s="34" t="s">
        <v>1281</v>
      </c>
      <c r="B215" s="36">
        <v>129</v>
      </c>
      <c r="C215" s="29" t="s">
        <v>1282</v>
      </c>
      <c r="D215" s="29" t="str">
        <f t="shared" ref="D215" si="275">$D$187</f>
        <v>INCLUIDO</v>
      </c>
      <c r="E215" s="27" t="s">
        <v>1186</v>
      </c>
      <c r="F215" s="20">
        <f>F214*S215</f>
        <v>0</v>
      </c>
      <c r="G215" s="21">
        <v>0</v>
      </c>
      <c r="H215" s="9">
        <f>(IF(I215="$ Prima",G215,G215*F215/R215))*$U$9</f>
        <v>0</v>
      </c>
      <c r="I215" s="9" t="s">
        <v>1153</v>
      </c>
      <c r="J215" s="9">
        <f>H215*$U$7</f>
        <v>0</v>
      </c>
      <c r="K215" s="9">
        <f>(H215+J215)*$K$15</f>
        <v>0</v>
      </c>
      <c r="L215" s="9">
        <f>ROUND(H215+J215+K215,2)</f>
        <v>0</v>
      </c>
      <c r="M215" s="11">
        <f>M214</f>
        <v>0</v>
      </c>
      <c r="N215" s="9">
        <f>H215*M215</f>
        <v>0</v>
      </c>
      <c r="O215" s="12">
        <f>N215</f>
        <v>0</v>
      </c>
      <c r="P215" s="13" t="str">
        <f t="shared" si="183"/>
        <v>NO</v>
      </c>
      <c r="Q215">
        <f>IF(D215="INCLUIDO",IF(F215&lt;&gt;0,1,0),0)</f>
        <v>0</v>
      </c>
      <c r="R215">
        <f>IF(I215="%o Al Millar",1000,IF(I215="% Al Porciento",100,IF(I215="$ Prima",G215)))</f>
        <v>1000</v>
      </c>
      <c r="S215">
        <f t="shared" ref="S215" si="276">IF(E215="Excluido",0,IF(D215="NO APLICA",0,1))</f>
        <v>0</v>
      </c>
    </row>
    <row r="216" spans="1:22" s="18" customFormat="1" ht="15" hidden="1" customHeight="1" x14ac:dyDescent="0.3">
      <c r="A216" s="24"/>
      <c r="B216" s="26"/>
      <c r="C216" s="15" t="s">
        <v>1177</v>
      </c>
      <c r="D216" s="38" t="str">
        <f>D215</f>
        <v>INCLUIDO</v>
      </c>
      <c r="E216" s="38"/>
      <c r="F216" s="16">
        <f>SUMIF(E188:E215,"Adicional",F188:F215)</f>
        <v>0</v>
      </c>
      <c r="G216" s="17"/>
      <c r="H216" s="16">
        <f>SUM(H215)</f>
        <v>0</v>
      </c>
      <c r="I216" s="16"/>
      <c r="J216" s="16">
        <f t="shared" ref="J216:L216" si="277">SUM(J215)</f>
        <v>0</v>
      </c>
      <c r="K216" s="16">
        <f t="shared" si="277"/>
        <v>0</v>
      </c>
      <c r="L216" s="16">
        <f t="shared" si="277"/>
        <v>0</v>
      </c>
      <c r="M216" s="16" t="s">
        <v>1178</v>
      </c>
      <c r="N216" s="16">
        <f t="shared" ref="N216:O216" si="278">SUM(N215)</f>
        <v>0</v>
      </c>
      <c r="O216" s="84">
        <f t="shared" si="278"/>
        <v>0</v>
      </c>
      <c r="P216" s="13" t="str">
        <f t="shared" si="183"/>
        <v>NO</v>
      </c>
      <c r="Q216">
        <f>IF(D216="INCLUIDO",IF(H216&lt;&gt;0,1,0),0)</f>
        <v>0</v>
      </c>
    </row>
    <row r="217" spans="1:22" ht="15" hidden="1" customHeight="1" thickBot="1" x14ac:dyDescent="0.35">
      <c r="A217" s="82">
        <v>906</v>
      </c>
      <c r="B217" s="33">
        <v>11</v>
      </c>
      <c r="C217" s="19" t="s">
        <v>1283</v>
      </c>
      <c r="D217" s="23" t="str">
        <f>'Ramo Comercial'!C152</f>
        <v>NO APLICA</v>
      </c>
      <c r="E217" s="91"/>
      <c r="F217" s="113">
        <v>0</v>
      </c>
      <c r="G217" s="113">
        <v>1.2</v>
      </c>
      <c r="H217" s="28"/>
      <c r="I217" s="28"/>
      <c r="J217" s="28"/>
      <c r="K217" s="28"/>
      <c r="L217" s="28"/>
      <c r="M217" s="68">
        <v>0</v>
      </c>
      <c r="N217" s="28"/>
      <c r="O217" s="83"/>
      <c r="P217" s="13" t="str">
        <f t="shared" si="183"/>
        <v>NO</v>
      </c>
      <c r="Q217">
        <f>IF(D217="INCLUIDO",IF(F217&lt;&gt;0,1,0),0)</f>
        <v>0</v>
      </c>
      <c r="T217" s="142">
        <f>G217</f>
        <v>1.2</v>
      </c>
      <c r="U217" s="150"/>
      <c r="V217" s="151"/>
    </row>
    <row r="218" spans="1:22" ht="15" hidden="1" customHeight="1" x14ac:dyDescent="0.3">
      <c r="A218" s="34" t="s">
        <v>1261</v>
      </c>
      <c r="B218" s="36">
        <v>131</v>
      </c>
      <c r="C218" s="29" t="s">
        <v>1151</v>
      </c>
      <c r="D218" s="29" t="str">
        <f>$D$217</f>
        <v>NO APLICA</v>
      </c>
      <c r="E218" s="27" t="s">
        <v>1152</v>
      </c>
      <c r="F218" s="20">
        <f>F217*S218</f>
        <v>0</v>
      </c>
      <c r="G218" s="21">
        <f>V218</f>
        <v>0</v>
      </c>
      <c r="H218" s="9">
        <f t="shared" ref="H218:H219" si="279">(IF(I218="$ Prima",G218,G218*F218/R218))*$U$9</f>
        <v>0</v>
      </c>
      <c r="I218" s="9" t="s">
        <v>1153</v>
      </c>
      <c r="J218" s="9">
        <f t="shared" ref="J218:J219" si="280">H218*$U$7</f>
        <v>0</v>
      </c>
      <c r="K218" s="9">
        <f t="shared" ref="K218:K219" si="281">(H218+J218)*$K$15</f>
        <v>0</v>
      </c>
      <c r="L218" s="9">
        <f t="shared" ref="L218:L219" si="282">ROUND(H218+J218+K218,2)</f>
        <v>0</v>
      </c>
      <c r="M218" s="11">
        <f>$M$217</f>
        <v>0</v>
      </c>
      <c r="N218" s="9">
        <f t="shared" ref="N218:N219" si="283">H218*M218</f>
        <v>0</v>
      </c>
      <c r="O218" s="12">
        <f t="shared" ref="O218:O219" si="284">N218</f>
        <v>0</v>
      </c>
      <c r="P218" s="13" t="str">
        <f t="shared" si="183"/>
        <v>NO</v>
      </c>
      <c r="Q218" s="48">
        <f>IF(D218="INCLUIDO",IF(F218&lt;&gt;0,1,0),0)</f>
        <v>0</v>
      </c>
      <c r="R218">
        <f>IF(I218="%o Al Millar",1000,IF(I218="% Al Porciento",100,IF(I218="$ Prima",G218)))</f>
        <v>1000</v>
      </c>
      <c r="S218">
        <f t="shared" ref="S218:S219" si="285">IF(E218="Excluido",0,IF(D218="NO APLICA",0,1))</f>
        <v>0</v>
      </c>
      <c r="T218" s="152">
        <v>0.7</v>
      </c>
      <c r="U218" s="159">
        <f>IF(E218="Excluido",0,T217*T218)</f>
        <v>0.84</v>
      </c>
      <c r="V218" s="160">
        <f>IF(D217="NO APLICA",0,(U220-U219)+(T217-U220))</f>
        <v>0</v>
      </c>
    </row>
    <row r="219" spans="1:22" ht="15" hidden="1" customHeight="1" thickBot="1" x14ac:dyDescent="0.35">
      <c r="A219" s="34" t="s">
        <v>1261</v>
      </c>
      <c r="B219" s="36">
        <v>130</v>
      </c>
      <c r="C219" s="29" t="s">
        <v>1262</v>
      </c>
      <c r="D219" s="29" t="str">
        <f>$D$217</f>
        <v>NO APLICA</v>
      </c>
      <c r="E219" s="27" t="s">
        <v>1137</v>
      </c>
      <c r="F219" s="20">
        <f>F218*S219</f>
        <v>0</v>
      </c>
      <c r="G219" s="21">
        <f>V219</f>
        <v>0</v>
      </c>
      <c r="H219" s="9">
        <f t="shared" si="279"/>
        <v>0</v>
      </c>
      <c r="I219" s="9" t="s">
        <v>1153</v>
      </c>
      <c r="J219" s="9">
        <f t="shared" si="280"/>
        <v>0</v>
      </c>
      <c r="K219" s="9">
        <f t="shared" si="281"/>
        <v>0</v>
      </c>
      <c r="L219" s="9">
        <f t="shared" si="282"/>
        <v>0</v>
      </c>
      <c r="M219" s="11">
        <f>$M$217</f>
        <v>0</v>
      </c>
      <c r="N219" s="9">
        <f t="shared" si="283"/>
        <v>0</v>
      </c>
      <c r="O219" s="12">
        <f t="shared" si="284"/>
        <v>0</v>
      </c>
      <c r="P219" s="13" t="str">
        <f t="shared" ref="P219:P289" si="286">IF(Q219=1,"SI","NO")</f>
        <v>NO</v>
      </c>
      <c r="Q219">
        <f>IF(D219="INCLUIDO",IF(F219&lt;&gt;0,1,0),0)</f>
        <v>0</v>
      </c>
      <c r="R219">
        <f>IF(I219="%o Al Millar",1000,IF(I219="% Al Porciento",100,IF(I219="$ Prima",G219)))</f>
        <v>1000</v>
      </c>
      <c r="S219">
        <f t="shared" si="285"/>
        <v>0</v>
      </c>
      <c r="T219" s="152">
        <v>0.3</v>
      </c>
      <c r="U219" s="159">
        <f>IF(E219="Excluido",0,T217*T219)</f>
        <v>0.36</v>
      </c>
      <c r="V219" s="160">
        <f>IF($F219=0,0,U219)</f>
        <v>0</v>
      </c>
    </row>
    <row r="220" spans="1:22" s="18" customFormat="1" ht="15" hidden="1" customHeight="1" thickBot="1" x14ac:dyDescent="0.35">
      <c r="A220" s="24"/>
      <c r="B220" s="26"/>
      <c r="C220" s="15" t="s">
        <v>1177</v>
      </c>
      <c r="D220" s="38" t="str">
        <f>D219</f>
        <v>NO APLICA</v>
      </c>
      <c r="E220" s="38"/>
      <c r="F220" s="16">
        <v>0</v>
      </c>
      <c r="G220" s="17"/>
      <c r="H220" s="16">
        <f>SUM(H218:H219)</f>
        <v>0</v>
      </c>
      <c r="I220" s="16"/>
      <c r="J220" s="16">
        <f t="shared" ref="J220:L220" si="287">SUM(J218:J219)</f>
        <v>0</v>
      </c>
      <c r="K220" s="16">
        <f t="shared" si="287"/>
        <v>0</v>
      </c>
      <c r="L220" s="16">
        <f t="shared" si="287"/>
        <v>0</v>
      </c>
      <c r="M220" s="16" t="s">
        <v>1178</v>
      </c>
      <c r="N220" s="16">
        <f t="shared" ref="N220:O220" si="288">SUM(N218:N219)</f>
        <v>0</v>
      </c>
      <c r="O220" s="84">
        <f t="shared" si="288"/>
        <v>0</v>
      </c>
      <c r="P220" s="13" t="str">
        <f t="shared" si="286"/>
        <v>NO</v>
      </c>
      <c r="Q220">
        <f>IF(D220="INCLUIDO",IF(H220&lt;&gt;0,1,0),0)</f>
        <v>0</v>
      </c>
      <c r="T220" s="143">
        <f>SUM(T218:T219)</f>
        <v>1</v>
      </c>
      <c r="U220" s="144">
        <f>SUM(U218:U219)</f>
        <v>1.2</v>
      </c>
      <c r="V220" s="145">
        <f>SUM(V218:V219)</f>
        <v>0</v>
      </c>
    </row>
    <row r="221" spans="1:22" ht="15" hidden="1" customHeight="1" x14ac:dyDescent="0.3">
      <c r="A221" s="82">
        <v>906</v>
      </c>
      <c r="B221" s="33">
        <v>12</v>
      </c>
      <c r="C221" s="19" t="s">
        <v>1284</v>
      </c>
      <c r="D221" s="23" t="str">
        <f>D217</f>
        <v>NO APLICA</v>
      </c>
      <c r="E221" s="91"/>
      <c r="F221" s="28"/>
      <c r="G221" s="28"/>
      <c r="H221" s="28"/>
      <c r="I221" s="28"/>
      <c r="J221" s="28"/>
      <c r="K221" s="28"/>
      <c r="L221" s="28"/>
      <c r="M221" s="68">
        <v>0</v>
      </c>
      <c r="N221" s="28"/>
      <c r="O221" s="83"/>
      <c r="P221" s="13" t="str">
        <f t="shared" si="286"/>
        <v>NO</v>
      </c>
      <c r="Q221" s="47">
        <f>IF(D221="INCLUIDO",IF(F222&lt;&gt;0,1,0),0)</f>
        <v>0</v>
      </c>
    </row>
    <row r="222" spans="1:22" ht="15" hidden="1" customHeight="1" x14ac:dyDescent="0.3">
      <c r="A222" s="34" t="s">
        <v>1261</v>
      </c>
      <c r="B222" s="36">
        <v>132</v>
      </c>
      <c r="C222" s="29" t="s">
        <v>1170</v>
      </c>
      <c r="D222" s="29" t="str">
        <f>$D$217</f>
        <v>NO APLICA</v>
      </c>
      <c r="E222" s="27" t="s">
        <v>1186</v>
      </c>
      <c r="F222" s="20">
        <f>F218*S222</f>
        <v>0</v>
      </c>
      <c r="G222" s="21">
        <v>0</v>
      </c>
      <c r="H222" s="9">
        <f>(IF(I222="$ Prima",G222,G222*F222/R222))*$U$9</f>
        <v>0</v>
      </c>
      <c r="I222" s="9" t="s">
        <v>1153</v>
      </c>
      <c r="J222" s="9">
        <f>H222*$U$7</f>
        <v>0</v>
      </c>
      <c r="K222" s="9">
        <f>(H222+J222)*$K$15</f>
        <v>0</v>
      </c>
      <c r="L222" s="9">
        <f>ROUND(H222+J222+K222,2)</f>
        <v>0</v>
      </c>
      <c r="M222" s="11">
        <f>M221</f>
        <v>0</v>
      </c>
      <c r="N222" s="9">
        <f>H222*M222</f>
        <v>0</v>
      </c>
      <c r="O222" s="12">
        <f>N222</f>
        <v>0</v>
      </c>
      <c r="P222" s="13" t="str">
        <f t="shared" si="286"/>
        <v>NO</v>
      </c>
      <c r="Q222">
        <f>IF(D222="INCLUIDO",IF(F222&lt;&gt;0,1,0),0)</f>
        <v>0</v>
      </c>
      <c r="R222">
        <f>IF(I222="%o Al Millar",1000,IF(I222="% Al Porciento",100,IF(I222="$ Prima",G222)))</f>
        <v>1000</v>
      </c>
      <c r="S222">
        <f t="shared" ref="S222" si="289">IF(E222="Excluido",0,IF(D222="NO APLICA",0,1))</f>
        <v>0</v>
      </c>
    </row>
    <row r="223" spans="1:22" s="18" customFormat="1" ht="15" hidden="1" customHeight="1" x14ac:dyDescent="0.3">
      <c r="A223" s="24"/>
      <c r="B223" s="26"/>
      <c r="C223" s="15" t="s">
        <v>1177</v>
      </c>
      <c r="D223" s="38" t="str">
        <f>D222</f>
        <v>NO APLICA</v>
      </c>
      <c r="E223" s="38"/>
      <c r="F223" s="16">
        <f>SUMIF(E222,"Adicional",F222)</f>
        <v>0</v>
      </c>
      <c r="G223" s="17"/>
      <c r="H223" s="16">
        <f>SUM(H222)</f>
        <v>0</v>
      </c>
      <c r="I223" s="16"/>
      <c r="J223" s="16">
        <f t="shared" ref="J223:L223" si="290">SUM(J222)</f>
        <v>0</v>
      </c>
      <c r="K223" s="16">
        <f t="shared" si="290"/>
        <v>0</v>
      </c>
      <c r="L223" s="16">
        <f t="shared" si="290"/>
        <v>0</v>
      </c>
      <c r="M223" s="16" t="s">
        <v>1178</v>
      </c>
      <c r="N223" s="16">
        <f t="shared" ref="N223:O223" si="291">SUM(N222)</f>
        <v>0</v>
      </c>
      <c r="O223" s="84">
        <f t="shared" si="291"/>
        <v>0</v>
      </c>
      <c r="P223" s="13" t="str">
        <f t="shared" si="286"/>
        <v>NO</v>
      </c>
      <c r="Q223">
        <f>IF(D223="INCLUIDO",IF(H223&lt;&gt;0,1,0),0)</f>
        <v>0</v>
      </c>
    </row>
    <row r="224" spans="1:22" ht="15" hidden="1" customHeight="1" x14ac:dyDescent="0.3">
      <c r="A224" s="82">
        <v>906</v>
      </c>
      <c r="B224" s="33">
        <v>13</v>
      </c>
      <c r="C224" s="19" t="s">
        <v>1285</v>
      </c>
      <c r="D224" s="23" t="str">
        <f>D217</f>
        <v>NO APLICA</v>
      </c>
      <c r="E224" s="91"/>
      <c r="F224" s="28"/>
      <c r="G224" s="28"/>
      <c r="H224" s="28"/>
      <c r="I224" s="28"/>
      <c r="J224" s="28"/>
      <c r="K224" s="28"/>
      <c r="L224" s="28"/>
      <c r="M224" s="68">
        <v>0</v>
      </c>
      <c r="N224" s="28"/>
      <c r="O224" s="83"/>
      <c r="P224" s="13" t="str">
        <f t="shared" si="286"/>
        <v>NO</v>
      </c>
      <c r="Q224" s="47">
        <f>IF(D224="INCLUIDO",IF(F225&lt;&gt;0,1,0),0)</f>
        <v>0</v>
      </c>
    </row>
    <row r="225" spans="1:22" ht="15" hidden="1" customHeight="1" x14ac:dyDescent="0.3">
      <c r="A225" s="34" t="s">
        <v>1261</v>
      </c>
      <c r="B225" s="36">
        <v>133</v>
      </c>
      <c r="C225" s="29" t="s">
        <v>1267</v>
      </c>
      <c r="D225" s="29" t="str">
        <f>$D$217</f>
        <v>NO APLICA</v>
      </c>
      <c r="E225" s="27" t="s">
        <v>1186</v>
      </c>
      <c r="F225" s="20">
        <f>F218*S225</f>
        <v>0</v>
      </c>
      <c r="G225" s="21">
        <v>0</v>
      </c>
      <c r="H225" s="9">
        <f>(IF(I225="$ Prima",G225,G225*F225/R225))*$U$9</f>
        <v>0</v>
      </c>
      <c r="I225" s="9" t="s">
        <v>1153</v>
      </c>
      <c r="J225" s="9">
        <f>H225*$U$7</f>
        <v>0</v>
      </c>
      <c r="K225" s="9">
        <f>(H225+J225)*$K$15</f>
        <v>0</v>
      </c>
      <c r="L225" s="9">
        <f>ROUND(H225+J225+K225,2)</f>
        <v>0</v>
      </c>
      <c r="M225" s="11">
        <f>M224</f>
        <v>0</v>
      </c>
      <c r="N225" s="9">
        <f>H225*M225</f>
        <v>0</v>
      </c>
      <c r="O225" s="12">
        <f>N225</f>
        <v>0</v>
      </c>
      <c r="P225" s="13" t="str">
        <f t="shared" si="286"/>
        <v>NO</v>
      </c>
      <c r="Q225">
        <f>IF(D225="INCLUIDO",IF(F225&lt;&gt;0,1,0),0)</f>
        <v>0</v>
      </c>
      <c r="R225">
        <f>IF(I225="%o Al Millar",1000,IF(I225="% Al Porciento",100,IF(I225="$ Prima",G225)))</f>
        <v>1000</v>
      </c>
      <c r="S225">
        <f t="shared" ref="S225" si="292">IF(E225="Excluido",0,IF(D225="NO APLICA",0,1))</f>
        <v>0</v>
      </c>
    </row>
    <row r="226" spans="1:22" s="18" customFormat="1" ht="15" hidden="1" customHeight="1" thickBot="1" x14ac:dyDescent="0.35">
      <c r="A226" s="24"/>
      <c r="B226" s="26"/>
      <c r="C226" s="15" t="s">
        <v>1177</v>
      </c>
      <c r="D226" s="38" t="str">
        <f>D225</f>
        <v>NO APLICA</v>
      </c>
      <c r="E226" s="38"/>
      <c r="F226" s="16">
        <f>SUMIF(E218:E225,"Adicional",F218:F225)</f>
        <v>0</v>
      </c>
      <c r="G226" s="17"/>
      <c r="H226" s="16">
        <f>SUM(H225)</f>
        <v>0</v>
      </c>
      <c r="I226" s="16"/>
      <c r="J226" s="16">
        <f t="shared" ref="J226:L226" si="293">SUM(J225)</f>
        <v>0</v>
      </c>
      <c r="K226" s="16">
        <f t="shared" si="293"/>
        <v>0</v>
      </c>
      <c r="L226" s="16">
        <f t="shared" si="293"/>
        <v>0</v>
      </c>
      <c r="M226" s="16" t="s">
        <v>1178</v>
      </c>
      <c r="N226" s="16">
        <f t="shared" ref="N226:O226" si="294">SUM(N225)</f>
        <v>0</v>
      </c>
      <c r="O226" s="84">
        <f t="shared" si="294"/>
        <v>0</v>
      </c>
      <c r="P226" s="13" t="str">
        <f t="shared" si="286"/>
        <v>NO</v>
      </c>
      <c r="Q226">
        <f>IF(D226="INCLUIDO",IF(H226&lt;&gt;0,1,0),0)</f>
        <v>0</v>
      </c>
    </row>
    <row r="227" spans="1:22" ht="15" hidden="1" customHeight="1" thickBot="1" x14ac:dyDescent="0.35">
      <c r="A227" s="82">
        <v>906</v>
      </c>
      <c r="B227" s="33">
        <v>14</v>
      </c>
      <c r="C227" s="19" t="s">
        <v>1286</v>
      </c>
      <c r="D227" s="23" t="str">
        <f>'Ramo Comercial'!C157</f>
        <v>NO APLICA</v>
      </c>
      <c r="E227" s="91"/>
      <c r="F227" s="113">
        <v>0</v>
      </c>
      <c r="G227" s="113">
        <v>1.2</v>
      </c>
      <c r="H227" s="28"/>
      <c r="I227" s="28"/>
      <c r="J227" s="28"/>
      <c r="K227" s="28"/>
      <c r="L227" s="28"/>
      <c r="M227" s="68">
        <v>0.15</v>
      </c>
      <c r="N227" s="28"/>
      <c r="O227" s="83"/>
      <c r="P227" s="13" t="str">
        <f t="shared" si="286"/>
        <v>NO</v>
      </c>
      <c r="Q227" s="48">
        <f>IF(D227="INCLUIDO",IF(F227&lt;&gt;0,1,0),0)</f>
        <v>0</v>
      </c>
      <c r="T227" s="142">
        <f>G227</f>
        <v>1.2</v>
      </c>
      <c r="U227" s="150"/>
      <c r="V227" s="151"/>
    </row>
    <row r="228" spans="1:22" ht="15" hidden="1" customHeight="1" x14ac:dyDescent="0.3">
      <c r="A228" s="34" t="s">
        <v>1261</v>
      </c>
      <c r="B228" s="36">
        <v>134</v>
      </c>
      <c r="C228" s="29" t="s">
        <v>1151</v>
      </c>
      <c r="D228" s="29" t="str">
        <f>$D$227</f>
        <v>NO APLICA</v>
      </c>
      <c r="E228" s="27" t="s">
        <v>1152</v>
      </c>
      <c r="F228" s="20">
        <f>F227*S228</f>
        <v>0</v>
      </c>
      <c r="G228" s="21">
        <f>V228</f>
        <v>0</v>
      </c>
      <c r="H228" s="9">
        <f>(IF(I228="$ Prima",G228,G228*F228/R228))*$U$9</f>
        <v>0</v>
      </c>
      <c r="I228" s="9" t="s">
        <v>1287</v>
      </c>
      <c r="J228" s="9">
        <f t="shared" ref="J228:J229" si="295">H228*$U$7</f>
        <v>0</v>
      </c>
      <c r="K228" s="9">
        <f t="shared" ref="K228:K229" si="296">(H228+J228)*$K$15</f>
        <v>0</v>
      </c>
      <c r="L228" s="9">
        <f t="shared" ref="L228:L229" si="297">ROUND(H228+J228+K228,2)</f>
        <v>0</v>
      </c>
      <c r="M228" s="11">
        <f>$M$227</f>
        <v>0.15</v>
      </c>
      <c r="N228" s="9">
        <f t="shared" ref="N228:N229" si="298">H228*M228</f>
        <v>0</v>
      </c>
      <c r="O228" s="12">
        <f t="shared" ref="O228:O229" si="299">N228</f>
        <v>0</v>
      </c>
      <c r="P228" s="13" t="str">
        <f t="shared" si="286"/>
        <v>NO</v>
      </c>
      <c r="Q228">
        <f>IF(D228="INCLUIDO",IF(F228&lt;&gt;0,1,0),0)</f>
        <v>0</v>
      </c>
      <c r="R228">
        <f>IF(I228="%o Al Millar",1000,IF(I228="% Al Porciento",100,IF(I228="$ Prima",G228)))</f>
        <v>0</v>
      </c>
      <c r="S228">
        <f t="shared" ref="S228:S229" si="300">IF(E228="Excluido",0,IF(D228="NO APLICA",0,1))</f>
        <v>0</v>
      </c>
      <c r="T228" s="152">
        <v>0.7</v>
      </c>
      <c r="U228" s="159">
        <f>IF(E228="Excluido",0,T227*T228)</f>
        <v>0.84</v>
      </c>
      <c r="V228" s="160">
        <f>IF(D227="NO APLICA",0,(U230-U229)+(T227-U230))</f>
        <v>0</v>
      </c>
    </row>
    <row r="229" spans="1:22" ht="15" hidden="1" customHeight="1" thickBot="1" x14ac:dyDescent="0.35">
      <c r="A229" s="34" t="s">
        <v>1261</v>
      </c>
      <c r="B229" s="36">
        <v>135</v>
      </c>
      <c r="C229" s="29" t="s">
        <v>1262</v>
      </c>
      <c r="D229" s="29" t="str">
        <f>$D$227</f>
        <v>NO APLICA</v>
      </c>
      <c r="E229" s="27" t="s">
        <v>1137</v>
      </c>
      <c r="F229" s="20">
        <f>F228*S229</f>
        <v>0</v>
      </c>
      <c r="G229" s="21">
        <f>V229</f>
        <v>0</v>
      </c>
      <c r="H229" s="9">
        <f>(IF(I229="$ Prima",G229,G229*F229/R229))*$U$9</f>
        <v>0</v>
      </c>
      <c r="I229" s="9" t="s">
        <v>1153</v>
      </c>
      <c r="J229" s="9">
        <f t="shared" si="295"/>
        <v>0</v>
      </c>
      <c r="K229" s="9">
        <f t="shared" si="296"/>
        <v>0</v>
      </c>
      <c r="L229" s="9">
        <f t="shared" si="297"/>
        <v>0</v>
      </c>
      <c r="M229" s="11">
        <f>$M$227</f>
        <v>0.15</v>
      </c>
      <c r="N229" s="9">
        <f t="shared" si="298"/>
        <v>0</v>
      </c>
      <c r="O229" s="12">
        <f t="shared" si="299"/>
        <v>0</v>
      </c>
      <c r="P229" s="13" t="str">
        <f t="shared" si="286"/>
        <v>NO</v>
      </c>
      <c r="Q229">
        <f>IF(D229="INCLUIDO",IF(F229&lt;&gt;0,1,0),0)</f>
        <v>0</v>
      </c>
      <c r="R229">
        <f>IF(I229="%o Al Millar",1000,IF(I229="% Al Porciento",100,IF(I229="$ Prima",G229)))</f>
        <v>1000</v>
      </c>
      <c r="S229">
        <f t="shared" si="300"/>
        <v>0</v>
      </c>
      <c r="T229" s="152">
        <v>0.3</v>
      </c>
      <c r="U229" s="159">
        <f>IF(E229="Excluido",0,T227*T229)</f>
        <v>0.36</v>
      </c>
      <c r="V229" s="160">
        <f>IF($F229=0,0,U229)</f>
        <v>0</v>
      </c>
    </row>
    <row r="230" spans="1:22" s="18" customFormat="1" ht="15" hidden="1" customHeight="1" thickBot="1" x14ac:dyDescent="0.35">
      <c r="A230" s="24"/>
      <c r="B230" s="26"/>
      <c r="C230" s="15" t="s">
        <v>1177</v>
      </c>
      <c r="D230" s="38" t="str">
        <f>D229</f>
        <v>NO APLICA</v>
      </c>
      <c r="E230" s="38"/>
      <c r="F230" s="16">
        <v>0</v>
      </c>
      <c r="G230" s="17"/>
      <c r="H230" s="16">
        <f>SUM(H228:H229)</f>
        <v>0</v>
      </c>
      <c r="I230" s="16"/>
      <c r="J230" s="16">
        <f t="shared" ref="J230:L230" si="301">SUM(J228:J229)</f>
        <v>0</v>
      </c>
      <c r="K230" s="16">
        <f t="shared" si="301"/>
        <v>0</v>
      </c>
      <c r="L230" s="16">
        <f t="shared" si="301"/>
        <v>0</v>
      </c>
      <c r="M230" s="16" t="s">
        <v>1178</v>
      </c>
      <c r="N230" s="16">
        <f t="shared" ref="N230:O230" si="302">SUM(N228:N229)</f>
        <v>0</v>
      </c>
      <c r="O230" s="84">
        <f t="shared" si="302"/>
        <v>0</v>
      </c>
      <c r="P230" s="13" t="str">
        <f t="shared" si="286"/>
        <v>NO</v>
      </c>
      <c r="Q230">
        <f>IF(D230="INCLUIDO",IF(H230&lt;&gt;0,1,0),0)</f>
        <v>0</v>
      </c>
      <c r="T230" s="143">
        <f>SUM(T228:T229)</f>
        <v>1</v>
      </c>
      <c r="U230" s="144">
        <f>SUM(U228:U229)</f>
        <v>1.2</v>
      </c>
      <c r="V230" s="145">
        <f>SUM(V228:V229)</f>
        <v>0</v>
      </c>
    </row>
    <row r="231" spans="1:22" ht="15" hidden="1" customHeight="1" x14ac:dyDescent="0.3">
      <c r="A231" s="82">
        <v>906</v>
      </c>
      <c r="B231" s="33">
        <v>15</v>
      </c>
      <c r="C231" s="19" t="s">
        <v>1288</v>
      </c>
      <c r="D231" s="23" t="str">
        <f>D227</f>
        <v>NO APLICA</v>
      </c>
      <c r="E231" s="91"/>
      <c r="F231" s="28"/>
      <c r="G231" s="28"/>
      <c r="H231" s="28"/>
      <c r="I231" s="28"/>
      <c r="J231" s="28"/>
      <c r="K231" s="28"/>
      <c r="L231" s="28"/>
      <c r="M231" s="68">
        <v>0.05</v>
      </c>
      <c r="N231" s="28"/>
      <c r="O231" s="83"/>
      <c r="P231" s="13" t="str">
        <f t="shared" si="286"/>
        <v>NO</v>
      </c>
      <c r="Q231" s="47">
        <f>IF(D231="INCLUIDO",IF(F232&lt;&gt;0,1,0),0)</f>
        <v>0</v>
      </c>
    </row>
    <row r="232" spans="1:22" ht="15" hidden="1" customHeight="1" x14ac:dyDescent="0.3">
      <c r="A232" s="34" t="s">
        <v>1261</v>
      </c>
      <c r="B232" s="36">
        <v>136</v>
      </c>
      <c r="C232" s="29" t="s">
        <v>1170</v>
      </c>
      <c r="D232" s="29" t="str">
        <f>$D$227</f>
        <v>NO APLICA</v>
      </c>
      <c r="E232" s="27" t="s">
        <v>1137</v>
      </c>
      <c r="F232" s="20">
        <f>F228*S232</f>
        <v>0</v>
      </c>
      <c r="G232" s="21">
        <v>0</v>
      </c>
      <c r="H232" s="9">
        <f>(IF(I232="$ Prima",G232,G232*F232/R232))*$U$9</f>
        <v>0</v>
      </c>
      <c r="I232" s="9" t="s">
        <v>1287</v>
      </c>
      <c r="J232" s="9">
        <f>H232*$U$7</f>
        <v>0</v>
      </c>
      <c r="K232" s="9">
        <f>(H232+J232)*$K$15</f>
        <v>0</v>
      </c>
      <c r="L232" s="9">
        <f>ROUND(H232+J232+K232,2)</f>
        <v>0</v>
      </c>
      <c r="M232" s="11">
        <f>M231</f>
        <v>0.05</v>
      </c>
      <c r="N232" s="9">
        <f>H232*M232</f>
        <v>0</v>
      </c>
      <c r="O232" s="12">
        <f>N232</f>
        <v>0</v>
      </c>
      <c r="P232" s="13" t="str">
        <f t="shared" si="286"/>
        <v>NO</v>
      </c>
      <c r="Q232">
        <f>IF(D232="INCLUIDO",IF(F232&lt;&gt;0,1,0),0)</f>
        <v>0</v>
      </c>
      <c r="R232">
        <f>IF(I232="%o Al Millar",1000,IF(I232="% Al Porciento",100,IF(I232="$ Prima",G232)))</f>
        <v>0</v>
      </c>
      <c r="S232">
        <f t="shared" ref="S232" si="303">IF(E232="Excluido",0,IF(D232="NO APLICA",0,1))</f>
        <v>0</v>
      </c>
    </row>
    <row r="233" spans="1:22" s="18" customFormat="1" ht="15" hidden="1" customHeight="1" x14ac:dyDescent="0.3">
      <c r="A233" s="24"/>
      <c r="B233" s="26"/>
      <c r="C233" s="15" t="s">
        <v>1177</v>
      </c>
      <c r="D233" s="38" t="str">
        <f>D232</f>
        <v>NO APLICA</v>
      </c>
      <c r="E233" s="38"/>
      <c r="F233" s="16">
        <f>SUMIF(E232,"Adicional",F232)</f>
        <v>0</v>
      </c>
      <c r="G233" s="17"/>
      <c r="H233" s="16">
        <f>SUM(H232)</f>
        <v>0</v>
      </c>
      <c r="I233" s="16"/>
      <c r="J233" s="16">
        <f t="shared" ref="J233:L233" si="304">SUM(J232)</f>
        <v>0</v>
      </c>
      <c r="K233" s="16">
        <f t="shared" si="304"/>
        <v>0</v>
      </c>
      <c r="L233" s="16">
        <f t="shared" si="304"/>
        <v>0</v>
      </c>
      <c r="M233" s="16" t="s">
        <v>1178</v>
      </c>
      <c r="N233" s="16">
        <f t="shared" ref="N233:O233" si="305">SUM(N232)</f>
        <v>0</v>
      </c>
      <c r="O233" s="84">
        <f t="shared" si="305"/>
        <v>0</v>
      </c>
      <c r="P233" s="13" t="str">
        <f t="shared" si="286"/>
        <v>NO</v>
      </c>
      <c r="Q233">
        <f>IF(D233="INCLUIDO",IF(H233&lt;&gt;0,1,0),0)</f>
        <v>0</v>
      </c>
    </row>
    <row r="234" spans="1:22" ht="15" hidden="1" customHeight="1" x14ac:dyDescent="0.3">
      <c r="A234" s="82">
        <v>906</v>
      </c>
      <c r="B234" s="33">
        <v>16</v>
      </c>
      <c r="C234" s="19" t="s">
        <v>1289</v>
      </c>
      <c r="D234" s="23" t="str">
        <f>D227</f>
        <v>NO APLICA</v>
      </c>
      <c r="E234" s="91"/>
      <c r="F234" s="28"/>
      <c r="G234" s="28"/>
      <c r="H234" s="28"/>
      <c r="I234" s="28"/>
      <c r="J234" s="28"/>
      <c r="K234" s="28"/>
      <c r="L234" s="28"/>
      <c r="M234" s="68">
        <v>0.05</v>
      </c>
      <c r="N234" s="28"/>
      <c r="O234" s="83"/>
      <c r="P234" s="13" t="str">
        <f t="shared" si="286"/>
        <v>NO</v>
      </c>
      <c r="Q234" s="47" t="b">
        <f>IF(D234="INCLUIDO",IF(F235&lt;&gt;0,1,0))</f>
        <v>0</v>
      </c>
    </row>
    <row r="235" spans="1:22" ht="15" hidden="1" customHeight="1" x14ac:dyDescent="0.3">
      <c r="A235" s="34" t="s">
        <v>1261</v>
      </c>
      <c r="B235" s="36">
        <v>137</v>
      </c>
      <c r="C235" s="29" t="s">
        <v>1267</v>
      </c>
      <c r="D235" s="29" t="str">
        <f>$D$227</f>
        <v>NO APLICA</v>
      </c>
      <c r="E235" s="27" t="s">
        <v>1137</v>
      </c>
      <c r="F235" s="20">
        <f>F228*S235</f>
        <v>0</v>
      </c>
      <c r="G235" s="21">
        <v>0</v>
      </c>
      <c r="H235" s="9">
        <f>(IF(I235="$ Prima",G235,G235*F235/R235))*$U$9</f>
        <v>0</v>
      </c>
      <c r="I235" s="9" t="s">
        <v>1287</v>
      </c>
      <c r="J235" s="9">
        <f>H235*$U$7</f>
        <v>0</v>
      </c>
      <c r="K235" s="9">
        <f>(H235+J235)*$K$15</f>
        <v>0</v>
      </c>
      <c r="L235" s="9">
        <f>ROUND(H235+J235+K235,2)</f>
        <v>0</v>
      </c>
      <c r="M235" s="11">
        <f>M234</f>
        <v>0.05</v>
      </c>
      <c r="N235" s="9">
        <f>H235*M235</f>
        <v>0</v>
      </c>
      <c r="O235" s="12">
        <f>N235</f>
        <v>0</v>
      </c>
      <c r="P235" s="13" t="str">
        <f t="shared" si="286"/>
        <v>NO</v>
      </c>
      <c r="Q235">
        <f>IF(D235="INCLUIDO",IF(F235&lt;&gt;0,1,0),0)</f>
        <v>0</v>
      </c>
      <c r="R235">
        <f>IF(I235="%o Al Millar",1000,IF(I235="% Al Porciento",100,IF(I235="$ Prima",G235)))</f>
        <v>0</v>
      </c>
      <c r="S235">
        <f t="shared" ref="S235" si="306">IF(E235="Excluido",0,IF(D235="NO APLICA",0,1))</f>
        <v>0</v>
      </c>
    </row>
    <row r="236" spans="1:22" s="18" customFormat="1" ht="15" hidden="1" customHeight="1" thickBot="1" x14ac:dyDescent="0.35">
      <c r="A236" s="24"/>
      <c r="B236" s="26"/>
      <c r="C236" s="15" t="s">
        <v>1177</v>
      </c>
      <c r="D236" s="38" t="str">
        <f>D235</f>
        <v>NO APLICA</v>
      </c>
      <c r="E236" s="38"/>
      <c r="F236" s="16">
        <f>SUMIF(E228:E235,"Adicional",F228:F235)</f>
        <v>0</v>
      </c>
      <c r="G236" s="17"/>
      <c r="H236" s="16">
        <f>SUM(H235)</f>
        <v>0</v>
      </c>
      <c r="I236" s="16"/>
      <c r="J236" s="16">
        <f t="shared" ref="J236:L236" si="307">SUM(J235)</f>
        <v>0</v>
      </c>
      <c r="K236" s="16">
        <f t="shared" si="307"/>
        <v>0</v>
      </c>
      <c r="L236" s="16">
        <f t="shared" si="307"/>
        <v>0</v>
      </c>
      <c r="M236" s="16" t="s">
        <v>1178</v>
      </c>
      <c r="N236" s="16">
        <f t="shared" ref="N236:O236" si="308">SUM(N235)</f>
        <v>0</v>
      </c>
      <c r="O236" s="84">
        <f t="shared" si="308"/>
        <v>0</v>
      </c>
      <c r="P236" s="13" t="str">
        <f t="shared" si="286"/>
        <v>NO</v>
      </c>
      <c r="Q236">
        <f>IF(D236="INCLUIDO",IF(H236&lt;&gt;0,1,0),0)</f>
        <v>0</v>
      </c>
    </row>
    <row r="237" spans="1:22" ht="15" hidden="1" customHeight="1" thickBot="1" x14ac:dyDescent="0.35">
      <c r="A237" s="82">
        <v>908</v>
      </c>
      <c r="B237" s="33">
        <v>1</v>
      </c>
      <c r="C237" s="19" t="s">
        <v>1290</v>
      </c>
      <c r="D237" s="23" t="str">
        <f>'Ramo Comercial'!C168</f>
        <v>NO APLICA</v>
      </c>
      <c r="E237" s="91"/>
      <c r="F237" s="113">
        <v>0</v>
      </c>
      <c r="G237" s="113">
        <v>1.2</v>
      </c>
      <c r="H237" s="28"/>
      <c r="I237" s="28"/>
      <c r="J237" s="28"/>
      <c r="K237" s="28"/>
      <c r="L237" s="28"/>
      <c r="M237" s="68">
        <v>0</v>
      </c>
      <c r="N237" s="28"/>
      <c r="O237" s="83"/>
      <c r="P237" s="13" t="str">
        <f t="shared" si="286"/>
        <v>NO</v>
      </c>
      <c r="Q237" s="48">
        <f>IF(D237="INCLUIDO",IF(F237&lt;&gt;0,1,0),0)</f>
        <v>0</v>
      </c>
      <c r="T237" s="142">
        <f>G237</f>
        <v>1.2</v>
      </c>
      <c r="U237" s="150"/>
      <c r="V237" s="151"/>
    </row>
    <row r="238" spans="1:22" ht="15" hidden="1" customHeight="1" x14ac:dyDescent="0.3">
      <c r="A238" s="34" t="s">
        <v>1291</v>
      </c>
      <c r="B238" s="36">
        <v>138</v>
      </c>
      <c r="C238" s="29" t="s">
        <v>1292</v>
      </c>
      <c r="D238" s="29" t="str">
        <f>D237</f>
        <v>NO APLICA</v>
      </c>
      <c r="E238" s="27" t="s">
        <v>1152</v>
      </c>
      <c r="F238" s="20">
        <f>F237*S238</f>
        <v>0</v>
      </c>
      <c r="G238" s="21">
        <f>V238</f>
        <v>0</v>
      </c>
      <c r="H238" s="9">
        <f t="shared" ref="H238:H239" si="309">(IF(I238="$ Prima",G238,G238*F238/R238))*$U$9</f>
        <v>0</v>
      </c>
      <c r="I238" s="9" t="s">
        <v>1287</v>
      </c>
      <c r="J238" s="9">
        <f t="shared" ref="J238:J239" si="310">H238*$U$7</f>
        <v>0</v>
      </c>
      <c r="K238" s="9">
        <f t="shared" ref="K238:K239" si="311">(H238+J238)*$K$15</f>
        <v>0</v>
      </c>
      <c r="L238" s="9">
        <f t="shared" ref="L238:L239" si="312">ROUND(H238+J238+K238,2)</f>
        <v>0</v>
      </c>
      <c r="M238" s="11">
        <f>$M$237</f>
        <v>0</v>
      </c>
      <c r="N238" s="9">
        <f t="shared" ref="N238:N239" si="313">H238*M238</f>
        <v>0</v>
      </c>
      <c r="O238" s="12">
        <f t="shared" ref="O238:O239" si="314">N238</f>
        <v>0</v>
      </c>
      <c r="P238" s="13" t="str">
        <f t="shared" si="286"/>
        <v>NO</v>
      </c>
      <c r="Q238">
        <f>IF(D238="INCLUIDO",IF(F238&lt;&gt;0,1,0),0)</f>
        <v>0</v>
      </c>
      <c r="R238">
        <f>IF(I238="%o Al Millar",1000,IF(I238="% Al Porciento",100,IF(I238="$ Prima",G238)))</f>
        <v>0</v>
      </c>
      <c r="S238">
        <f t="shared" ref="S238:S239" si="315">IF(E238="Excluido",0,IF(D238="NO APLICA",0,1))</f>
        <v>0</v>
      </c>
      <c r="T238" s="152">
        <v>0.7</v>
      </c>
      <c r="U238" s="159">
        <f>IF(E238="Excluido",0,T237*T238)</f>
        <v>0.84</v>
      </c>
      <c r="V238" s="160">
        <f>IF(D237="NO APLICA",0,(U240-U239)+(T237-U240))</f>
        <v>0</v>
      </c>
    </row>
    <row r="239" spans="1:22" ht="15" hidden="1" customHeight="1" thickBot="1" x14ac:dyDescent="0.35">
      <c r="A239" s="34" t="s">
        <v>1291</v>
      </c>
      <c r="B239" s="36">
        <v>254</v>
      </c>
      <c r="C239" s="29" t="s">
        <v>1293</v>
      </c>
      <c r="D239" s="29" t="str">
        <f>D237</f>
        <v>NO APLICA</v>
      </c>
      <c r="E239" s="27" t="s">
        <v>1152</v>
      </c>
      <c r="F239" s="20">
        <f>F238*S239</f>
        <v>0</v>
      </c>
      <c r="G239" s="21">
        <f>V239</f>
        <v>0</v>
      </c>
      <c r="H239" s="9">
        <f t="shared" si="309"/>
        <v>0</v>
      </c>
      <c r="I239" s="9" t="s">
        <v>1287</v>
      </c>
      <c r="J239" s="9">
        <f t="shared" si="310"/>
        <v>0</v>
      </c>
      <c r="K239" s="9">
        <f t="shared" si="311"/>
        <v>0</v>
      </c>
      <c r="L239" s="9">
        <f t="shared" si="312"/>
        <v>0</v>
      </c>
      <c r="M239" s="11">
        <f>$M$237</f>
        <v>0</v>
      </c>
      <c r="N239" s="9">
        <f t="shared" si="313"/>
        <v>0</v>
      </c>
      <c r="O239" s="12">
        <f t="shared" si="314"/>
        <v>0</v>
      </c>
      <c r="P239" s="13" t="str">
        <f t="shared" si="286"/>
        <v>NO</v>
      </c>
      <c r="Q239">
        <f>IF(D239="INCLUIDO",IF(F239&lt;&gt;0,1,0),0)</f>
        <v>0</v>
      </c>
      <c r="R239">
        <f>IF(I239="%o Al Millar",1000,IF(I239="% Al Porciento",100,IF(I239="$ Prima",G239)))</f>
        <v>0</v>
      </c>
      <c r="S239">
        <f t="shared" si="315"/>
        <v>0</v>
      </c>
      <c r="T239" s="152">
        <v>0.3</v>
      </c>
      <c r="U239" s="159">
        <f>IF(E239="Excluido",0,T237*T239)</f>
        <v>0.36</v>
      </c>
      <c r="V239" s="160">
        <f>IF($F239=0,0,U239)</f>
        <v>0</v>
      </c>
    </row>
    <row r="240" spans="1:22" s="18" customFormat="1" ht="15" hidden="1" customHeight="1" thickBot="1" x14ac:dyDescent="0.35">
      <c r="A240" s="24"/>
      <c r="B240" s="26"/>
      <c r="C240" s="15" t="s">
        <v>1177</v>
      </c>
      <c r="D240" s="38" t="str">
        <f>D239</f>
        <v>NO APLICA</v>
      </c>
      <c r="E240" s="38"/>
      <c r="F240" s="16">
        <f>SUMIF(E238:E239,"Adicional",F238:F239)</f>
        <v>0</v>
      </c>
      <c r="G240" s="17"/>
      <c r="H240" s="16">
        <f>SUM(H238:H239)</f>
        <v>0</v>
      </c>
      <c r="I240" s="16"/>
      <c r="J240" s="16">
        <f t="shared" ref="J240:L240" si="316">SUM(J238:J239)</f>
        <v>0</v>
      </c>
      <c r="K240" s="16">
        <f t="shared" si="316"/>
        <v>0</v>
      </c>
      <c r="L240" s="16">
        <f t="shared" si="316"/>
        <v>0</v>
      </c>
      <c r="M240" s="16" t="s">
        <v>1178</v>
      </c>
      <c r="N240" s="16">
        <f t="shared" ref="N240:O240" si="317">SUM(N238:N239)</f>
        <v>0</v>
      </c>
      <c r="O240" s="84">
        <f t="shared" si="317"/>
        <v>0</v>
      </c>
      <c r="P240" s="13" t="str">
        <f t="shared" si="286"/>
        <v>NO</v>
      </c>
      <c r="Q240">
        <f>IF(D240="INCLUIDO",IF(H240&lt;&gt;0,1,0),0)</f>
        <v>0</v>
      </c>
      <c r="T240" s="143">
        <f>SUM(T238:T239)</f>
        <v>1</v>
      </c>
      <c r="U240" s="144">
        <f>SUM(U238:U239)</f>
        <v>1.2</v>
      </c>
      <c r="V240" s="145">
        <f>SUM(V238:V239)</f>
        <v>0</v>
      </c>
    </row>
    <row r="241" spans="1:29" hidden="1" x14ac:dyDescent="0.3">
      <c r="A241" s="82">
        <v>909</v>
      </c>
      <c r="B241" s="33">
        <v>1</v>
      </c>
      <c r="C241" s="19" t="s">
        <v>1294</v>
      </c>
      <c r="D241" s="23" t="str">
        <f>'Ramo Comercial'!E162</f>
        <v>INCLUIDO</v>
      </c>
      <c r="E241" s="91"/>
      <c r="F241" s="132">
        <f>'COTIZACIÓN M.N.'!D91</f>
        <v>0</v>
      </c>
      <c r="G241" s="132">
        <f>'COTIZACIÓN M.N.'!F91</f>
        <v>0</v>
      </c>
      <c r="H241" s="28"/>
      <c r="I241" s="28"/>
      <c r="J241" s="28"/>
      <c r="K241" s="28"/>
      <c r="L241" s="28"/>
      <c r="M241" s="68">
        <f>'COTIZACIÓN M.N.'!G91</f>
        <v>0.1</v>
      </c>
      <c r="N241" s="28"/>
      <c r="O241" s="83"/>
      <c r="P241" s="13" t="str">
        <f t="shared" si="286"/>
        <v>NO</v>
      </c>
      <c r="Q241" s="47">
        <f>IF(D241="INCLUIDO",IF(F242&lt;&gt;0,1,0),0)</f>
        <v>0</v>
      </c>
      <c r="T241" s="112">
        <f>G241*T272</f>
        <v>0</v>
      </c>
    </row>
    <row r="242" spans="1:29" hidden="1" x14ac:dyDescent="0.3">
      <c r="A242" s="34" t="s">
        <v>1295</v>
      </c>
      <c r="B242" s="36">
        <v>139</v>
      </c>
      <c r="C242" s="29" t="s">
        <v>1296</v>
      </c>
      <c r="D242" s="29" t="str">
        <f>'Ramo Comercial'!C162</f>
        <v>INCLUIDO</v>
      </c>
      <c r="E242" s="27" t="s">
        <v>1137</v>
      </c>
      <c r="F242" s="43">
        <f>F$241*S242</f>
        <v>0</v>
      </c>
      <c r="G242" s="114">
        <f>V242</f>
        <v>0</v>
      </c>
      <c r="H242" s="9">
        <f t="shared" ref="H242:H271" si="318">(IF(I242="$ Prima",G242,G242*F242/R242))*$U$9</f>
        <v>0</v>
      </c>
      <c r="I242" s="9" t="s">
        <v>1287</v>
      </c>
      <c r="J242" s="9">
        <f t="shared" ref="J242:J271" si="319">H242*$U$7</f>
        <v>0</v>
      </c>
      <c r="K242" s="9">
        <f t="shared" ref="K242:K271" si="320">(H242+J242)*$K$15</f>
        <v>0</v>
      </c>
      <c r="L242" s="9">
        <f t="shared" ref="L242:L271" si="321">ROUND(H242+J242+K242,2)</f>
        <v>0</v>
      </c>
      <c r="M242" s="11">
        <f>$M$241</f>
        <v>0.1</v>
      </c>
      <c r="N242" s="9">
        <f t="shared" ref="N242:N271" si="322">H242*M242</f>
        <v>0</v>
      </c>
      <c r="O242" s="12">
        <f t="shared" ref="O242:O271" si="323">N242</f>
        <v>0</v>
      </c>
      <c r="P242" s="13" t="str">
        <f t="shared" si="286"/>
        <v>NO</v>
      </c>
      <c r="Q242">
        <f t="shared" ref="Q242:Q271" si="324">IF(D242="INCLUIDO",IF(F242&lt;&gt;0,1,0),0)</f>
        <v>0</v>
      </c>
      <c r="R242">
        <f t="shared" ref="R242:R271" si="325">IF(I242="%o Al Millar",1000,IF(I242="% Al Porciento",100,IF(I242="$ Prima",G242)))</f>
        <v>0</v>
      </c>
      <c r="S242">
        <f t="shared" ref="S242:S271" si="326">IF(E242="Excluido",0,IF(D242="NO APLICA",0,1))</f>
        <v>1</v>
      </c>
      <c r="T242" s="110">
        <f>VLOOKUP(B242,DesgloseRC!$E$48:$F$88,2,FALSE)</f>
        <v>0.25</v>
      </c>
      <c r="U242" s="111">
        <f>IF(E242="Excluido",0,T241*T242)</f>
        <v>0</v>
      </c>
      <c r="V242" s="160">
        <f>IF(D241="NO APLICA",0,(U272-(SUM(U243:U271))+(T241-U272)))</f>
        <v>0</v>
      </c>
      <c r="W242" s="110"/>
      <c r="X242" s="110"/>
      <c r="Y242" s="110"/>
      <c r="Z242" s="110"/>
      <c r="AA242" s="110"/>
      <c r="AB242" s="110"/>
      <c r="AC242" s="110"/>
    </row>
    <row r="243" spans="1:29" ht="15" hidden="1" customHeight="1" x14ac:dyDescent="0.3">
      <c r="A243" s="34" t="s">
        <v>1295</v>
      </c>
      <c r="B243" s="36">
        <v>140</v>
      </c>
      <c r="C243" s="29" t="s">
        <v>1297</v>
      </c>
      <c r="D243" s="29" t="str">
        <f>$D$242</f>
        <v>INCLUIDO</v>
      </c>
      <c r="E243" s="27" t="s">
        <v>1186</v>
      </c>
      <c r="F243" s="43">
        <f t="shared" ref="F243:F271" si="327">F$241*S243</f>
        <v>0</v>
      </c>
      <c r="G243" s="114">
        <f t="shared" ref="G243:G271" si="328">V243</f>
        <v>0</v>
      </c>
      <c r="H243" s="9">
        <f t="shared" si="318"/>
        <v>0</v>
      </c>
      <c r="I243" s="9" t="s">
        <v>1287</v>
      </c>
      <c r="J243" s="9">
        <f t="shared" si="319"/>
        <v>0</v>
      </c>
      <c r="K243" s="9">
        <f t="shared" si="320"/>
        <v>0</v>
      </c>
      <c r="L243" s="9">
        <f t="shared" si="321"/>
        <v>0</v>
      </c>
      <c r="M243" s="11">
        <f t="shared" ref="M243:M271" si="329">$M$241</f>
        <v>0.1</v>
      </c>
      <c r="N243" s="9">
        <f t="shared" si="322"/>
        <v>0</v>
      </c>
      <c r="O243" s="12">
        <f t="shared" si="323"/>
        <v>0</v>
      </c>
      <c r="P243" s="13" t="str">
        <f t="shared" si="286"/>
        <v>NO</v>
      </c>
      <c r="Q243">
        <f t="shared" si="324"/>
        <v>0</v>
      </c>
      <c r="R243">
        <f t="shared" si="325"/>
        <v>0</v>
      </c>
      <c r="S243">
        <f t="shared" si="326"/>
        <v>0</v>
      </c>
      <c r="T243" s="110">
        <f>VLOOKUP(B243,DesgloseRC!$E$48:$F$88,2,FALSE)</f>
        <v>0.05</v>
      </c>
      <c r="U243" s="111">
        <f>IF(E243="Excluido",0,$T$241*T243)</f>
        <v>0</v>
      </c>
      <c r="V243" s="111">
        <f>IF(F243=0,0,U243)</f>
        <v>0</v>
      </c>
      <c r="W243" s="110"/>
      <c r="X243" s="110"/>
      <c r="Y243" s="110"/>
      <c r="Z243" s="110"/>
      <c r="AA243" s="110"/>
      <c r="AB243" s="110"/>
      <c r="AC243" s="110"/>
    </row>
    <row r="244" spans="1:29" ht="15" hidden="1" customHeight="1" x14ac:dyDescent="0.3">
      <c r="A244" s="34" t="s">
        <v>1295</v>
      </c>
      <c r="B244" s="36">
        <v>153</v>
      </c>
      <c r="C244" s="29" t="s">
        <v>1298</v>
      </c>
      <c r="D244" s="29" t="str">
        <f t="shared" ref="D244:D269" si="330">$D$242</f>
        <v>INCLUIDO</v>
      </c>
      <c r="E244" s="27" t="s">
        <v>1186</v>
      </c>
      <c r="F244" s="43">
        <f t="shared" si="327"/>
        <v>0</v>
      </c>
      <c r="G244" s="114">
        <f t="shared" si="328"/>
        <v>0</v>
      </c>
      <c r="H244" s="9">
        <f t="shared" si="318"/>
        <v>0</v>
      </c>
      <c r="I244" s="9" t="s">
        <v>1287</v>
      </c>
      <c r="J244" s="9">
        <f t="shared" si="319"/>
        <v>0</v>
      </c>
      <c r="K244" s="9">
        <f t="shared" si="320"/>
        <v>0</v>
      </c>
      <c r="L244" s="9">
        <f t="shared" si="321"/>
        <v>0</v>
      </c>
      <c r="M244" s="11">
        <f t="shared" si="329"/>
        <v>0.1</v>
      </c>
      <c r="N244" s="9">
        <f t="shared" si="322"/>
        <v>0</v>
      </c>
      <c r="O244" s="12">
        <f t="shared" si="323"/>
        <v>0</v>
      </c>
      <c r="P244" s="13" t="str">
        <f t="shared" si="286"/>
        <v>NO</v>
      </c>
      <c r="Q244">
        <f t="shared" si="324"/>
        <v>0</v>
      </c>
      <c r="R244">
        <f t="shared" si="325"/>
        <v>0</v>
      </c>
      <c r="S244">
        <f t="shared" si="326"/>
        <v>0</v>
      </c>
      <c r="T244" s="110">
        <f>VLOOKUP(B244,DesgloseRC!$E$48:$F$88,2,FALSE)</f>
        <v>0</v>
      </c>
      <c r="U244" s="111">
        <f t="shared" ref="U244:U271" si="331">IF(E244="Excluido",0,$T$241*T244)</f>
        <v>0</v>
      </c>
      <c r="V244" s="111">
        <f t="shared" ref="V244:V271" si="332">IF(F244=0,0,U244)</f>
        <v>0</v>
      </c>
      <c r="AA244" s="110"/>
      <c r="AC244" s="110"/>
    </row>
    <row r="245" spans="1:29" ht="15" hidden="1" customHeight="1" x14ac:dyDescent="0.3">
      <c r="A245" s="34" t="s">
        <v>1295</v>
      </c>
      <c r="B245" s="36">
        <v>154</v>
      </c>
      <c r="C245" s="29" t="s">
        <v>1299</v>
      </c>
      <c r="D245" s="29" t="str">
        <f t="shared" si="330"/>
        <v>INCLUIDO</v>
      </c>
      <c r="E245" s="27" t="s">
        <v>1186</v>
      </c>
      <c r="F245" s="43">
        <f t="shared" si="327"/>
        <v>0</v>
      </c>
      <c r="G245" s="114">
        <f t="shared" si="328"/>
        <v>0</v>
      </c>
      <c r="H245" s="9">
        <f t="shared" si="318"/>
        <v>0</v>
      </c>
      <c r="I245" s="9" t="s">
        <v>1287</v>
      </c>
      <c r="J245" s="9">
        <f t="shared" si="319"/>
        <v>0</v>
      </c>
      <c r="K245" s="9">
        <f t="shared" si="320"/>
        <v>0</v>
      </c>
      <c r="L245" s="9">
        <f t="shared" si="321"/>
        <v>0</v>
      </c>
      <c r="M245" s="11">
        <f t="shared" si="329"/>
        <v>0.1</v>
      </c>
      <c r="N245" s="9">
        <f t="shared" si="322"/>
        <v>0</v>
      </c>
      <c r="O245" s="12">
        <f t="shared" si="323"/>
        <v>0</v>
      </c>
      <c r="P245" s="13" t="str">
        <f t="shared" si="286"/>
        <v>NO</v>
      </c>
      <c r="Q245">
        <f t="shared" si="324"/>
        <v>0</v>
      </c>
      <c r="R245">
        <f t="shared" si="325"/>
        <v>0</v>
      </c>
      <c r="S245">
        <f t="shared" si="326"/>
        <v>0</v>
      </c>
      <c r="T245" s="110">
        <f>VLOOKUP(B245,DesgloseRC!$E$48:$F$88,2,FALSE)</f>
        <v>0</v>
      </c>
      <c r="U245" s="111">
        <f t="shared" si="331"/>
        <v>0</v>
      </c>
      <c r="V245" s="111">
        <f t="shared" si="332"/>
        <v>0</v>
      </c>
      <c r="AA245" s="110"/>
      <c r="AC245" s="110"/>
    </row>
    <row r="246" spans="1:29" ht="22.5" hidden="1" customHeight="1" x14ac:dyDescent="0.3">
      <c r="A246" s="34" t="s">
        <v>1295</v>
      </c>
      <c r="B246" s="36">
        <v>152</v>
      </c>
      <c r="C246" s="29" t="s">
        <v>1300</v>
      </c>
      <c r="D246" s="29" t="str">
        <f t="shared" si="330"/>
        <v>INCLUIDO</v>
      </c>
      <c r="E246" s="27" t="s">
        <v>1186</v>
      </c>
      <c r="F246" s="43">
        <f t="shared" si="327"/>
        <v>0</v>
      </c>
      <c r="G246" s="114">
        <f t="shared" si="328"/>
        <v>0</v>
      </c>
      <c r="H246" s="9">
        <f t="shared" si="318"/>
        <v>0</v>
      </c>
      <c r="I246" s="9" t="s">
        <v>1287</v>
      </c>
      <c r="J246" s="9">
        <f t="shared" si="319"/>
        <v>0</v>
      </c>
      <c r="K246" s="9">
        <f t="shared" si="320"/>
        <v>0</v>
      </c>
      <c r="L246" s="9">
        <f t="shared" si="321"/>
        <v>0</v>
      </c>
      <c r="M246" s="11">
        <f t="shared" si="329"/>
        <v>0.1</v>
      </c>
      <c r="N246" s="9">
        <f t="shared" si="322"/>
        <v>0</v>
      </c>
      <c r="O246" s="12">
        <f t="shared" si="323"/>
        <v>0</v>
      </c>
      <c r="P246" s="13" t="str">
        <f t="shared" si="286"/>
        <v>NO</v>
      </c>
      <c r="Q246">
        <f t="shared" si="324"/>
        <v>0</v>
      </c>
      <c r="R246">
        <f t="shared" si="325"/>
        <v>0</v>
      </c>
      <c r="S246">
        <f t="shared" si="326"/>
        <v>0</v>
      </c>
      <c r="T246" s="110">
        <f>VLOOKUP(B246,DesgloseRC!$E$48:$F$88,2,FALSE)</f>
        <v>0</v>
      </c>
      <c r="U246" s="111">
        <f t="shared" si="331"/>
        <v>0</v>
      </c>
      <c r="V246" s="111">
        <f t="shared" si="332"/>
        <v>0</v>
      </c>
      <c r="AA246" s="110"/>
      <c r="AC246" s="110"/>
    </row>
    <row r="247" spans="1:29" ht="15" hidden="1" customHeight="1" x14ac:dyDescent="0.3">
      <c r="A247" s="34" t="s">
        <v>1295</v>
      </c>
      <c r="B247" s="36">
        <v>151</v>
      </c>
      <c r="C247" s="29" t="s">
        <v>1301</v>
      </c>
      <c r="D247" s="29" t="str">
        <f t="shared" si="330"/>
        <v>INCLUIDO</v>
      </c>
      <c r="E247" s="27" t="s">
        <v>1186</v>
      </c>
      <c r="F247" s="43">
        <f t="shared" si="327"/>
        <v>0</v>
      </c>
      <c r="G247" s="114">
        <f t="shared" si="328"/>
        <v>0</v>
      </c>
      <c r="H247" s="9">
        <f t="shared" si="318"/>
        <v>0</v>
      </c>
      <c r="I247" s="9" t="s">
        <v>1287</v>
      </c>
      <c r="J247" s="9">
        <f t="shared" si="319"/>
        <v>0</v>
      </c>
      <c r="K247" s="9">
        <f t="shared" si="320"/>
        <v>0</v>
      </c>
      <c r="L247" s="9">
        <f t="shared" si="321"/>
        <v>0</v>
      </c>
      <c r="M247" s="11">
        <f t="shared" si="329"/>
        <v>0.1</v>
      </c>
      <c r="N247" s="9">
        <f t="shared" si="322"/>
        <v>0</v>
      </c>
      <c r="O247" s="12">
        <f t="shared" si="323"/>
        <v>0</v>
      </c>
      <c r="P247" s="13" t="str">
        <f t="shared" si="286"/>
        <v>NO</v>
      </c>
      <c r="Q247">
        <f t="shared" si="324"/>
        <v>0</v>
      </c>
      <c r="R247">
        <f t="shared" si="325"/>
        <v>0</v>
      </c>
      <c r="S247">
        <f t="shared" si="326"/>
        <v>0</v>
      </c>
      <c r="T247" s="110">
        <f>VLOOKUP(B247,DesgloseRC!$E$48:$F$88,2,FALSE)</f>
        <v>0.1</v>
      </c>
      <c r="U247" s="111">
        <f t="shared" si="331"/>
        <v>0</v>
      </c>
      <c r="V247" s="111">
        <f t="shared" si="332"/>
        <v>0</v>
      </c>
      <c r="AC247" s="110"/>
    </row>
    <row r="248" spans="1:29" ht="15" hidden="1" customHeight="1" x14ac:dyDescent="0.3">
      <c r="A248" s="34" t="s">
        <v>1295</v>
      </c>
      <c r="B248" s="36">
        <v>141</v>
      </c>
      <c r="C248" s="29" t="s">
        <v>1302</v>
      </c>
      <c r="D248" s="29" t="str">
        <f t="shared" si="330"/>
        <v>INCLUIDO</v>
      </c>
      <c r="E248" s="27" t="s">
        <v>1186</v>
      </c>
      <c r="F248" s="43">
        <f t="shared" si="327"/>
        <v>0</v>
      </c>
      <c r="G248" s="114">
        <f t="shared" si="328"/>
        <v>0</v>
      </c>
      <c r="H248" s="9">
        <f t="shared" si="318"/>
        <v>0</v>
      </c>
      <c r="I248" s="9" t="s">
        <v>1287</v>
      </c>
      <c r="J248" s="9">
        <f t="shared" si="319"/>
        <v>0</v>
      </c>
      <c r="K248" s="9">
        <f t="shared" si="320"/>
        <v>0</v>
      </c>
      <c r="L248" s="9">
        <f t="shared" si="321"/>
        <v>0</v>
      </c>
      <c r="M248" s="11">
        <f t="shared" si="329"/>
        <v>0.1</v>
      </c>
      <c r="N248" s="9">
        <f t="shared" si="322"/>
        <v>0</v>
      </c>
      <c r="O248" s="12">
        <f t="shared" si="323"/>
        <v>0</v>
      </c>
      <c r="P248" s="13" t="str">
        <f t="shared" si="286"/>
        <v>NO</v>
      </c>
      <c r="Q248">
        <f t="shared" si="324"/>
        <v>0</v>
      </c>
      <c r="R248">
        <f t="shared" si="325"/>
        <v>0</v>
      </c>
      <c r="S248">
        <f t="shared" si="326"/>
        <v>0</v>
      </c>
      <c r="T248" s="110">
        <f>VLOOKUP(B248,DesgloseRC!$E$48:$F$88,2,FALSE)</f>
        <v>0.03</v>
      </c>
      <c r="U248" s="111">
        <f t="shared" si="331"/>
        <v>0</v>
      </c>
      <c r="V248" s="111">
        <f t="shared" si="332"/>
        <v>0</v>
      </c>
      <c r="Z248" s="110"/>
      <c r="AC248" s="110"/>
    </row>
    <row r="249" spans="1:29" ht="22.5" hidden="1" customHeight="1" x14ac:dyDescent="0.3">
      <c r="A249" s="34" t="s">
        <v>1295</v>
      </c>
      <c r="B249" s="36">
        <v>142</v>
      </c>
      <c r="C249" s="29" t="s">
        <v>1303</v>
      </c>
      <c r="D249" s="29" t="str">
        <f t="shared" si="330"/>
        <v>INCLUIDO</v>
      </c>
      <c r="E249" s="27" t="s">
        <v>1186</v>
      </c>
      <c r="F249" s="43">
        <f t="shared" si="327"/>
        <v>0</v>
      </c>
      <c r="G249" s="114">
        <f t="shared" si="328"/>
        <v>0</v>
      </c>
      <c r="H249" s="9">
        <f t="shared" si="318"/>
        <v>0</v>
      </c>
      <c r="I249" s="9" t="s">
        <v>1287</v>
      </c>
      <c r="J249" s="9">
        <f t="shared" si="319"/>
        <v>0</v>
      </c>
      <c r="K249" s="9">
        <f t="shared" si="320"/>
        <v>0</v>
      </c>
      <c r="L249" s="9">
        <f t="shared" si="321"/>
        <v>0</v>
      </c>
      <c r="M249" s="11">
        <f t="shared" si="329"/>
        <v>0.1</v>
      </c>
      <c r="N249" s="9">
        <f t="shared" si="322"/>
        <v>0</v>
      </c>
      <c r="O249" s="12">
        <f t="shared" si="323"/>
        <v>0</v>
      </c>
      <c r="P249" s="13" t="str">
        <f t="shared" si="286"/>
        <v>NO</v>
      </c>
      <c r="Q249">
        <f t="shared" si="324"/>
        <v>0</v>
      </c>
      <c r="R249">
        <f t="shared" si="325"/>
        <v>0</v>
      </c>
      <c r="S249">
        <f t="shared" si="326"/>
        <v>0</v>
      </c>
      <c r="T249" s="110">
        <f>VLOOKUP(B249,DesgloseRC!$E$48:$F$88,2,FALSE)</f>
        <v>0.03</v>
      </c>
      <c r="U249" s="111">
        <f t="shared" si="331"/>
        <v>0</v>
      </c>
      <c r="V249" s="111">
        <f t="shared" si="332"/>
        <v>0</v>
      </c>
      <c r="AC249" s="110"/>
    </row>
    <row r="250" spans="1:29" ht="15" hidden="1" customHeight="1" x14ac:dyDescent="0.3">
      <c r="A250" s="34" t="s">
        <v>1295</v>
      </c>
      <c r="B250" s="36">
        <v>143</v>
      </c>
      <c r="C250" s="29" t="s">
        <v>1304</v>
      </c>
      <c r="D250" s="29" t="str">
        <f t="shared" si="330"/>
        <v>INCLUIDO</v>
      </c>
      <c r="E250" s="27" t="s">
        <v>1186</v>
      </c>
      <c r="F250" s="43">
        <v>0</v>
      </c>
      <c r="G250" s="114">
        <f t="shared" si="328"/>
        <v>0</v>
      </c>
      <c r="H250" s="9">
        <f t="shared" si="318"/>
        <v>0</v>
      </c>
      <c r="I250" s="9" t="s">
        <v>1287</v>
      </c>
      <c r="J250" s="9">
        <f t="shared" si="319"/>
        <v>0</v>
      </c>
      <c r="K250" s="9">
        <f t="shared" si="320"/>
        <v>0</v>
      </c>
      <c r="L250" s="9">
        <f t="shared" si="321"/>
        <v>0</v>
      </c>
      <c r="M250" s="11">
        <f t="shared" si="329"/>
        <v>0.1</v>
      </c>
      <c r="N250" s="9">
        <f t="shared" si="322"/>
        <v>0</v>
      </c>
      <c r="O250" s="12">
        <f t="shared" si="323"/>
        <v>0</v>
      </c>
      <c r="P250" s="13" t="str">
        <f t="shared" si="286"/>
        <v>NO</v>
      </c>
      <c r="Q250">
        <f t="shared" si="324"/>
        <v>0</v>
      </c>
      <c r="R250">
        <f t="shared" si="325"/>
        <v>0</v>
      </c>
      <c r="S250">
        <f t="shared" si="326"/>
        <v>0</v>
      </c>
      <c r="T250" s="110">
        <f>VLOOKUP(B250,DesgloseRC!$E$48:$F$88,2,FALSE)</f>
        <v>0.03</v>
      </c>
      <c r="U250" s="111">
        <f t="shared" si="331"/>
        <v>0</v>
      </c>
      <c r="V250" s="111">
        <f t="shared" si="332"/>
        <v>0</v>
      </c>
      <c r="Z250" s="110"/>
      <c r="AB250" s="110"/>
      <c r="AC250" s="110"/>
    </row>
    <row r="251" spans="1:29" ht="22.5" hidden="1" customHeight="1" x14ac:dyDescent="0.3">
      <c r="A251" s="34" t="s">
        <v>1295</v>
      </c>
      <c r="B251" s="36">
        <v>144</v>
      </c>
      <c r="C251" s="29" t="s">
        <v>1305</v>
      </c>
      <c r="D251" s="29" t="str">
        <f t="shared" si="330"/>
        <v>INCLUIDO</v>
      </c>
      <c r="E251" s="27" t="s">
        <v>1186</v>
      </c>
      <c r="F251" s="43">
        <f t="shared" si="327"/>
        <v>0</v>
      </c>
      <c r="G251" s="114">
        <f t="shared" si="328"/>
        <v>0</v>
      </c>
      <c r="H251" s="9">
        <f t="shared" si="318"/>
        <v>0</v>
      </c>
      <c r="I251" s="9" t="s">
        <v>1287</v>
      </c>
      <c r="J251" s="9">
        <f t="shared" si="319"/>
        <v>0</v>
      </c>
      <c r="K251" s="9">
        <f t="shared" si="320"/>
        <v>0</v>
      </c>
      <c r="L251" s="9">
        <f t="shared" si="321"/>
        <v>0</v>
      </c>
      <c r="M251" s="11">
        <f t="shared" si="329"/>
        <v>0.1</v>
      </c>
      <c r="N251" s="9">
        <f t="shared" si="322"/>
        <v>0</v>
      </c>
      <c r="O251" s="12">
        <f t="shared" si="323"/>
        <v>0</v>
      </c>
      <c r="P251" s="13" t="str">
        <f t="shared" si="286"/>
        <v>NO</v>
      </c>
      <c r="Q251">
        <f t="shared" si="324"/>
        <v>0</v>
      </c>
      <c r="R251">
        <f t="shared" si="325"/>
        <v>0</v>
      </c>
      <c r="S251">
        <f t="shared" si="326"/>
        <v>0</v>
      </c>
      <c r="T251" s="110">
        <f>VLOOKUP(B251,DesgloseRC!$E$48:$F$88,2,FALSE)</f>
        <v>0.03</v>
      </c>
      <c r="U251" s="111">
        <f t="shared" si="331"/>
        <v>0</v>
      </c>
      <c r="V251" s="111">
        <f t="shared" si="332"/>
        <v>0</v>
      </c>
      <c r="Z251" s="110"/>
      <c r="AC251" s="110"/>
    </row>
    <row r="252" spans="1:29" ht="15" hidden="1" customHeight="1" x14ac:dyDescent="0.3">
      <c r="A252" s="34" t="s">
        <v>1295</v>
      </c>
      <c r="B252" s="36">
        <v>145</v>
      </c>
      <c r="C252" s="29" t="s">
        <v>1306</v>
      </c>
      <c r="D252" s="29" t="str">
        <f t="shared" si="330"/>
        <v>INCLUIDO</v>
      </c>
      <c r="E252" s="27" t="s">
        <v>1186</v>
      </c>
      <c r="F252" s="43">
        <f t="shared" si="327"/>
        <v>0</v>
      </c>
      <c r="G252" s="114">
        <f t="shared" si="328"/>
        <v>0</v>
      </c>
      <c r="H252" s="9">
        <f t="shared" si="318"/>
        <v>0</v>
      </c>
      <c r="I252" s="9" t="s">
        <v>1287</v>
      </c>
      <c r="J252" s="9">
        <f t="shared" si="319"/>
        <v>0</v>
      </c>
      <c r="K252" s="9">
        <f t="shared" si="320"/>
        <v>0</v>
      </c>
      <c r="L252" s="9">
        <f t="shared" si="321"/>
        <v>0</v>
      </c>
      <c r="M252" s="11">
        <f t="shared" si="329"/>
        <v>0.1</v>
      </c>
      <c r="N252" s="9">
        <f t="shared" si="322"/>
        <v>0</v>
      </c>
      <c r="O252" s="12">
        <f t="shared" si="323"/>
        <v>0</v>
      </c>
      <c r="P252" s="13" t="str">
        <f t="shared" si="286"/>
        <v>NO</v>
      </c>
      <c r="Q252">
        <f t="shared" si="324"/>
        <v>0</v>
      </c>
      <c r="R252">
        <f t="shared" si="325"/>
        <v>0</v>
      </c>
      <c r="S252">
        <f t="shared" si="326"/>
        <v>0</v>
      </c>
      <c r="T252" s="110">
        <f>VLOOKUP(B252,DesgloseRC!$E$48:$F$88,2,FALSE)</f>
        <v>0.03</v>
      </c>
      <c r="U252" s="111">
        <f t="shared" si="331"/>
        <v>0</v>
      </c>
      <c r="V252" s="111">
        <f t="shared" si="332"/>
        <v>0</v>
      </c>
      <c r="Z252" s="110"/>
      <c r="AC252" s="110"/>
    </row>
    <row r="253" spans="1:29" ht="15" hidden="1" customHeight="1" x14ac:dyDescent="0.3">
      <c r="A253" s="34" t="s">
        <v>1295</v>
      </c>
      <c r="B253" s="36">
        <v>146</v>
      </c>
      <c r="C253" s="29" t="s">
        <v>1307</v>
      </c>
      <c r="D253" s="29" t="str">
        <f t="shared" si="330"/>
        <v>INCLUIDO</v>
      </c>
      <c r="E253" s="27" t="s">
        <v>1186</v>
      </c>
      <c r="F253" s="43">
        <f t="shared" si="327"/>
        <v>0</v>
      </c>
      <c r="G253" s="114">
        <f t="shared" si="328"/>
        <v>0</v>
      </c>
      <c r="H253" s="9">
        <f t="shared" si="318"/>
        <v>0</v>
      </c>
      <c r="I253" s="9" t="s">
        <v>1287</v>
      </c>
      <c r="J253" s="9">
        <f t="shared" si="319"/>
        <v>0</v>
      </c>
      <c r="K253" s="9">
        <f t="shared" si="320"/>
        <v>0</v>
      </c>
      <c r="L253" s="9">
        <f t="shared" si="321"/>
        <v>0</v>
      </c>
      <c r="M253" s="11">
        <f t="shared" si="329"/>
        <v>0.1</v>
      </c>
      <c r="N253" s="9">
        <f t="shared" si="322"/>
        <v>0</v>
      </c>
      <c r="O253" s="12">
        <f t="shared" si="323"/>
        <v>0</v>
      </c>
      <c r="P253" s="13" t="str">
        <f t="shared" si="286"/>
        <v>NO</v>
      </c>
      <c r="Q253">
        <f t="shared" si="324"/>
        <v>0</v>
      </c>
      <c r="R253">
        <f t="shared" si="325"/>
        <v>0</v>
      </c>
      <c r="S253">
        <f t="shared" si="326"/>
        <v>0</v>
      </c>
      <c r="T253" s="110">
        <f>VLOOKUP(B253,DesgloseRC!$E$48:$F$88,2,FALSE)</f>
        <v>0</v>
      </c>
      <c r="U253" s="111">
        <f t="shared" si="331"/>
        <v>0</v>
      </c>
      <c r="V253" s="111">
        <f t="shared" si="332"/>
        <v>0</v>
      </c>
    </row>
    <row r="254" spans="1:29" ht="15" hidden="1" customHeight="1" x14ac:dyDescent="0.3">
      <c r="A254" s="34" t="s">
        <v>1295</v>
      </c>
      <c r="B254" s="36">
        <v>147</v>
      </c>
      <c r="C254" s="29" t="s">
        <v>1308</v>
      </c>
      <c r="D254" s="29" t="str">
        <f t="shared" si="330"/>
        <v>INCLUIDO</v>
      </c>
      <c r="E254" s="27" t="s">
        <v>1186</v>
      </c>
      <c r="F254" s="43">
        <f t="shared" si="327"/>
        <v>0</v>
      </c>
      <c r="G254" s="114">
        <f t="shared" si="328"/>
        <v>0</v>
      </c>
      <c r="H254" s="9">
        <f t="shared" si="318"/>
        <v>0</v>
      </c>
      <c r="I254" s="9" t="s">
        <v>1287</v>
      </c>
      <c r="J254" s="9">
        <f t="shared" si="319"/>
        <v>0</v>
      </c>
      <c r="K254" s="9">
        <f t="shared" si="320"/>
        <v>0</v>
      </c>
      <c r="L254" s="9">
        <f t="shared" si="321"/>
        <v>0</v>
      </c>
      <c r="M254" s="11">
        <f t="shared" si="329"/>
        <v>0.1</v>
      </c>
      <c r="N254" s="9">
        <f t="shared" si="322"/>
        <v>0</v>
      </c>
      <c r="O254" s="12">
        <f t="shared" si="323"/>
        <v>0</v>
      </c>
      <c r="P254" s="13" t="str">
        <f t="shared" si="286"/>
        <v>NO</v>
      </c>
      <c r="Q254">
        <f t="shared" si="324"/>
        <v>0</v>
      </c>
      <c r="R254">
        <f t="shared" si="325"/>
        <v>0</v>
      </c>
      <c r="S254">
        <f t="shared" si="326"/>
        <v>0</v>
      </c>
      <c r="T254" s="110">
        <f>VLOOKUP(B254,DesgloseRC!$E$48:$F$88,2,FALSE)</f>
        <v>0</v>
      </c>
      <c r="U254" s="111">
        <f t="shared" si="331"/>
        <v>0</v>
      </c>
      <c r="V254" s="111">
        <f t="shared" si="332"/>
        <v>0</v>
      </c>
    </row>
    <row r="255" spans="1:29" ht="15" hidden="1" customHeight="1" x14ac:dyDescent="0.3">
      <c r="A255" s="34" t="s">
        <v>1295</v>
      </c>
      <c r="B255" s="36">
        <v>148</v>
      </c>
      <c r="C255" s="29" t="s">
        <v>1309</v>
      </c>
      <c r="D255" s="29" t="str">
        <f t="shared" si="330"/>
        <v>INCLUIDO</v>
      </c>
      <c r="E255" s="27" t="s">
        <v>1186</v>
      </c>
      <c r="F255" s="43">
        <f t="shared" si="327"/>
        <v>0</v>
      </c>
      <c r="G255" s="114">
        <f t="shared" si="328"/>
        <v>0</v>
      </c>
      <c r="H255" s="9">
        <f t="shared" si="318"/>
        <v>0</v>
      </c>
      <c r="I255" s="9" t="s">
        <v>1287</v>
      </c>
      <c r="J255" s="9">
        <f t="shared" si="319"/>
        <v>0</v>
      </c>
      <c r="K255" s="9">
        <f t="shared" si="320"/>
        <v>0</v>
      </c>
      <c r="L255" s="9">
        <f t="shared" si="321"/>
        <v>0</v>
      </c>
      <c r="M255" s="11">
        <f t="shared" si="329"/>
        <v>0.1</v>
      </c>
      <c r="N255" s="9">
        <f t="shared" si="322"/>
        <v>0</v>
      </c>
      <c r="O255" s="12">
        <f t="shared" si="323"/>
        <v>0</v>
      </c>
      <c r="P255" s="13" t="str">
        <f t="shared" si="286"/>
        <v>NO</v>
      </c>
      <c r="Q255">
        <f t="shared" si="324"/>
        <v>0</v>
      </c>
      <c r="R255">
        <f t="shared" si="325"/>
        <v>0</v>
      </c>
      <c r="S255">
        <f t="shared" si="326"/>
        <v>0</v>
      </c>
      <c r="T255" s="110">
        <f>VLOOKUP(B255,DesgloseRC!$E$48:$F$88,2,FALSE)</f>
        <v>0.1</v>
      </c>
      <c r="U255" s="111">
        <f t="shared" si="331"/>
        <v>0</v>
      </c>
      <c r="V255" s="111">
        <f t="shared" si="332"/>
        <v>0</v>
      </c>
      <c r="AC255" s="110"/>
    </row>
    <row r="256" spans="1:29" ht="15" hidden="1" customHeight="1" x14ac:dyDescent="0.3">
      <c r="A256" s="34" t="s">
        <v>1295</v>
      </c>
      <c r="B256" s="36">
        <v>156</v>
      </c>
      <c r="C256" s="29" t="s">
        <v>1310</v>
      </c>
      <c r="D256" s="29" t="str">
        <f t="shared" si="330"/>
        <v>INCLUIDO</v>
      </c>
      <c r="E256" s="27" t="s">
        <v>1186</v>
      </c>
      <c r="F256" s="43">
        <v>0</v>
      </c>
      <c r="G256" s="114">
        <f t="shared" si="328"/>
        <v>0</v>
      </c>
      <c r="H256" s="9">
        <f t="shared" si="318"/>
        <v>0</v>
      </c>
      <c r="I256" s="9" t="s">
        <v>1287</v>
      </c>
      <c r="J256" s="9">
        <f t="shared" si="319"/>
        <v>0</v>
      </c>
      <c r="K256" s="9">
        <f t="shared" si="320"/>
        <v>0</v>
      </c>
      <c r="L256" s="9">
        <f t="shared" si="321"/>
        <v>0</v>
      </c>
      <c r="M256" s="11">
        <f t="shared" si="329"/>
        <v>0.1</v>
      </c>
      <c r="N256" s="9">
        <f t="shared" si="322"/>
        <v>0</v>
      </c>
      <c r="O256" s="12">
        <f t="shared" si="323"/>
        <v>0</v>
      </c>
      <c r="P256" s="13" t="str">
        <f t="shared" si="286"/>
        <v>NO</v>
      </c>
      <c r="Q256">
        <f t="shared" si="324"/>
        <v>0</v>
      </c>
      <c r="R256">
        <f t="shared" si="325"/>
        <v>0</v>
      </c>
      <c r="S256">
        <f t="shared" si="326"/>
        <v>0</v>
      </c>
      <c r="T256" s="110">
        <f>VLOOKUP(B256,DesgloseRC!$E$48:$F$88,2,FALSE)</f>
        <v>0.05</v>
      </c>
      <c r="U256" s="111">
        <f t="shared" si="331"/>
        <v>0</v>
      </c>
      <c r="V256" s="111">
        <f t="shared" si="332"/>
        <v>0</v>
      </c>
    </row>
    <row r="257" spans="1:29" ht="22.5" hidden="1" customHeight="1" x14ac:dyDescent="0.3">
      <c r="A257" s="34" t="s">
        <v>1295</v>
      </c>
      <c r="B257" s="36">
        <v>225</v>
      </c>
      <c r="C257" s="29" t="s">
        <v>1311</v>
      </c>
      <c r="D257" s="29" t="str">
        <f t="shared" si="330"/>
        <v>INCLUIDO</v>
      </c>
      <c r="E257" s="27" t="s">
        <v>1186</v>
      </c>
      <c r="F257" s="43">
        <f t="shared" si="327"/>
        <v>0</v>
      </c>
      <c r="G257" s="114">
        <f t="shared" si="328"/>
        <v>0</v>
      </c>
      <c r="H257" s="9">
        <f t="shared" si="318"/>
        <v>0</v>
      </c>
      <c r="I257" s="9" t="s">
        <v>1287</v>
      </c>
      <c r="J257" s="9">
        <f t="shared" si="319"/>
        <v>0</v>
      </c>
      <c r="K257" s="9">
        <f t="shared" si="320"/>
        <v>0</v>
      </c>
      <c r="L257" s="9">
        <f t="shared" si="321"/>
        <v>0</v>
      </c>
      <c r="M257" s="11">
        <f t="shared" si="329"/>
        <v>0.1</v>
      </c>
      <c r="N257" s="9">
        <f t="shared" si="322"/>
        <v>0</v>
      </c>
      <c r="O257" s="12">
        <f t="shared" si="323"/>
        <v>0</v>
      </c>
      <c r="P257" s="13" t="str">
        <f t="shared" si="286"/>
        <v>NO</v>
      </c>
      <c r="Q257">
        <f t="shared" si="324"/>
        <v>0</v>
      </c>
      <c r="R257">
        <f t="shared" si="325"/>
        <v>0</v>
      </c>
      <c r="S257">
        <f t="shared" si="326"/>
        <v>0</v>
      </c>
      <c r="T257" s="110">
        <f>VLOOKUP(B257,DesgloseRC!$E$48:$F$88,2,FALSE)</f>
        <v>7.0000000000000007E-2</v>
      </c>
      <c r="U257" s="111">
        <f t="shared" si="331"/>
        <v>0</v>
      </c>
      <c r="V257" s="111">
        <f t="shared" si="332"/>
        <v>0</v>
      </c>
      <c r="AA257" s="110"/>
    </row>
    <row r="258" spans="1:29" ht="15" hidden="1" customHeight="1" x14ac:dyDescent="0.3">
      <c r="A258" s="34" t="s">
        <v>1295</v>
      </c>
      <c r="B258" s="36">
        <v>226</v>
      </c>
      <c r="C258" s="29" t="s">
        <v>1312</v>
      </c>
      <c r="D258" s="29" t="str">
        <f t="shared" si="330"/>
        <v>INCLUIDO</v>
      </c>
      <c r="E258" s="27" t="s">
        <v>1186</v>
      </c>
      <c r="F258" s="43">
        <f t="shared" si="327"/>
        <v>0</v>
      </c>
      <c r="G258" s="114">
        <f t="shared" si="328"/>
        <v>0</v>
      </c>
      <c r="H258" s="9">
        <f t="shared" si="318"/>
        <v>0</v>
      </c>
      <c r="I258" s="9" t="s">
        <v>1287</v>
      </c>
      <c r="J258" s="9">
        <f t="shared" si="319"/>
        <v>0</v>
      </c>
      <c r="K258" s="9">
        <f t="shared" si="320"/>
        <v>0</v>
      </c>
      <c r="L258" s="9">
        <f t="shared" si="321"/>
        <v>0</v>
      </c>
      <c r="M258" s="11">
        <f t="shared" si="329"/>
        <v>0.1</v>
      </c>
      <c r="N258" s="9">
        <f t="shared" si="322"/>
        <v>0</v>
      </c>
      <c r="O258" s="12">
        <f t="shared" si="323"/>
        <v>0</v>
      </c>
      <c r="P258" s="13" t="str">
        <f t="shared" si="286"/>
        <v>NO</v>
      </c>
      <c r="Q258">
        <f t="shared" si="324"/>
        <v>0</v>
      </c>
      <c r="R258">
        <f t="shared" si="325"/>
        <v>0</v>
      </c>
      <c r="S258">
        <f t="shared" si="326"/>
        <v>0</v>
      </c>
      <c r="T258" s="110">
        <f>VLOOKUP(B258,DesgloseRC!$E$48:$F$88,2,FALSE)</f>
        <v>0.1</v>
      </c>
      <c r="U258" s="111">
        <f t="shared" si="331"/>
        <v>0</v>
      </c>
      <c r="V258" s="111">
        <f t="shared" si="332"/>
        <v>0</v>
      </c>
      <c r="AA258" s="110"/>
    </row>
    <row r="259" spans="1:29" ht="15" hidden="1" customHeight="1" x14ac:dyDescent="0.3">
      <c r="A259" s="34" t="s">
        <v>1295</v>
      </c>
      <c r="B259" s="36">
        <v>228</v>
      </c>
      <c r="C259" s="29" t="s">
        <v>1313</v>
      </c>
      <c r="D259" s="29" t="str">
        <f t="shared" si="330"/>
        <v>INCLUIDO</v>
      </c>
      <c r="E259" s="27" t="s">
        <v>1186</v>
      </c>
      <c r="F259" s="43">
        <f t="shared" si="327"/>
        <v>0</v>
      </c>
      <c r="G259" s="114">
        <f t="shared" si="328"/>
        <v>0</v>
      </c>
      <c r="H259" s="9">
        <f t="shared" si="318"/>
        <v>0</v>
      </c>
      <c r="I259" s="9" t="s">
        <v>1287</v>
      </c>
      <c r="J259" s="9">
        <f t="shared" si="319"/>
        <v>0</v>
      </c>
      <c r="K259" s="9">
        <f t="shared" si="320"/>
        <v>0</v>
      </c>
      <c r="L259" s="9">
        <f t="shared" si="321"/>
        <v>0</v>
      </c>
      <c r="M259" s="11">
        <f t="shared" si="329"/>
        <v>0.1</v>
      </c>
      <c r="N259" s="9">
        <f t="shared" si="322"/>
        <v>0</v>
      </c>
      <c r="O259" s="12">
        <f t="shared" si="323"/>
        <v>0</v>
      </c>
      <c r="P259" s="13" t="str">
        <f t="shared" si="286"/>
        <v>NO</v>
      </c>
      <c r="Q259">
        <f t="shared" si="324"/>
        <v>0</v>
      </c>
      <c r="R259">
        <f t="shared" si="325"/>
        <v>0</v>
      </c>
      <c r="S259">
        <f t="shared" si="326"/>
        <v>0</v>
      </c>
      <c r="T259" s="110">
        <f>VLOOKUP(B259,DesgloseRC!$E$48:$F$88,2,FALSE)</f>
        <v>0.04</v>
      </c>
      <c r="U259" s="111">
        <f t="shared" si="331"/>
        <v>0</v>
      </c>
      <c r="V259" s="111">
        <f t="shared" si="332"/>
        <v>0</v>
      </c>
    </row>
    <row r="260" spans="1:29" ht="33.75" hidden="1" customHeight="1" x14ac:dyDescent="0.3">
      <c r="A260" s="34" t="s">
        <v>1295</v>
      </c>
      <c r="B260" s="36">
        <v>281</v>
      </c>
      <c r="C260" s="29" t="s">
        <v>1314</v>
      </c>
      <c r="D260" s="29" t="str">
        <f t="shared" si="330"/>
        <v>INCLUIDO</v>
      </c>
      <c r="E260" s="27" t="s">
        <v>1186</v>
      </c>
      <c r="F260" s="43">
        <f t="shared" si="327"/>
        <v>0</v>
      </c>
      <c r="G260" s="114">
        <f t="shared" si="328"/>
        <v>0</v>
      </c>
      <c r="H260" s="9">
        <f t="shared" si="318"/>
        <v>0</v>
      </c>
      <c r="I260" s="9" t="s">
        <v>1287</v>
      </c>
      <c r="J260" s="9">
        <f t="shared" si="319"/>
        <v>0</v>
      </c>
      <c r="K260" s="9">
        <f t="shared" si="320"/>
        <v>0</v>
      </c>
      <c r="L260" s="9">
        <f t="shared" si="321"/>
        <v>0</v>
      </c>
      <c r="M260" s="11">
        <f t="shared" si="329"/>
        <v>0.1</v>
      </c>
      <c r="N260" s="9">
        <f t="shared" si="322"/>
        <v>0</v>
      </c>
      <c r="O260" s="12">
        <f t="shared" si="323"/>
        <v>0</v>
      </c>
      <c r="P260" s="13" t="str">
        <f t="shared" si="286"/>
        <v>NO</v>
      </c>
      <c r="Q260">
        <f t="shared" si="324"/>
        <v>0</v>
      </c>
      <c r="R260">
        <f t="shared" si="325"/>
        <v>0</v>
      </c>
      <c r="S260">
        <f t="shared" si="326"/>
        <v>0</v>
      </c>
      <c r="T260" s="110">
        <f>VLOOKUP(B260,DesgloseRC!$E$48:$F$88,2,FALSE)</f>
        <v>0.04</v>
      </c>
      <c r="U260" s="111">
        <f t="shared" si="331"/>
        <v>0</v>
      </c>
      <c r="V260" s="111">
        <f t="shared" si="332"/>
        <v>0</v>
      </c>
      <c r="Z260" s="110"/>
      <c r="AC260" s="110"/>
    </row>
    <row r="261" spans="1:29" ht="33.75" hidden="1" customHeight="1" x14ac:dyDescent="0.3">
      <c r="A261" s="34" t="s">
        <v>1295</v>
      </c>
      <c r="B261" s="36">
        <v>282</v>
      </c>
      <c r="C261" s="29" t="s">
        <v>1315</v>
      </c>
      <c r="D261" s="29" t="str">
        <f t="shared" si="330"/>
        <v>INCLUIDO</v>
      </c>
      <c r="E261" s="27" t="s">
        <v>1186</v>
      </c>
      <c r="F261" s="43">
        <f t="shared" si="327"/>
        <v>0</v>
      </c>
      <c r="G261" s="114">
        <f t="shared" si="328"/>
        <v>0</v>
      </c>
      <c r="H261" s="9">
        <f t="shared" si="318"/>
        <v>0</v>
      </c>
      <c r="I261" s="9" t="s">
        <v>1287</v>
      </c>
      <c r="J261" s="9">
        <f t="shared" si="319"/>
        <v>0</v>
      </c>
      <c r="K261" s="9">
        <f t="shared" si="320"/>
        <v>0</v>
      </c>
      <c r="L261" s="9">
        <f t="shared" si="321"/>
        <v>0</v>
      </c>
      <c r="M261" s="11">
        <f t="shared" si="329"/>
        <v>0.1</v>
      </c>
      <c r="N261" s="9">
        <f t="shared" si="322"/>
        <v>0</v>
      </c>
      <c r="O261" s="12">
        <f t="shared" si="323"/>
        <v>0</v>
      </c>
      <c r="P261" s="13" t="str">
        <f t="shared" si="286"/>
        <v>NO</v>
      </c>
      <c r="Q261">
        <f t="shared" si="324"/>
        <v>0</v>
      </c>
      <c r="R261">
        <f t="shared" si="325"/>
        <v>0</v>
      </c>
      <c r="S261">
        <f t="shared" si="326"/>
        <v>0</v>
      </c>
      <c r="T261" s="110">
        <f>VLOOKUP(B261,DesgloseRC!$E$48:$F$88,2,FALSE)</f>
        <v>0</v>
      </c>
      <c r="U261" s="111">
        <f t="shared" si="331"/>
        <v>0</v>
      </c>
      <c r="V261" s="111">
        <f t="shared" si="332"/>
        <v>0</v>
      </c>
      <c r="AA261" s="110"/>
      <c r="AB261" s="110"/>
      <c r="AC261" s="110"/>
    </row>
    <row r="262" spans="1:29" ht="33.75" hidden="1" customHeight="1" x14ac:dyDescent="0.3">
      <c r="A262" s="34" t="s">
        <v>1295</v>
      </c>
      <c r="B262" s="36">
        <v>283</v>
      </c>
      <c r="C262" s="29" t="s">
        <v>1316</v>
      </c>
      <c r="D262" s="29" t="str">
        <f t="shared" si="330"/>
        <v>INCLUIDO</v>
      </c>
      <c r="E262" s="27" t="s">
        <v>1186</v>
      </c>
      <c r="F262" s="43">
        <f t="shared" si="327"/>
        <v>0</v>
      </c>
      <c r="G262" s="114">
        <f t="shared" si="328"/>
        <v>0</v>
      </c>
      <c r="H262" s="9">
        <f t="shared" si="318"/>
        <v>0</v>
      </c>
      <c r="I262" s="9" t="s">
        <v>1287</v>
      </c>
      <c r="J262" s="9">
        <f t="shared" si="319"/>
        <v>0</v>
      </c>
      <c r="K262" s="9">
        <f t="shared" si="320"/>
        <v>0</v>
      </c>
      <c r="L262" s="9">
        <f t="shared" si="321"/>
        <v>0</v>
      </c>
      <c r="M262" s="11">
        <f t="shared" si="329"/>
        <v>0.1</v>
      </c>
      <c r="N262" s="9">
        <f t="shared" si="322"/>
        <v>0</v>
      </c>
      <c r="O262" s="12">
        <f t="shared" si="323"/>
        <v>0</v>
      </c>
      <c r="P262" s="13" t="str">
        <f t="shared" si="286"/>
        <v>NO</v>
      </c>
      <c r="Q262">
        <f t="shared" si="324"/>
        <v>0</v>
      </c>
      <c r="R262">
        <f t="shared" si="325"/>
        <v>0</v>
      </c>
      <c r="S262">
        <f t="shared" si="326"/>
        <v>0</v>
      </c>
      <c r="T262" s="110">
        <f>VLOOKUP(B262,DesgloseRC!$E$48:$F$88,2,FALSE)</f>
        <v>0</v>
      </c>
      <c r="U262" s="111">
        <f t="shared" si="331"/>
        <v>0</v>
      </c>
      <c r="V262" s="111">
        <f t="shared" si="332"/>
        <v>0</v>
      </c>
    </row>
    <row r="263" spans="1:29" ht="15" hidden="1" customHeight="1" x14ac:dyDescent="0.3">
      <c r="A263" s="34" t="s">
        <v>1295</v>
      </c>
      <c r="B263" s="36">
        <v>284</v>
      </c>
      <c r="C263" s="29" t="s">
        <v>1317</v>
      </c>
      <c r="D263" s="29" t="str">
        <f t="shared" si="330"/>
        <v>INCLUIDO</v>
      </c>
      <c r="E263" s="27" t="s">
        <v>1186</v>
      </c>
      <c r="F263" s="43">
        <f t="shared" si="327"/>
        <v>0</v>
      </c>
      <c r="G263" s="114">
        <f t="shared" si="328"/>
        <v>0</v>
      </c>
      <c r="H263" s="9">
        <f t="shared" si="318"/>
        <v>0</v>
      </c>
      <c r="I263" s="9" t="s">
        <v>1287</v>
      </c>
      <c r="J263" s="9">
        <f t="shared" si="319"/>
        <v>0</v>
      </c>
      <c r="K263" s="9">
        <f t="shared" si="320"/>
        <v>0</v>
      </c>
      <c r="L263" s="9">
        <f t="shared" si="321"/>
        <v>0</v>
      </c>
      <c r="M263" s="11">
        <f t="shared" si="329"/>
        <v>0.1</v>
      </c>
      <c r="N263" s="9">
        <f t="shared" si="322"/>
        <v>0</v>
      </c>
      <c r="O263" s="12">
        <f t="shared" si="323"/>
        <v>0</v>
      </c>
      <c r="P263" s="13" t="str">
        <f t="shared" si="286"/>
        <v>NO</v>
      </c>
      <c r="Q263">
        <f t="shared" si="324"/>
        <v>0</v>
      </c>
      <c r="R263">
        <f t="shared" si="325"/>
        <v>0</v>
      </c>
      <c r="S263">
        <f t="shared" si="326"/>
        <v>0</v>
      </c>
      <c r="T263" s="110">
        <f>VLOOKUP(B263,DesgloseRC!$E$48:$F$88,2,FALSE)</f>
        <v>0</v>
      </c>
      <c r="U263" s="111">
        <f t="shared" si="331"/>
        <v>0</v>
      </c>
      <c r="V263" s="111">
        <f t="shared" si="332"/>
        <v>0</v>
      </c>
    </row>
    <row r="264" spans="1:29" ht="36.75" hidden="1" customHeight="1" x14ac:dyDescent="0.3">
      <c r="A264" s="34" t="s">
        <v>1295</v>
      </c>
      <c r="B264" s="36">
        <v>285</v>
      </c>
      <c r="C264" s="29" t="s">
        <v>1318</v>
      </c>
      <c r="D264" s="29" t="str">
        <f t="shared" si="330"/>
        <v>INCLUIDO</v>
      </c>
      <c r="E264" s="27" t="s">
        <v>1186</v>
      </c>
      <c r="F264" s="43">
        <f t="shared" si="327"/>
        <v>0</v>
      </c>
      <c r="G264" s="114">
        <f t="shared" si="328"/>
        <v>0</v>
      </c>
      <c r="H264" s="9">
        <f t="shared" si="318"/>
        <v>0</v>
      </c>
      <c r="I264" s="9" t="s">
        <v>1287</v>
      </c>
      <c r="J264" s="9">
        <f t="shared" si="319"/>
        <v>0</v>
      </c>
      <c r="K264" s="9">
        <f t="shared" si="320"/>
        <v>0</v>
      </c>
      <c r="L264" s="9">
        <f t="shared" si="321"/>
        <v>0</v>
      </c>
      <c r="M264" s="11">
        <f t="shared" si="329"/>
        <v>0.1</v>
      </c>
      <c r="N264" s="9">
        <f t="shared" si="322"/>
        <v>0</v>
      </c>
      <c r="O264" s="12">
        <f t="shared" si="323"/>
        <v>0</v>
      </c>
      <c r="P264" s="13" t="str">
        <f t="shared" si="286"/>
        <v>NO</v>
      </c>
      <c r="Q264">
        <f t="shared" si="324"/>
        <v>0</v>
      </c>
      <c r="R264">
        <f t="shared" si="325"/>
        <v>0</v>
      </c>
      <c r="S264">
        <f t="shared" si="326"/>
        <v>0</v>
      </c>
      <c r="T264" s="110">
        <f>VLOOKUP(B264,DesgloseRC!$E$48:$F$88,2,FALSE)</f>
        <v>0</v>
      </c>
      <c r="U264" s="111">
        <f t="shared" si="331"/>
        <v>0</v>
      </c>
      <c r="V264" s="111">
        <f t="shared" si="332"/>
        <v>0</v>
      </c>
      <c r="AB264" s="110"/>
      <c r="AC264" s="110"/>
    </row>
    <row r="265" spans="1:29" ht="33.75" hidden="1" customHeight="1" x14ac:dyDescent="0.3">
      <c r="A265" s="34" t="s">
        <v>1295</v>
      </c>
      <c r="B265" s="36">
        <v>286</v>
      </c>
      <c r="C265" s="29" t="s">
        <v>1319</v>
      </c>
      <c r="D265" s="29" t="str">
        <f t="shared" si="330"/>
        <v>INCLUIDO</v>
      </c>
      <c r="E265" s="27" t="s">
        <v>1186</v>
      </c>
      <c r="F265" s="43">
        <f t="shared" si="327"/>
        <v>0</v>
      </c>
      <c r="G265" s="114">
        <f t="shared" si="328"/>
        <v>0</v>
      </c>
      <c r="H265" s="9">
        <f t="shared" si="318"/>
        <v>0</v>
      </c>
      <c r="I265" s="9" t="s">
        <v>1287</v>
      </c>
      <c r="J265" s="9">
        <f t="shared" si="319"/>
        <v>0</v>
      </c>
      <c r="K265" s="9">
        <f t="shared" si="320"/>
        <v>0</v>
      </c>
      <c r="L265" s="9">
        <f t="shared" si="321"/>
        <v>0</v>
      </c>
      <c r="M265" s="11">
        <f t="shared" si="329"/>
        <v>0.1</v>
      </c>
      <c r="N265" s="9">
        <f t="shared" si="322"/>
        <v>0</v>
      </c>
      <c r="O265" s="12">
        <f t="shared" si="323"/>
        <v>0</v>
      </c>
      <c r="P265" s="13" t="str">
        <f t="shared" si="286"/>
        <v>NO</v>
      </c>
      <c r="Q265">
        <f t="shared" si="324"/>
        <v>0</v>
      </c>
      <c r="R265">
        <f t="shared" si="325"/>
        <v>0</v>
      </c>
      <c r="S265">
        <f t="shared" si="326"/>
        <v>0</v>
      </c>
      <c r="T265" s="110">
        <f>VLOOKUP(B265,DesgloseRC!$E$48:$F$88,2,FALSE)</f>
        <v>0</v>
      </c>
      <c r="U265" s="111">
        <f t="shared" si="331"/>
        <v>0</v>
      </c>
      <c r="V265" s="111">
        <f t="shared" si="332"/>
        <v>0</v>
      </c>
    </row>
    <row r="266" spans="1:29" ht="15" hidden="1" customHeight="1" x14ac:dyDescent="0.3">
      <c r="A266" s="34" t="s">
        <v>1295</v>
      </c>
      <c r="B266" s="36">
        <v>227</v>
      </c>
      <c r="C266" s="29" t="s">
        <v>1293</v>
      </c>
      <c r="D266" s="29" t="str">
        <f t="shared" si="330"/>
        <v>INCLUIDO</v>
      </c>
      <c r="E266" s="27" t="s">
        <v>1186</v>
      </c>
      <c r="F266" s="43">
        <f t="shared" si="327"/>
        <v>0</v>
      </c>
      <c r="G266" s="114">
        <f t="shared" si="328"/>
        <v>0</v>
      </c>
      <c r="H266" s="9">
        <f t="shared" si="318"/>
        <v>0</v>
      </c>
      <c r="I266" s="9" t="s">
        <v>1287</v>
      </c>
      <c r="J266" s="9">
        <f t="shared" si="319"/>
        <v>0</v>
      </c>
      <c r="K266" s="9">
        <f t="shared" si="320"/>
        <v>0</v>
      </c>
      <c r="L266" s="9">
        <f t="shared" si="321"/>
        <v>0</v>
      </c>
      <c r="M266" s="11">
        <f t="shared" si="329"/>
        <v>0.1</v>
      </c>
      <c r="N266" s="9">
        <f t="shared" si="322"/>
        <v>0</v>
      </c>
      <c r="O266" s="12">
        <f t="shared" si="323"/>
        <v>0</v>
      </c>
      <c r="P266" s="13" t="str">
        <f t="shared" si="286"/>
        <v>NO</v>
      </c>
      <c r="Q266">
        <f t="shared" si="324"/>
        <v>0</v>
      </c>
      <c r="R266">
        <f t="shared" si="325"/>
        <v>0</v>
      </c>
      <c r="S266">
        <f t="shared" si="326"/>
        <v>0</v>
      </c>
      <c r="T266" s="110">
        <f>VLOOKUP(B266,DesgloseRC!$E$48:$F$88,2,FALSE)</f>
        <v>0.05</v>
      </c>
      <c r="U266" s="111">
        <f t="shared" si="331"/>
        <v>0</v>
      </c>
      <c r="V266" s="111">
        <f t="shared" si="332"/>
        <v>0</v>
      </c>
      <c r="W266" s="110"/>
      <c r="X266" s="110"/>
      <c r="Y266" s="110"/>
      <c r="Z266" s="110"/>
      <c r="AA266" s="110"/>
      <c r="AB266" s="110"/>
    </row>
    <row r="267" spans="1:29" ht="21.75" hidden="1" customHeight="1" x14ac:dyDescent="0.3">
      <c r="A267" s="34" t="s">
        <v>1295</v>
      </c>
      <c r="B267" s="36">
        <v>303</v>
      </c>
      <c r="C267" s="29" t="s">
        <v>1320</v>
      </c>
      <c r="D267" s="29" t="str">
        <f t="shared" si="330"/>
        <v>INCLUIDO</v>
      </c>
      <c r="E267" s="27" t="s">
        <v>1186</v>
      </c>
      <c r="F267" s="43">
        <f t="shared" si="327"/>
        <v>0</v>
      </c>
      <c r="G267" s="21">
        <f t="shared" si="328"/>
        <v>0</v>
      </c>
      <c r="H267" s="9">
        <f t="shared" si="318"/>
        <v>0</v>
      </c>
      <c r="I267" s="9" t="s">
        <v>1287</v>
      </c>
      <c r="J267" s="9">
        <f t="shared" si="319"/>
        <v>0</v>
      </c>
      <c r="K267" s="9">
        <f t="shared" si="320"/>
        <v>0</v>
      </c>
      <c r="L267" s="9">
        <f t="shared" si="321"/>
        <v>0</v>
      </c>
      <c r="M267" s="11">
        <f t="shared" si="329"/>
        <v>0.1</v>
      </c>
      <c r="N267" s="9">
        <f t="shared" si="322"/>
        <v>0</v>
      </c>
      <c r="O267" s="12">
        <f t="shared" si="323"/>
        <v>0</v>
      </c>
      <c r="P267" s="13" t="str">
        <f t="shared" si="286"/>
        <v>NO</v>
      </c>
      <c r="Q267">
        <f t="shared" si="324"/>
        <v>0</v>
      </c>
      <c r="R267">
        <f t="shared" si="325"/>
        <v>0</v>
      </c>
      <c r="S267">
        <f t="shared" si="326"/>
        <v>0</v>
      </c>
      <c r="T267" s="110">
        <f>VLOOKUP(B267,DesgloseRC!$E$48:$F$88,2,FALSE)</f>
        <v>0</v>
      </c>
      <c r="U267" s="111">
        <f t="shared" si="331"/>
        <v>0</v>
      </c>
      <c r="V267" s="111">
        <f t="shared" si="332"/>
        <v>0</v>
      </c>
      <c r="W267" s="110"/>
      <c r="X267" s="110"/>
      <c r="Y267" s="110"/>
      <c r="Z267" s="110"/>
      <c r="AA267" s="110"/>
      <c r="AB267" s="110"/>
    </row>
    <row r="268" spans="1:29" ht="15" hidden="1" customHeight="1" x14ac:dyDescent="0.3">
      <c r="A268" s="34" t="s">
        <v>1295</v>
      </c>
      <c r="B268" s="36">
        <v>155</v>
      </c>
      <c r="C268" s="29" t="s">
        <v>1321</v>
      </c>
      <c r="D268" s="29" t="str">
        <f t="shared" si="330"/>
        <v>INCLUIDO</v>
      </c>
      <c r="E268" s="27" t="s">
        <v>1186</v>
      </c>
      <c r="F268" s="43">
        <f t="shared" si="327"/>
        <v>0</v>
      </c>
      <c r="G268" s="21">
        <f t="shared" si="328"/>
        <v>0</v>
      </c>
      <c r="H268" s="9">
        <f t="shared" si="318"/>
        <v>0</v>
      </c>
      <c r="I268" s="9" t="s">
        <v>1287</v>
      </c>
      <c r="J268" s="9">
        <f t="shared" si="319"/>
        <v>0</v>
      </c>
      <c r="K268" s="9">
        <f t="shared" si="320"/>
        <v>0</v>
      </c>
      <c r="L268" s="9">
        <f t="shared" si="321"/>
        <v>0</v>
      </c>
      <c r="M268" s="11">
        <f t="shared" si="329"/>
        <v>0.1</v>
      </c>
      <c r="N268" s="9">
        <f t="shared" si="322"/>
        <v>0</v>
      </c>
      <c r="O268" s="12">
        <f t="shared" si="323"/>
        <v>0</v>
      </c>
      <c r="P268" s="13" t="str">
        <f t="shared" si="286"/>
        <v>NO</v>
      </c>
      <c r="Q268">
        <f t="shared" si="324"/>
        <v>0</v>
      </c>
      <c r="R268">
        <f t="shared" si="325"/>
        <v>0</v>
      </c>
      <c r="S268">
        <f t="shared" si="326"/>
        <v>0</v>
      </c>
      <c r="T268" s="110">
        <f>VLOOKUP(B268,DesgloseRC!$E$48:$F$88,2,FALSE)</f>
        <v>0</v>
      </c>
      <c r="U268" s="111">
        <f t="shared" si="331"/>
        <v>0</v>
      </c>
      <c r="V268" s="111">
        <f t="shared" si="332"/>
        <v>0</v>
      </c>
    </row>
    <row r="269" spans="1:29" ht="15" hidden="1" customHeight="1" x14ac:dyDescent="0.3">
      <c r="A269" s="34" t="s">
        <v>1295</v>
      </c>
      <c r="B269" s="36">
        <v>149</v>
      </c>
      <c r="C269" s="29" t="s">
        <v>1322</v>
      </c>
      <c r="D269" s="29" t="str">
        <f t="shared" si="330"/>
        <v>INCLUIDO</v>
      </c>
      <c r="E269" s="27" t="s">
        <v>1186</v>
      </c>
      <c r="F269" s="43">
        <f t="shared" si="327"/>
        <v>0</v>
      </c>
      <c r="G269" s="21">
        <f t="shared" si="328"/>
        <v>0</v>
      </c>
      <c r="H269" s="9">
        <f t="shared" si="318"/>
        <v>0</v>
      </c>
      <c r="I269" s="9" t="s">
        <v>1287</v>
      </c>
      <c r="J269" s="9">
        <f t="shared" si="319"/>
        <v>0</v>
      </c>
      <c r="K269" s="9">
        <f t="shared" si="320"/>
        <v>0</v>
      </c>
      <c r="L269" s="9">
        <f t="shared" si="321"/>
        <v>0</v>
      </c>
      <c r="M269" s="11">
        <f t="shared" si="329"/>
        <v>0.1</v>
      </c>
      <c r="N269" s="9">
        <f t="shared" si="322"/>
        <v>0</v>
      </c>
      <c r="O269" s="12">
        <f t="shared" si="323"/>
        <v>0</v>
      </c>
      <c r="P269" s="13" t="str">
        <f t="shared" si="286"/>
        <v>NO</v>
      </c>
      <c r="Q269">
        <f t="shared" si="324"/>
        <v>0</v>
      </c>
      <c r="R269">
        <f t="shared" si="325"/>
        <v>0</v>
      </c>
      <c r="S269">
        <f t="shared" si="326"/>
        <v>0</v>
      </c>
      <c r="T269" s="110">
        <f>VLOOKUP(B269,DesgloseRC!$E$48:$F$88,2,FALSE)</f>
        <v>0</v>
      </c>
      <c r="U269" s="111">
        <f t="shared" si="331"/>
        <v>0</v>
      </c>
      <c r="V269" s="111">
        <f t="shared" si="332"/>
        <v>0</v>
      </c>
    </row>
    <row r="270" spans="1:29" ht="15" hidden="1" customHeight="1" x14ac:dyDescent="0.3">
      <c r="A270" s="34" t="s">
        <v>1295</v>
      </c>
      <c r="B270" s="36">
        <v>150</v>
      </c>
      <c r="C270" s="29" t="s">
        <v>1323</v>
      </c>
      <c r="D270" s="29" t="str">
        <f>D269</f>
        <v>INCLUIDO</v>
      </c>
      <c r="E270" s="27" t="str">
        <f>E269</f>
        <v>Excluido</v>
      </c>
      <c r="F270" s="43">
        <f t="shared" si="327"/>
        <v>0</v>
      </c>
      <c r="G270" s="21">
        <f t="shared" si="328"/>
        <v>0</v>
      </c>
      <c r="H270" s="9">
        <f t="shared" si="318"/>
        <v>0</v>
      </c>
      <c r="I270" s="9" t="s">
        <v>1287</v>
      </c>
      <c r="J270" s="9">
        <f t="shared" si="319"/>
        <v>0</v>
      </c>
      <c r="K270" s="9">
        <f t="shared" si="320"/>
        <v>0</v>
      </c>
      <c r="L270" s="9">
        <f t="shared" si="321"/>
        <v>0</v>
      </c>
      <c r="M270" s="11">
        <f t="shared" si="329"/>
        <v>0.1</v>
      </c>
      <c r="N270" s="9">
        <f t="shared" si="322"/>
        <v>0</v>
      </c>
      <c r="O270" s="12">
        <f t="shared" si="323"/>
        <v>0</v>
      </c>
      <c r="P270" s="13" t="str">
        <f t="shared" si="286"/>
        <v>NO</v>
      </c>
      <c r="Q270">
        <f t="shared" si="324"/>
        <v>0</v>
      </c>
      <c r="R270">
        <f t="shared" si="325"/>
        <v>0</v>
      </c>
      <c r="S270">
        <f t="shared" si="326"/>
        <v>0</v>
      </c>
      <c r="T270" s="110">
        <f>VLOOKUP(B270,DesgloseRC!$E$48:$F$88,2,FALSE)</f>
        <v>0</v>
      </c>
      <c r="U270" s="111">
        <f t="shared" si="331"/>
        <v>0</v>
      </c>
      <c r="V270" s="111">
        <f t="shared" si="332"/>
        <v>0</v>
      </c>
    </row>
    <row r="271" spans="1:29" ht="15" hidden="1" customHeight="1" x14ac:dyDescent="0.3">
      <c r="A271" s="34" t="s">
        <v>1295</v>
      </c>
      <c r="B271" s="36">
        <v>157</v>
      </c>
      <c r="C271" s="29" t="s">
        <v>1324</v>
      </c>
      <c r="D271" s="29" t="str">
        <f>D269</f>
        <v>INCLUIDO</v>
      </c>
      <c r="E271" s="27" t="str">
        <f>E269</f>
        <v>Excluido</v>
      </c>
      <c r="F271" s="43">
        <f t="shared" si="327"/>
        <v>0</v>
      </c>
      <c r="G271" s="21">
        <f t="shared" si="328"/>
        <v>0</v>
      </c>
      <c r="H271" s="9">
        <f t="shared" si="318"/>
        <v>0</v>
      </c>
      <c r="I271" s="9" t="s">
        <v>1287</v>
      </c>
      <c r="J271" s="9">
        <f t="shared" si="319"/>
        <v>0</v>
      </c>
      <c r="K271" s="9">
        <f t="shared" si="320"/>
        <v>0</v>
      </c>
      <c r="L271" s="9">
        <f t="shared" si="321"/>
        <v>0</v>
      </c>
      <c r="M271" s="11">
        <f t="shared" si="329"/>
        <v>0.1</v>
      </c>
      <c r="N271" s="9">
        <f t="shared" si="322"/>
        <v>0</v>
      </c>
      <c r="O271" s="12">
        <f t="shared" si="323"/>
        <v>0</v>
      </c>
      <c r="P271" s="13" t="str">
        <f t="shared" si="286"/>
        <v>NO</v>
      </c>
      <c r="Q271">
        <f t="shared" si="324"/>
        <v>0</v>
      </c>
      <c r="R271">
        <f t="shared" si="325"/>
        <v>0</v>
      </c>
      <c r="S271">
        <f t="shared" si="326"/>
        <v>0</v>
      </c>
      <c r="T271" s="110">
        <f>VLOOKUP(B271,DesgloseRC!$E$48:$F$88,2,FALSE)</f>
        <v>0</v>
      </c>
      <c r="U271" s="111">
        <f t="shared" si="331"/>
        <v>0</v>
      </c>
      <c r="V271" s="111">
        <f t="shared" si="332"/>
        <v>0</v>
      </c>
    </row>
    <row r="272" spans="1:29" s="18" customFormat="1" ht="15" hidden="1" customHeight="1" x14ac:dyDescent="0.3">
      <c r="A272" s="24"/>
      <c r="B272" s="26"/>
      <c r="C272" s="15" t="s">
        <v>1177</v>
      </c>
      <c r="D272" s="38" t="str">
        <f>D241</f>
        <v>INCLUIDO</v>
      </c>
      <c r="E272" s="38"/>
      <c r="F272" s="16">
        <f>SUMIF(E242:E271,"Adicional",F242:F271)</f>
        <v>0</v>
      </c>
      <c r="G272" s="17"/>
      <c r="H272" s="16">
        <f>SUM(H242:H271)</f>
        <v>0</v>
      </c>
      <c r="I272" s="16"/>
      <c r="J272" s="16">
        <f t="shared" ref="J272:L272" si="333">SUM(J242:J271)</f>
        <v>0</v>
      </c>
      <c r="K272" s="16">
        <f t="shared" si="333"/>
        <v>0</v>
      </c>
      <c r="L272" s="16">
        <f t="shared" si="333"/>
        <v>0</v>
      </c>
      <c r="M272" s="16" t="s">
        <v>1178</v>
      </c>
      <c r="N272" s="16">
        <f t="shared" ref="N272:O272" si="334">SUM(N242:N271)</f>
        <v>0</v>
      </c>
      <c r="O272" s="84">
        <f t="shared" si="334"/>
        <v>0</v>
      </c>
      <c r="P272" s="13" t="str">
        <f t="shared" si="286"/>
        <v>NO</v>
      </c>
      <c r="Q272">
        <f>IF(D272="INCLUIDO",IF(H272&lt;&gt;0,1,0),0)</f>
        <v>0</v>
      </c>
      <c r="T272" s="141">
        <f>SUM(T242:T271)</f>
        <v>1.0000000000000002</v>
      </c>
      <c r="U272" s="200">
        <f>SUM(U242:U271)</f>
        <v>0</v>
      </c>
      <c r="V272" s="112">
        <f>SUM(V242:V271)</f>
        <v>0</v>
      </c>
    </row>
    <row r="273" spans="1:23" ht="15" hidden="1" customHeight="1" thickBot="1" x14ac:dyDescent="0.35">
      <c r="A273" s="82">
        <v>911</v>
      </c>
      <c r="B273" s="33">
        <v>1</v>
      </c>
      <c r="C273" s="19" t="s">
        <v>1325</v>
      </c>
      <c r="D273" s="23" t="str">
        <f>'Ramo Comercial'!C163</f>
        <v>NO APLICA</v>
      </c>
      <c r="E273" s="91"/>
      <c r="F273" s="113">
        <f>F241</f>
        <v>0</v>
      </c>
      <c r="G273" s="28"/>
      <c r="H273" s="28"/>
      <c r="I273" s="28"/>
      <c r="J273" s="28"/>
      <c r="K273" s="28"/>
      <c r="L273" s="28"/>
      <c r="M273" s="68">
        <v>0</v>
      </c>
      <c r="N273" s="28"/>
      <c r="O273" s="83"/>
      <c r="P273" s="13" t="str">
        <f t="shared" si="286"/>
        <v>NO</v>
      </c>
      <c r="Q273" s="48">
        <f>IF(D273="INCLUIDO",IF(F273&lt;&gt;0,1,0),0)</f>
        <v>0</v>
      </c>
      <c r="T273" s="142">
        <f>G241*T276</f>
        <v>0</v>
      </c>
    </row>
    <row r="274" spans="1:23" ht="15" hidden="1" customHeight="1" x14ac:dyDescent="0.3">
      <c r="A274" s="34" t="s">
        <v>1326</v>
      </c>
      <c r="B274" s="36">
        <v>159</v>
      </c>
      <c r="C274" s="29" t="s">
        <v>1327</v>
      </c>
      <c r="D274" s="29" t="str">
        <f>$D$273</f>
        <v>NO APLICA</v>
      </c>
      <c r="E274" s="27" t="s">
        <v>1152</v>
      </c>
      <c r="F274" s="20">
        <f>F273*S274</f>
        <v>0</v>
      </c>
      <c r="G274" s="21">
        <f>V274</f>
        <v>0</v>
      </c>
      <c r="H274" s="9">
        <f t="shared" ref="H274:H275" si="335">(IF(I274="$ Prima",G274,G274*F274/R274))*$U$9</f>
        <v>0</v>
      </c>
      <c r="I274" s="9" t="s">
        <v>1287</v>
      </c>
      <c r="J274" s="9">
        <f t="shared" ref="J274:J275" si="336">H274*$U$7</f>
        <v>0</v>
      </c>
      <c r="K274" s="9">
        <f t="shared" ref="K274:K275" si="337">(H274+J274)*$K$15</f>
        <v>0</v>
      </c>
      <c r="L274" s="9">
        <f t="shared" ref="L274:L275" si="338">ROUND(H274+J274+K274,2)</f>
        <v>0</v>
      </c>
      <c r="M274" s="11">
        <f>$M$273</f>
        <v>0</v>
      </c>
      <c r="N274" s="9">
        <f t="shared" ref="N274:N275" si="339">H274*M274</f>
        <v>0</v>
      </c>
      <c r="O274" s="12">
        <f t="shared" ref="O274:O275" si="340">N274</f>
        <v>0</v>
      </c>
      <c r="P274" s="13" t="str">
        <f t="shared" si="286"/>
        <v>NO</v>
      </c>
      <c r="Q274">
        <f>IF(D274="INCLUIDO",IF(F274&lt;&gt;0,1,0),0)</f>
        <v>0</v>
      </c>
      <c r="R274">
        <f>IF(I274="%o Al Millar",1000,IF(I274="% Al Porciento",100,IF(I274="$ Prima",G274)))</f>
        <v>0</v>
      </c>
      <c r="S274">
        <f t="shared" ref="S274:S275" si="341">IF(E274="Excluido",0,IF(D274="NO APLICA",0,1))</f>
        <v>0</v>
      </c>
      <c r="T274" s="110">
        <f>VLOOKUP(B274,DesgloseRC!$E$48:$F$88,2,FALSE)</f>
        <v>0</v>
      </c>
      <c r="U274" s="159">
        <f t="shared" ref="U274:U275" si="342">IF(E274="Excluido",0,$T$241*T274)</f>
        <v>0</v>
      </c>
      <c r="V274" s="111">
        <f>IF(F274=0,0,(U276-U275)+T273-U276)</f>
        <v>0</v>
      </c>
      <c r="W274">
        <f>IF(T274=0%,0,1)</f>
        <v>0</v>
      </c>
    </row>
    <row r="275" spans="1:23" ht="22.5" hidden="1" customHeight="1" x14ac:dyDescent="0.3">
      <c r="A275" s="34" t="s">
        <v>1326</v>
      </c>
      <c r="B275" s="36">
        <v>158</v>
      </c>
      <c r="C275" s="29" t="s">
        <v>1328</v>
      </c>
      <c r="D275" s="29" t="str">
        <f>$D$273</f>
        <v>NO APLICA</v>
      </c>
      <c r="E275" s="27" t="s">
        <v>1137</v>
      </c>
      <c r="F275" s="20">
        <f>F274*S275</f>
        <v>0</v>
      </c>
      <c r="G275" s="21">
        <f>V275</f>
        <v>0</v>
      </c>
      <c r="H275" s="9">
        <f t="shared" si="335"/>
        <v>0</v>
      </c>
      <c r="I275" s="9" t="s">
        <v>1287</v>
      </c>
      <c r="J275" s="9">
        <f t="shared" si="336"/>
        <v>0</v>
      </c>
      <c r="K275" s="9">
        <f t="shared" si="337"/>
        <v>0</v>
      </c>
      <c r="L275" s="9">
        <f t="shared" si="338"/>
        <v>0</v>
      </c>
      <c r="M275" s="11">
        <f>$M$273</f>
        <v>0</v>
      </c>
      <c r="N275" s="9">
        <f t="shared" si="339"/>
        <v>0</v>
      </c>
      <c r="O275" s="12">
        <f t="shared" si="340"/>
        <v>0</v>
      </c>
      <c r="P275" s="13" t="str">
        <f t="shared" si="286"/>
        <v>NO</v>
      </c>
      <c r="Q275">
        <f>IF(D275="INCLUIDO",IF(F275&lt;&gt;0,1,0),0)</f>
        <v>0</v>
      </c>
      <c r="R275">
        <f>IF(I275="%o Al Millar",1000,IF(I275="% Al Porciento",100,IF(I275="$ Prima",G275)))</f>
        <v>0</v>
      </c>
      <c r="S275">
        <f t="shared" si="341"/>
        <v>0</v>
      </c>
      <c r="T275" s="110">
        <f>VLOOKUP(B275,DesgloseRC!$E$48:$F$88,2,FALSE)</f>
        <v>0</v>
      </c>
      <c r="U275" s="159">
        <f t="shared" si="342"/>
        <v>0</v>
      </c>
      <c r="V275" s="111">
        <f t="shared" ref="V275" si="343">IF(F275=0,0,U275)</f>
        <v>0</v>
      </c>
    </row>
    <row r="276" spans="1:23" s="18" customFormat="1" ht="15" hidden="1" customHeight="1" thickBot="1" x14ac:dyDescent="0.35">
      <c r="A276" s="24"/>
      <c r="B276" s="26"/>
      <c r="C276" s="15" t="s">
        <v>1177</v>
      </c>
      <c r="D276" s="38" t="str">
        <f>D275</f>
        <v>NO APLICA</v>
      </c>
      <c r="E276" s="38"/>
      <c r="F276" s="16">
        <f>SUMIF(E274:E275,"Adicional",F274:F275)</f>
        <v>0</v>
      </c>
      <c r="G276" s="17"/>
      <c r="H276" s="16">
        <f>SUM(H274:H275)</f>
        <v>0</v>
      </c>
      <c r="I276" s="16"/>
      <c r="J276" s="16">
        <f t="shared" ref="J276:L276" si="344">SUM(J274:J275)</f>
        <v>0</v>
      </c>
      <c r="K276" s="16">
        <f t="shared" si="344"/>
        <v>0</v>
      </c>
      <c r="L276" s="16">
        <f t="shared" si="344"/>
        <v>0</v>
      </c>
      <c r="M276" s="16" t="s">
        <v>1178</v>
      </c>
      <c r="N276" s="16">
        <f t="shared" ref="N276:O276" si="345">SUM(N274:N275)</f>
        <v>0</v>
      </c>
      <c r="O276" s="84">
        <f t="shared" si="345"/>
        <v>0</v>
      </c>
      <c r="P276" s="13" t="str">
        <f t="shared" si="286"/>
        <v>NO</v>
      </c>
      <c r="Q276">
        <f>IF(D276="INCLUIDO",IF(H276&lt;&gt;0,1,0),0)</f>
        <v>0</v>
      </c>
      <c r="T276" s="141">
        <f>SUM(T274:T275)</f>
        <v>0</v>
      </c>
      <c r="U276" s="200">
        <f>SUM(U274:U275)</f>
        <v>0</v>
      </c>
      <c r="V276" s="112">
        <f>SUM(V274:V275)</f>
        <v>0</v>
      </c>
    </row>
    <row r="277" spans="1:23" ht="22.5" hidden="1" customHeight="1" thickBot="1" x14ac:dyDescent="0.35">
      <c r="A277" s="82">
        <v>911</v>
      </c>
      <c r="B277" s="33">
        <v>2</v>
      </c>
      <c r="C277" s="19" t="s">
        <v>1329</v>
      </c>
      <c r="D277" s="23" t="str">
        <f>'Ramo Comercial'!C164</f>
        <v>NO APLICA</v>
      </c>
      <c r="E277" s="91"/>
      <c r="F277" s="113">
        <f>F241</f>
        <v>0</v>
      </c>
      <c r="G277" s="113">
        <v>1000</v>
      </c>
      <c r="H277" s="28"/>
      <c r="I277" s="28"/>
      <c r="J277" s="28"/>
      <c r="K277" s="28"/>
      <c r="L277" s="28"/>
      <c r="M277" s="68">
        <v>0</v>
      </c>
      <c r="N277" s="28"/>
      <c r="O277" s="83"/>
      <c r="P277" s="13" t="str">
        <f t="shared" si="286"/>
        <v>NO</v>
      </c>
      <c r="Q277" s="48">
        <f>IF(D277="INCLUIDO",IF(F277&lt;&gt;0,1,0),0)</f>
        <v>0</v>
      </c>
      <c r="T277" s="142">
        <f>G241*T282</f>
        <v>0</v>
      </c>
      <c r="V277" s="201"/>
    </row>
    <row r="278" spans="1:23" ht="15" hidden="1" customHeight="1" x14ac:dyDescent="0.3">
      <c r="A278" s="34" t="s">
        <v>1326</v>
      </c>
      <c r="B278" s="36">
        <v>162</v>
      </c>
      <c r="C278" s="29" t="s">
        <v>1330</v>
      </c>
      <c r="D278" s="29" t="str">
        <f>$D$277</f>
        <v>NO APLICA</v>
      </c>
      <c r="E278" s="27" t="s">
        <v>1152</v>
      </c>
      <c r="F278" s="20">
        <f>$F$277*S278</f>
        <v>0</v>
      </c>
      <c r="G278" s="114">
        <f>V278</f>
        <v>0</v>
      </c>
      <c r="H278" s="9">
        <f t="shared" ref="H278:H281" si="346">(IF(I278="$ Prima",G278,G278*F278/R278))*$U$9</f>
        <v>0</v>
      </c>
      <c r="I278" s="9" t="s">
        <v>1287</v>
      </c>
      <c r="J278" s="9">
        <f t="shared" ref="J278:J281" si="347">H278*$U$7</f>
        <v>0</v>
      </c>
      <c r="K278" s="9">
        <f t="shared" ref="K278:K281" si="348">(H278+J278)*$K$15</f>
        <v>0</v>
      </c>
      <c r="L278" s="9">
        <f t="shared" ref="L278:L281" si="349">ROUND(H278+J278+K278,2)</f>
        <v>0</v>
      </c>
      <c r="M278" s="11">
        <f>$M$277</f>
        <v>0</v>
      </c>
      <c r="N278" s="9">
        <f t="shared" ref="N278:N281" si="350">H278*M278</f>
        <v>0</v>
      </c>
      <c r="O278" s="12">
        <f t="shared" ref="O278:O281" si="351">N278</f>
        <v>0</v>
      </c>
      <c r="P278" s="13" t="str">
        <f t="shared" si="286"/>
        <v>NO</v>
      </c>
      <c r="Q278">
        <f>IF(D278="INCLUIDO",IF(F278&lt;&gt;0,1,0),0)</f>
        <v>0</v>
      </c>
      <c r="R278">
        <f>IF(I278="%o Al Millar",1000,IF(I278="% Al Porciento",100,IF(I278="$ Prima",G278)))</f>
        <v>0</v>
      </c>
      <c r="S278">
        <f t="shared" ref="S278:S281" si="352">IF(E278="Excluido",0,IF(D278="NO APLICA",0,1))</f>
        <v>0</v>
      </c>
      <c r="T278" s="110">
        <f>VLOOKUP(B278,DesgloseRC!$E$48:$F$85,2,FALSE)</f>
        <v>0</v>
      </c>
      <c r="U278" s="159">
        <f>IF(E278="Excluido",0,$T$241*T278)</f>
        <v>0</v>
      </c>
      <c r="V278" s="159">
        <f>IF(F278=0,0,(U282-U279-U280-U281)+(T277-U282))</f>
        <v>0</v>
      </c>
      <c r="W278">
        <f>IF(T278=0%,0,1)</f>
        <v>0</v>
      </c>
    </row>
    <row r="279" spans="1:23" ht="15" hidden="1" customHeight="1" x14ac:dyDescent="0.3">
      <c r="A279" s="34" t="s">
        <v>1326</v>
      </c>
      <c r="B279" s="36">
        <v>160</v>
      </c>
      <c r="C279" s="29" t="s">
        <v>1331</v>
      </c>
      <c r="D279" s="29" t="str">
        <f t="shared" ref="D279:D281" si="353">$D$277</f>
        <v>NO APLICA</v>
      </c>
      <c r="E279" s="27" t="s">
        <v>1137</v>
      </c>
      <c r="F279" s="20">
        <f>$F$278*S279</f>
        <v>0</v>
      </c>
      <c r="G279" s="114">
        <f t="shared" ref="G279:G281" si="354">V279</f>
        <v>0</v>
      </c>
      <c r="H279" s="9">
        <f t="shared" si="346"/>
        <v>0</v>
      </c>
      <c r="I279" s="9" t="s">
        <v>1287</v>
      </c>
      <c r="J279" s="9">
        <f t="shared" si="347"/>
        <v>0</v>
      </c>
      <c r="K279" s="9">
        <f t="shared" si="348"/>
        <v>0</v>
      </c>
      <c r="L279" s="9">
        <f t="shared" si="349"/>
        <v>0</v>
      </c>
      <c r="M279" s="11">
        <f t="shared" ref="M279:M281" si="355">$M$277</f>
        <v>0</v>
      </c>
      <c r="N279" s="9">
        <f t="shared" si="350"/>
        <v>0</v>
      </c>
      <c r="O279" s="12">
        <f t="shared" si="351"/>
        <v>0</v>
      </c>
      <c r="P279" s="13" t="str">
        <f t="shared" si="286"/>
        <v>NO</v>
      </c>
      <c r="Q279">
        <f>IF(D279="INCLUIDO",IF(F279&lt;&gt;0,1,0),0)</f>
        <v>0</v>
      </c>
      <c r="R279">
        <f>IF(I279="%o Al Millar",1000,IF(I279="% Al Porciento",100,IF(I279="$ Prima",G279)))</f>
        <v>0</v>
      </c>
      <c r="S279">
        <f t="shared" si="352"/>
        <v>0</v>
      </c>
      <c r="T279" s="110">
        <f>VLOOKUP(B279,DesgloseRC!$E$48:$F$85,2,FALSE)</f>
        <v>0</v>
      </c>
      <c r="U279" s="159">
        <f t="shared" ref="U279:U281" si="356">IF(E279="Excluido",0,$T$241*T279)</f>
        <v>0</v>
      </c>
      <c r="V279" s="159">
        <f>IF(F279=0,0,U279)</f>
        <v>0</v>
      </c>
    </row>
    <row r="280" spans="1:23" ht="15" hidden="1" customHeight="1" x14ac:dyDescent="0.3">
      <c r="A280" s="34" t="s">
        <v>1326</v>
      </c>
      <c r="B280" s="36">
        <v>161</v>
      </c>
      <c r="C280" s="29" t="s">
        <v>1332</v>
      </c>
      <c r="D280" s="29" t="str">
        <f t="shared" si="353"/>
        <v>NO APLICA</v>
      </c>
      <c r="E280" s="27" t="s">
        <v>1137</v>
      </c>
      <c r="F280" s="20">
        <f t="shared" ref="F280:F281" si="357">$F$278*S280</f>
        <v>0</v>
      </c>
      <c r="G280" s="114">
        <f t="shared" si="354"/>
        <v>0</v>
      </c>
      <c r="H280" s="9">
        <f t="shared" si="346"/>
        <v>0</v>
      </c>
      <c r="I280" s="9" t="s">
        <v>1287</v>
      </c>
      <c r="J280" s="9">
        <f t="shared" si="347"/>
        <v>0</v>
      </c>
      <c r="K280" s="9">
        <f t="shared" si="348"/>
        <v>0</v>
      </c>
      <c r="L280" s="9">
        <f t="shared" si="349"/>
        <v>0</v>
      </c>
      <c r="M280" s="11">
        <f t="shared" si="355"/>
        <v>0</v>
      </c>
      <c r="N280" s="9">
        <f t="shared" si="350"/>
        <v>0</v>
      </c>
      <c r="O280" s="12">
        <f t="shared" si="351"/>
        <v>0</v>
      </c>
      <c r="P280" s="13" t="str">
        <f t="shared" si="286"/>
        <v>NO</v>
      </c>
      <c r="Q280">
        <f>IF(D280="INCLUIDO",IF(F280&lt;&gt;0,1,0),0)</f>
        <v>0</v>
      </c>
      <c r="R280">
        <f>IF(I280="%o Al Millar",1000,IF(I280="% Al Porciento",100,IF(I280="$ Prima",G280)))</f>
        <v>0</v>
      </c>
      <c r="S280">
        <f t="shared" si="352"/>
        <v>0</v>
      </c>
      <c r="T280" s="110">
        <f>VLOOKUP(B280,DesgloseRC!$E$48:$F$85,2,FALSE)</f>
        <v>0</v>
      </c>
      <c r="U280" s="159">
        <f t="shared" si="356"/>
        <v>0</v>
      </c>
      <c r="V280" s="159">
        <f t="shared" ref="V280:V281" si="358">IF(F280=0,0,U280)</f>
        <v>0</v>
      </c>
    </row>
    <row r="281" spans="1:23" ht="15" hidden="1" customHeight="1" x14ac:dyDescent="0.3">
      <c r="A281" s="34" t="s">
        <v>1326</v>
      </c>
      <c r="B281" s="36">
        <v>243</v>
      </c>
      <c r="C281" s="29" t="s">
        <v>1293</v>
      </c>
      <c r="D281" s="29" t="str">
        <f t="shared" si="353"/>
        <v>NO APLICA</v>
      </c>
      <c r="E281" s="27" t="s">
        <v>1137</v>
      </c>
      <c r="F281" s="20">
        <f t="shared" si="357"/>
        <v>0</v>
      </c>
      <c r="G281" s="114">
        <f t="shared" si="354"/>
        <v>0</v>
      </c>
      <c r="H281" s="9">
        <f t="shared" si="346"/>
        <v>0</v>
      </c>
      <c r="I281" s="9" t="s">
        <v>1287</v>
      </c>
      <c r="J281" s="9">
        <f t="shared" si="347"/>
        <v>0</v>
      </c>
      <c r="K281" s="9">
        <f t="shared" si="348"/>
        <v>0</v>
      </c>
      <c r="L281" s="9">
        <f t="shared" si="349"/>
        <v>0</v>
      </c>
      <c r="M281" s="11">
        <f t="shared" si="355"/>
        <v>0</v>
      </c>
      <c r="N281" s="9">
        <f t="shared" si="350"/>
        <v>0</v>
      </c>
      <c r="O281" s="12">
        <f t="shared" si="351"/>
        <v>0</v>
      </c>
      <c r="P281" s="13" t="str">
        <f t="shared" si="286"/>
        <v>NO</v>
      </c>
      <c r="Q281">
        <f>IF(D281="INCLUIDO",IF(F281&lt;&gt;0,1,0),0)</f>
        <v>0</v>
      </c>
      <c r="R281">
        <f>IF(I281="%o Al Millar",1000,IF(I281="% Al Porciento",100,IF(I281="$ Prima",G281)))</f>
        <v>0</v>
      </c>
      <c r="S281">
        <f t="shared" si="352"/>
        <v>0</v>
      </c>
      <c r="T281" s="110">
        <f>VLOOKUP(B281,DesgloseRC!$E$48:$F$85,2,FALSE)</f>
        <v>0</v>
      </c>
      <c r="U281" s="159">
        <f t="shared" si="356"/>
        <v>0</v>
      </c>
      <c r="V281" s="159">
        <f t="shared" si="358"/>
        <v>0</v>
      </c>
    </row>
    <row r="282" spans="1:23" s="18" customFormat="1" ht="15" hidden="1" customHeight="1" thickBot="1" x14ac:dyDescent="0.35">
      <c r="A282" s="24"/>
      <c r="B282" s="26"/>
      <c r="C282" s="15" t="s">
        <v>1177</v>
      </c>
      <c r="D282" s="38" t="str">
        <f>D281</f>
        <v>NO APLICA</v>
      </c>
      <c r="E282" s="38"/>
      <c r="F282" s="16">
        <f>SUMIF(E278:E281,"Adicional",F278:F281)</f>
        <v>0</v>
      </c>
      <c r="G282" s="17"/>
      <c r="H282" s="16">
        <f>SUM(H278:H281)</f>
        <v>0</v>
      </c>
      <c r="I282" s="16"/>
      <c r="J282" s="16">
        <f t="shared" ref="J282:L282" si="359">SUM(J278:J281)</f>
        <v>0</v>
      </c>
      <c r="K282" s="16">
        <f t="shared" si="359"/>
        <v>0</v>
      </c>
      <c r="L282" s="16">
        <f t="shared" si="359"/>
        <v>0</v>
      </c>
      <c r="M282" s="16" t="s">
        <v>1178</v>
      </c>
      <c r="N282" s="16">
        <f t="shared" ref="N282:O282" si="360">SUM(N278:N281)</f>
        <v>0</v>
      </c>
      <c r="O282" s="84">
        <f t="shared" si="360"/>
        <v>0</v>
      </c>
      <c r="P282" s="13" t="str">
        <f t="shared" si="286"/>
        <v>NO</v>
      </c>
      <c r="Q282">
        <f>IF(D282="INCLUIDO",IF(H282&lt;&gt;0,1,0),0)</f>
        <v>0</v>
      </c>
      <c r="T282" s="141">
        <f>SUM(T278:T281)</f>
        <v>0</v>
      </c>
      <c r="U282" s="202">
        <f>SUM(U278:U281)</f>
        <v>0</v>
      </c>
      <c r="V282" s="112">
        <f>SUM(V278:V281)</f>
        <v>0</v>
      </c>
    </row>
    <row r="283" spans="1:23" ht="15" hidden="1" customHeight="1" thickBot="1" x14ac:dyDescent="0.35">
      <c r="A283" s="82">
        <v>911</v>
      </c>
      <c r="B283" s="33">
        <v>3</v>
      </c>
      <c r="C283" s="19" t="s">
        <v>1330</v>
      </c>
      <c r="D283" s="23" t="str">
        <f>'Ramo Comercial'!C165</f>
        <v>NO APLICA</v>
      </c>
      <c r="E283" s="91"/>
      <c r="F283" s="113">
        <f>F241</f>
        <v>0</v>
      </c>
      <c r="G283" s="113">
        <v>0</v>
      </c>
      <c r="H283" s="28"/>
      <c r="I283" s="28"/>
      <c r="J283" s="28"/>
      <c r="K283" s="28"/>
      <c r="L283" s="28"/>
      <c r="M283" s="68">
        <v>0</v>
      </c>
      <c r="N283" s="28"/>
      <c r="O283" s="83"/>
      <c r="P283" s="13" t="str">
        <f t="shared" si="286"/>
        <v>NO</v>
      </c>
      <c r="Q283" s="47">
        <f>IF(D283="INCLUIDO",IF(F284&lt;&gt;0,1,0),0)</f>
        <v>0</v>
      </c>
      <c r="T283" s="142">
        <f>G241*T328</f>
        <v>0</v>
      </c>
      <c r="U283" s="142">
        <f>G241</f>
        <v>0</v>
      </c>
    </row>
    <row r="284" spans="1:23" ht="15" hidden="1" customHeight="1" x14ac:dyDescent="0.3">
      <c r="A284" s="34" t="s">
        <v>1326</v>
      </c>
      <c r="B284" s="36">
        <v>163</v>
      </c>
      <c r="C284" s="29" t="s">
        <v>1333</v>
      </c>
      <c r="D284" s="29" t="str">
        <f>$D$283</f>
        <v>NO APLICA</v>
      </c>
      <c r="E284" s="27" t="s">
        <v>1137</v>
      </c>
      <c r="F284" s="43">
        <f>$F$283*S284</f>
        <v>0</v>
      </c>
      <c r="G284" s="21">
        <v>0</v>
      </c>
      <c r="H284" s="9">
        <f t="shared" ref="H284:H328" si="361">(IF(I284="$ Prima",G284,G284*F284/R284))*$U$9</f>
        <v>0</v>
      </c>
      <c r="I284" s="9" t="s">
        <v>1287</v>
      </c>
      <c r="J284" s="9">
        <f t="shared" ref="J284:J328" si="362">H284*$U$7</f>
        <v>0</v>
      </c>
      <c r="K284" s="9">
        <f t="shared" ref="K284:K328" si="363">(H284+J284)*$K$15</f>
        <v>0</v>
      </c>
      <c r="L284" s="9">
        <f t="shared" ref="L284:L328" si="364">ROUND(H284+J284+K284,2)</f>
        <v>0</v>
      </c>
      <c r="M284" s="11">
        <f>$M$283</f>
        <v>0</v>
      </c>
      <c r="N284" s="9">
        <f t="shared" ref="N284:N328" si="365">H284*M284</f>
        <v>0</v>
      </c>
      <c r="O284" s="12">
        <f t="shared" ref="O284:O328" si="366">N284</f>
        <v>0</v>
      </c>
      <c r="P284" s="13" t="str">
        <f t="shared" si="286"/>
        <v>NO</v>
      </c>
      <c r="Q284">
        <f t="shared" ref="Q284:Q328" si="367">IF(D284="INCLUIDO",IF(F284&lt;&gt;0,1,0),0)</f>
        <v>0</v>
      </c>
      <c r="R284">
        <f t="shared" ref="R284:R328" si="368">IF(I284="%o Al Millar",1000,IF(I284="% Al Porciento",100,IF(I284="$ Prima",G284)))</f>
        <v>0</v>
      </c>
      <c r="S284">
        <f t="shared" ref="S284:S328" si="369">IF(E284="Excluido",0,IF(D284="NO APLICA",0,1))</f>
        <v>0</v>
      </c>
    </row>
    <row r="285" spans="1:23" ht="15" hidden="1" customHeight="1" x14ac:dyDescent="0.3">
      <c r="A285" s="34" t="s">
        <v>1326</v>
      </c>
      <c r="B285" s="36">
        <v>164</v>
      </c>
      <c r="C285" s="29" t="s">
        <v>1334</v>
      </c>
      <c r="D285" s="29" t="str">
        <f t="shared" ref="D285:D328" si="370">$D$283</f>
        <v>NO APLICA</v>
      </c>
      <c r="E285" s="27" t="s">
        <v>1137</v>
      </c>
      <c r="F285" s="43">
        <f t="shared" ref="F285:F328" si="371">$F$283*S285</f>
        <v>0</v>
      </c>
      <c r="G285" s="21">
        <v>0</v>
      </c>
      <c r="H285" s="9">
        <f t="shared" si="361"/>
        <v>0</v>
      </c>
      <c r="I285" s="9" t="s">
        <v>1287</v>
      </c>
      <c r="J285" s="9">
        <f t="shared" si="362"/>
        <v>0</v>
      </c>
      <c r="K285" s="9">
        <f t="shared" si="363"/>
        <v>0</v>
      </c>
      <c r="L285" s="9">
        <f t="shared" si="364"/>
        <v>0</v>
      </c>
      <c r="M285" s="11">
        <f t="shared" ref="M285:M328" si="372">$M$283</f>
        <v>0</v>
      </c>
      <c r="N285" s="9">
        <f t="shared" si="365"/>
        <v>0</v>
      </c>
      <c r="O285" s="12">
        <f t="shared" si="366"/>
        <v>0</v>
      </c>
      <c r="P285" s="13" t="str">
        <f t="shared" si="286"/>
        <v>NO</v>
      </c>
      <c r="Q285">
        <f t="shared" si="367"/>
        <v>0</v>
      </c>
      <c r="R285">
        <f t="shared" si="368"/>
        <v>0</v>
      </c>
      <c r="S285">
        <f t="shared" si="369"/>
        <v>0</v>
      </c>
    </row>
    <row r="286" spans="1:23" ht="15" hidden="1" customHeight="1" x14ac:dyDescent="0.3">
      <c r="A286" s="34" t="s">
        <v>1326</v>
      </c>
      <c r="B286" s="36">
        <v>165</v>
      </c>
      <c r="C286" s="29" t="s">
        <v>1335</v>
      </c>
      <c r="D286" s="29" t="str">
        <f t="shared" si="370"/>
        <v>NO APLICA</v>
      </c>
      <c r="E286" s="27" t="s">
        <v>1137</v>
      </c>
      <c r="F286" s="43">
        <f t="shared" si="371"/>
        <v>0</v>
      </c>
      <c r="G286" s="21">
        <v>0</v>
      </c>
      <c r="H286" s="9">
        <f t="shared" si="361"/>
        <v>0</v>
      </c>
      <c r="I286" s="9" t="s">
        <v>1287</v>
      </c>
      <c r="J286" s="9">
        <f t="shared" si="362"/>
        <v>0</v>
      </c>
      <c r="K286" s="9">
        <f t="shared" si="363"/>
        <v>0</v>
      </c>
      <c r="L286" s="9">
        <f t="shared" si="364"/>
        <v>0</v>
      </c>
      <c r="M286" s="11">
        <f t="shared" si="372"/>
        <v>0</v>
      </c>
      <c r="N286" s="9">
        <f t="shared" si="365"/>
        <v>0</v>
      </c>
      <c r="O286" s="12">
        <f t="shared" si="366"/>
        <v>0</v>
      </c>
      <c r="P286" s="13" t="str">
        <f t="shared" si="286"/>
        <v>NO</v>
      </c>
      <c r="Q286">
        <f t="shared" si="367"/>
        <v>0</v>
      </c>
      <c r="R286">
        <f t="shared" si="368"/>
        <v>0</v>
      </c>
      <c r="S286">
        <f t="shared" si="369"/>
        <v>0</v>
      </c>
    </row>
    <row r="287" spans="1:23" ht="15" hidden="1" customHeight="1" x14ac:dyDescent="0.3">
      <c r="A287" s="34" t="s">
        <v>1326</v>
      </c>
      <c r="B287" s="36">
        <v>166</v>
      </c>
      <c r="C287" s="29" t="s">
        <v>1336</v>
      </c>
      <c r="D287" s="29" t="str">
        <f t="shared" si="370"/>
        <v>NO APLICA</v>
      </c>
      <c r="E287" s="27" t="s">
        <v>1137</v>
      </c>
      <c r="F287" s="43">
        <f t="shared" si="371"/>
        <v>0</v>
      </c>
      <c r="G287" s="21">
        <v>0</v>
      </c>
      <c r="H287" s="9">
        <f t="shared" si="361"/>
        <v>0</v>
      </c>
      <c r="I287" s="9" t="s">
        <v>1287</v>
      </c>
      <c r="J287" s="9">
        <f t="shared" si="362"/>
        <v>0</v>
      </c>
      <c r="K287" s="9">
        <f t="shared" si="363"/>
        <v>0</v>
      </c>
      <c r="L287" s="9">
        <f t="shared" si="364"/>
        <v>0</v>
      </c>
      <c r="M287" s="11">
        <f t="shared" si="372"/>
        <v>0</v>
      </c>
      <c r="N287" s="9">
        <f t="shared" si="365"/>
        <v>0</v>
      </c>
      <c r="O287" s="12">
        <f t="shared" si="366"/>
        <v>0</v>
      </c>
      <c r="P287" s="13" t="str">
        <f t="shared" si="286"/>
        <v>NO</v>
      </c>
      <c r="Q287">
        <f t="shared" si="367"/>
        <v>0</v>
      </c>
      <c r="R287">
        <f t="shared" si="368"/>
        <v>0</v>
      </c>
      <c r="S287">
        <f t="shared" si="369"/>
        <v>0</v>
      </c>
    </row>
    <row r="288" spans="1:23" ht="15" hidden="1" customHeight="1" x14ac:dyDescent="0.3">
      <c r="A288" s="34" t="s">
        <v>1326</v>
      </c>
      <c r="B288" s="36">
        <v>167</v>
      </c>
      <c r="C288" s="29" t="s">
        <v>1337</v>
      </c>
      <c r="D288" s="29" t="str">
        <f t="shared" si="370"/>
        <v>NO APLICA</v>
      </c>
      <c r="E288" s="27" t="s">
        <v>1137</v>
      </c>
      <c r="F288" s="43">
        <f t="shared" si="371"/>
        <v>0</v>
      </c>
      <c r="G288" s="21">
        <v>0</v>
      </c>
      <c r="H288" s="9">
        <f t="shared" si="361"/>
        <v>0</v>
      </c>
      <c r="I288" s="9" t="s">
        <v>1287</v>
      </c>
      <c r="J288" s="9">
        <f t="shared" si="362"/>
        <v>0</v>
      </c>
      <c r="K288" s="9">
        <f t="shared" si="363"/>
        <v>0</v>
      </c>
      <c r="L288" s="9">
        <f t="shared" si="364"/>
        <v>0</v>
      </c>
      <c r="M288" s="11">
        <f t="shared" si="372"/>
        <v>0</v>
      </c>
      <c r="N288" s="9">
        <f t="shared" si="365"/>
        <v>0</v>
      </c>
      <c r="O288" s="12">
        <f t="shared" si="366"/>
        <v>0</v>
      </c>
      <c r="P288" s="13" t="str">
        <f t="shared" si="286"/>
        <v>NO</v>
      </c>
      <c r="Q288">
        <f t="shared" si="367"/>
        <v>0</v>
      </c>
      <c r="R288">
        <f t="shared" si="368"/>
        <v>0</v>
      </c>
      <c r="S288">
        <f t="shared" si="369"/>
        <v>0</v>
      </c>
    </row>
    <row r="289" spans="1:23" ht="15" hidden="1" customHeight="1" x14ac:dyDescent="0.3">
      <c r="A289" s="34" t="s">
        <v>1326</v>
      </c>
      <c r="B289" s="36">
        <v>168</v>
      </c>
      <c r="C289" s="29" t="s">
        <v>1338</v>
      </c>
      <c r="D289" s="29" t="str">
        <f t="shared" si="370"/>
        <v>NO APLICA</v>
      </c>
      <c r="E289" s="27" t="s">
        <v>1137</v>
      </c>
      <c r="F289" s="43">
        <f t="shared" si="371"/>
        <v>0</v>
      </c>
      <c r="G289" s="21">
        <v>0</v>
      </c>
      <c r="H289" s="9">
        <f t="shared" si="361"/>
        <v>0</v>
      </c>
      <c r="I289" s="9" t="s">
        <v>1287</v>
      </c>
      <c r="J289" s="9">
        <f t="shared" si="362"/>
        <v>0</v>
      </c>
      <c r="K289" s="9">
        <f t="shared" si="363"/>
        <v>0</v>
      </c>
      <c r="L289" s="9">
        <f t="shared" si="364"/>
        <v>0</v>
      </c>
      <c r="M289" s="11">
        <f t="shared" si="372"/>
        <v>0</v>
      </c>
      <c r="N289" s="9">
        <f t="shared" si="365"/>
        <v>0</v>
      </c>
      <c r="O289" s="12">
        <f t="shared" si="366"/>
        <v>0</v>
      </c>
      <c r="P289" s="13" t="str">
        <f t="shared" si="286"/>
        <v>NO</v>
      </c>
      <c r="Q289">
        <f t="shared" si="367"/>
        <v>0</v>
      </c>
      <c r="R289">
        <f t="shared" si="368"/>
        <v>0</v>
      </c>
      <c r="S289">
        <f t="shared" si="369"/>
        <v>0</v>
      </c>
    </row>
    <row r="290" spans="1:23" ht="15" hidden="1" customHeight="1" x14ac:dyDescent="0.3">
      <c r="A290" s="34" t="s">
        <v>1326</v>
      </c>
      <c r="B290" s="36">
        <v>169</v>
      </c>
      <c r="C290" s="29" t="s">
        <v>1339</v>
      </c>
      <c r="D290" s="29" t="str">
        <f t="shared" si="370"/>
        <v>NO APLICA</v>
      </c>
      <c r="E290" s="27" t="s">
        <v>1137</v>
      </c>
      <c r="F290" s="43">
        <f t="shared" si="371"/>
        <v>0</v>
      </c>
      <c r="G290" s="21">
        <f>V290</f>
        <v>0</v>
      </c>
      <c r="H290" s="9">
        <f t="shared" si="361"/>
        <v>0</v>
      </c>
      <c r="I290" s="9" t="s">
        <v>1287</v>
      </c>
      <c r="J290" s="9">
        <f t="shared" si="362"/>
        <v>0</v>
      </c>
      <c r="K290" s="9">
        <f t="shared" si="363"/>
        <v>0</v>
      </c>
      <c r="L290" s="9">
        <f t="shared" si="364"/>
        <v>0</v>
      </c>
      <c r="M290" s="11">
        <f t="shared" si="372"/>
        <v>0</v>
      </c>
      <c r="N290" s="9">
        <f t="shared" si="365"/>
        <v>0</v>
      </c>
      <c r="O290" s="12">
        <f t="shared" si="366"/>
        <v>0</v>
      </c>
      <c r="P290" s="13" t="str">
        <f t="shared" ref="P290:P353" si="373">IF(Q290=1,"SI","NO")</f>
        <v>NO</v>
      </c>
      <c r="Q290">
        <f t="shared" si="367"/>
        <v>0</v>
      </c>
      <c r="R290">
        <f t="shared" si="368"/>
        <v>0</v>
      </c>
      <c r="S290">
        <f t="shared" si="369"/>
        <v>0</v>
      </c>
      <c r="T290" s="110">
        <f>VLOOKUP(B290,DesgloseRC!$E$48:$F$85,2,FALSE)</f>
        <v>0</v>
      </c>
      <c r="U290" s="159">
        <f>IF(E290="Excluido",0,$U$283*T290)</f>
        <v>0</v>
      </c>
      <c r="V290" s="159">
        <f>IF(F290=0,0,U290)</f>
        <v>0</v>
      </c>
      <c r="W290">
        <f>IF(T290=0%,0,1)</f>
        <v>0</v>
      </c>
    </row>
    <row r="291" spans="1:23" ht="15" hidden="1" customHeight="1" x14ac:dyDescent="0.3">
      <c r="A291" s="34" t="s">
        <v>1326</v>
      </c>
      <c r="B291" s="36">
        <v>170</v>
      </c>
      <c r="C291" s="29" t="s">
        <v>1340</v>
      </c>
      <c r="D291" s="29" t="str">
        <f t="shared" si="370"/>
        <v>NO APLICA</v>
      </c>
      <c r="E291" s="27" t="s">
        <v>1137</v>
      </c>
      <c r="F291" s="43">
        <f t="shared" si="371"/>
        <v>0</v>
      </c>
      <c r="G291" s="21">
        <v>0</v>
      </c>
      <c r="H291" s="9">
        <f t="shared" si="361"/>
        <v>0</v>
      </c>
      <c r="I291" s="9" t="s">
        <v>1287</v>
      </c>
      <c r="J291" s="9">
        <f t="shared" si="362"/>
        <v>0</v>
      </c>
      <c r="K291" s="9">
        <f t="shared" si="363"/>
        <v>0</v>
      </c>
      <c r="L291" s="9">
        <f t="shared" si="364"/>
        <v>0</v>
      </c>
      <c r="M291" s="11">
        <f t="shared" si="372"/>
        <v>0</v>
      </c>
      <c r="N291" s="9">
        <f t="shared" si="365"/>
        <v>0</v>
      </c>
      <c r="O291" s="12">
        <f t="shared" si="366"/>
        <v>0</v>
      </c>
      <c r="P291" s="13" t="str">
        <f t="shared" si="373"/>
        <v>NO</v>
      </c>
      <c r="Q291">
        <f t="shared" si="367"/>
        <v>0</v>
      </c>
      <c r="R291">
        <f t="shared" si="368"/>
        <v>0</v>
      </c>
      <c r="S291">
        <f t="shared" si="369"/>
        <v>0</v>
      </c>
    </row>
    <row r="292" spans="1:23" ht="15" hidden="1" customHeight="1" x14ac:dyDescent="0.3">
      <c r="A292" s="34" t="s">
        <v>1326</v>
      </c>
      <c r="B292" s="36">
        <v>171</v>
      </c>
      <c r="C292" s="29" t="s">
        <v>1341</v>
      </c>
      <c r="D292" s="29" t="str">
        <f t="shared" si="370"/>
        <v>NO APLICA</v>
      </c>
      <c r="E292" s="27" t="s">
        <v>1137</v>
      </c>
      <c r="F292" s="43">
        <f t="shared" si="371"/>
        <v>0</v>
      </c>
      <c r="G292" s="21">
        <v>0</v>
      </c>
      <c r="H292" s="9">
        <f t="shared" si="361"/>
        <v>0</v>
      </c>
      <c r="I292" s="9" t="s">
        <v>1287</v>
      </c>
      <c r="J292" s="9">
        <f t="shared" si="362"/>
        <v>0</v>
      </c>
      <c r="K292" s="9">
        <f t="shared" si="363"/>
        <v>0</v>
      </c>
      <c r="L292" s="9">
        <f t="shared" si="364"/>
        <v>0</v>
      </c>
      <c r="M292" s="11">
        <f t="shared" si="372"/>
        <v>0</v>
      </c>
      <c r="N292" s="9">
        <f t="shared" si="365"/>
        <v>0</v>
      </c>
      <c r="O292" s="12">
        <f t="shared" si="366"/>
        <v>0</v>
      </c>
      <c r="P292" s="13" t="str">
        <f t="shared" si="373"/>
        <v>NO</v>
      </c>
      <c r="Q292">
        <f t="shared" si="367"/>
        <v>0</v>
      </c>
      <c r="R292">
        <f t="shared" si="368"/>
        <v>0</v>
      </c>
      <c r="S292">
        <f t="shared" si="369"/>
        <v>0</v>
      </c>
    </row>
    <row r="293" spans="1:23" ht="15" hidden="1" customHeight="1" x14ac:dyDescent="0.3">
      <c r="A293" s="34" t="s">
        <v>1326</v>
      </c>
      <c r="B293" s="36">
        <v>172</v>
      </c>
      <c r="C293" s="29" t="s">
        <v>1342</v>
      </c>
      <c r="D293" s="29" t="str">
        <f t="shared" si="370"/>
        <v>NO APLICA</v>
      </c>
      <c r="E293" s="27" t="s">
        <v>1137</v>
      </c>
      <c r="F293" s="43">
        <f t="shared" si="371"/>
        <v>0</v>
      </c>
      <c r="G293" s="21">
        <v>0</v>
      </c>
      <c r="H293" s="9">
        <f t="shared" si="361"/>
        <v>0</v>
      </c>
      <c r="I293" s="9" t="s">
        <v>1287</v>
      </c>
      <c r="J293" s="9">
        <f t="shared" si="362"/>
        <v>0</v>
      </c>
      <c r="K293" s="9">
        <f t="shared" si="363"/>
        <v>0</v>
      </c>
      <c r="L293" s="9">
        <f t="shared" si="364"/>
        <v>0</v>
      </c>
      <c r="M293" s="11">
        <f t="shared" si="372"/>
        <v>0</v>
      </c>
      <c r="N293" s="9">
        <f t="shared" si="365"/>
        <v>0</v>
      </c>
      <c r="O293" s="12">
        <f t="shared" si="366"/>
        <v>0</v>
      </c>
      <c r="P293" s="13" t="str">
        <f t="shared" si="373"/>
        <v>NO</v>
      </c>
      <c r="Q293">
        <f t="shared" si="367"/>
        <v>0</v>
      </c>
      <c r="R293">
        <f t="shared" si="368"/>
        <v>0</v>
      </c>
      <c r="S293">
        <f t="shared" si="369"/>
        <v>0</v>
      </c>
    </row>
    <row r="294" spans="1:23" ht="15" hidden="1" customHeight="1" x14ac:dyDescent="0.3">
      <c r="A294" s="34" t="s">
        <v>1326</v>
      </c>
      <c r="B294" s="36">
        <v>173</v>
      </c>
      <c r="C294" s="29" t="s">
        <v>1343</v>
      </c>
      <c r="D294" s="29" t="str">
        <f t="shared" si="370"/>
        <v>NO APLICA</v>
      </c>
      <c r="E294" s="27" t="s">
        <v>1137</v>
      </c>
      <c r="F294" s="43">
        <f t="shared" si="371"/>
        <v>0</v>
      </c>
      <c r="G294" s="21">
        <v>0</v>
      </c>
      <c r="H294" s="9">
        <f t="shared" si="361"/>
        <v>0</v>
      </c>
      <c r="I294" s="9" t="s">
        <v>1287</v>
      </c>
      <c r="J294" s="9">
        <f t="shared" si="362"/>
        <v>0</v>
      </c>
      <c r="K294" s="9">
        <f t="shared" si="363"/>
        <v>0</v>
      </c>
      <c r="L294" s="9">
        <f t="shared" si="364"/>
        <v>0</v>
      </c>
      <c r="M294" s="11">
        <f t="shared" si="372"/>
        <v>0</v>
      </c>
      <c r="N294" s="9">
        <f t="shared" si="365"/>
        <v>0</v>
      </c>
      <c r="O294" s="12">
        <f t="shared" si="366"/>
        <v>0</v>
      </c>
      <c r="P294" s="13" t="str">
        <f t="shared" si="373"/>
        <v>NO</v>
      </c>
      <c r="Q294">
        <f t="shared" si="367"/>
        <v>0</v>
      </c>
      <c r="R294">
        <f t="shared" si="368"/>
        <v>0</v>
      </c>
      <c r="S294">
        <f t="shared" si="369"/>
        <v>0</v>
      </c>
    </row>
    <row r="295" spans="1:23" ht="15" hidden="1" customHeight="1" x14ac:dyDescent="0.3">
      <c r="A295" s="34" t="s">
        <v>1326</v>
      </c>
      <c r="B295" s="36">
        <v>174</v>
      </c>
      <c r="C295" s="29" t="s">
        <v>1344</v>
      </c>
      <c r="D295" s="29" t="str">
        <f t="shared" si="370"/>
        <v>NO APLICA</v>
      </c>
      <c r="E295" s="27" t="s">
        <v>1137</v>
      </c>
      <c r="F295" s="43">
        <f t="shared" si="371"/>
        <v>0</v>
      </c>
      <c r="G295" s="21">
        <v>0</v>
      </c>
      <c r="H295" s="9">
        <f t="shared" si="361"/>
        <v>0</v>
      </c>
      <c r="I295" s="9" t="s">
        <v>1287</v>
      </c>
      <c r="J295" s="9">
        <f t="shared" si="362"/>
        <v>0</v>
      </c>
      <c r="K295" s="9">
        <f t="shared" si="363"/>
        <v>0</v>
      </c>
      <c r="L295" s="9">
        <f t="shared" si="364"/>
        <v>0</v>
      </c>
      <c r="M295" s="11">
        <f t="shared" si="372"/>
        <v>0</v>
      </c>
      <c r="N295" s="9">
        <f t="shared" si="365"/>
        <v>0</v>
      </c>
      <c r="O295" s="12">
        <f t="shared" si="366"/>
        <v>0</v>
      </c>
      <c r="P295" s="13" t="str">
        <f t="shared" si="373"/>
        <v>NO</v>
      </c>
      <c r="Q295">
        <f t="shared" si="367"/>
        <v>0</v>
      </c>
      <c r="R295">
        <f t="shared" si="368"/>
        <v>0</v>
      </c>
      <c r="S295">
        <f t="shared" si="369"/>
        <v>0</v>
      </c>
    </row>
    <row r="296" spans="1:23" ht="15" hidden="1" customHeight="1" x14ac:dyDescent="0.3">
      <c r="A296" s="34" t="s">
        <v>1326</v>
      </c>
      <c r="B296" s="36">
        <v>175</v>
      </c>
      <c r="C296" s="29" t="s">
        <v>1345</v>
      </c>
      <c r="D296" s="29" t="str">
        <f t="shared" si="370"/>
        <v>NO APLICA</v>
      </c>
      <c r="E296" s="27" t="s">
        <v>1137</v>
      </c>
      <c r="F296" s="43">
        <f t="shared" si="371"/>
        <v>0</v>
      </c>
      <c r="G296" s="21">
        <v>0</v>
      </c>
      <c r="H296" s="9">
        <f t="shared" si="361"/>
        <v>0</v>
      </c>
      <c r="I296" s="9" t="s">
        <v>1287</v>
      </c>
      <c r="J296" s="9">
        <f t="shared" si="362"/>
        <v>0</v>
      </c>
      <c r="K296" s="9">
        <f t="shared" si="363"/>
        <v>0</v>
      </c>
      <c r="L296" s="9">
        <f t="shared" si="364"/>
        <v>0</v>
      </c>
      <c r="M296" s="11">
        <f t="shared" si="372"/>
        <v>0</v>
      </c>
      <c r="N296" s="9">
        <f t="shared" si="365"/>
        <v>0</v>
      </c>
      <c r="O296" s="12">
        <f t="shared" si="366"/>
        <v>0</v>
      </c>
      <c r="P296" s="13" t="str">
        <f t="shared" si="373"/>
        <v>NO</v>
      </c>
      <c r="Q296">
        <f t="shared" si="367"/>
        <v>0</v>
      </c>
      <c r="R296">
        <f t="shared" si="368"/>
        <v>0</v>
      </c>
      <c r="S296">
        <f t="shared" si="369"/>
        <v>0</v>
      </c>
    </row>
    <row r="297" spans="1:23" ht="15" hidden="1" customHeight="1" x14ac:dyDescent="0.3">
      <c r="A297" s="34" t="s">
        <v>1326</v>
      </c>
      <c r="B297" s="36">
        <v>176</v>
      </c>
      <c r="C297" s="29" t="s">
        <v>1346</v>
      </c>
      <c r="D297" s="29" t="str">
        <f t="shared" si="370"/>
        <v>NO APLICA</v>
      </c>
      <c r="E297" s="27" t="s">
        <v>1137</v>
      </c>
      <c r="F297" s="43">
        <f t="shared" si="371"/>
        <v>0</v>
      </c>
      <c r="G297" s="21">
        <v>0</v>
      </c>
      <c r="H297" s="9">
        <f t="shared" si="361"/>
        <v>0</v>
      </c>
      <c r="I297" s="9" t="s">
        <v>1287</v>
      </c>
      <c r="J297" s="9">
        <f t="shared" si="362"/>
        <v>0</v>
      </c>
      <c r="K297" s="9">
        <f t="shared" si="363"/>
        <v>0</v>
      </c>
      <c r="L297" s="9">
        <f t="shared" si="364"/>
        <v>0</v>
      </c>
      <c r="M297" s="11">
        <f t="shared" si="372"/>
        <v>0</v>
      </c>
      <c r="N297" s="9">
        <f t="shared" si="365"/>
        <v>0</v>
      </c>
      <c r="O297" s="12">
        <f t="shared" si="366"/>
        <v>0</v>
      </c>
      <c r="P297" s="13" t="str">
        <f t="shared" si="373"/>
        <v>NO</v>
      </c>
      <c r="Q297">
        <f t="shared" si="367"/>
        <v>0</v>
      </c>
      <c r="R297">
        <f t="shared" si="368"/>
        <v>0</v>
      </c>
      <c r="S297">
        <f t="shared" si="369"/>
        <v>0</v>
      </c>
    </row>
    <row r="298" spans="1:23" ht="15" hidden="1" customHeight="1" x14ac:dyDescent="0.3">
      <c r="A298" s="34" t="s">
        <v>1326</v>
      </c>
      <c r="B298" s="36">
        <v>177</v>
      </c>
      <c r="C298" s="29" t="s">
        <v>1347</v>
      </c>
      <c r="D298" s="29" t="str">
        <f t="shared" si="370"/>
        <v>NO APLICA</v>
      </c>
      <c r="E298" s="27" t="s">
        <v>1137</v>
      </c>
      <c r="F298" s="43">
        <f t="shared" si="371"/>
        <v>0</v>
      </c>
      <c r="G298" s="21">
        <f>V298</f>
        <v>0</v>
      </c>
      <c r="H298" s="9">
        <f t="shared" si="361"/>
        <v>0</v>
      </c>
      <c r="I298" s="9" t="s">
        <v>1287</v>
      </c>
      <c r="J298" s="9">
        <f t="shared" si="362"/>
        <v>0</v>
      </c>
      <c r="K298" s="9">
        <f t="shared" si="363"/>
        <v>0</v>
      </c>
      <c r="L298" s="9">
        <f t="shared" si="364"/>
        <v>0</v>
      </c>
      <c r="M298" s="11">
        <f t="shared" si="372"/>
        <v>0</v>
      </c>
      <c r="N298" s="9">
        <f t="shared" si="365"/>
        <v>0</v>
      </c>
      <c r="O298" s="12">
        <f t="shared" si="366"/>
        <v>0</v>
      </c>
      <c r="P298" s="13" t="str">
        <f t="shared" si="373"/>
        <v>NO</v>
      </c>
      <c r="Q298">
        <f t="shared" si="367"/>
        <v>0</v>
      </c>
      <c r="R298">
        <f t="shared" si="368"/>
        <v>0</v>
      </c>
      <c r="S298">
        <f t="shared" si="369"/>
        <v>0</v>
      </c>
      <c r="T298" s="110">
        <f>VLOOKUP(B298,DesgloseRC!$E$48:$F$85,2,FALSE)</f>
        <v>0</v>
      </c>
      <c r="U298" s="159">
        <f>IF(E298="Excluido",0,$U$283*T298)</f>
        <v>0</v>
      </c>
      <c r="V298" s="159">
        <f>IF(F298=0,0,U298)</f>
        <v>0</v>
      </c>
      <c r="W298">
        <f>IF(T298=0%,0,1)</f>
        <v>0</v>
      </c>
    </row>
    <row r="299" spans="1:23" ht="15" hidden="1" customHeight="1" x14ac:dyDescent="0.3">
      <c r="A299" s="34" t="s">
        <v>1326</v>
      </c>
      <c r="B299" s="36">
        <v>178</v>
      </c>
      <c r="C299" s="29" t="s">
        <v>1348</v>
      </c>
      <c r="D299" s="29" t="str">
        <f t="shared" si="370"/>
        <v>NO APLICA</v>
      </c>
      <c r="E299" s="27" t="s">
        <v>1137</v>
      </c>
      <c r="F299" s="43">
        <f t="shared" si="371"/>
        <v>0</v>
      </c>
      <c r="G299" s="21">
        <v>0</v>
      </c>
      <c r="H299" s="9">
        <f t="shared" si="361"/>
        <v>0</v>
      </c>
      <c r="I299" s="9" t="s">
        <v>1287</v>
      </c>
      <c r="J299" s="9">
        <f t="shared" si="362"/>
        <v>0</v>
      </c>
      <c r="K299" s="9">
        <f t="shared" si="363"/>
        <v>0</v>
      </c>
      <c r="L299" s="9">
        <f t="shared" si="364"/>
        <v>0</v>
      </c>
      <c r="M299" s="11">
        <f t="shared" si="372"/>
        <v>0</v>
      </c>
      <c r="N299" s="9">
        <f t="shared" si="365"/>
        <v>0</v>
      </c>
      <c r="O299" s="12">
        <f t="shared" si="366"/>
        <v>0</v>
      </c>
      <c r="P299" s="13" t="str">
        <f t="shared" si="373"/>
        <v>NO</v>
      </c>
      <c r="Q299">
        <f t="shared" si="367"/>
        <v>0</v>
      </c>
      <c r="R299">
        <f t="shared" si="368"/>
        <v>0</v>
      </c>
      <c r="S299">
        <f t="shared" si="369"/>
        <v>0</v>
      </c>
    </row>
    <row r="300" spans="1:23" ht="15" hidden="1" customHeight="1" x14ac:dyDescent="0.3">
      <c r="A300" s="34" t="s">
        <v>1326</v>
      </c>
      <c r="B300" s="36">
        <v>179</v>
      </c>
      <c r="C300" s="29" t="s">
        <v>1349</v>
      </c>
      <c r="D300" s="29" t="str">
        <f t="shared" si="370"/>
        <v>NO APLICA</v>
      </c>
      <c r="E300" s="27" t="s">
        <v>1137</v>
      </c>
      <c r="F300" s="43">
        <f t="shared" si="371"/>
        <v>0</v>
      </c>
      <c r="G300" s="21">
        <v>0</v>
      </c>
      <c r="H300" s="9">
        <f t="shared" si="361"/>
        <v>0</v>
      </c>
      <c r="I300" s="9" t="s">
        <v>1287</v>
      </c>
      <c r="J300" s="9">
        <f t="shared" si="362"/>
        <v>0</v>
      </c>
      <c r="K300" s="9">
        <f t="shared" si="363"/>
        <v>0</v>
      </c>
      <c r="L300" s="9">
        <f t="shared" si="364"/>
        <v>0</v>
      </c>
      <c r="M300" s="11">
        <f t="shared" si="372"/>
        <v>0</v>
      </c>
      <c r="N300" s="9">
        <f t="shared" si="365"/>
        <v>0</v>
      </c>
      <c r="O300" s="12">
        <f t="shared" si="366"/>
        <v>0</v>
      </c>
      <c r="P300" s="13" t="str">
        <f t="shared" si="373"/>
        <v>NO</v>
      </c>
      <c r="Q300">
        <f t="shared" si="367"/>
        <v>0</v>
      </c>
      <c r="R300">
        <f t="shared" si="368"/>
        <v>0</v>
      </c>
      <c r="S300">
        <f t="shared" si="369"/>
        <v>0</v>
      </c>
    </row>
    <row r="301" spans="1:23" ht="15" hidden="1" customHeight="1" x14ac:dyDescent="0.3">
      <c r="A301" s="34" t="s">
        <v>1326</v>
      </c>
      <c r="B301" s="36">
        <v>180</v>
      </c>
      <c r="C301" s="29" t="s">
        <v>1350</v>
      </c>
      <c r="D301" s="29" t="str">
        <f t="shared" si="370"/>
        <v>NO APLICA</v>
      </c>
      <c r="E301" s="27" t="s">
        <v>1137</v>
      </c>
      <c r="F301" s="43">
        <f t="shared" si="371"/>
        <v>0</v>
      </c>
      <c r="G301" s="21">
        <v>0</v>
      </c>
      <c r="H301" s="9">
        <f t="shared" si="361"/>
        <v>0</v>
      </c>
      <c r="I301" s="9" t="s">
        <v>1287</v>
      </c>
      <c r="J301" s="9">
        <f t="shared" si="362"/>
        <v>0</v>
      </c>
      <c r="K301" s="9">
        <f t="shared" si="363"/>
        <v>0</v>
      </c>
      <c r="L301" s="9">
        <f t="shared" si="364"/>
        <v>0</v>
      </c>
      <c r="M301" s="11">
        <f t="shared" si="372"/>
        <v>0</v>
      </c>
      <c r="N301" s="9">
        <f t="shared" si="365"/>
        <v>0</v>
      </c>
      <c r="O301" s="12">
        <f t="shared" si="366"/>
        <v>0</v>
      </c>
      <c r="P301" s="13" t="str">
        <f t="shared" si="373"/>
        <v>NO</v>
      </c>
      <c r="Q301">
        <f t="shared" si="367"/>
        <v>0</v>
      </c>
      <c r="R301">
        <f t="shared" si="368"/>
        <v>0</v>
      </c>
      <c r="S301">
        <f t="shared" si="369"/>
        <v>0</v>
      </c>
    </row>
    <row r="302" spans="1:23" ht="15" hidden="1" customHeight="1" x14ac:dyDescent="0.3">
      <c r="A302" s="34" t="s">
        <v>1326</v>
      </c>
      <c r="B302" s="36">
        <v>181</v>
      </c>
      <c r="C302" s="29" t="s">
        <v>1351</v>
      </c>
      <c r="D302" s="29" t="str">
        <f t="shared" si="370"/>
        <v>NO APLICA</v>
      </c>
      <c r="E302" s="27" t="s">
        <v>1137</v>
      </c>
      <c r="F302" s="43">
        <f t="shared" si="371"/>
        <v>0</v>
      </c>
      <c r="G302" s="21">
        <v>0</v>
      </c>
      <c r="H302" s="9">
        <f t="shared" si="361"/>
        <v>0</v>
      </c>
      <c r="I302" s="9" t="s">
        <v>1287</v>
      </c>
      <c r="J302" s="9">
        <f t="shared" si="362"/>
        <v>0</v>
      </c>
      <c r="K302" s="9">
        <f t="shared" si="363"/>
        <v>0</v>
      </c>
      <c r="L302" s="9">
        <f t="shared" si="364"/>
        <v>0</v>
      </c>
      <c r="M302" s="11">
        <f t="shared" si="372"/>
        <v>0</v>
      </c>
      <c r="N302" s="9">
        <f t="shared" si="365"/>
        <v>0</v>
      </c>
      <c r="O302" s="12">
        <f t="shared" si="366"/>
        <v>0</v>
      </c>
      <c r="P302" s="13" t="str">
        <f t="shared" si="373"/>
        <v>NO</v>
      </c>
      <c r="Q302">
        <f t="shared" si="367"/>
        <v>0</v>
      </c>
      <c r="R302">
        <f t="shared" si="368"/>
        <v>0</v>
      </c>
      <c r="S302">
        <f t="shared" si="369"/>
        <v>0</v>
      </c>
    </row>
    <row r="303" spans="1:23" ht="15" hidden="1" customHeight="1" x14ac:dyDescent="0.3">
      <c r="A303" s="34" t="s">
        <v>1326</v>
      </c>
      <c r="B303" s="36">
        <v>182</v>
      </c>
      <c r="C303" s="29" t="s">
        <v>1352</v>
      </c>
      <c r="D303" s="29" t="str">
        <f t="shared" si="370"/>
        <v>NO APLICA</v>
      </c>
      <c r="E303" s="27" t="s">
        <v>1137</v>
      </c>
      <c r="F303" s="43">
        <f t="shared" si="371"/>
        <v>0</v>
      </c>
      <c r="G303" s="21">
        <v>0</v>
      </c>
      <c r="H303" s="9">
        <f t="shared" si="361"/>
        <v>0</v>
      </c>
      <c r="I303" s="9" t="s">
        <v>1287</v>
      </c>
      <c r="J303" s="9">
        <f t="shared" si="362"/>
        <v>0</v>
      </c>
      <c r="K303" s="9">
        <f t="shared" si="363"/>
        <v>0</v>
      </c>
      <c r="L303" s="9">
        <f t="shared" si="364"/>
        <v>0</v>
      </c>
      <c r="M303" s="11">
        <f t="shared" si="372"/>
        <v>0</v>
      </c>
      <c r="N303" s="9">
        <f t="shared" si="365"/>
        <v>0</v>
      </c>
      <c r="O303" s="12">
        <f t="shared" si="366"/>
        <v>0</v>
      </c>
      <c r="P303" s="13" t="str">
        <f t="shared" si="373"/>
        <v>NO</v>
      </c>
      <c r="Q303">
        <f t="shared" si="367"/>
        <v>0</v>
      </c>
      <c r="R303">
        <f t="shared" si="368"/>
        <v>0</v>
      </c>
      <c r="S303">
        <f t="shared" si="369"/>
        <v>0</v>
      </c>
    </row>
    <row r="304" spans="1:23" ht="15" hidden="1" customHeight="1" x14ac:dyDescent="0.3">
      <c r="A304" s="34" t="s">
        <v>1326</v>
      </c>
      <c r="B304" s="36">
        <v>183</v>
      </c>
      <c r="C304" s="29" t="s">
        <v>1353</v>
      </c>
      <c r="D304" s="29" t="str">
        <f t="shared" si="370"/>
        <v>NO APLICA</v>
      </c>
      <c r="E304" s="27" t="s">
        <v>1137</v>
      </c>
      <c r="F304" s="43">
        <f t="shared" si="371"/>
        <v>0</v>
      </c>
      <c r="G304" s="21">
        <v>0</v>
      </c>
      <c r="H304" s="9">
        <f t="shared" si="361"/>
        <v>0</v>
      </c>
      <c r="I304" s="9" t="s">
        <v>1287</v>
      </c>
      <c r="J304" s="9">
        <f t="shared" si="362"/>
        <v>0</v>
      </c>
      <c r="K304" s="9">
        <f t="shared" si="363"/>
        <v>0</v>
      </c>
      <c r="L304" s="9">
        <f t="shared" si="364"/>
        <v>0</v>
      </c>
      <c r="M304" s="11">
        <f t="shared" si="372"/>
        <v>0</v>
      </c>
      <c r="N304" s="9">
        <f t="shared" si="365"/>
        <v>0</v>
      </c>
      <c r="O304" s="12">
        <f t="shared" si="366"/>
        <v>0</v>
      </c>
      <c r="P304" s="13" t="str">
        <f t="shared" si="373"/>
        <v>NO</v>
      </c>
      <c r="Q304">
        <f t="shared" si="367"/>
        <v>0</v>
      </c>
      <c r="R304">
        <f t="shared" si="368"/>
        <v>0</v>
      </c>
      <c r="S304">
        <f t="shared" si="369"/>
        <v>0</v>
      </c>
    </row>
    <row r="305" spans="1:29" ht="22.5" hidden="1" customHeight="1" x14ac:dyDescent="0.3">
      <c r="A305" s="34" t="s">
        <v>1326</v>
      </c>
      <c r="B305" s="36">
        <v>184</v>
      </c>
      <c r="C305" s="29" t="s">
        <v>1328</v>
      </c>
      <c r="D305" s="29" t="str">
        <f t="shared" si="370"/>
        <v>NO APLICA</v>
      </c>
      <c r="E305" s="27" t="s">
        <v>1137</v>
      </c>
      <c r="F305" s="43">
        <f t="shared" si="371"/>
        <v>0</v>
      </c>
      <c r="G305" s="21">
        <v>0</v>
      </c>
      <c r="H305" s="9">
        <f t="shared" si="361"/>
        <v>0</v>
      </c>
      <c r="I305" s="9" t="s">
        <v>1287</v>
      </c>
      <c r="J305" s="9">
        <f t="shared" si="362"/>
        <v>0</v>
      </c>
      <c r="K305" s="9">
        <f t="shared" si="363"/>
        <v>0</v>
      </c>
      <c r="L305" s="9">
        <f t="shared" si="364"/>
        <v>0</v>
      </c>
      <c r="M305" s="11">
        <f t="shared" si="372"/>
        <v>0</v>
      </c>
      <c r="N305" s="9">
        <f t="shared" si="365"/>
        <v>0</v>
      </c>
      <c r="O305" s="12">
        <f t="shared" si="366"/>
        <v>0</v>
      </c>
      <c r="P305" s="13" t="str">
        <f t="shared" si="373"/>
        <v>NO</v>
      </c>
      <c r="Q305">
        <f t="shared" si="367"/>
        <v>0</v>
      </c>
      <c r="R305">
        <f t="shared" si="368"/>
        <v>0</v>
      </c>
      <c r="S305">
        <f t="shared" si="369"/>
        <v>0</v>
      </c>
    </row>
    <row r="306" spans="1:29" ht="15" hidden="1" customHeight="1" x14ac:dyDescent="0.3">
      <c r="A306" s="34" t="s">
        <v>1326</v>
      </c>
      <c r="B306" s="36">
        <v>185</v>
      </c>
      <c r="C306" s="29" t="s">
        <v>1330</v>
      </c>
      <c r="D306" s="29" t="str">
        <f t="shared" si="370"/>
        <v>NO APLICA</v>
      </c>
      <c r="E306" s="27" t="s">
        <v>1152</v>
      </c>
      <c r="F306" s="43">
        <f t="shared" si="371"/>
        <v>0</v>
      </c>
      <c r="G306" s="21">
        <f>V306</f>
        <v>0</v>
      </c>
      <c r="H306" s="9">
        <f t="shared" si="361"/>
        <v>0</v>
      </c>
      <c r="I306" s="9" t="s">
        <v>1287</v>
      </c>
      <c r="J306" s="9">
        <f t="shared" si="362"/>
        <v>0</v>
      </c>
      <c r="K306" s="9">
        <f t="shared" si="363"/>
        <v>0</v>
      </c>
      <c r="L306" s="9">
        <f t="shared" si="364"/>
        <v>0</v>
      </c>
      <c r="M306" s="11">
        <f t="shared" si="372"/>
        <v>0</v>
      </c>
      <c r="N306" s="9">
        <f t="shared" si="365"/>
        <v>0</v>
      </c>
      <c r="O306" s="12">
        <f t="shared" si="366"/>
        <v>0</v>
      </c>
      <c r="P306" s="13" t="str">
        <f t="shared" si="373"/>
        <v>NO</v>
      </c>
      <c r="Q306">
        <f t="shared" si="367"/>
        <v>0</v>
      </c>
      <c r="R306">
        <f t="shared" si="368"/>
        <v>0</v>
      </c>
      <c r="S306">
        <f t="shared" si="369"/>
        <v>0</v>
      </c>
      <c r="T306" s="110">
        <f>VLOOKUP(B306,DesgloseRC!$E$48:$F$85,2,FALSE)</f>
        <v>0</v>
      </c>
      <c r="U306" s="159">
        <f>IF(E306="Excluido",0,$U$283*T306)</f>
        <v>0</v>
      </c>
      <c r="V306" s="159">
        <f>IF(F306=0,0,U306)</f>
        <v>0</v>
      </c>
      <c r="W306">
        <v>0</v>
      </c>
      <c r="X306" s="110"/>
      <c r="Y306" s="110"/>
    </row>
    <row r="307" spans="1:29" ht="15" hidden="1" customHeight="1" x14ac:dyDescent="0.3">
      <c r="A307" s="34" t="s">
        <v>1326</v>
      </c>
      <c r="B307" s="36">
        <v>186</v>
      </c>
      <c r="C307" s="29" t="s">
        <v>1327</v>
      </c>
      <c r="D307" s="29" t="str">
        <f t="shared" si="370"/>
        <v>NO APLICA</v>
      </c>
      <c r="E307" s="27" t="s">
        <v>1137</v>
      </c>
      <c r="F307" s="43">
        <f t="shared" si="371"/>
        <v>0</v>
      </c>
      <c r="G307" s="21">
        <v>0</v>
      </c>
      <c r="H307" s="9">
        <f t="shared" si="361"/>
        <v>0</v>
      </c>
      <c r="I307" s="9" t="s">
        <v>1287</v>
      </c>
      <c r="J307" s="9">
        <f t="shared" si="362"/>
        <v>0</v>
      </c>
      <c r="K307" s="9">
        <f t="shared" si="363"/>
        <v>0</v>
      </c>
      <c r="L307" s="9">
        <f t="shared" si="364"/>
        <v>0</v>
      </c>
      <c r="M307" s="11">
        <f t="shared" si="372"/>
        <v>0</v>
      </c>
      <c r="N307" s="9">
        <f t="shared" si="365"/>
        <v>0</v>
      </c>
      <c r="O307" s="12">
        <f t="shared" si="366"/>
        <v>0</v>
      </c>
      <c r="P307" s="13" t="str">
        <f t="shared" si="373"/>
        <v>NO</v>
      </c>
      <c r="Q307">
        <f t="shared" si="367"/>
        <v>0</v>
      </c>
      <c r="R307">
        <f t="shared" si="368"/>
        <v>0</v>
      </c>
      <c r="S307">
        <f t="shared" si="369"/>
        <v>0</v>
      </c>
    </row>
    <row r="308" spans="1:29" ht="22.5" hidden="1" customHeight="1" x14ac:dyDescent="0.3">
      <c r="A308" s="34" t="s">
        <v>1326</v>
      </c>
      <c r="B308" s="36">
        <v>187</v>
      </c>
      <c r="C308" s="29" t="s">
        <v>1354</v>
      </c>
      <c r="D308" s="29" t="str">
        <f t="shared" si="370"/>
        <v>NO APLICA</v>
      </c>
      <c r="E308" s="27" t="s">
        <v>1137</v>
      </c>
      <c r="F308" s="43">
        <f t="shared" si="371"/>
        <v>0</v>
      </c>
      <c r="G308" s="21">
        <f>V308</f>
        <v>0</v>
      </c>
      <c r="H308" s="9">
        <f t="shared" si="361"/>
        <v>0</v>
      </c>
      <c r="I308" s="9" t="s">
        <v>1287</v>
      </c>
      <c r="J308" s="9">
        <f t="shared" si="362"/>
        <v>0</v>
      </c>
      <c r="K308" s="9">
        <f t="shared" si="363"/>
        <v>0</v>
      </c>
      <c r="L308" s="9">
        <f t="shared" si="364"/>
        <v>0</v>
      </c>
      <c r="M308" s="11">
        <f t="shared" si="372"/>
        <v>0</v>
      </c>
      <c r="N308" s="9">
        <f t="shared" si="365"/>
        <v>0</v>
      </c>
      <c r="O308" s="12">
        <f t="shared" si="366"/>
        <v>0</v>
      </c>
      <c r="P308" s="13" t="str">
        <f t="shared" si="373"/>
        <v>NO</v>
      </c>
      <c r="Q308">
        <f t="shared" si="367"/>
        <v>0</v>
      </c>
      <c r="R308">
        <f t="shared" si="368"/>
        <v>0</v>
      </c>
      <c r="S308">
        <f t="shared" si="369"/>
        <v>0</v>
      </c>
      <c r="T308" s="110">
        <f>VLOOKUP(B308,DesgloseRC!$E$48:$F$85,2,FALSE)</f>
        <v>0</v>
      </c>
      <c r="U308" s="159">
        <f>IF(E308="Excluido",0,$U$283*T308)</f>
        <v>0</v>
      </c>
      <c r="V308" s="159">
        <f>IF(F308=0,0,U308)</f>
        <v>0</v>
      </c>
      <c r="W308">
        <f>IF(T308=0%,0,1)</f>
        <v>0</v>
      </c>
    </row>
    <row r="309" spans="1:29" ht="15" hidden="1" customHeight="1" x14ac:dyDescent="0.3">
      <c r="A309" s="34" t="s">
        <v>1326</v>
      </c>
      <c r="B309" s="36">
        <v>188</v>
      </c>
      <c r="C309" s="29" t="s">
        <v>1355</v>
      </c>
      <c r="D309" s="29" t="str">
        <f t="shared" si="370"/>
        <v>NO APLICA</v>
      </c>
      <c r="E309" s="27" t="s">
        <v>1137</v>
      </c>
      <c r="F309" s="43">
        <f t="shared" si="371"/>
        <v>0</v>
      </c>
      <c r="G309" s="21">
        <v>0</v>
      </c>
      <c r="H309" s="9">
        <f t="shared" si="361"/>
        <v>0</v>
      </c>
      <c r="I309" s="9" t="s">
        <v>1287</v>
      </c>
      <c r="J309" s="9">
        <f t="shared" si="362"/>
        <v>0</v>
      </c>
      <c r="K309" s="9">
        <f t="shared" si="363"/>
        <v>0</v>
      </c>
      <c r="L309" s="9">
        <f t="shared" si="364"/>
        <v>0</v>
      </c>
      <c r="M309" s="11">
        <f t="shared" si="372"/>
        <v>0</v>
      </c>
      <c r="N309" s="9">
        <f t="shared" si="365"/>
        <v>0</v>
      </c>
      <c r="O309" s="12">
        <f t="shared" si="366"/>
        <v>0</v>
      </c>
      <c r="P309" s="13" t="str">
        <f t="shared" si="373"/>
        <v>NO</v>
      </c>
      <c r="Q309">
        <f t="shared" si="367"/>
        <v>0</v>
      </c>
      <c r="R309">
        <f t="shared" si="368"/>
        <v>0</v>
      </c>
      <c r="S309">
        <f t="shared" si="369"/>
        <v>0</v>
      </c>
      <c r="X309" s="110"/>
      <c r="Y309" s="110"/>
    </row>
    <row r="310" spans="1:29" ht="15" hidden="1" customHeight="1" x14ac:dyDescent="0.3">
      <c r="A310" s="34" t="s">
        <v>1326</v>
      </c>
      <c r="B310" s="36">
        <v>244</v>
      </c>
      <c r="C310" s="29" t="s">
        <v>1293</v>
      </c>
      <c r="D310" s="29" t="str">
        <f t="shared" si="370"/>
        <v>NO APLICA</v>
      </c>
      <c r="E310" s="27" t="s">
        <v>1137</v>
      </c>
      <c r="F310" s="43">
        <f t="shared" si="371"/>
        <v>0</v>
      </c>
      <c r="G310" s="21">
        <f>V310</f>
        <v>0</v>
      </c>
      <c r="H310" s="9">
        <f t="shared" si="361"/>
        <v>0</v>
      </c>
      <c r="I310" s="9" t="s">
        <v>1287</v>
      </c>
      <c r="J310" s="9">
        <f t="shared" si="362"/>
        <v>0</v>
      </c>
      <c r="K310" s="9">
        <f t="shared" si="363"/>
        <v>0</v>
      </c>
      <c r="L310" s="9">
        <f t="shared" si="364"/>
        <v>0</v>
      </c>
      <c r="M310" s="11">
        <f t="shared" si="372"/>
        <v>0</v>
      </c>
      <c r="N310" s="9">
        <f t="shared" si="365"/>
        <v>0</v>
      </c>
      <c r="O310" s="12">
        <f t="shared" si="366"/>
        <v>0</v>
      </c>
      <c r="P310" s="13" t="str">
        <f t="shared" si="373"/>
        <v>NO</v>
      </c>
      <c r="Q310">
        <f t="shared" si="367"/>
        <v>0</v>
      </c>
      <c r="R310">
        <f t="shared" si="368"/>
        <v>0</v>
      </c>
      <c r="S310">
        <f t="shared" si="369"/>
        <v>0</v>
      </c>
      <c r="T310" s="110">
        <f>VLOOKUP(B310,DesgloseRC!$E$48:$F$85,2,FALSE)</f>
        <v>0</v>
      </c>
      <c r="U310" s="159">
        <f>IF(E310="Excluido",0,$U$283*T310)</f>
        <v>0</v>
      </c>
      <c r="V310" s="159">
        <f>IF(F310=0,0,U310)</f>
        <v>0</v>
      </c>
      <c r="W310">
        <v>0</v>
      </c>
      <c r="X310" s="110"/>
      <c r="Y310" s="110"/>
      <c r="Z310" s="110"/>
      <c r="AA310" s="110"/>
      <c r="AB310" s="110"/>
      <c r="AC310" s="110"/>
    </row>
    <row r="311" spans="1:29" ht="22.5" hidden="1" customHeight="1" x14ac:dyDescent="0.3">
      <c r="A311" s="34" t="s">
        <v>1326</v>
      </c>
      <c r="B311" s="36">
        <v>288</v>
      </c>
      <c r="C311" s="29" t="s">
        <v>1356</v>
      </c>
      <c r="D311" s="29" t="str">
        <f t="shared" si="370"/>
        <v>NO APLICA</v>
      </c>
      <c r="E311" s="27" t="s">
        <v>1137</v>
      </c>
      <c r="F311" s="43">
        <f t="shared" si="371"/>
        <v>0</v>
      </c>
      <c r="G311" s="21">
        <v>0</v>
      </c>
      <c r="H311" s="9">
        <f t="shared" si="361"/>
        <v>0</v>
      </c>
      <c r="I311" s="9" t="s">
        <v>1287</v>
      </c>
      <c r="J311" s="9">
        <f t="shared" si="362"/>
        <v>0</v>
      </c>
      <c r="K311" s="9">
        <f t="shared" si="363"/>
        <v>0</v>
      </c>
      <c r="L311" s="9">
        <f t="shared" si="364"/>
        <v>0</v>
      </c>
      <c r="M311" s="11">
        <f t="shared" si="372"/>
        <v>0</v>
      </c>
      <c r="N311" s="9">
        <f t="shared" si="365"/>
        <v>0</v>
      </c>
      <c r="O311" s="12">
        <f t="shared" si="366"/>
        <v>0</v>
      </c>
      <c r="P311" s="13" t="str">
        <f t="shared" si="373"/>
        <v>NO</v>
      </c>
      <c r="Q311">
        <f t="shared" si="367"/>
        <v>0</v>
      </c>
      <c r="R311">
        <f t="shared" si="368"/>
        <v>0</v>
      </c>
      <c r="S311">
        <f t="shared" si="369"/>
        <v>0</v>
      </c>
    </row>
    <row r="312" spans="1:29" ht="15" hidden="1" customHeight="1" x14ac:dyDescent="0.3">
      <c r="A312" s="34" t="s">
        <v>1326</v>
      </c>
      <c r="B312" s="36">
        <v>289</v>
      </c>
      <c r="C312" s="29" t="s">
        <v>1357</v>
      </c>
      <c r="D312" s="29" t="str">
        <f t="shared" si="370"/>
        <v>NO APLICA</v>
      </c>
      <c r="E312" s="27" t="s">
        <v>1137</v>
      </c>
      <c r="F312" s="43">
        <f t="shared" si="371"/>
        <v>0</v>
      </c>
      <c r="G312" s="21">
        <v>0</v>
      </c>
      <c r="H312" s="9">
        <f t="shared" si="361"/>
        <v>0</v>
      </c>
      <c r="I312" s="9" t="s">
        <v>1287</v>
      </c>
      <c r="J312" s="9">
        <f t="shared" si="362"/>
        <v>0</v>
      </c>
      <c r="K312" s="9">
        <f t="shared" si="363"/>
        <v>0</v>
      </c>
      <c r="L312" s="9">
        <f t="shared" si="364"/>
        <v>0</v>
      </c>
      <c r="M312" s="11">
        <f t="shared" si="372"/>
        <v>0</v>
      </c>
      <c r="N312" s="9">
        <f t="shared" si="365"/>
        <v>0</v>
      </c>
      <c r="O312" s="12">
        <f t="shared" si="366"/>
        <v>0</v>
      </c>
      <c r="P312" s="13" t="str">
        <f t="shared" si="373"/>
        <v>NO</v>
      </c>
      <c r="Q312">
        <f t="shared" si="367"/>
        <v>0</v>
      </c>
      <c r="R312">
        <f t="shared" si="368"/>
        <v>0</v>
      </c>
      <c r="S312">
        <f t="shared" si="369"/>
        <v>0</v>
      </c>
    </row>
    <row r="313" spans="1:29" ht="15" hidden="1" customHeight="1" x14ac:dyDescent="0.3">
      <c r="A313" s="34" t="s">
        <v>1326</v>
      </c>
      <c r="B313" s="36">
        <v>290</v>
      </c>
      <c r="C313" s="29" t="s">
        <v>1358</v>
      </c>
      <c r="D313" s="29" t="str">
        <f t="shared" si="370"/>
        <v>NO APLICA</v>
      </c>
      <c r="E313" s="27" t="s">
        <v>1137</v>
      </c>
      <c r="F313" s="43">
        <f t="shared" si="371"/>
        <v>0</v>
      </c>
      <c r="G313" s="21">
        <v>0</v>
      </c>
      <c r="H313" s="9">
        <f t="shared" si="361"/>
        <v>0</v>
      </c>
      <c r="I313" s="9" t="s">
        <v>1287</v>
      </c>
      <c r="J313" s="9">
        <f t="shared" si="362"/>
        <v>0</v>
      </c>
      <c r="K313" s="9">
        <f t="shared" si="363"/>
        <v>0</v>
      </c>
      <c r="L313" s="9">
        <f t="shared" si="364"/>
        <v>0</v>
      </c>
      <c r="M313" s="11">
        <f t="shared" si="372"/>
        <v>0</v>
      </c>
      <c r="N313" s="9">
        <f t="shared" si="365"/>
        <v>0</v>
      </c>
      <c r="O313" s="12">
        <f t="shared" si="366"/>
        <v>0</v>
      </c>
      <c r="P313" s="13" t="str">
        <f t="shared" si="373"/>
        <v>NO</v>
      </c>
      <c r="Q313">
        <f t="shared" si="367"/>
        <v>0</v>
      </c>
      <c r="R313">
        <f t="shared" si="368"/>
        <v>0</v>
      </c>
      <c r="S313">
        <f t="shared" si="369"/>
        <v>0</v>
      </c>
    </row>
    <row r="314" spans="1:29" ht="15" hidden="1" customHeight="1" x14ac:dyDescent="0.3">
      <c r="A314" s="34" t="s">
        <v>1326</v>
      </c>
      <c r="B314" s="36">
        <v>291</v>
      </c>
      <c r="C314" s="29" t="s">
        <v>1359</v>
      </c>
      <c r="D314" s="29" t="str">
        <f t="shared" si="370"/>
        <v>NO APLICA</v>
      </c>
      <c r="E314" s="27" t="s">
        <v>1137</v>
      </c>
      <c r="F314" s="43">
        <f t="shared" si="371"/>
        <v>0</v>
      </c>
      <c r="G314" s="21">
        <v>0</v>
      </c>
      <c r="H314" s="9">
        <f t="shared" si="361"/>
        <v>0</v>
      </c>
      <c r="I314" s="9" t="s">
        <v>1287</v>
      </c>
      <c r="J314" s="9">
        <f t="shared" si="362"/>
        <v>0</v>
      </c>
      <c r="K314" s="9">
        <f t="shared" si="363"/>
        <v>0</v>
      </c>
      <c r="L314" s="9">
        <f t="shared" si="364"/>
        <v>0</v>
      </c>
      <c r="M314" s="11">
        <f t="shared" si="372"/>
        <v>0</v>
      </c>
      <c r="N314" s="9">
        <f t="shared" si="365"/>
        <v>0</v>
      </c>
      <c r="O314" s="12">
        <f t="shared" si="366"/>
        <v>0</v>
      </c>
      <c r="P314" s="13" t="str">
        <f t="shared" si="373"/>
        <v>NO</v>
      </c>
      <c r="Q314">
        <f t="shared" si="367"/>
        <v>0</v>
      </c>
      <c r="R314">
        <f t="shared" si="368"/>
        <v>0</v>
      </c>
      <c r="S314">
        <f t="shared" si="369"/>
        <v>0</v>
      </c>
    </row>
    <row r="315" spans="1:29" ht="15" hidden="1" customHeight="1" x14ac:dyDescent="0.3">
      <c r="A315" s="34" t="s">
        <v>1326</v>
      </c>
      <c r="B315" s="36">
        <v>292</v>
      </c>
      <c r="C315" s="29" t="s">
        <v>1360</v>
      </c>
      <c r="D315" s="29" t="str">
        <f t="shared" si="370"/>
        <v>NO APLICA</v>
      </c>
      <c r="E315" s="27" t="s">
        <v>1137</v>
      </c>
      <c r="F315" s="43">
        <f t="shared" si="371"/>
        <v>0</v>
      </c>
      <c r="G315" s="21">
        <v>0</v>
      </c>
      <c r="H315" s="9">
        <f t="shared" si="361"/>
        <v>0</v>
      </c>
      <c r="I315" s="9" t="s">
        <v>1287</v>
      </c>
      <c r="J315" s="9">
        <f t="shared" si="362"/>
        <v>0</v>
      </c>
      <c r="K315" s="9">
        <f t="shared" si="363"/>
        <v>0</v>
      </c>
      <c r="L315" s="9">
        <f t="shared" si="364"/>
        <v>0</v>
      </c>
      <c r="M315" s="11">
        <f t="shared" si="372"/>
        <v>0</v>
      </c>
      <c r="N315" s="9">
        <f t="shared" si="365"/>
        <v>0</v>
      </c>
      <c r="O315" s="12">
        <f t="shared" si="366"/>
        <v>0</v>
      </c>
      <c r="P315" s="13" t="str">
        <f t="shared" si="373"/>
        <v>NO</v>
      </c>
      <c r="Q315">
        <f t="shared" si="367"/>
        <v>0</v>
      </c>
      <c r="R315">
        <f t="shared" si="368"/>
        <v>0</v>
      </c>
      <c r="S315">
        <f t="shared" si="369"/>
        <v>0</v>
      </c>
    </row>
    <row r="316" spans="1:29" ht="15" hidden="1" customHeight="1" x14ac:dyDescent="0.3">
      <c r="A316" s="34" t="s">
        <v>1326</v>
      </c>
      <c r="B316" s="36">
        <v>293</v>
      </c>
      <c r="C316" s="29" t="s">
        <v>1361</v>
      </c>
      <c r="D316" s="29" t="str">
        <f t="shared" si="370"/>
        <v>NO APLICA</v>
      </c>
      <c r="E316" s="27" t="s">
        <v>1137</v>
      </c>
      <c r="F316" s="43">
        <f t="shared" si="371"/>
        <v>0</v>
      </c>
      <c r="G316" s="21">
        <v>0</v>
      </c>
      <c r="H316" s="9">
        <f t="shared" si="361"/>
        <v>0</v>
      </c>
      <c r="I316" s="9" t="s">
        <v>1287</v>
      </c>
      <c r="J316" s="9">
        <f t="shared" si="362"/>
        <v>0</v>
      </c>
      <c r="K316" s="9">
        <f t="shared" si="363"/>
        <v>0</v>
      </c>
      <c r="L316" s="9">
        <f t="shared" si="364"/>
        <v>0</v>
      </c>
      <c r="M316" s="11">
        <f t="shared" si="372"/>
        <v>0</v>
      </c>
      <c r="N316" s="9">
        <f t="shared" si="365"/>
        <v>0</v>
      </c>
      <c r="O316" s="12">
        <f t="shared" si="366"/>
        <v>0</v>
      </c>
      <c r="P316" s="13" t="str">
        <f t="shared" si="373"/>
        <v>NO</v>
      </c>
      <c r="Q316">
        <f t="shared" si="367"/>
        <v>0</v>
      </c>
      <c r="R316">
        <f t="shared" si="368"/>
        <v>0</v>
      </c>
      <c r="S316">
        <f t="shared" si="369"/>
        <v>0</v>
      </c>
    </row>
    <row r="317" spans="1:29" ht="15" hidden="1" customHeight="1" x14ac:dyDescent="0.3">
      <c r="A317" s="34" t="s">
        <v>1326</v>
      </c>
      <c r="B317" s="36">
        <v>294</v>
      </c>
      <c r="C317" s="29" t="s">
        <v>1362</v>
      </c>
      <c r="D317" s="29" t="str">
        <f t="shared" si="370"/>
        <v>NO APLICA</v>
      </c>
      <c r="E317" s="27" t="s">
        <v>1137</v>
      </c>
      <c r="F317" s="43">
        <f t="shared" si="371"/>
        <v>0</v>
      </c>
      <c r="G317" s="21">
        <v>0</v>
      </c>
      <c r="H317" s="9">
        <f t="shared" si="361"/>
        <v>0</v>
      </c>
      <c r="I317" s="9" t="s">
        <v>1287</v>
      </c>
      <c r="J317" s="9">
        <f t="shared" si="362"/>
        <v>0</v>
      </c>
      <c r="K317" s="9">
        <f t="shared" si="363"/>
        <v>0</v>
      </c>
      <c r="L317" s="9">
        <f t="shared" si="364"/>
        <v>0</v>
      </c>
      <c r="M317" s="11">
        <f t="shared" si="372"/>
        <v>0</v>
      </c>
      <c r="N317" s="9">
        <f t="shared" si="365"/>
        <v>0</v>
      </c>
      <c r="O317" s="12">
        <f t="shared" si="366"/>
        <v>0</v>
      </c>
      <c r="P317" s="13" t="str">
        <f t="shared" si="373"/>
        <v>NO</v>
      </c>
      <c r="Q317">
        <f t="shared" si="367"/>
        <v>0</v>
      </c>
      <c r="R317">
        <f t="shared" si="368"/>
        <v>0</v>
      </c>
      <c r="S317">
        <f t="shared" si="369"/>
        <v>0</v>
      </c>
    </row>
    <row r="318" spans="1:29" ht="15" hidden="1" customHeight="1" x14ac:dyDescent="0.3">
      <c r="A318" s="34" t="s">
        <v>1326</v>
      </c>
      <c r="B318" s="36">
        <v>295</v>
      </c>
      <c r="C318" s="29" t="s">
        <v>1363</v>
      </c>
      <c r="D318" s="29" t="str">
        <f t="shared" si="370"/>
        <v>NO APLICA</v>
      </c>
      <c r="E318" s="27" t="s">
        <v>1137</v>
      </c>
      <c r="F318" s="43">
        <f t="shared" si="371"/>
        <v>0</v>
      </c>
      <c r="G318" s="21">
        <v>0</v>
      </c>
      <c r="H318" s="9">
        <f t="shared" si="361"/>
        <v>0</v>
      </c>
      <c r="I318" s="9" t="s">
        <v>1287</v>
      </c>
      <c r="J318" s="9">
        <f t="shared" si="362"/>
        <v>0</v>
      </c>
      <c r="K318" s="9">
        <f t="shared" si="363"/>
        <v>0</v>
      </c>
      <c r="L318" s="9">
        <f t="shared" si="364"/>
        <v>0</v>
      </c>
      <c r="M318" s="11">
        <f t="shared" si="372"/>
        <v>0</v>
      </c>
      <c r="N318" s="9">
        <f t="shared" si="365"/>
        <v>0</v>
      </c>
      <c r="O318" s="12">
        <f t="shared" si="366"/>
        <v>0</v>
      </c>
      <c r="P318" s="13" t="str">
        <f t="shared" si="373"/>
        <v>NO</v>
      </c>
      <c r="Q318">
        <f t="shared" si="367"/>
        <v>0</v>
      </c>
      <c r="R318">
        <f t="shared" si="368"/>
        <v>0</v>
      </c>
      <c r="S318">
        <f t="shared" si="369"/>
        <v>0</v>
      </c>
    </row>
    <row r="319" spans="1:29" ht="15" hidden="1" customHeight="1" x14ac:dyDescent="0.3">
      <c r="A319" s="34" t="s">
        <v>1326</v>
      </c>
      <c r="B319" s="36">
        <v>296</v>
      </c>
      <c r="C319" s="29" t="s">
        <v>1364</v>
      </c>
      <c r="D319" s="29" t="str">
        <f t="shared" si="370"/>
        <v>NO APLICA</v>
      </c>
      <c r="E319" s="27" t="s">
        <v>1137</v>
      </c>
      <c r="F319" s="43">
        <f t="shared" si="371"/>
        <v>0</v>
      </c>
      <c r="G319" s="21">
        <v>0</v>
      </c>
      <c r="H319" s="9">
        <f t="shared" si="361"/>
        <v>0</v>
      </c>
      <c r="I319" s="9" t="s">
        <v>1287</v>
      </c>
      <c r="J319" s="9">
        <f t="shared" si="362"/>
        <v>0</v>
      </c>
      <c r="K319" s="9">
        <f t="shared" si="363"/>
        <v>0</v>
      </c>
      <c r="L319" s="9">
        <f t="shared" si="364"/>
        <v>0</v>
      </c>
      <c r="M319" s="11">
        <f t="shared" si="372"/>
        <v>0</v>
      </c>
      <c r="N319" s="9">
        <f t="shared" si="365"/>
        <v>0</v>
      </c>
      <c r="O319" s="12">
        <f t="shared" si="366"/>
        <v>0</v>
      </c>
      <c r="P319" s="13" t="str">
        <f t="shared" si="373"/>
        <v>NO</v>
      </c>
      <c r="Q319">
        <f t="shared" si="367"/>
        <v>0</v>
      </c>
      <c r="R319">
        <f t="shared" si="368"/>
        <v>0</v>
      </c>
      <c r="S319">
        <f t="shared" si="369"/>
        <v>0</v>
      </c>
    </row>
    <row r="320" spans="1:29" ht="15" hidden="1" customHeight="1" x14ac:dyDescent="0.3">
      <c r="A320" s="34" t="s">
        <v>1326</v>
      </c>
      <c r="B320" s="36">
        <v>297</v>
      </c>
      <c r="C320" s="29" t="s">
        <v>1365</v>
      </c>
      <c r="D320" s="29" t="str">
        <f t="shared" si="370"/>
        <v>NO APLICA</v>
      </c>
      <c r="E320" s="27" t="s">
        <v>1137</v>
      </c>
      <c r="F320" s="43">
        <f t="shared" si="371"/>
        <v>0</v>
      </c>
      <c r="G320" s="21">
        <v>0</v>
      </c>
      <c r="H320" s="9">
        <f t="shared" si="361"/>
        <v>0</v>
      </c>
      <c r="I320" s="9" t="s">
        <v>1287</v>
      </c>
      <c r="J320" s="9">
        <f t="shared" si="362"/>
        <v>0</v>
      </c>
      <c r="K320" s="9">
        <f t="shared" si="363"/>
        <v>0</v>
      </c>
      <c r="L320" s="9">
        <f t="shared" si="364"/>
        <v>0</v>
      </c>
      <c r="M320" s="11">
        <f t="shared" si="372"/>
        <v>0</v>
      </c>
      <c r="N320" s="9">
        <f t="shared" si="365"/>
        <v>0</v>
      </c>
      <c r="O320" s="12">
        <f t="shared" si="366"/>
        <v>0</v>
      </c>
      <c r="P320" s="13" t="str">
        <f t="shared" si="373"/>
        <v>NO</v>
      </c>
      <c r="Q320">
        <f t="shared" si="367"/>
        <v>0</v>
      </c>
      <c r="R320">
        <f t="shared" si="368"/>
        <v>0</v>
      </c>
      <c r="S320">
        <f t="shared" si="369"/>
        <v>0</v>
      </c>
    </row>
    <row r="321" spans="1:22" ht="15" hidden="1" customHeight="1" x14ac:dyDescent="0.3">
      <c r="A321" s="34" t="s">
        <v>1326</v>
      </c>
      <c r="B321" s="36">
        <v>298</v>
      </c>
      <c r="C321" s="29" t="s">
        <v>1366</v>
      </c>
      <c r="D321" s="29" t="str">
        <f t="shared" si="370"/>
        <v>NO APLICA</v>
      </c>
      <c r="E321" s="27" t="s">
        <v>1137</v>
      </c>
      <c r="F321" s="43">
        <f t="shared" si="371"/>
        <v>0</v>
      </c>
      <c r="G321" s="21">
        <v>0</v>
      </c>
      <c r="H321" s="9">
        <f t="shared" si="361"/>
        <v>0</v>
      </c>
      <c r="I321" s="9" t="s">
        <v>1287</v>
      </c>
      <c r="J321" s="9">
        <f t="shared" si="362"/>
        <v>0</v>
      </c>
      <c r="K321" s="9">
        <f t="shared" si="363"/>
        <v>0</v>
      </c>
      <c r="L321" s="9">
        <f t="shared" si="364"/>
        <v>0</v>
      </c>
      <c r="M321" s="11">
        <f t="shared" si="372"/>
        <v>0</v>
      </c>
      <c r="N321" s="9">
        <f t="shared" si="365"/>
        <v>0</v>
      </c>
      <c r="O321" s="12">
        <f t="shared" si="366"/>
        <v>0</v>
      </c>
      <c r="P321" s="13" t="str">
        <f t="shared" si="373"/>
        <v>NO</v>
      </c>
      <c r="Q321">
        <f t="shared" si="367"/>
        <v>0</v>
      </c>
      <c r="R321">
        <f t="shared" si="368"/>
        <v>0</v>
      </c>
      <c r="S321">
        <f t="shared" si="369"/>
        <v>0</v>
      </c>
    </row>
    <row r="322" spans="1:22" ht="15" hidden="1" customHeight="1" x14ac:dyDescent="0.3">
      <c r="A322" s="34" t="s">
        <v>1326</v>
      </c>
      <c r="B322" s="36">
        <v>299</v>
      </c>
      <c r="C322" s="29" t="s">
        <v>1367</v>
      </c>
      <c r="D322" s="29" t="str">
        <f t="shared" si="370"/>
        <v>NO APLICA</v>
      </c>
      <c r="E322" s="27" t="s">
        <v>1137</v>
      </c>
      <c r="F322" s="43">
        <f t="shared" si="371"/>
        <v>0</v>
      </c>
      <c r="G322" s="21">
        <v>0</v>
      </c>
      <c r="H322" s="9">
        <f t="shared" si="361"/>
        <v>0</v>
      </c>
      <c r="I322" s="9" t="s">
        <v>1287</v>
      </c>
      <c r="J322" s="9">
        <f t="shared" si="362"/>
        <v>0</v>
      </c>
      <c r="K322" s="9">
        <f t="shared" si="363"/>
        <v>0</v>
      </c>
      <c r="L322" s="9">
        <f t="shared" si="364"/>
        <v>0</v>
      </c>
      <c r="M322" s="11">
        <f t="shared" si="372"/>
        <v>0</v>
      </c>
      <c r="N322" s="9">
        <f t="shared" si="365"/>
        <v>0</v>
      </c>
      <c r="O322" s="12">
        <f t="shared" si="366"/>
        <v>0</v>
      </c>
      <c r="P322" s="13" t="str">
        <f t="shared" si="373"/>
        <v>NO</v>
      </c>
      <c r="Q322">
        <f t="shared" si="367"/>
        <v>0</v>
      </c>
      <c r="R322">
        <f t="shared" si="368"/>
        <v>0</v>
      </c>
      <c r="S322">
        <f t="shared" si="369"/>
        <v>0</v>
      </c>
    </row>
    <row r="323" spans="1:22" ht="15" hidden="1" customHeight="1" x14ac:dyDescent="0.3">
      <c r="A323" s="34" t="s">
        <v>1326</v>
      </c>
      <c r="B323" s="36">
        <v>300</v>
      </c>
      <c r="C323" s="29" t="s">
        <v>1368</v>
      </c>
      <c r="D323" s="29" t="str">
        <f t="shared" si="370"/>
        <v>NO APLICA</v>
      </c>
      <c r="E323" s="27" t="s">
        <v>1137</v>
      </c>
      <c r="F323" s="43">
        <f t="shared" si="371"/>
        <v>0</v>
      </c>
      <c r="G323" s="21">
        <v>0</v>
      </c>
      <c r="H323" s="9">
        <f t="shared" si="361"/>
        <v>0</v>
      </c>
      <c r="I323" s="9" t="s">
        <v>1287</v>
      </c>
      <c r="J323" s="9">
        <f t="shared" si="362"/>
        <v>0</v>
      </c>
      <c r="K323" s="9">
        <f t="shared" si="363"/>
        <v>0</v>
      </c>
      <c r="L323" s="9">
        <f t="shared" si="364"/>
        <v>0</v>
      </c>
      <c r="M323" s="11">
        <f t="shared" si="372"/>
        <v>0</v>
      </c>
      <c r="N323" s="9">
        <f t="shared" si="365"/>
        <v>0</v>
      </c>
      <c r="O323" s="12">
        <f t="shared" si="366"/>
        <v>0</v>
      </c>
      <c r="P323" s="13" t="str">
        <f t="shared" si="373"/>
        <v>NO</v>
      </c>
      <c r="Q323">
        <f t="shared" si="367"/>
        <v>0</v>
      </c>
      <c r="R323">
        <f t="shared" si="368"/>
        <v>0</v>
      </c>
      <c r="S323">
        <f t="shared" si="369"/>
        <v>0</v>
      </c>
    </row>
    <row r="324" spans="1:22" ht="15" hidden="1" customHeight="1" x14ac:dyDescent="0.3">
      <c r="A324" s="34" t="s">
        <v>1326</v>
      </c>
      <c r="B324" s="36">
        <v>301</v>
      </c>
      <c r="C324" s="29" t="s">
        <v>1369</v>
      </c>
      <c r="D324" s="29" t="str">
        <f t="shared" si="370"/>
        <v>NO APLICA</v>
      </c>
      <c r="E324" s="27" t="s">
        <v>1137</v>
      </c>
      <c r="F324" s="43">
        <f t="shared" si="371"/>
        <v>0</v>
      </c>
      <c r="G324" s="21">
        <v>0</v>
      </c>
      <c r="H324" s="9">
        <f t="shared" si="361"/>
        <v>0</v>
      </c>
      <c r="I324" s="9" t="s">
        <v>1287</v>
      </c>
      <c r="J324" s="9">
        <f t="shared" si="362"/>
        <v>0</v>
      </c>
      <c r="K324" s="9">
        <f t="shared" si="363"/>
        <v>0</v>
      </c>
      <c r="L324" s="9">
        <f t="shared" si="364"/>
        <v>0</v>
      </c>
      <c r="M324" s="11">
        <f t="shared" si="372"/>
        <v>0</v>
      </c>
      <c r="N324" s="9">
        <f t="shared" si="365"/>
        <v>0</v>
      </c>
      <c r="O324" s="12">
        <f t="shared" si="366"/>
        <v>0</v>
      </c>
      <c r="P324" s="13" t="str">
        <f t="shared" si="373"/>
        <v>NO</v>
      </c>
      <c r="Q324">
        <f t="shared" si="367"/>
        <v>0</v>
      </c>
      <c r="R324">
        <f t="shared" si="368"/>
        <v>0</v>
      </c>
      <c r="S324">
        <f t="shared" si="369"/>
        <v>0</v>
      </c>
    </row>
    <row r="325" spans="1:22" ht="22.5" hidden="1" customHeight="1" x14ac:dyDescent="0.3">
      <c r="A325" s="34" t="s">
        <v>1326</v>
      </c>
      <c r="B325" s="36">
        <v>302</v>
      </c>
      <c r="C325" s="29" t="s">
        <v>1370</v>
      </c>
      <c r="D325" s="29" t="str">
        <f t="shared" si="370"/>
        <v>NO APLICA</v>
      </c>
      <c r="E325" s="27" t="s">
        <v>1137</v>
      </c>
      <c r="F325" s="43">
        <f t="shared" si="371"/>
        <v>0</v>
      </c>
      <c r="G325" s="21">
        <v>0</v>
      </c>
      <c r="H325" s="9">
        <f t="shared" si="361"/>
        <v>0</v>
      </c>
      <c r="I325" s="9" t="s">
        <v>1287</v>
      </c>
      <c r="J325" s="9">
        <f t="shared" si="362"/>
        <v>0</v>
      </c>
      <c r="K325" s="9">
        <f t="shared" si="363"/>
        <v>0</v>
      </c>
      <c r="L325" s="9">
        <f t="shared" si="364"/>
        <v>0</v>
      </c>
      <c r="M325" s="11">
        <f t="shared" si="372"/>
        <v>0</v>
      </c>
      <c r="N325" s="9">
        <f t="shared" si="365"/>
        <v>0</v>
      </c>
      <c r="O325" s="12">
        <f t="shared" si="366"/>
        <v>0</v>
      </c>
      <c r="P325" s="13" t="str">
        <f t="shared" si="373"/>
        <v>NO</v>
      </c>
      <c r="Q325">
        <f t="shared" si="367"/>
        <v>0</v>
      </c>
      <c r="R325">
        <f t="shared" si="368"/>
        <v>0</v>
      </c>
      <c r="S325">
        <f t="shared" si="369"/>
        <v>0</v>
      </c>
    </row>
    <row r="326" spans="1:22" ht="15" hidden="1" customHeight="1" x14ac:dyDescent="0.3">
      <c r="A326" s="34" t="s">
        <v>1326</v>
      </c>
      <c r="B326" s="36">
        <v>304</v>
      </c>
      <c r="C326" s="29" t="s">
        <v>1371</v>
      </c>
      <c r="D326" s="29" t="str">
        <f t="shared" si="370"/>
        <v>NO APLICA</v>
      </c>
      <c r="E326" s="27" t="s">
        <v>1137</v>
      </c>
      <c r="F326" s="43">
        <f t="shared" si="371"/>
        <v>0</v>
      </c>
      <c r="G326" s="21">
        <v>0</v>
      </c>
      <c r="H326" s="9">
        <f t="shared" si="361"/>
        <v>0</v>
      </c>
      <c r="I326" s="9" t="s">
        <v>1287</v>
      </c>
      <c r="J326" s="9">
        <f t="shared" si="362"/>
        <v>0</v>
      </c>
      <c r="K326" s="9">
        <f t="shared" si="363"/>
        <v>0</v>
      </c>
      <c r="L326" s="9">
        <f t="shared" si="364"/>
        <v>0</v>
      </c>
      <c r="M326" s="11">
        <f t="shared" si="372"/>
        <v>0</v>
      </c>
      <c r="N326" s="9">
        <f t="shared" si="365"/>
        <v>0</v>
      </c>
      <c r="O326" s="12">
        <f t="shared" si="366"/>
        <v>0</v>
      </c>
      <c r="P326" s="13" t="str">
        <f t="shared" si="373"/>
        <v>NO</v>
      </c>
      <c r="Q326">
        <f t="shared" si="367"/>
        <v>0</v>
      </c>
      <c r="R326">
        <f t="shared" si="368"/>
        <v>0</v>
      </c>
      <c r="S326">
        <f t="shared" si="369"/>
        <v>0</v>
      </c>
    </row>
    <row r="327" spans="1:22" ht="15" hidden="1" customHeight="1" x14ac:dyDescent="0.3">
      <c r="A327" s="34" t="s">
        <v>1326</v>
      </c>
      <c r="B327" s="36">
        <v>308</v>
      </c>
      <c r="C327" s="29" t="s">
        <v>1372</v>
      </c>
      <c r="D327" s="29" t="str">
        <f t="shared" si="370"/>
        <v>NO APLICA</v>
      </c>
      <c r="E327" s="27" t="s">
        <v>1137</v>
      </c>
      <c r="F327" s="43">
        <f t="shared" si="371"/>
        <v>0</v>
      </c>
      <c r="G327" s="21">
        <v>0</v>
      </c>
      <c r="H327" s="9">
        <f t="shared" si="361"/>
        <v>0</v>
      </c>
      <c r="I327" s="9" t="s">
        <v>1287</v>
      </c>
      <c r="J327" s="9">
        <f t="shared" si="362"/>
        <v>0</v>
      </c>
      <c r="K327" s="9">
        <f t="shared" si="363"/>
        <v>0</v>
      </c>
      <c r="L327" s="9">
        <f t="shared" si="364"/>
        <v>0</v>
      </c>
      <c r="M327" s="11">
        <f t="shared" si="372"/>
        <v>0</v>
      </c>
      <c r="N327" s="9">
        <f t="shared" si="365"/>
        <v>0</v>
      </c>
      <c r="O327" s="12">
        <f t="shared" si="366"/>
        <v>0</v>
      </c>
      <c r="P327" s="13" t="str">
        <f t="shared" si="373"/>
        <v>NO</v>
      </c>
      <c r="Q327">
        <f t="shared" si="367"/>
        <v>0</v>
      </c>
      <c r="R327">
        <f t="shared" si="368"/>
        <v>0</v>
      </c>
      <c r="S327">
        <f t="shared" si="369"/>
        <v>0</v>
      </c>
    </row>
    <row r="328" spans="1:22" ht="15" hidden="1" customHeight="1" thickBot="1" x14ac:dyDescent="0.35">
      <c r="A328" s="34" t="s">
        <v>1326</v>
      </c>
      <c r="B328" s="36">
        <v>309</v>
      </c>
      <c r="C328" s="29" t="s">
        <v>1373</v>
      </c>
      <c r="D328" s="29" t="str">
        <f t="shared" si="370"/>
        <v>NO APLICA</v>
      </c>
      <c r="E328" s="27" t="s">
        <v>1137</v>
      </c>
      <c r="F328" s="43">
        <f t="shared" si="371"/>
        <v>0</v>
      </c>
      <c r="G328" s="21">
        <v>0</v>
      </c>
      <c r="H328" s="9">
        <f t="shared" si="361"/>
        <v>0</v>
      </c>
      <c r="I328" s="9" t="s">
        <v>1287</v>
      </c>
      <c r="J328" s="9">
        <f t="shared" si="362"/>
        <v>0</v>
      </c>
      <c r="K328" s="9">
        <f t="shared" si="363"/>
        <v>0</v>
      </c>
      <c r="L328" s="9">
        <f t="shared" si="364"/>
        <v>0</v>
      </c>
      <c r="M328" s="11">
        <f t="shared" si="372"/>
        <v>0</v>
      </c>
      <c r="N328" s="9">
        <f t="shared" si="365"/>
        <v>0</v>
      </c>
      <c r="O328" s="12">
        <f t="shared" si="366"/>
        <v>0</v>
      </c>
      <c r="P328" s="13" t="str">
        <f t="shared" si="373"/>
        <v>NO</v>
      </c>
      <c r="Q328">
        <f t="shared" si="367"/>
        <v>0</v>
      </c>
      <c r="R328">
        <f t="shared" si="368"/>
        <v>0</v>
      </c>
      <c r="S328">
        <f t="shared" si="369"/>
        <v>0</v>
      </c>
      <c r="T328" s="205">
        <f>SUM(T284:T327)</f>
        <v>0</v>
      </c>
      <c r="U328" s="119">
        <f t="shared" ref="U328:V328" si="374">SUM(U284:U327)</f>
        <v>0</v>
      </c>
      <c r="V328" s="119">
        <f t="shared" si="374"/>
        <v>0</v>
      </c>
    </row>
    <row r="329" spans="1:22" s="18" customFormat="1" ht="15" hidden="1" customHeight="1" thickBot="1" x14ac:dyDescent="0.35">
      <c r="A329" s="24"/>
      <c r="B329" s="26"/>
      <c r="C329" s="15" t="s">
        <v>1177</v>
      </c>
      <c r="D329" s="38" t="str">
        <f>D328</f>
        <v>NO APLICA</v>
      </c>
      <c r="E329" s="38"/>
      <c r="F329" s="16">
        <f>SUMIF(E284:E328,"Adicional",F284:F328)</f>
        <v>0</v>
      </c>
      <c r="G329" s="17"/>
      <c r="H329" s="16">
        <f>SUM(H284:H328)</f>
        <v>0</v>
      </c>
      <c r="I329" s="16"/>
      <c r="J329" s="16">
        <f>SUM(J284:J328)</f>
        <v>0</v>
      </c>
      <c r="K329" s="16">
        <f>SUM(K284:K328)</f>
        <v>0</v>
      </c>
      <c r="L329" s="16">
        <f>SUM(L284:L328)</f>
        <v>0</v>
      </c>
      <c r="M329" s="16" t="s">
        <v>1178</v>
      </c>
      <c r="N329" s="16">
        <f>SUM(N284:N328)</f>
        <v>0</v>
      </c>
      <c r="O329" s="84">
        <f>SUM(O284:O328)</f>
        <v>0</v>
      </c>
      <c r="P329" s="13" t="str">
        <f t="shared" si="373"/>
        <v>NO</v>
      </c>
      <c r="Q329">
        <f>IF(D329="INCLUIDO",IF(H329&lt;&gt;0,1,0),0)</f>
        <v>0</v>
      </c>
      <c r="T329" s="143">
        <f>T272+T282+T276+T328</f>
        <v>1.0000000000000002</v>
      </c>
      <c r="U329" s="144">
        <f>U272+U282+U276+U328</f>
        <v>0</v>
      </c>
      <c r="V329" s="145">
        <f>V272+V282+V276+V328</f>
        <v>0</v>
      </c>
    </row>
    <row r="330" spans="1:22" ht="21.75" hidden="1" customHeight="1" thickBot="1" x14ac:dyDescent="0.35">
      <c r="A330" s="82">
        <v>911</v>
      </c>
      <c r="B330" s="33">
        <v>4</v>
      </c>
      <c r="C330" s="19" t="s">
        <v>1374</v>
      </c>
      <c r="D330" s="23" t="str">
        <f>'Ramo Comercial'!C178</f>
        <v>NO APLICA</v>
      </c>
      <c r="E330" s="91"/>
      <c r="F330" s="113">
        <v>0</v>
      </c>
      <c r="G330" s="113">
        <v>0</v>
      </c>
      <c r="H330" s="28"/>
      <c r="I330" s="28"/>
      <c r="J330" s="28"/>
      <c r="K330" s="28"/>
      <c r="L330" s="28"/>
      <c r="M330" s="68">
        <v>0</v>
      </c>
      <c r="N330" s="28"/>
      <c r="O330" s="83"/>
      <c r="P330" s="13" t="str">
        <f t="shared" si="373"/>
        <v>NO</v>
      </c>
      <c r="Q330" s="48">
        <f t="shared" ref="Q330:Q335" si="375">IF(D330="INCLUIDO",IF(F330&lt;&gt;0,1,0),0)</f>
        <v>0</v>
      </c>
      <c r="T330" s="142">
        <f>G330</f>
        <v>0</v>
      </c>
      <c r="U330" s="150"/>
      <c r="V330" s="151"/>
    </row>
    <row r="331" spans="1:22" ht="15" hidden="1" customHeight="1" x14ac:dyDescent="0.3">
      <c r="A331" s="34" t="s">
        <v>1326</v>
      </c>
      <c r="B331" s="36">
        <v>232</v>
      </c>
      <c r="C331" s="29" t="s">
        <v>1375</v>
      </c>
      <c r="D331" s="29" t="str">
        <f>$D$330</f>
        <v>NO APLICA</v>
      </c>
      <c r="E331" s="27" t="s">
        <v>1152</v>
      </c>
      <c r="F331" s="20">
        <f>F330*S331</f>
        <v>0</v>
      </c>
      <c r="G331" s="21">
        <f>V331</f>
        <v>0</v>
      </c>
      <c r="H331" s="9">
        <f t="shared" ref="H331:H335" si="376">(IF(I331="$ Prima",G331,G331*F331/R331))*$U$9</f>
        <v>0</v>
      </c>
      <c r="I331" s="9" t="s">
        <v>1287</v>
      </c>
      <c r="J331" s="9">
        <f t="shared" ref="J331:J335" si="377">H331*$U$7</f>
        <v>0</v>
      </c>
      <c r="K331" s="9">
        <f t="shared" ref="K331:K335" si="378">(H331+J331)*$K$15</f>
        <v>0</v>
      </c>
      <c r="L331" s="9">
        <f t="shared" ref="L331:L335" si="379">ROUND(H331+J331+K331,2)</f>
        <v>0</v>
      </c>
      <c r="M331" s="11">
        <f>$M$330</f>
        <v>0</v>
      </c>
      <c r="N331" s="9">
        <f t="shared" ref="N331:N335" si="380">H331*M331</f>
        <v>0</v>
      </c>
      <c r="O331" s="12">
        <f t="shared" ref="O331:O335" si="381">N331</f>
        <v>0</v>
      </c>
      <c r="P331" s="13" t="str">
        <f t="shared" si="373"/>
        <v>NO</v>
      </c>
      <c r="Q331">
        <f t="shared" si="375"/>
        <v>0</v>
      </c>
      <c r="R331">
        <f>IF(I331="%o Al Millar",1000,IF(I331="% Al Porciento",100,IF(I331="$ Prima",G331)))</f>
        <v>0</v>
      </c>
      <c r="S331">
        <f t="shared" ref="S331:S335" si="382">IF(E331="Excluido",0,IF(D331="NO APLICA",0,1))</f>
        <v>0</v>
      </c>
      <c r="T331" s="152">
        <v>0.13</v>
      </c>
      <c r="U331" s="159">
        <f>IF(E331="Excluido",0,T330*T331)</f>
        <v>0</v>
      </c>
      <c r="V331" s="160">
        <f>IF(D330="NO APLICA",0,(U336-U332-U333-U334-U335)+(T330-U336))</f>
        <v>0</v>
      </c>
    </row>
    <row r="332" spans="1:22" ht="15" hidden="1" customHeight="1" x14ac:dyDescent="0.3">
      <c r="A332" s="34" t="s">
        <v>1326</v>
      </c>
      <c r="B332" s="36">
        <v>234</v>
      </c>
      <c r="C332" s="29" t="s">
        <v>1376</v>
      </c>
      <c r="D332" s="29" t="str">
        <f t="shared" ref="D332:D335" si="383">$D$330</f>
        <v>NO APLICA</v>
      </c>
      <c r="E332" s="27" t="s">
        <v>1137</v>
      </c>
      <c r="F332" s="20">
        <f>$F$331*S332</f>
        <v>0</v>
      </c>
      <c r="G332" s="21">
        <f t="shared" ref="G332:G335" si="384">V332</f>
        <v>0</v>
      </c>
      <c r="H332" s="9">
        <f t="shared" si="376"/>
        <v>0</v>
      </c>
      <c r="I332" s="9" t="s">
        <v>1287</v>
      </c>
      <c r="J332" s="9">
        <f t="shared" si="377"/>
        <v>0</v>
      </c>
      <c r="K332" s="9">
        <f t="shared" si="378"/>
        <v>0</v>
      </c>
      <c r="L332" s="9">
        <f t="shared" si="379"/>
        <v>0</v>
      </c>
      <c r="M332" s="11">
        <f t="shared" ref="M332:M335" si="385">$M$330</f>
        <v>0</v>
      </c>
      <c r="N332" s="9">
        <f t="shared" si="380"/>
        <v>0</v>
      </c>
      <c r="O332" s="12">
        <f t="shared" si="381"/>
        <v>0</v>
      </c>
      <c r="P332" s="13" t="str">
        <f t="shared" si="373"/>
        <v>NO</v>
      </c>
      <c r="Q332">
        <f t="shared" si="375"/>
        <v>0</v>
      </c>
      <c r="R332">
        <f>IF(I332="%o Al Millar",1000,IF(I332="% Al Porciento",100,IF(I332="$ Prima",G332)))</f>
        <v>0</v>
      </c>
      <c r="S332">
        <f t="shared" si="382"/>
        <v>0</v>
      </c>
      <c r="T332" s="152">
        <v>0.12</v>
      </c>
      <c r="U332" s="159">
        <f>IF(E332="Excluido",0,T330*T332)</f>
        <v>0</v>
      </c>
      <c r="V332" s="160">
        <f>IF(F332=0,0,U332)</f>
        <v>0</v>
      </c>
    </row>
    <row r="333" spans="1:22" ht="15" hidden="1" customHeight="1" x14ac:dyDescent="0.3">
      <c r="A333" s="34" t="s">
        <v>1326</v>
      </c>
      <c r="B333" s="36">
        <v>235</v>
      </c>
      <c r="C333" s="29" t="s">
        <v>1377</v>
      </c>
      <c r="D333" s="29" t="str">
        <f t="shared" si="383"/>
        <v>NO APLICA</v>
      </c>
      <c r="E333" s="27" t="s">
        <v>1137</v>
      </c>
      <c r="F333" s="20">
        <f t="shared" ref="F333:F335" si="386">$F$331*S333</f>
        <v>0</v>
      </c>
      <c r="G333" s="21">
        <f t="shared" si="384"/>
        <v>0</v>
      </c>
      <c r="H333" s="9">
        <f t="shared" si="376"/>
        <v>0</v>
      </c>
      <c r="I333" s="9" t="s">
        <v>1287</v>
      </c>
      <c r="J333" s="9">
        <f t="shared" si="377"/>
        <v>0</v>
      </c>
      <c r="K333" s="9">
        <f t="shared" si="378"/>
        <v>0</v>
      </c>
      <c r="L333" s="9">
        <f t="shared" si="379"/>
        <v>0</v>
      </c>
      <c r="M333" s="11">
        <f t="shared" si="385"/>
        <v>0</v>
      </c>
      <c r="N333" s="9">
        <f t="shared" si="380"/>
        <v>0</v>
      </c>
      <c r="O333" s="12">
        <f t="shared" si="381"/>
        <v>0</v>
      </c>
      <c r="P333" s="13" t="str">
        <f t="shared" si="373"/>
        <v>NO</v>
      </c>
      <c r="Q333">
        <f t="shared" si="375"/>
        <v>0</v>
      </c>
      <c r="R333">
        <f>IF(I333="%o Al Millar",1000,IF(I333="% Al Porciento",100,IF(I333="$ Prima",G333)))</f>
        <v>0</v>
      </c>
      <c r="S333">
        <f t="shared" si="382"/>
        <v>0</v>
      </c>
      <c r="T333" s="152">
        <v>0.2</v>
      </c>
      <c r="U333" s="159">
        <f>IF(E333="Excluido",0,T330*T333)</f>
        <v>0</v>
      </c>
      <c r="V333" s="160">
        <f t="shared" ref="V333:V335" si="387">IF(F333=0,0,U333)</f>
        <v>0</v>
      </c>
    </row>
    <row r="334" spans="1:22" ht="15" hidden="1" customHeight="1" x14ac:dyDescent="0.3">
      <c r="A334" s="34" t="s">
        <v>1326</v>
      </c>
      <c r="B334" s="36">
        <v>236</v>
      </c>
      <c r="C334" s="29" t="s">
        <v>1378</v>
      </c>
      <c r="D334" s="29" t="str">
        <f t="shared" si="383"/>
        <v>NO APLICA</v>
      </c>
      <c r="E334" s="27" t="s">
        <v>1137</v>
      </c>
      <c r="F334" s="20">
        <f t="shared" si="386"/>
        <v>0</v>
      </c>
      <c r="G334" s="21">
        <f t="shared" si="384"/>
        <v>0</v>
      </c>
      <c r="H334" s="9">
        <f t="shared" si="376"/>
        <v>0</v>
      </c>
      <c r="I334" s="9" t="s">
        <v>1287</v>
      </c>
      <c r="J334" s="9">
        <f t="shared" si="377"/>
        <v>0</v>
      </c>
      <c r="K334" s="9">
        <f t="shared" si="378"/>
        <v>0</v>
      </c>
      <c r="L334" s="9">
        <f t="shared" si="379"/>
        <v>0</v>
      </c>
      <c r="M334" s="11">
        <f t="shared" si="385"/>
        <v>0</v>
      </c>
      <c r="N334" s="9">
        <f t="shared" si="380"/>
        <v>0</v>
      </c>
      <c r="O334" s="12">
        <f t="shared" si="381"/>
        <v>0</v>
      </c>
      <c r="P334" s="13" t="str">
        <f t="shared" si="373"/>
        <v>NO</v>
      </c>
      <c r="Q334">
        <f t="shared" si="375"/>
        <v>0</v>
      </c>
      <c r="R334">
        <f>IF(I334="%o Al Millar",1000,IF(I334="% Al Porciento",100,IF(I334="$ Prima",G334)))</f>
        <v>0</v>
      </c>
      <c r="S334">
        <f t="shared" si="382"/>
        <v>0</v>
      </c>
      <c r="T334" s="152">
        <v>0.15</v>
      </c>
      <c r="U334" s="159">
        <f>IF(E334="Excluido",0,T330*T334)</f>
        <v>0</v>
      </c>
      <c r="V334" s="160">
        <f t="shared" si="387"/>
        <v>0</v>
      </c>
    </row>
    <row r="335" spans="1:22" ht="15" hidden="1" customHeight="1" thickBot="1" x14ac:dyDescent="0.35">
      <c r="A335" s="34" t="s">
        <v>1326</v>
      </c>
      <c r="B335" s="36">
        <v>233</v>
      </c>
      <c r="C335" s="29" t="s">
        <v>1293</v>
      </c>
      <c r="D335" s="29" t="str">
        <f t="shared" si="383"/>
        <v>NO APLICA</v>
      </c>
      <c r="E335" s="27" t="s">
        <v>1137</v>
      </c>
      <c r="F335" s="20">
        <f t="shared" si="386"/>
        <v>0</v>
      </c>
      <c r="G335" s="21">
        <f t="shared" si="384"/>
        <v>0</v>
      </c>
      <c r="H335" s="9">
        <f t="shared" si="376"/>
        <v>0</v>
      </c>
      <c r="I335" s="9" t="s">
        <v>1287</v>
      </c>
      <c r="J335" s="9">
        <f t="shared" si="377"/>
        <v>0</v>
      </c>
      <c r="K335" s="9">
        <f t="shared" si="378"/>
        <v>0</v>
      </c>
      <c r="L335" s="9">
        <f t="shared" si="379"/>
        <v>0</v>
      </c>
      <c r="M335" s="11">
        <f t="shared" si="385"/>
        <v>0</v>
      </c>
      <c r="N335" s="9">
        <f t="shared" si="380"/>
        <v>0</v>
      </c>
      <c r="O335" s="12">
        <f t="shared" si="381"/>
        <v>0</v>
      </c>
      <c r="P335" s="13" t="str">
        <f t="shared" si="373"/>
        <v>NO</v>
      </c>
      <c r="Q335">
        <f t="shared" si="375"/>
        <v>0</v>
      </c>
      <c r="R335">
        <f>IF(I335="%o Al Millar",1000,IF(I335="% Al Porciento",100,IF(I335="$ Prima",G335)))</f>
        <v>0</v>
      </c>
      <c r="S335">
        <f t="shared" si="382"/>
        <v>0</v>
      </c>
      <c r="T335" s="152">
        <v>0.4</v>
      </c>
      <c r="U335" s="159">
        <f>IF(E335="Excluido",0,T330*T335)</f>
        <v>0</v>
      </c>
      <c r="V335" s="160">
        <f t="shared" si="387"/>
        <v>0</v>
      </c>
    </row>
    <row r="336" spans="1:22" s="18" customFormat="1" ht="15" hidden="1" customHeight="1" thickBot="1" x14ac:dyDescent="0.35">
      <c r="A336" s="24"/>
      <c r="B336" s="26"/>
      <c r="C336" s="15" t="s">
        <v>1177</v>
      </c>
      <c r="D336" s="38" t="str">
        <f>D335</f>
        <v>NO APLICA</v>
      </c>
      <c r="E336" s="38"/>
      <c r="F336" s="16">
        <f>SUMIF(E331:E335,"Adicional",F331:F335)</f>
        <v>0</v>
      </c>
      <c r="G336" s="17"/>
      <c r="H336" s="16">
        <f>SUM(H331:H335)</f>
        <v>0</v>
      </c>
      <c r="I336" s="16"/>
      <c r="J336" s="16">
        <f t="shared" ref="J336:L336" si="388">SUM(J331:J335)</f>
        <v>0</v>
      </c>
      <c r="K336" s="16">
        <f t="shared" si="388"/>
        <v>0</v>
      </c>
      <c r="L336" s="16">
        <f t="shared" si="388"/>
        <v>0</v>
      </c>
      <c r="M336" s="16" t="s">
        <v>1178</v>
      </c>
      <c r="N336" s="16">
        <f t="shared" ref="N336:O336" si="389">SUM(N331:N335)</f>
        <v>0</v>
      </c>
      <c r="O336" s="84">
        <f t="shared" si="389"/>
        <v>0</v>
      </c>
      <c r="P336" s="13" t="str">
        <f t="shared" si="373"/>
        <v>NO</v>
      </c>
      <c r="Q336">
        <f>IF(D336="INCLUIDO",IF(H336&lt;&gt;0,1,0),0)</f>
        <v>0</v>
      </c>
      <c r="T336" s="143">
        <f>SUM(T331:T335)</f>
        <v>1</v>
      </c>
      <c r="U336" s="144">
        <f>SUM(U331:U335)</f>
        <v>0</v>
      </c>
      <c r="V336" s="145">
        <f>SUM(V331:V335)</f>
        <v>0</v>
      </c>
    </row>
    <row r="337" spans="1:22" ht="15" hidden="1" customHeight="1" thickBot="1" x14ac:dyDescent="0.35">
      <c r="A337" s="82">
        <v>911</v>
      </c>
      <c r="B337" s="33">
        <v>5</v>
      </c>
      <c r="C337" s="19" t="s">
        <v>1379</v>
      </c>
      <c r="D337" s="23" t="str">
        <f>'Ramo Comercial'!C179</f>
        <v>NO APLICA</v>
      </c>
      <c r="E337" s="91"/>
      <c r="F337" s="113">
        <v>0</v>
      </c>
      <c r="G337" s="113">
        <v>0</v>
      </c>
      <c r="H337" s="28"/>
      <c r="I337" s="28"/>
      <c r="J337" s="28"/>
      <c r="K337" s="28"/>
      <c r="L337" s="28"/>
      <c r="M337" s="68">
        <v>0</v>
      </c>
      <c r="N337" s="28"/>
      <c r="O337" s="83"/>
      <c r="P337" s="13" t="str">
        <f t="shared" si="373"/>
        <v>NO</v>
      </c>
      <c r="Q337" s="48">
        <f t="shared" ref="Q337:Q343" si="390">IF(D337="INCLUIDO",IF(F337&lt;&gt;0,1,0),0)</f>
        <v>0</v>
      </c>
      <c r="T337" s="142">
        <f>G337</f>
        <v>0</v>
      </c>
      <c r="U337" s="150"/>
      <c r="V337" s="151"/>
    </row>
    <row r="338" spans="1:22" ht="15" hidden="1" customHeight="1" x14ac:dyDescent="0.3">
      <c r="A338" s="34" t="s">
        <v>1326</v>
      </c>
      <c r="B338" s="36">
        <v>237</v>
      </c>
      <c r="C338" s="29" t="s">
        <v>1375</v>
      </c>
      <c r="D338" s="29" t="str">
        <f>$D$337</f>
        <v>NO APLICA</v>
      </c>
      <c r="E338" s="27" t="s">
        <v>1152</v>
      </c>
      <c r="F338" s="20">
        <f>F337*S338</f>
        <v>0</v>
      </c>
      <c r="G338" s="21">
        <v>0</v>
      </c>
      <c r="H338" s="9">
        <f t="shared" ref="H338:H343" si="391">(IF(I338="$ Prima",G338,G338*F338/R338))*$U$9</f>
        <v>0</v>
      </c>
      <c r="I338" s="9" t="s">
        <v>1287</v>
      </c>
      <c r="J338" s="9">
        <f t="shared" ref="J338:J343" si="392">H338*$U$7</f>
        <v>0</v>
      </c>
      <c r="K338" s="9">
        <f t="shared" ref="K338:K343" si="393">(H338+J338)*$K$15</f>
        <v>0</v>
      </c>
      <c r="L338" s="9">
        <f t="shared" ref="L338:L343" si="394">ROUND(H338+J338+K338,2)</f>
        <v>0</v>
      </c>
      <c r="M338" s="11">
        <f>$M$337</f>
        <v>0</v>
      </c>
      <c r="N338" s="9">
        <f t="shared" ref="N338:N343" si="395">H338*M338</f>
        <v>0</v>
      </c>
      <c r="O338" s="12">
        <f t="shared" ref="O338:O343" si="396">N338</f>
        <v>0</v>
      </c>
      <c r="P338" s="13" t="str">
        <f t="shared" si="373"/>
        <v>NO</v>
      </c>
      <c r="Q338">
        <f t="shared" si="390"/>
        <v>0</v>
      </c>
      <c r="R338">
        <f t="shared" ref="R338:R343" si="397">IF(I338="%o Al Millar",1000,IF(I338="% Al Porciento",100,IF(I338="$ Prima",G338)))</f>
        <v>0</v>
      </c>
      <c r="S338">
        <f t="shared" ref="S338:S343" si="398">IF(E338="Excluido",0,IF(D338="NO APLICA",0,1))</f>
        <v>0</v>
      </c>
      <c r="T338" s="152">
        <v>0.13</v>
      </c>
      <c r="U338" s="159">
        <f>IF(E338="Excluido",0,T337*T338)</f>
        <v>0</v>
      </c>
      <c r="V338" s="160">
        <f>IF(D337="NO APLICA",0,(U343-U339-U340-U341-U342)+(T337-U343))</f>
        <v>0</v>
      </c>
    </row>
    <row r="339" spans="1:22" ht="15" hidden="1" customHeight="1" x14ac:dyDescent="0.3">
      <c r="A339" s="34" t="s">
        <v>1326</v>
      </c>
      <c r="B339" s="36">
        <v>238</v>
      </c>
      <c r="C339" s="29" t="s">
        <v>1352</v>
      </c>
      <c r="D339" s="29" t="str">
        <f t="shared" ref="D339:D343" si="399">$D$337</f>
        <v>NO APLICA</v>
      </c>
      <c r="E339" s="27" t="s">
        <v>1137</v>
      </c>
      <c r="F339" s="20">
        <f>$F$338*S339</f>
        <v>0</v>
      </c>
      <c r="G339" s="21">
        <v>0</v>
      </c>
      <c r="H339" s="9">
        <f t="shared" si="391"/>
        <v>0</v>
      </c>
      <c r="I339" s="9" t="s">
        <v>1287</v>
      </c>
      <c r="J339" s="9">
        <f t="shared" si="392"/>
        <v>0</v>
      </c>
      <c r="K339" s="9">
        <f t="shared" si="393"/>
        <v>0</v>
      </c>
      <c r="L339" s="9">
        <f t="shared" si="394"/>
        <v>0</v>
      </c>
      <c r="M339" s="11">
        <f t="shared" ref="M339:M343" si="400">$M$337</f>
        <v>0</v>
      </c>
      <c r="N339" s="9">
        <f t="shared" si="395"/>
        <v>0</v>
      </c>
      <c r="O339" s="12">
        <f t="shared" si="396"/>
        <v>0</v>
      </c>
      <c r="P339" s="13" t="str">
        <f t="shared" si="373"/>
        <v>NO</v>
      </c>
      <c r="Q339">
        <f t="shared" si="390"/>
        <v>0</v>
      </c>
      <c r="R339">
        <f t="shared" si="397"/>
        <v>0</v>
      </c>
      <c r="S339">
        <f t="shared" si="398"/>
        <v>0</v>
      </c>
      <c r="T339" s="152">
        <v>0.12</v>
      </c>
      <c r="U339" s="159">
        <f>IF(E339="Excluido",0,T337*T339)</f>
        <v>0</v>
      </c>
      <c r="V339" s="160">
        <f>IF(F339=0,0,U339)</f>
        <v>0</v>
      </c>
    </row>
    <row r="340" spans="1:22" ht="15" hidden="1" customHeight="1" x14ac:dyDescent="0.3">
      <c r="A340" s="34" t="s">
        <v>1326</v>
      </c>
      <c r="B340" s="36">
        <v>240</v>
      </c>
      <c r="C340" s="29" t="s">
        <v>1376</v>
      </c>
      <c r="D340" s="29" t="str">
        <f t="shared" si="399"/>
        <v>NO APLICA</v>
      </c>
      <c r="E340" s="27" t="s">
        <v>1137</v>
      </c>
      <c r="F340" s="20">
        <f t="shared" ref="F340:F343" si="401">$F$338*S340</f>
        <v>0</v>
      </c>
      <c r="G340" s="21">
        <v>0</v>
      </c>
      <c r="H340" s="9">
        <f t="shared" si="391"/>
        <v>0</v>
      </c>
      <c r="I340" s="9" t="s">
        <v>1287</v>
      </c>
      <c r="J340" s="9">
        <f t="shared" si="392"/>
        <v>0</v>
      </c>
      <c r="K340" s="9">
        <f t="shared" si="393"/>
        <v>0</v>
      </c>
      <c r="L340" s="9">
        <f t="shared" si="394"/>
        <v>0</v>
      </c>
      <c r="M340" s="11">
        <f t="shared" si="400"/>
        <v>0</v>
      </c>
      <c r="N340" s="9">
        <f t="shared" si="395"/>
        <v>0</v>
      </c>
      <c r="O340" s="12">
        <f t="shared" si="396"/>
        <v>0</v>
      </c>
      <c r="P340" s="13" t="str">
        <f t="shared" si="373"/>
        <v>NO</v>
      </c>
      <c r="Q340">
        <f t="shared" si="390"/>
        <v>0</v>
      </c>
      <c r="R340">
        <f t="shared" si="397"/>
        <v>0</v>
      </c>
      <c r="S340">
        <f t="shared" si="398"/>
        <v>0</v>
      </c>
      <c r="T340" s="152">
        <v>0.2</v>
      </c>
      <c r="U340" s="159">
        <f>IF(E340="Excluido",0,T337*T340)</f>
        <v>0</v>
      </c>
      <c r="V340" s="160">
        <f t="shared" ref="V340:V342" si="402">IF(F340=0,0,U340)</f>
        <v>0</v>
      </c>
    </row>
    <row r="341" spans="1:22" ht="15" hidden="1" customHeight="1" x14ac:dyDescent="0.3">
      <c r="A341" s="34" t="s">
        <v>1326</v>
      </c>
      <c r="B341" s="36">
        <v>241</v>
      </c>
      <c r="C341" s="29" t="s">
        <v>1377</v>
      </c>
      <c r="D341" s="29" t="str">
        <f t="shared" si="399"/>
        <v>NO APLICA</v>
      </c>
      <c r="E341" s="27" t="s">
        <v>1137</v>
      </c>
      <c r="F341" s="20">
        <f t="shared" si="401"/>
        <v>0</v>
      </c>
      <c r="G341" s="21">
        <v>0</v>
      </c>
      <c r="H341" s="9">
        <f t="shared" si="391"/>
        <v>0</v>
      </c>
      <c r="I341" s="9" t="s">
        <v>1287</v>
      </c>
      <c r="J341" s="9">
        <f t="shared" si="392"/>
        <v>0</v>
      </c>
      <c r="K341" s="9">
        <f t="shared" si="393"/>
        <v>0</v>
      </c>
      <c r="L341" s="9">
        <f t="shared" si="394"/>
        <v>0</v>
      </c>
      <c r="M341" s="11">
        <f t="shared" si="400"/>
        <v>0</v>
      </c>
      <c r="N341" s="9">
        <f t="shared" si="395"/>
        <v>0</v>
      </c>
      <c r="O341" s="12">
        <f t="shared" si="396"/>
        <v>0</v>
      </c>
      <c r="P341" s="13" t="str">
        <f t="shared" si="373"/>
        <v>NO</v>
      </c>
      <c r="Q341">
        <f t="shared" si="390"/>
        <v>0</v>
      </c>
      <c r="R341">
        <f t="shared" si="397"/>
        <v>0</v>
      </c>
      <c r="S341">
        <f t="shared" si="398"/>
        <v>0</v>
      </c>
      <c r="T341" s="152">
        <v>0.15</v>
      </c>
      <c r="U341" s="159">
        <f>IF(E341="Excluido",0,T337*T341)</f>
        <v>0</v>
      </c>
      <c r="V341" s="160">
        <f t="shared" si="402"/>
        <v>0</v>
      </c>
    </row>
    <row r="342" spans="1:22" ht="15" hidden="1" customHeight="1" thickBot="1" x14ac:dyDescent="0.35">
      <c r="A342" s="34" t="s">
        <v>1326</v>
      </c>
      <c r="B342" s="36">
        <v>242</v>
      </c>
      <c r="C342" s="29" t="s">
        <v>1378</v>
      </c>
      <c r="D342" s="29" t="str">
        <f t="shared" si="399"/>
        <v>NO APLICA</v>
      </c>
      <c r="E342" s="27" t="s">
        <v>1137</v>
      </c>
      <c r="F342" s="20">
        <f t="shared" si="401"/>
        <v>0</v>
      </c>
      <c r="G342" s="21">
        <v>0</v>
      </c>
      <c r="H342" s="9">
        <f t="shared" si="391"/>
        <v>0</v>
      </c>
      <c r="I342" s="9" t="s">
        <v>1287</v>
      </c>
      <c r="J342" s="9">
        <f t="shared" si="392"/>
        <v>0</v>
      </c>
      <c r="K342" s="9">
        <f t="shared" si="393"/>
        <v>0</v>
      </c>
      <c r="L342" s="9">
        <f t="shared" si="394"/>
        <v>0</v>
      </c>
      <c r="M342" s="11">
        <f t="shared" si="400"/>
        <v>0</v>
      </c>
      <c r="N342" s="9">
        <f t="shared" si="395"/>
        <v>0</v>
      </c>
      <c r="O342" s="12">
        <f t="shared" si="396"/>
        <v>0</v>
      </c>
      <c r="P342" s="13" t="str">
        <f t="shared" si="373"/>
        <v>NO</v>
      </c>
      <c r="Q342">
        <f t="shared" si="390"/>
        <v>0</v>
      </c>
      <c r="R342">
        <f t="shared" si="397"/>
        <v>0</v>
      </c>
      <c r="S342">
        <f t="shared" si="398"/>
        <v>0</v>
      </c>
      <c r="T342" s="152">
        <v>0.4</v>
      </c>
      <c r="U342" s="159">
        <f>IF(E342="Excluido",0,T337*T342)</f>
        <v>0</v>
      </c>
      <c r="V342" s="160">
        <f t="shared" si="402"/>
        <v>0</v>
      </c>
    </row>
    <row r="343" spans="1:22" ht="15" hidden="1" customHeight="1" thickBot="1" x14ac:dyDescent="0.35">
      <c r="A343" s="34" t="s">
        <v>1326</v>
      </c>
      <c r="B343" s="36">
        <v>239</v>
      </c>
      <c r="C343" s="29" t="s">
        <v>1293</v>
      </c>
      <c r="D343" s="29" t="str">
        <f t="shared" si="399"/>
        <v>NO APLICA</v>
      </c>
      <c r="E343" s="27" t="s">
        <v>1137</v>
      </c>
      <c r="F343" s="20">
        <f t="shared" si="401"/>
        <v>0</v>
      </c>
      <c r="G343" s="21">
        <v>0</v>
      </c>
      <c r="H343" s="9">
        <f t="shared" si="391"/>
        <v>0</v>
      </c>
      <c r="I343" s="9" t="s">
        <v>1287</v>
      </c>
      <c r="J343" s="9">
        <f t="shared" si="392"/>
        <v>0</v>
      </c>
      <c r="K343" s="9">
        <f t="shared" si="393"/>
        <v>0</v>
      </c>
      <c r="L343" s="9">
        <f t="shared" si="394"/>
        <v>0</v>
      </c>
      <c r="M343" s="11">
        <f t="shared" si="400"/>
        <v>0</v>
      </c>
      <c r="N343" s="9">
        <f t="shared" si="395"/>
        <v>0</v>
      </c>
      <c r="O343" s="12">
        <f t="shared" si="396"/>
        <v>0</v>
      </c>
      <c r="P343" s="13" t="str">
        <f t="shared" si="373"/>
        <v>NO</v>
      </c>
      <c r="Q343">
        <f t="shared" si="390"/>
        <v>0</v>
      </c>
      <c r="R343">
        <f t="shared" si="397"/>
        <v>0</v>
      </c>
      <c r="S343">
        <f t="shared" si="398"/>
        <v>0</v>
      </c>
      <c r="T343" s="143">
        <f>SUM(T338:T342)</f>
        <v>1</v>
      </c>
      <c r="U343" s="144">
        <f>SUM(U338:U342)</f>
        <v>0</v>
      </c>
      <c r="V343" s="145">
        <f>SUM(V338:V342)</f>
        <v>0</v>
      </c>
    </row>
    <row r="344" spans="1:22" s="18" customFormat="1" ht="15" hidden="1" customHeight="1" x14ac:dyDescent="0.3">
      <c r="A344" s="24"/>
      <c r="B344" s="26"/>
      <c r="C344" s="15" t="s">
        <v>1177</v>
      </c>
      <c r="D344" s="38" t="str">
        <f>D343</f>
        <v>NO APLICA</v>
      </c>
      <c r="E344" s="38"/>
      <c r="F344" s="16">
        <f>SUMIF(E338:E343,"Adicional",F338:F343)</f>
        <v>0</v>
      </c>
      <c r="G344" s="17"/>
      <c r="H344" s="16">
        <f>SUM(H338:H343)</f>
        <v>0</v>
      </c>
      <c r="I344" s="16"/>
      <c r="J344" s="16">
        <f t="shared" ref="J344:L344" si="403">SUM(J338:J343)</f>
        <v>0</v>
      </c>
      <c r="K344" s="16">
        <f t="shared" si="403"/>
        <v>0</v>
      </c>
      <c r="L344" s="16">
        <f t="shared" si="403"/>
        <v>0</v>
      </c>
      <c r="M344" s="16" t="s">
        <v>1178</v>
      </c>
      <c r="N344" s="16">
        <f t="shared" ref="N344:O344" si="404">SUM(N338:N343)</f>
        <v>0</v>
      </c>
      <c r="O344" s="84">
        <f t="shared" si="404"/>
        <v>0</v>
      </c>
      <c r="P344" s="13" t="str">
        <f t="shared" si="373"/>
        <v>NO</v>
      </c>
      <c r="Q344">
        <f>IF(D344="INCLUIDO",IF(H344&lt;&gt;0,1,0),0)</f>
        <v>0</v>
      </c>
    </row>
    <row r="345" spans="1:22" ht="15" hidden="1" customHeight="1" x14ac:dyDescent="0.3">
      <c r="A345" s="82">
        <v>912</v>
      </c>
      <c r="B345" s="33">
        <v>1</v>
      </c>
      <c r="C345" s="19" t="s">
        <v>1380</v>
      </c>
      <c r="D345" s="23" t="str">
        <f>'Ramo Comercial'!C175</f>
        <v>NO APLICA</v>
      </c>
      <c r="E345" s="91"/>
      <c r="F345" s="28"/>
      <c r="G345" s="28"/>
      <c r="H345" s="28"/>
      <c r="I345" s="28"/>
      <c r="J345" s="28"/>
      <c r="K345" s="28"/>
      <c r="L345" s="28"/>
      <c r="M345" s="68">
        <v>0</v>
      </c>
      <c r="N345" s="28"/>
      <c r="O345" s="83"/>
      <c r="P345" s="13" t="str">
        <f t="shared" si="373"/>
        <v>NO</v>
      </c>
      <c r="Q345" s="47">
        <f>IF(D345="INCLUIDO",IF(F346&lt;&gt;0,1,0),0)</f>
        <v>0</v>
      </c>
    </row>
    <row r="346" spans="1:22" ht="15" hidden="1" customHeight="1" x14ac:dyDescent="0.3">
      <c r="A346" s="34" t="s">
        <v>1381</v>
      </c>
      <c r="B346" s="36">
        <v>190</v>
      </c>
      <c r="C346" s="29" t="s">
        <v>1380</v>
      </c>
      <c r="D346" s="29" t="str">
        <f>$D$345</f>
        <v>NO APLICA</v>
      </c>
      <c r="E346" s="27" t="s">
        <v>1152</v>
      </c>
      <c r="F346" s="43">
        <v>0</v>
      </c>
      <c r="G346" s="21">
        <v>0</v>
      </c>
      <c r="H346" s="9">
        <f t="shared" ref="H346:H349" si="405">(IF(I346="$ Prima",G346,G346*F346/R346))*$U$9</f>
        <v>0</v>
      </c>
      <c r="I346" s="9" t="s">
        <v>1287</v>
      </c>
      <c r="J346" s="9">
        <f t="shared" ref="J346:J349" si="406">H346*$U$7</f>
        <v>0</v>
      </c>
      <c r="K346" s="9">
        <f t="shared" ref="K346:K349" si="407">(H346+J346)*$K$15</f>
        <v>0</v>
      </c>
      <c r="L346" s="9">
        <f t="shared" ref="L346:L349" si="408">ROUND(H346+J346+K346,2)</f>
        <v>0</v>
      </c>
      <c r="M346" s="11">
        <f>$M$345</f>
        <v>0</v>
      </c>
      <c r="N346" s="9">
        <f t="shared" ref="N346:N349" si="409">H346*M346</f>
        <v>0</v>
      </c>
      <c r="O346" s="12">
        <f t="shared" ref="O346:O349" si="410">N346</f>
        <v>0</v>
      </c>
      <c r="P346" s="13" t="str">
        <f t="shared" si="373"/>
        <v>NO</v>
      </c>
      <c r="Q346">
        <f t="shared" ref="Q346:Q349" si="411">IF(D346="INCLUIDO",IF(F346&lt;&gt;0,1,0),0)</f>
        <v>0</v>
      </c>
      <c r="R346">
        <f t="shared" ref="R346:R349" si="412">IF(I346="%o Al Millar",1000,IF(I346="% Al Porciento",100,IF(I346="$ Prima",G346)))</f>
        <v>0</v>
      </c>
      <c r="S346">
        <f t="shared" ref="S346:S349" si="413">IF(E346="Excluido",0,IF(D346="NO APLICA",0,1))</f>
        <v>0</v>
      </c>
    </row>
    <row r="347" spans="1:22" ht="15" hidden="1" customHeight="1" x14ac:dyDescent="0.3">
      <c r="A347" s="34" t="s">
        <v>1381</v>
      </c>
      <c r="B347" s="36">
        <v>306</v>
      </c>
      <c r="C347" s="29" t="s">
        <v>1382</v>
      </c>
      <c r="D347" s="29" t="str">
        <f>$D$345</f>
        <v>NO APLICA</v>
      </c>
      <c r="E347" s="27" t="s">
        <v>1152</v>
      </c>
      <c r="F347" s="43">
        <v>0</v>
      </c>
      <c r="G347" s="21">
        <v>0</v>
      </c>
      <c r="H347" s="9">
        <f t="shared" si="405"/>
        <v>0</v>
      </c>
      <c r="I347" s="9" t="s">
        <v>1287</v>
      </c>
      <c r="J347" s="9">
        <f t="shared" si="406"/>
        <v>0</v>
      </c>
      <c r="K347" s="9">
        <f t="shared" si="407"/>
        <v>0</v>
      </c>
      <c r="L347" s="9">
        <f t="shared" si="408"/>
        <v>0</v>
      </c>
      <c r="M347" s="11">
        <f t="shared" ref="M347:M349" si="414">$M$345</f>
        <v>0</v>
      </c>
      <c r="N347" s="9">
        <f t="shared" si="409"/>
        <v>0</v>
      </c>
      <c r="O347" s="12">
        <f t="shared" si="410"/>
        <v>0</v>
      </c>
      <c r="P347" s="13" t="str">
        <f t="shared" si="373"/>
        <v>NO</v>
      </c>
      <c r="Q347">
        <f t="shared" si="411"/>
        <v>0</v>
      </c>
      <c r="R347">
        <f t="shared" si="412"/>
        <v>0</v>
      </c>
      <c r="S347">
        <f t="shared" si="413"/>
        <v>0</v>
      </c>
    </row>
    <row r="348" spans="1:22" ht="15" hidden="1" customHeight="1" x14ac:dyDescent="0.3">
      <c r="A348" s="34" t="s">
        <v>1381</v>
      </c>
      <c r="B348" s="36">
        <v>307</v>
      </c>
      <c r="C348" s="29" t="s">
        <v>1383</v>
      </c>
      <c r="D348" s="29" t="str">
        <f t="shared" ref="D348:D349" si="415">$D$345</f>
        <v>NO APLICA</v>
      </c>
      <c r="E348" s="27" t="s">
        <v>1152</v>
      </c>
      <c r="F348" s="43">
        <v>0</v>
      </c>
      <c r="G348" s="21">
        <v>0</v>
      </c>
      <c r="H348" s="9">
        <f t="shared" si="405"/>
        <v>0</v>
      </c>
      <c r="I348" s="9" t="s">
        <v>1287</v>
      </c>
      <c r="J348" s="9">
        <f t="shared" si="406"/>
        <v>0</v>
      </c>
      <c r="K348" s="9">
        <f t="shared" si="407"/>
        <v>0</v>
      </c>
      <c r="L348" s="9">
        <f t="shared" si="408"/>
        <v>0</v>
      </c>
      <c r="M348" s="11">
        <f t="shared" si="414"/>
        <v>0</v>
      </c>
      <c r="N348" s="9">
        <f t="shared" si="409"/>
        <v>0</v>
      </c>
      <c r="O348" s="12">
        <f t="shared" si="410"/>
        <v>0</v>
      </c>
      <c r="P348" s="13" t="str">
        <f t="shared" si="373"/>
        <v>NO</v>
      </c>
      <c r="Q348">
        <f t="shared" si="411"/>
        <v>0</v>
      </c>
      <c r="R348">
        <f t="shared" si="412"/>
        <v>0</v>
      </c>
      <c r="S348">
        <f t="shared" si="413"/>
        <v>0</v>
      </c>
    </row>
    <row r="349" spans="1:22" ht="15" hidden="1" customHeight="1" x14ac:dyDescent="0.3">
      <c r="A349" s="34" t="s">
        <v>1381</v>
      </c>
      <c r="B349" s="36">
        <v>254</v>
      </c>
      <c r="C349" s="29" t="s">
        <v>1293</v>
      </c>
      <c r="D349" s="29" t="str">
        <f t="shared" si="415"/>
        <v>NO APLICA</v>
      </c>
      <c r="E349" s="27" t="s">
        <v>1137</v>
      </c>
      <c r="F349" s="20">
        <f>(F346+F347+F348)*S349</f>
        <v>0</v>
      </c>
      <c r="G349" s="21">
        <v>0</v>
      </c>
      <c r="H349" s="9">
        <f t="shared" si="405"/>
        <v>0</v>
      </c>
      <c r="I349" s="9" t="s">
        <v>1287</v>
      </c>
      <c r="J349" s="9">
        <f t="shared" si="406"/>
        <v>0</v>
      </c>
      <c r="K349" s="9">
        <f t="shared" si="407"/>
        <v>0</v>
      </c>
      <c r="L349" s="9">
        <f t="shared" si="408"/>
        <v>0</v>
      </c>
      <c r="M349" s="11">
        <f t="shared" si="414"/>
        <v>0</v>
      </c>
      <c r="N349" s="9">
        <f t="shared" si="409"/>
        <v>0</v>
      </c>
      <c r="O349" s="12">
        <f t="shared" si="410"/>
        <v>0</v>
      </c>
      <c r="P349" s="13" t="str">
        <f t="shared" si="373"/>
        <v>NO</v>
      </c>
      <c r="Q349">
        <f t="shared" si="411"/>
        <v>0</v>
      </c>
      <c r="R349">
        <f t="shared" si="412"/>
        <v>0</v>
      </c>
      <c r="S349">
        <f t="shared" si="413"/>
        <v>0</v>
      </c>
    </row>
    <row r="350" spans="1:22" s="18" customFormat="1" ht="15" hidden="1" customHeight="1" x14ac:dyDescent="0.3">
      <c r="A350" s="24"/>
      <c r="B350" s="26"/>
      <c r="C350" s="15" t="s">
        <v>1177</v>
      </c>
      <c r="D350" s="38" t="str">
        <f>D349</f>
        <v>NO APLICA</v>
      </c>
      <c r="E350" s="38"/>
      <c r="F350" s="16">
        <f>SUMIF(E346:E349,"Adicional",F346:F349)</f>
        <v>0</v>
      </c>
      <c r="G350" s="17"/>
      <c r="H350" s="16">
        <f>SUM(H346:H349)</f>
        <v>0</v>
      </c>
      <c r="I350" s="16"/>
      <c r="J350" s="16">
        <f>SUM(J346:J349)</f>
        <v>0</v>
      </c>
      <c r="K350" s="16">
        <f>SUM(K346:K349)</f>
        <v>0</v>
      </c>
      <c r="L350" s="16">
        <f>SUM(L346:L349)</f>
        <v>0</v>
      </c>
      <c r="M350" s="16" t="s">
        <v>1178</v>
      </c>
      <c r="N350" s="16">
        <f>SUM(N346:N349)</f>
        <v>0</v>
      </c>
      <c r="O350" s="84">
        <f>SUM(O346:O349)</f>
        <v>0</v>
      </c>
      <c r="P350" s="13" t="str">
        <f t="shared" si="373"/>
        <v>NO</v>
      </c>
      <c r="Q350">
        <f>IF(D350="INCLUIDO",IF(H350&lt;&gt;0,1,0),0)</f>
        <v>0</v>
      </c>
    </row>
    <row r="351" spans="1:22" ht="15" hidden="1" customHeight="1" x14ac:dyDescent="0.3">
      <c r="A351" s="82">
        <v>913</v>
      </c>
      <c r="B351" s="33">
        <v>1</v>
      </c>
      <c r="C351" s="19" t="s">
        <v>1384</v>
      </c>
      <c r="D351" s="23" t="str">
        <f>'Ramo Comercial'!C166</f>
        <v>NO APLICA</v>
      </c>
      <c r="E351" s="91"/>
      <c r="F351" s="28"/>
      <c r="G351" s="28"/>
      <c r="H351" s="28"/>
      <c r="I351" s="28"/>
      <c r="J351" s="28"/>
      <c r="K351" s="28"/>
      <c r="L351" s="28"/>
      <c r="M351" s="68">
        <v>0</v>
      </c>
      <c r="N351" s="28"/>
      <c r="O351" s="83"/>
      <c r="P351" s="13" t="str">
        <f t="shared" si="373"/>
        <v>NO</v>
      </c>
      <c r="Q351" s="47">
        <f>IF(D351="INCLUIDO",IF(F352&lt;&gt;0,1,0),0)</f>
        <v>0</v>
      </c>
    </row>
    <row r="352" spans="1:22" ht="15" hidden="1" customHeight="1" x14ac:dyDescent="0.3">
      <c r="A352" s="34" t="s">
        <v>1385</v>
      </c>
      <c r="B352" s="36">
        <v>191</v>
      </c>
      <c r="C352" s="29" t="s">
        <v>1384</v>
      </c>
      <c r="D352" s="29" t="str">
        <f>$D$351</f>
        <v>NO APLICA</v>
      </c>
      <c r="E352" s="27" t="s">
        <v>1152</v>
      </c>
      <c r="F352" s="43">
        <v>0</v>
      </c>
      <c r="G352" s="21">
        <v>0</v>
      </c>
      <c r="H352" s="9">
        <f t="shared" ref="H352:H362" si="416">(IF(I352="$ Prima",G352,G352*F352/R352))*$U$9</f>
        <v>0</v>
      </c>
      <c r="I352" s="9" t="s">
        <v>1235</v>
      </c>
      <c r="J352" s="9">
        <f t="shared" ref="J352:J362" si="417">H352*$U$7</f>
        <v>0</v>
      </c>
      <c r="K352" s="9">
        <f t="shared" ref="K352:K362" si="418">(H352+J352)*$K$15</f>
        <v>0</v>
      </c>
      <c r="L352" s="9">
        <f t="shared" ref="L352:L362" si="419">ROUND(H352+J352+K352,2)</f>
        <v>0</v>
      </c>
      <c r="M352" s="11">
        <f>$M$351</f>
        <v>0</v>
      </c>
      <c r="N352" s="9">
        <f t="shared" ref="N352:N362" si="420">H352*M352</f>
        <v>0</v>
      </c>
      <c r="O352" s="12">
        <f t="shared" ref="O352:O362" si="421">N352</f>
        <v>0</v>
      </c>
      <c r="P352" s="13" t="str">
        <f t="shared" si="373"/>
        <v>NO</v>
      </c>
      <c r="Q352">
        <f t="shared" ref="Q352:Q362" si="422">IF(D352="INCLUIDO",IF(F352&lt;&gt;0,1,0),0)</f>
        <v>0</v>
      </c>
      <c r="R352">
        <f t="shared" ref="R352:R362" si="423">IF(I352="%o Al Millar",1000,IF(I352="% Al Porciento",100,IF(I352="$ Prima",G352)))</f>
        <v>100</v>
      </c>
      <c r="S352">
        <f t="shared" ref="S352:S362" si="424">IF(E352="Excluido",0,IF(D352="NO APLICA",0,1))</f>
        <v>0</v>
      </c>
    </row>
    <row r="353" spans="1:19" ht="15" hidden="1" customHeight="1" x14ac:dyDescent="0.3">
      <c r="A353" s="34" t="s">
        <v>1385</v>
      </c>
      <c r="B353" s="36">
        <v>245</v>
      </c>
      <c r="C353" s="29" t="s">
        <v>1386</v>
      </c>
      <c r="D353" s="29" t="str">
        <f t="shared" ref="D353:D362" si="425">$D$351</f>
        <v>NO APLICA</v>
      </c>
      <c r="E353" s="27" t="s">
        <v>1152</v>
      </c>
      <c r="F353" s="43">
        <v>0</v>
      </c>
      <c r="G353" s="21">
        <v>0</v>
      </c>
      <c r="H353" s="9">
        <f t="shared" si="416"/>
        <v>0</v>
      </c>
      <c r="I353" s="9" t="s">
        <v>1235</v>
      </c>
      <c r="J353" s="9">
        <f t="shared" si="417"/>
        <v>0</v>
      </c>
      <c r="K353" s="9">
        <f t="shared" si="418"/>
        <v>0</v>
      </c>
      <c r="L353" s="9">
        <f t="shared" si="419"/>
        <v>0</v>
      </c>
      <c r="M353" s="11">
        <f t="shared" ref="M353:M362" si="426">$M$351</f>
        <v>0</v>
      </c>
      <c r="N353" s="9">
        <f t="shared" si="420"/>
        <v>0</v>
      </c>
      <c r="O353" s="12">
        <f t="shared" si="421"/>
        <v>0</v>
      </c>
      <c r="P353" s="13" t="str">
        <f t="shared" si="373"/>
        <v>NO</v>
      </c>
      <c r="Q353">
        <f t="shared" si="422"/>
        <v>0</v>
      </c>
      <c r="R353">
        <f t="shared" si="423"/>
        <v>100</v>
      </c>
      <c r="S353">
        <f t="shared" si="424"/>
        <v>0</v>
      </c>
    </row>
    <row r="354" spans="1:19" ht="15" hidden="1" customHeight="1" x14ac:dyDescent="0.3">
      <c r="A354" s="34" t="s">
        <v>1385</v>
      </c>
      <c r="B354" s="36">
        <v>246</v>
      </c>
      <c r="C354" s="29" t="s">
        <v>1293</v>
      </c>
      <c r="D354" s="29" t="str">
        <f t="shared" si="425"/>
        <v>NO APLICA</v>
      </c>
      <c r="E354" s="27" t="s">
        <v>1152</v>
      </c>
      <c r="F354" s="20">
        <f>(F352+F353)*S354</f>
        <v>0</v>
      </c>
      <c r="G354" s="21">
        <v>0</v>
      </c>
      <c r="H354" s="9">
        <f t="shared" si="416"/>
        <v>0</v>
      </c>
      <c r="I354" s="9" t="s">
        <v>1235</v>
      </c>
      <c r="J354" s="9">
        <f t="shared" si="417"/>
        <v>0</v>
      </c>
      <c r="K354" s="9">
        <f t="shared" si="418"/>
        <v>0</v>
      </c>
      <c r="L354" s="9">
        <f t="shared" si="419"/>
        <v>0</v>
      </c>
      <c r="M354" s="11">
        <f t="shared" si="426"/>
        <v>0</v>
      </c>
      <c r="N354" s="9">
        <f t="shared" si="420"/>
        <v>0</v>
      </c>
      <c r="O354" s="12">
        <f t="shared" si="421"/>
        <v>0</v>
      </c>
      <c r="P354" s="13" t="str">
        <f t="shared" ref="P354:P410" si="427">IF(Q354=1,"SI","NO")</f>
        <v>NO</v>
      </c>
      <c r="Q354">
        <f t="shared" si="422"/>
        <v>0</v>
      </c>
      <c r="R354">
        <f t="shared" si="423"/>
        <v>100</v>
      </c>
      <c r="S354">
        <f t="shared" si="424"/>
        <v>0</v>
      </c>
    </row>
    <row r="355" spans="1:19" ht="15" hidden="1" customHeight="1" x14ac:dyDescent="0.3">
      <c r="A355" s="34" t="s">
        <v>1385</v>
      </c>
      <c r="B355" s="36">
        <v>247</v>
      </c>
      <c r="C355" s="29" t="s">
        <v>1387</v>
      </c>
      <c r="D355" s="29" t="str">
        <f t="shared" si="425"/>
        <v>NO APLICA</v>
      </c>
      <c r="E355" s="27" t="s">
        <v>1152</v>
      </c>
      <c r="F355" s="43">
        <v>0</v>
      </c>
      <c r="G355" s="21">
        <v>0</v>
      </c>
      <c r="H355" s="9">
        <f t="shared" si="416"/>
        <v>0</v>
      </c>
      <c r="I355" s="9" t="s">
        <v>1235</v>
      </c>
      <c r="J355" s="9">
        <f t="shared" si="417"/>
        <v>0</v>
      </c>
      <c r="K355" s="9">
        <f t="shared" si="418"/>
        <v>0</v>
      </c>
      <c r="L355" s="9">
        <f t="shared" si="419"/>
        <v>0</v>
      </c>
      <c r="M355" s="11">
        <f t="shared" si="426"/>
        <v>0</v>
      </c>
      <c r="N355" s="9">
        <f t="shared" si="420"/>
        <v>0</v>
      </c>
      <c r="O355" s="12">
        <f t="shared" si="421"/>
        <v>0</v>
      </c>
      <c r="P355" s="13" t="str">
        <f t="shared" si="427"/>
        <v>NO</v>
      </c>
      <c r="Q355">
        <f t="shared" si="422"/>
        <v>0</v>
      </c>
      <c r="R355">
        <f t="shared" si="423"/>
        <v>100</v>
      </c>
      <c r="S355">
        <f t="shared" si="424"/>
        <v>0</v>
      </c>
    </row>
    <row r="356" spans="1:19" ht="15" hidden="1" customHeight="1" x14ac:dyDescent="0.3">
      <c r="A356" s="34" t="s">
        <v>1385</v>
      </c>
      <c r="B356" s="36">
        <v>248</v>
      </c>
      <c r="C356" s="29" t="s">
        <v>1388</v>
      </c>
      <c r="D356" s="29" t="str">
        <f t="shared" si="425"/>
        <v>NO APLICA</v>
      </c>
      <c r="E356" s="27" t="s">
        <v>1152</v>
      </c>
      <c r="F356" s="43">
        <v>0</v>
      </c>
      <c r="G356" s="21">
        <v>0</v>
      </c>
      <c r="H356" s="9">
        <f t="shared" si="416"/>
        <v>0</v>
      </c>
      <c r="I356" s="9" t="s">
        <v>1235</v>
      </c>
      <c r="J356" s="9">
        <f t="shared" si="417"/>
        <v>0</v>
      </c>
      <c r="K356" s="9">
        <f t="shared" si="418"/>
        <v>0</v>
      </c>
      <c r="L356" s="9">
        <f t="shared" si="419"/>
        <v>0</v>
      </c>
      <c r="M356" s="11">
        <f t="shared" si="426"/>
        <v>0</v>
      </c>
      <c r="N356" s="9">
        <f t="shared" si="420"/>
        <v>0</v>
      </c>
      <c r="O356" s="12">
        <f t="shared" si="421"/>
        <v>0</v>
      </c>
      <c r="P356" s="13" t="str">
        <f t="shared" si="427"/>
        <v>NO</v>
      </c>
      <c r="Q356">
        <f t="shared" si="422"/>
        <v>0</v>
      </c>
      <c r="R356">
        <f t="shared" si="423"/>
        <v>100</v>
      </c>
      <c r="S356">
        <f t="shared" si="424"/>
        <v>0</v>
      </c>
    </row>
    <row r="357" spans="1:19" ht="15" hidden="1" customHeight="1" x14ac:dyDescent="0.3">
      <c r="A357" s="34" t="s">
        <v>1385</v>
      </c>
      <c r="B357" s="36">
        <v>249</v>
      </c>
      <c r="C357" s="29" t="s">
        <v>1389</v>
      </c>
      <c r="D357" s="29" t="str">
        <f t="shared" si="425"/>
        <v>NO APLICA</v>
      </c>
      <c r="E357" s="27" t="s">
        <v>1152</v>
      </c>
      <c r="F357" s="43">
        <v>0</v>
      </c>
      <c r="G357" s="21">
        <v>0</v>
      </c>
      <c r="H357" s="9">
        <f t="shared" si="416"/>
        <v>0</v>
      </c>
      <c r="I357" s="9" t="s">
        <v>1235</v>
      </c>
      <c r="J357" s="9">
        <f t="shared" si="417"/>
        <v>0</v>
      </c>
      <c r="K357" s="9">
        <f t="shared" si="418"/>
        <v>0</v>
      </c>
      <c r="L357" s="9">
        <f t="shared" si="419"/>
        <v>0</v>
      </c>
      <c r="M357" s="11">
        <f t="shared" si="426"/>
        <v>0</v>
      </c>
      <c r="N357" s="9">
        <f t="shared" si="420"/>
        <v>0</v>
      </c>
      <c r="O357" s="12">
        <f t="shared" si="421"/>
        <v>0</v>
      </c>
      <c r="P357" s="13" t="str">
        <f t="shared" si="427"/>
        <v>NO</v>
      </c>
      <c r="Q357">
        <f t="shared" si="422"/>
        <v>0</v>
      </c>
      <c r="R357">
        <f t="shared" si="423"/>
        <v>100</v>
      </c>
      <c r="S357">
        <f t="shared" si="424"/>
        <v>0</v>
      </c>
    </row>
    <row r="358" spans="1:19" ht="15" hidden="1" customHeight="1" x14ac:dyDescent="0.3">
      <c r="A358" s="34" t="s">
        <v>1385</v>
      </c>
      <c r="B358" s="36">
        <v>250</v>
      </c>
      <c r="C358" s="29" t="s">
        <v>1390</v>
      </c>
      <c r="D358" s="29" t="str">
        <f t="shared" si="425"/>
        <v>NO APLICA</v>
      </c>
      <c r="E358" s="27" t="s">
        <v>1152</v>
      </c>
      <c r="F358" s="43">
        <v>0</v>
      </c>
      <c r="G358" s="21">
        <v>0</v>
      </c>
      <c r="H358" s="9">
        <f t="shared" si="416"/>
        <v>0</v>
      </c>
      <c r="I358" s="9" t="s">
        <v>1235</v>
      </c>
      <c r="J358" s="9">
        <f t="shared" si="417"/>
        <v>0</v>
      </c>
      <c r="K358" s="9">
        <f t="shared" si="418"/>
        <v>0</v>
      </c>
      <c r="L358" s="9">
        <f t="shared" si="419"/>
        <v>0</v>
      </c>
      <c r="M358" s="11">
        <f t="shared" si="426"/>
        <v>0</v>
      </c>
      <c r="N358" s="9">
        <f t="shared" si="420"/>
        <v>0</v>
      </c>
      <c r="O358" s="12">
        <f t="shared" si="421"/>
        <v>0</v>
      </c>
      <c r="P358" s="13" t="str">
        <f t="shared" si="427"/>
        <v>NO</v>
      </c>
      <c r="Q358">
        <f t="shared" si="422"/>
        <v>0</v>
      </c>
      <c r="R358">
        <f t="shared" si="423"/>
        <v>100</v>
      </c>
      <c r="S358">
        <f t="shared" si="424"/>
        <v>0</v>
      </c>
    </row>
    <row r="359" spans="1:19" ht="15" hidden="1" customHeight="1" x14ac:dyDescent="0.3">
      <c r="A359" s="34" t="s">
        <v>1385</v>
      </c>
      <c r="B359" s="36">
        <v>251</v>
      </c>
      <c r="C359" s="29" t="s">
        <v>1391</v>
      </c>
      <c r="D359" s="29" t="str">
        <f t="shared" si="425"/>
        <v>NO APLICA</v>
      </c>
      <c r="E359" s="27" t="s">
        <v>1152</v>
      </c>
      <c r="F359" s="43">
        <v>0</v>
      </c>
      <c r="G359" s="21">
        <v>0</v>
      </c>
      <c r="H359" s="9">
        <f t="shared" si="416"/>
        <v>0</v>
      </c>
      <c r="I359" s="9" t="s">
        <v>1235</v>
      </c>
      <c r="J359" s="9">
        <f t="shared" si="417"/>
        <v>0</v>
      </c>
      <c r="K359" s="9">
        <f t="shared" si="418"/>
        <v>0</v>
      </c>
      <c r="L359" s="9">
        <f t="shared" si="419"/>
        <v>0</v>
      </c>
      <c r="M359" s="11">
        <f t="shared" si="426"/>
        <v>0</v>
      </c>
      <c r="N359" s="9">
        <f t="shared" si="420"/>
        <v>0</v>
      </c>
      <c r="O359" s="12">
        <f t="shared" si="421"/>
        <v>0</v>
      </c>
      <c r="P359" s="13" t="str">
        <f t="shared" si="427"/>
        <v>NO</v>
      </c>
      <c r="Q359">
        <f t="shared" si="422"/>
        <v>0</v>
      </c>
      <c r="R359">
        <f t="shared" si="423"/>
        <v>100</v>
      </c>
      <c r="S359">
        <f t="shared" si="424"/>
        <v>0</v>
      </c>
    </row>
    <row r="360" spans="1:19" ht="15" hidden="1" customHeight="1" x14ac:dyDescent="0.3">
      <c r="A360" s="34" t="s">
        <v>1385</v>
      </c>
      <c r="B360" s="36">
        <v>252</v>
      </c>
      <c r="C360" s="29" t="s">
        <v>1392</v>
      </c>
      <c r="D360" s="29" t="str">
        <f t="shared" si="425"/>
        <v>NO APLICA</v>
      </c>
      <c r="E360" s="27" t="s">
        <v>1152</v>
      </c>
      <c r="F360" s="43">
        <v>0</v>
      </c>
      <c r="G360" s="21">
        <v>0</v>
      </c>
      <c r="H360" s="9">
        <f t="shared" si="416"/>
        <v>0</v>
      </c>
      <c r="I360" s="9" t="s">
        <v>1235</v>
      </c>
      <c r="J360" s="9">
        <f t="shared" si="417"/>
        <v>0</v>
      </c>
      <c r="K360" s="9">
        <f t="shared" si="418"/>
        <v>0</v>
      </c>
      <c r="L360" s="9">
        <f t="shared" si="419"/>
        <v>0</v>
      </c>
      <c r="M360" s="11">
        <f t="shared" si="426"/>
        <v>0</v>
      </c>
      <c r="N360" s="9">
        <f t="shared" si="420"/>
        <v>0</v>
      </c>
      <c r="O360" s="12">
        <f t="shared" si="421"/>
        <v>0</v>
      </c>
      <c r="P360" s="13" t="str">
        <f t="shared" si="427"/>
        <v>NO</v>
      </c>
      <c r="Q360">
        <f t="shared" si="422"/>
        <v>0</v>
      </c>
      <c r="R360">
        <f t="shared" si="423"/>
        <v>100</v>
      </c>
      <c r="S360">
        <f t="shared" si="424"/>
        <v>0</v>
      </c>
    </row>
    <row r="361" spans="1:19" ht="15" hidden="1" customHeight="1" x14ac:dyDescent="0.3">
      <c r="A361" s="34" t="s">
        <v>1385</v>
      </c>
      <c r="B361" s="36">
        <v>275</v>
      </c>
      <c r="C361" s="29" t="s">
        <v>1393</v>
      </c>
      <c r="D361" s="29" t="str">
        <f t="shared" si="425"/>
        <v>NO APLICA</v>
      </c>
      <c r="E361" s="27" t="s">
        <v>1152</v>
      </c>
      <c r="F361" s="43">
        <v>0</v>
      </c>
      <c r="G361" s="21">
        <v>0</v>
      </c>
      <c r="H361" s="9">
        <f t="shared" si="416"/>
        <v>0</v>
      </c>
      <c r="I361" s="9" t="s">
        <v>1235</v>
      </c>
      <c r="J361" s="9">
        <f t="shared" si="417"/>
        <v>0</v>
      </c>
      <c r="K361" s="9">
        <f t="shared" si="418"/>
        <v>0</v>
      </c>
      <c r="L361" s="9">
        <f t="shared" si="419"/>
        <v>0</v>
      </c>
      <c r="M361" s="11">
        <f t="shared" si="426"/>
        <v>0</v>
      </c>
      <c r="N361" s="9">
        <f t="shared" si="420"/>
        <v>0</v>
      </c>
      <c r="O361" s="12">
        <f t="shared" si="421"/>
        <v>0</v>
      </c>
      <c r="P361" s="13" t="str">
        <f t="shared" si="427"/>
        <v>NO</v>
      </c>
      <c r="Q361">
        <f t="shared" si="422"/>
        <v>0</v>
      </c>
      <c r="R361">
        <f t="shared" si="423"/>
        <v>100</v>
      </c>
      <c r="S361">
        <f t="shared" si="424"/>
        <v>0</v>
      </c>
    </row>
    <row r="362" spans="1:19" ht="15" hidden="1" customHeight="1" x14ac:dyDescent="0.3">
      <c r="A362" s="34" t="s">
        <v>1385</v>
      </c>
      <c r="B362" s="36">
        <v>305</v>
      </c>
      <c r="C362" s="29" t="s">
        <v>1394</v>
      </c>
      <c r="D362" s="29" t="str">
        <f t="shared" si="425"/>
        <v>NO APLICA</v>
      </c>
      <c r="E362" s="27" t="s">
        <v>1152</v>
      </c>
      <c r="F362" s="43">
        <v>0</v>
      </c>
      <c r="G362" s="21">
        <v>0</v>
      </c>
      <c r="H362" s="9">
        <f t="shared" si="416"/>
        <v>0</v>
      </c>
      <c r="I362" s="9" t="s">
        <v>1235</v>
      </c>
      <c r="J362" s="9">
        <f t="shared" si="417"/>
        <v>0</v>
      </c>
      <c r="K362" s="9">
        <f t="shared" si="418"/>
        <v>0</v>
      </c>
      <c r="L362" s="9">
        <f t="shared" si="419"/>
        <v>0</v>
      </c>
      <c r="M362" s="11">
        <f t="shared" si="426"/>
        <v>0</v>
      </c>
      <c r="N362" s="9">
        <f t="shared" si="420"/>
        <v>0</v>
      </c>
      <c r="O362" s="12">
        <f t="shared" si="421"/>
        <v>0</v>
      </c>
      <c r="P362" s="13" t="str">
        <f t="shared" si="427"/>
        <v>NO</v>
      </c>
      <c r="Q362">
        <f t="shared" si="422"/>
        <v>0</v>
      </c>
      <c r="R362">
        <f t="shared" si="423"/>
        <v>100</v>
      </c>
      <c r="S362">
        <f t="shared" si="424"/>
        <v>0</v>
      </c>
    </row>
    <row r="363" spans="1:19" s="18" customFormat="1" ht="15" hidden="1" customHeight="1" x14ac:dyDescent="0.3">
      <c r="A363" s="24"/>
      <c r="B363" s="26"/>
      <c r="C363" s="15" t="s">
        <v>1177</v>
      </c>
      <c r="D363" s="38" t="str">
        <f>D362</f>
        <v>NO APLICA</v>
      </c>
      <c r="E363" s="38"/>
      <c r="F363" s="16">
        <f>SUMIF(E352:E362,"Adicional",F352:F362)</f>
        <v>0</v>
      </c>
      <c r="G363" s="17"/>
      <c r="H363" s="16">
        <f>SUM(H352:H362)</f>
        <v>0</v>
      </c>
      <c r="I363" s="16"/>
      <c r="J363" s="16">
        <f t="shared" ref="J363:L363" si="428">SUM(J352:J362)</f>
        <v>0</v>
      </c>
      <c r="K363" s="16">
        <f t="shared" si="428"/>
        <v>0</v>
      </c>
      <c r="L363" s="16">
        <f t="shared" si="428"/>
        <v>0</v>
      </c>
      <c r="M363" s="16" t="s">
        <v>1178</v>
      </c>
      <c r="N363" s="16">
        <f t="shared" ref="N363:O363" si="429">SUM(N352:N362)</f>
        <v>0</v>
      </c>
      <c r="O363" s="84">
        <f t="shared" si="429"/>
        <v>0</v>
      </c>
      <c r="P363" s="13" t="str">
        <f t="shared" si="427"/>
        <v>NO</v>
      </c>
      <c r="Q363">
        <f>IF(D363="INCLUIDO",IF(H363&lt;&gt;0,1,0),0)</f>
        <v>0</v>
      </c>
    </row>
    <row r="364" spans="1:19" ht="21" hidden="1" customHeight="1" x14ac:dyDescent="0.3">
      <c r="A364" s="82">
        <v>913</v>
      </c>
      <c r="B364" s="33">
        <v>2</v>
      </c>
      <c r="C364" s="19" t="s">
        <v>1395</v>
      </c>
      <c r="D364" s="23" t="str">
        <f>'Ramo Comercial'!C167</f>
        <v>NO APLICA</v>
      </c>
      <c r="E364" s="91"/>
      <c r="F364" s="28"/>
      <c r="G364" s="28"/>
      <c r="H364" s="28"/>
      <c r="I364" s="28"/>
      <c r="J364" s="28"/>
      <c r="K364" s="28"/>
      <c r="L364" s="28"/>
      <c r="M364" s="68">
        <v>0</v>
      </c>
      <c r="N364" s="28"/>
      <c r="O364" s="83"/>
      <c r="P364" s="13" t="str">
        <f t="shared" si="427"/>
        <v>NO</v>
      </c>
      <c r="Q364" s="47">
        <f>IF(D364="INCLUIDO",IF(F365&lt;&gt;0,1,0),0)</f>
        <v>0</v>
      </c>
    </row>
    <row r="365" spans="1:19" ht="15" hidden="1" customHeight="1" x14ac:dyDescent="0.3">
      <c r="A365" s="34" t="s">
        <v>1385</v>
      </c>
      <c r="B365" s="36">
        <v>192</v>
      </c>
      <c r="C365" s="29" t="s">
        <v>1396</v>
      </c>
      <c r="D365" s="29" t="str">
        <f>$D$364</f>
        <v>NO APLICA</v>
      </c>
      <c r="E365" s="27" t="s">
        <v>1152</v>
      </c>
      <c r="F365" s="43">
        <v>0</v>
      </c>
      <c r="G365" s="21">
        <v>0</v>
      </c>
      <c r="H365" s="9">
        <f t="shared" ref="H365:H368" si="430">(IF(I365="$ Prima",G365,G365*F365/R365))*$U$9</f>
        <v>0</v>
      </c>
      <c r="I365" s="9" t="s">
        <v>1235</v>
      </c>
      <c r="J365" s="9">
        <f t="shared" ref="J365:J368" si="431">H365*$U$7</f>
        <v>0</v>
      </c>
      <c r="K365" s="9">
        <f t="shared" ref="K365:K368" si="432">(H365+J365)*$K$15</f>
        <v>0</v>
      </c>
      <c r="L365" s="9">
        <f t="shared" ref="L365:L368" si="433">ROUND(H365+J365+K365,2)</f>
        <v>0</v>
      </c>
      <c r="M365" s="11">
        <f>$M$364</f>
        <v>0</v>
      </c>
      <c r="N365" s="9">
        <f t="shared" ref="N365:N368" si="434">H365*M365</f>
        <v>0</v>
      </c>
      <c r="O365" s="12">
        <f t="shared" ref="O365:O368" si="435">N365</f>
        <v>0</v>
      </c>
      <c r="P365" s="13" t="str">
        <f t="shared" si="427"/>
        <v>NO</v>
      </c>
      <c r="Q365">
        <f>IF(D365="INCLUIDO",IF(F365&lt;&gt;0,1,0),0)</f>
        <v>0</v>
      </c>
      <c r="R365">
        <f>IF(I365="%o Al Millar",1000,IF(I365="% Al Porciento",100,IF(I365="$ Prima",G365)))</f>
        <v>100</v>
      </c>
      <c r="S365">
        <f t="shared" ref="S365:S368" si="436">IF(E365="Excluido",0,IF(D365="NO APLICA",0,1))</f>
        <v>0</v>
      </c>
    </row>
    <row r="366" spans="1:19" ht="22.5" hidden="1" customHeight="1" x14ac:dyDescent="0.3">
      <c r="A366" s="34" t="s">
        <v>1385</v>
      </c>
      <c r="B366" s="36">
        <v>193</v>
      </c>
      <c r="C366" s="29" t="s">
        <v>1397</v>
      </c>
      <c r="D366" s="29" t="str">
        <f t="shared" ref="D366:D368" si="437">$D$364</f>
        <v>NO APLICA</v>
      </c>
      <c r="E366" s="27" t="s">
        <v>1152</v>
      </c>
      <c r="F366" s="43">
        <v>0</v>
      </c>
      <c r="G366" s="21">
        <v>0</v>
      </c>
      <c r="H366" s="9">
        <f t="shared" si="430"/>
        <v>0</v>
      </c>
      <c r="I366" s="9" t="s">
        <v>1235</v>
      </c>
      <c r="J366" s="9">
        <f t="shared" si="431"/>
        <v>0</v>
      </c>
      <c r="K366" s="9">
        <f t="shared" si="432"/>
        <v>0</v>
      </c>
      <c r="L366" s="9">
        <f t="shared" si="433"/>
        <v>0</v>
      </c>
      <c r="M366" s="11">
        <f t="shared" ref="M366:M368" si="438">$M$364</f>
        <v>0</v>
      </c>
      <c r="N366" s="9">
        <f t="shared" si="434"/>
        <v>0</v>
      </c>
      <c r="O366" s="12">
        <f t="shared" si="435"/>
        <v>0</v>
      </c>
      <c r="P366" s="13" t="str">
        <f t="shared" si="427"/>
        <v>NO</v>
      </c>
      <c r="Q366">
        <f>IF(D366="INCLUIDO",IF(F366&lt;&gt;0,1,0),0)</f>
        <v>0</v>
      </c>
      <c r="R366">
        <f>IF(I366="%o Al Millar",1000,IF(I366="% Al Porciento",100,IF(I366="$ Prima",G366)))</f>
        <v>100</v>
      </c>
      <c r="S366">
        <f t="shared" si="436"/>
        <v>0</v>
      </c>
    </row>
    <row r="367" spans="1:19" ht="15" hidden="1" customHeight="1" x14ac:dyDescent="0.3">
      <c r="A367" s="34" t="s">
        <v>1385</v>
      </c>
      <c r="B367" s="36">
        <v>194</v>
      </c>
      <c r="C367" s="29" t="s">
        <v>1398</v>
      </c>
      <c r="D367" s="29" t="str">
        <f t="shared" si="437"/>
        <v>NO APLICA</v>
      </c>
      <c r="E367" s="27" t="s">
        <v>1152</v>
      </c>
      <c r="F367" s="43">
        <v>0</v>
      </c>
      <c r="G367" s="21">
        <v>0</v>
      </c>
      <c r="H367" s="9">
        <f t="shared" si="430"/>
        <v>0</v>
      </c>
      <c r="I367" s="9" t="s">
        <v>1235</v>
      </c>
      <c r="J367" s="9">
        <f t="shared" si="431"/>
        <v>0</v>
      </c>
      <c r="K367" s="9">
        <f t="shared" si="432"/>
        <v>0</v>
      </c>
      <c r="L367" s="9">
        <f t="shared" si="433"/>
        <v>0</v>
      </c>
      <c r="M367" s="11">
        <f t="shared" si="438"/>
        <v>0</v>
      </c>
      <c r="N367" s="9">
        <f t="shared" si="434"/>
        <v>0</v>
      </c>
      <c r="O367" s="12">
        <f t="shared" si="435"/>
        <v>0</v>
      </c>
      <c r="P367" s="13" t="str">
        <f t="shared" si="427"/>
        <v>NO</v>
      </c>
      <c r="Q367">
        <f>IF(D367="INCLUIDO",IF(F367&lt;&gt;0,1,0),0)</f>
        <v>0</v>
      </c>
      <c r="R367">
        <f>IF(I367="%o Al Millar",1000,IF(I367="% Al Porciento",100,IF(I367="$ Prima",G367)))</f>
        <v>100</v>
      </c>
      <c r="S367">
        <f t="shared" si="436"/>
        <v>0</v>
      </c>
    </row>
    <row r="368" spans="1:19" ht="15" hidden="1" customHeight="1" x14ac:dyDescent="0.3">
      <c r="A368" s="34" t="s">
        <v>1385</v>
      </c>
      <c r="B368" s="36">
        <v>253</v>
      </c>
      <c r="C368" s="29" t="s">
        <v>1293</v>
      </c>
      <c r="D368" s="29" t="str">
        <f t="shared" si="437"/>
        <v>NO APLICA</v>
      </c>
      <c r="E368" s="27" t="s">
        <v>1152</v>
      </c>
      <c r="F368" s="20">
        <f>(F365+F366+F367)*1</f>
        <v>0</v>
      </c>
      <c r="G368" s="21">
        <v>0</v>
      </c>
      <c r="H368" s="9">
        <f t="shared" si="430"/>
        <v>0</v>
      </c>
      <c r="I368" s="9" t="s">
        <v>1235</v>
      </c>
      <c r="J368" s="9">
        <f t="shared" si="431"/>
        <v>0</v>
      </c>
      <c r="K368" s="9">
        <f t="shared" si="432"/>
        <v>0</v>
      </c>
      <c r="L368" s="9">
        <f t="shared" si="433"/>
        <v>0</v>
      </c>
      <c r="M368" s="11">
        <f t="shared" si="438"/>
        <v>0</v>
      </c>
      <c r="N368" s="9">
        <f t="shared" si="434"/>
        <v>0</v>
      </c>
      <c r="O368" s="12">
        <f t="shared" si="435"/>
        <v>0</v>
      </c>
      <c r="P368" s="13" t="str">
        <f t="shared" si="427"/>
        <v>NO</v>
      </c>
      <c r="Q368">
        <f>IF(D368="INCLUIDO",IF(F368&lt;&gt;0,1,0),0)</f>
        <v>0</v>
      </c>
      <c r="R368">
        <f>IF(I368="%o Al Millar",1000,IF(I368="% Al Porciento",100,IF(I368="$ Prima",G368)))</f>
        <v>100</v>
      </c>
      <c r="S368">
        <f t="shared" si="436"/>
        <v>0</v>
      </c>
    </row>
    <row r="369" spans="1:22" s="18" customFormat="1" ht="15" hidden="1" customHeight="1" thickBot="1" x14ac:dyDescent="0.35">
      <c r="A369" s="24"/>
      <c r="B369" s="26"/>
      <c r="C369" s="15" t="s">
        <v>1177</v>
      </c>
      <c r="D369" s="38" t="str">
        <f>D368</f>
        <v>NO APLICA</v>
      </c>
      <c r="E369" s="38"/>
      <c r="F369" s="16">
        <f>SUMIF(E365:E368,"Adicional",F365:F368)</f>
        <v>0</v>
      </c>
      <c r="G369" s="17"/>
      <c r="H369" s="16">
        <f>SUM(H365:H368)</f>
        <v>0</v>
      </c>
      <c r="I369" s="16"/>
      <c r="J369" s="16">
        <f t="shared" ref="J369:L369" si="439">SUM(J365:J368)</f>
        <v>0</v>
      </c>
      <c r="K369" s="16">
        <f t="shared" si="439"/>
        <v>0</v>
      </c>
      <c r="L369" s="16">
        <f t="shared" si="439"/>
        <v>0</v>
      </c>
      <c r="M369" s="16" t="s">
        <v>1178</v>
      </c>
      <c r="N369" s="16">
        <f t="shared" ref="N369:O369" si="440">SUM(N365:N368)</f>
        <v>0</v>
      </c>
      <c r="O369" s="84">
        <f t="shared" si="440"/>
        <v>0</v>
      </c>
      <c r="P369" s="13" t="str">
        <f t="shared" si="427"/>
        <v>NO</v>
      </c>
      <c r="Q369">
        <f>IF(D369="INCLUIDO",IF(H369&lt;&gt;0,1,0),0)</f>
        <v>0</v>
      </c>
    </row>
    <row r="370" spans="1:22" ht="15" hidden="1" customHeight="1" thickBot="1" x14ac:dyDescent="0.35">
      <c r="A370" s="82">
        <v>914</v>
      </c>
      <c r="B370" s="33">
        <v>1</v>
      </c>
      <c r="C370" s="19" t="s">
        <v>1399</v>
      </c>
      <c r="D370" s="23" t="str">
        <f>'Ramo Comercial'!C170</f>
        <v>NO APLICA</v>
      </c>
      <c r="E370" s="91"/>
      <c r="F370" s="113">
        <v>0</v>
      </c>
      <c r="G370" s="113">
        <v>0</v>
      </c>
      <c r="H370" s="28"/>
      <c r="I370" s="28"/>
      <c r="J370" s="28"/>
      <c r="K370" s="28"/>
      <c r="L370" s="28"/>
      <c r="M370" s="68">
        <v>0</v>
      </c>
      <c r="N370" s="28"/>
      <c r="O370" s="83"/>
      <c r="P370" s="13" t="str">
        <f t="shared" si="427"/>
        <v>NO</v>
      </c>
      <c r="Q370" s="48">
        <f t="shared" ref="Q370:Q378" si="441">IF(D370="INCLUIDO",IF(F370&lt;&gt;0,1,0),0)</f>
        <v>0</v>
      </c>
      <c r="T370" s="149">
        <f>G370</f>
        <v>0</v>
      </c>
      <c r="U370" s="150"/>
      <c r="V370" s="151"/>
    </row>
    <row r="371" spans="1:22" ht="15" hidden="1" customHeight="1" x14ac:dyDescent="0.3">
      <c r="A371" s="34" t="s">
        <v>1400</v>
      </c>
      <c r="B371" s="36">
        <v>196</v>
      </c>
      <c r="C371" s="29" t="s">
        <v>1401</v>
      </c>
      <c r="D371" s="29" t="str">
        <f>$D$370</f>
        <v>NO APLICA</v>
      </c>
      <c r="E371" s="27" t="s">
        <v>1152</v>
      </c>
      <c r="F371" s="20">
        <f>$F$370*S371</f>
        <v>0</v>
      </c>
      <c r="G371" s="21">
        <f>V371</f>
        <v>0</v>
      </c>
      <c r="H371" s="9">
        <f t="shared" ref="H371:H378" si="442">(IF(I371="$ Prima",G371,G371*F371/R371))*$U$9</f>
        <v>0</v>
      </c>
      <c r="I371" s="9" t="s">
        <v>1235</v>
      </c>
      <c r="J371" s="9">
        <f t="shared" ref="J371:J378" si="443">H371*$U$7</f>
        <v>0</v>
      </c>
      <c r="K371" s="9">
        <f t="shared" ref="K371:K378" si="444">(H371+J371)*$K$15</f>
        <v>0</v>
      </c>
      <c r="L371" s="9">
        <f t="shared" ref="L371:L378" si="445">ROUND(H371+J371+K371,2)</f>
        <v>0</v>
      </c>
      <c r="M371" s="11">
        <f>$M$370</f>
        <v>0</v>
      </c>
      <c r="N371" s="9">
        <f t="shared" ref="N371:N378" si="446">H371*M371</f>
        <v>0</v>
      </c>
      <c r="O371" s="12">
        <f t="shared" ref="O371:O378" si="447">N371</f>
        <v>0</v>
      </c>
      <c r="P371" s="13" t="str">
        <f t="shared" si="427"/>
        <v>NO</v>
      </c>
      <c r="Q371">
        <f t="shared" si="441"/>
        <v>0</v>
      </c>
      <c r="R371">
        <f t="shared" ref="R371:R378" si="448">IF(I371="%o Al Millar",1000,IF(I371="% Al Porciento",100,IF(I371="$ Prima",G371)))</f>
        <v>100</v>
      </c>
      <c r="S371">
        <f t="shared" ref="S371:S378" si="449">IF(E371="Excluido",0,IF(D371="NO APLICA",0,1))</f>
        <v>0</v>
      </c>
      <c r="T371" s="152">
        <v>0.25</v>
      </c>
      <c r="U371" s="159">
        <f>IF(E371="Excluido",0,$T$370*T371)</f>
        <v>0</v>
      </c>
      <c r="V371" s="160">
        <f>IF(D370="NO APLICA",0,(U379-U372-U373-U374-U376-U378)+(T370-U379))</f>
        <v>0</v>
      </c>
    </row>
    <row r="372" spans="1:22" ht="15" hidden="1" customHeight="1" x14ac:dyDescent="0.3">
      <c r="A372" s="34" t="s">
        <v>1400</v>
      </c>
      <c r="B372" s="36">
        <v>197</v>
      </c>
      <c r="C372" s="29" t="s">
        <v>1402</v>
      </c>
      <c r="D372" s="29" t="str">
        <f t="shared" ref="D372:D378" si="450">$D$370</f>
        <v>NO APLICA</v>
      </c>
      <c r="E372" s="27" t="s">
        <v>1137</v>
      </c>
      <c r="F372" s="20">
        <f>$F$371*S372</f>
        <v>0</v>
      </c>
      <c r="G372" s="21">
        <f t="shared" ref="G372:G378" si="451">V372</f>
        <v>0</v>
      </c>
      <c r="H372" s="9">
        <f t="shared" si="442"/>
        <v>0</v>
      </c>
      <c r="I372" s="9" t="s">
        <v>1235</v>
      </c>
      <c r="J372" s="9">
        <f t="shared" si="443"/>
        <v>0</v>
      </c>
      <c r="K372" s="9">
        <f t="shared" si="444"/>
        <v>0</v>
      </c>
      <c r="L372" s="9">
        <f t="shared" si="445"/>
        <v>0</v>
      </c>
      <c r="M372" s="11">
        <f t="shared" ref="M372:M378" si="452">$M$370</f>
        <v>0</v>
      </c>
      <c r="N372" s="9">
        <f t="shared" si="446"/>
        <v>0</v>
      </c>
      <c r="O372" s="12">
        <f t="shared" si="447"/>
        <v>0</v>
      </c>
      <c r="P372" s="13" t="str">
        <f t="shared" si="427"/>
        <v>NO</v>
      </c>
      <c r="Q372">
        <f t="shared" si="441"/>
        <v>0</v>
      </c>
      <c r="R372">
        <f t="shared" si="448"/>
        <v>100</v>
      </c>
      <c r="S372">
        <f t="shared" si="449"/>
        <v>0</v>
      </c>
      <c r="T372" s="152">
        <v>0.05</v>
      </c>
      <c r="U372" s="159">
        <f t="shared" ref="U372:U378" si="453">IF(E372="Excluido",0,$T$370*T372)</f>
        <v>0</v>
      </c>
      <c r="V372" s="160">
        <f>IF(F372=0,0,U372)</f>
        <v>0</v>
      </c>
    </row>
    <row r="373" spans="1:22" ht="15" hidden="1" customHeight="1" x14ac:dyDescent="0.3">
      <c r="A373" s="34" t="s">
        <v>1400</v>
      </c>
      <c r="B373" s="36">
        <v>198</v>
      </c>
      <c r="C373" s="29" t="s">
        <v>1403</v>
      </c>
      <c r="D373" s="29" t="str">
        <f t="shared" si="450"/>
        <v>NO APLICA</v>
      </c>
      <c r="E373" s="27" t="s">
        <v>1137</v>
      </c>
      <c r="F373" s="20">
        <f t="shared" ref="F373:F378" si="454">$F$371*S373</f>
        <v>0</v>
      </c>
      <c r="G373" s="21">
        <f t="shared" si="451"/>
        <v>0</v>
      </c>
      <c r="H373" s="9">
        <f t="shared" si="442"/>
        <v>0</v>
      </c>
      <c r="I373" s="9" t="s">
        <v>1235</v>
      </c>
      <c r="J373" s="9">
        <f t="shared" si="443"/>
        <v>0</v>
      </c>
      <c r="K373" s="9">
        <f t="shared" si="444"/>
        <v>0</v>
      </c>
      <c r="L373" s="9">
        <f t="shared" si="445"/>
        <v>0</v>
      </c>
      <c r="M373" s="11">
        <f t="shared" si="452"/>
        <v>0</v>
      </c>
      <c r="N373" s="9">
        <f t="shared" si="446"/>
        <v>0</v>
      </c>
      <c r="O373" s="12">
        <f t="shared" si="447"/>
        <v>0</v>
      </c>
      <c r="P373" s="13" t="str">
        <f t="shared" si="427"/>
        <v>NO</v>
      </c>
      <c r="Q373">
        <f t="shared" si="441"/>
        <v>0</v>
      </c>
      <c r="R373">
        <f t="shared" si="448"/>
        <v>100</v>
      </c>
      <c r="S373">
        <f t="shared" si="449"/>
        <v>0</v>
      </c>
      <c r="T373" s="152">
        <v>0.1</v>
      </c>
      <c r="U373" s="159">
        <f t="shared" si="453"/>
        <v>0</v>
      </c>
      <c r="V373" s="160">
        <f t="shared" ref="V373:V378" si="455">IF(F373=0,0,U373)</f>
        <v>0</v>
      </c>
    </row>
    <row r="374" spans="1:22" ht="15" hidden="1" customHeight="1" x14ac:dyDescent="0.3">
      <c r="A374" s="34" t="s">
        <v>1400</v>
      </c>
      <c r="B374" s="36">
        <v>199</v>
      </c>
      <c r="C374" s="29" t="s">
        <v>1404</v>
      </c>
      <c r="D374" s="29" t="str">
        <f t="shared" si="450"/>
        <v>NO APLICA</v>
      </c>
      <c r="E374" s="27" t="s">
        <v>1137</v>
      </c>
      <c r="F374" s="20">
        <f t="shared" si="454"/>
        <v>0</v>
      </c>
      <c r="G374" s="21">
        <f t="shared" si="451"/>
        <v>0</v>
      </c>
      <c r="H374" s="9">
        <f t="shared" si="442"/>
        <v>0</v>
      </c>
      <c r="I374" s="9" t="s">
        <v>1235</v>
      </c>
      <c r="J374" s="9">
        <f t="shared" si="443"/>
        <v>0</v>
      </c>
      <c r="K374" s="9">
        <f t="shared" si="444"/>
        <v>0</v>
      </c>
      <c r="L374" s="9">
        <f t="shared" si="445"/>
        <v>0</v>
      </c>
      <c r="M374" s="11">
        <f t="shared" si="452"/>
        <v>0</v>
      </c>
      <c r="N374" s="9">
        <f t="shared" si="446"/>
        <v>0</v>
      </c>
      <c r="O374" s="12">
        <f t="shared" si="447"/>
        <v>0</v>
      </c>
      <c r="P374" s="13" t="str">
        <f t="shared" si="427"/>
        <v>NO</v>
      </c>
      <c r="Q374">
        <f t="shared" si="441"/>
        <v>0</v>
      </c>
      <c r="R374">
        <f t="shared" si="448"/>
        <v>100</v>
      </c>
      <c r="S374">
        <f t="shared" si="449"/>
        <v>0</v>
      </c>
      <c r="T374" s="152">
        <v>0.05</v>
      </c>
      <c r="U374" s="159">
        <f t="shared" si="453"/>
        <v>0</v>
      </c>
      <c r="V374" s="160">
        <f t="shared" si="455"/>
        <v>0</v>
      </c>
    </row>
    <row r="375" spans="1:22" ht="15" hidden="1" customHeight="1" x14ac:dyDescent="0.3">
      <c r="A375" s="34" t="s">
        <v>1400</v>
      </c>
      <c r="B375" s="36">
        <v>200</v>
      </c>
      <c r="C375" s="29" t="s">
        <v>1405</v>
      </c>
      <c r="D375" s="29" t="str">
        <f t="shared" si="450"/>
        <v>NO APLICA</v>
      </c>
      <c r="E375" s="27" t="s">
        <v>1137</v>
      </c>
      <c r="F375" s="42">
        <v>0</v>
      </c>
      <c r="G375" s="113">
        <v>0</v>
      </c>
      <c r="H375" s="9">
        <f t="shared" si="442"/>
        <v>0</v>
      </c>
      <c r="I375" s="9" t="s">
        <v>1235</v>
      </c>
      <c r="J375" s="9">
        <f t="shared" si="443"/>
        <v>0</v>
      </c>
      <c r="K375" s="9">
        <f t="shared" si="444"/>
        <v>0</v>
      </c>
      <c r="L375" s="9">
        <f t="shared" si="445"/>
        <v>0</v>
      </c>
      <c r="M375" s="11">
        <f t="shared" si="452"/>
        <v>0</v>
      </c>
      <c r="N375" s="9">
        <f t="shared" si="446"/>
        <v>0</v>
      </c>
      <c r="O375" s="12">
        <f t="shared" si="447"/>
        <v>0</v>
      </c>
      <c r="P375" s="13" t="str">
        <f t="shared" si="427"/>
        <v>NO</v>
      </c>
      <c r="Q375">
        <f t="shared" si="441"/>
        <v>0</v>
      </c>
      <c r="R375">
        <f t="shared" si="448"/>
        <v>100</v>
      </c>
      <c r="S375">
        <f t="shared" si="449"/>
        <v>0</v>
      </c>
      <c r="T375" s="154"/>
      <c r="U375" s="159"/>
      <c r="V375" s="160"/>
    </row>
    <row r="376" spans="1:22" ht="15" hidden="1" customHeight="1" x14ac:dyDescent="0.3">
      <c r="A376" s="34" t="s">
        <v>1400</v>
      </c>
      <c r="B376" s="36">
        <v>201</v>
      </c>
      <c r="C376" s="29" t="s">
        <v>1110</v>
      </c>
      <c r="D376" s="29" t="str">
        <f t="shared" si="450"/>
        <v>NO APLICA</v>
      </c>
      <c r="E376" s="27" t="s">
        <v>1137</v>
      </c>
      <c r="F376" s="20">
        <f t="shared" si="454"/>
        <v>0</v>
      </c>
      <c r="G376" s="21">
        <f t="shared" si="451"/>
        <v>0</v>
      </c>
      <c r="H376" s="9">
        <f t="shared" si="442"/>
        <v>0</v>
      </c>
      <c r="I376" s="9" t="s">
        <v>1235</v>
      </c>
      <c r="J376" s="9">
        <f t="shared" si="443"/>
        <v>0</v>
      </c>
      <c r="K376" s="9">
        <f t="shared" si="444"/>
        <v>0</v>
      </c>
      <c r="L376" s="9">
        <f t="shared" si="445"/>
        <v>0</v>
      </c>
      <c r="M376" s="11">
        <f t="shared" si="452"/>
        <v>0</v>
      </c>
      <c r="N376" s="9">
        <f t="shared" si="446"/>
        <v>0</v>
      </c>
      <c r="O376" s="12">
        <f t="shared" si="447"/>
        <v>0</v>
      </c>
      <c r="P376" s="13" t="str">
        <f t="shared" si="427"/>
        <v>NO</v>
      </c>
      <c r="Q376">
        <f t="shared" si="441"/>
        <v>0</v>
      </c>
      <c r="R376">
        <f t="shared" si="448"/>
        <v>100</v>
      </c>
      <c r="S376">
        <f t="shared" si="449"/>
        <v>0</v>
      </c>
      <c r="T376" s="152">
        <v>0.5</v>
      </c>
      <c r="U376" s="159">
        <f t="shared" si="453"/>
        <v>0</v>
      </c>
      <c r="V376" s="160">
        <f t="shared" si="455"/>
        <v>0</v>
      </c>
    </row>
    <row r="377" spans="1:22" ht="15" hidden="1" customHeight="1" x14ac:dyDescent="0.3">
      <c r="A377" s="34" t="s">
        <v>1400</v>
      </c>
      <c r="B377" s="36">
        <v>202</v>
      </c>
      <c r="C377" s="29" t="s">
        <v>1406</v>
      </c>
      <c r="D377" s="29" t="str">
        <f t="shared" si="450"/>
        <v>NO APLICA</v>
      </c>
      <c r="E377" s="27" t="s">
        <v>1137</v>
      </c>
      <c r="F377" s="42">
        <v>0</v>
      </c>
      <c r="G377" s="113">
        <v>0</v>
      </c>
      <c r="H377" s="9">
        <f t="shared" si="442"/>
        <v>0</v>
      </c>
      <c r="I377" s="9" t="s">
        <v>1235</v>
      </c>
      <c r="J377" s="9">
        <f t="shared" si="443"/>
        <v>0</v>
      </c>
      <c r="K377" s="9">
        <f t="shared" si="444"/>
        <v>0</v>
      </c>
      <c r="L377" s="9">
        <f t="shared" si="445"/>
        <v>0</v>
      </c>
      <c r="M377" s="11">
        <f t="shared" si="452"/>
        <v>0</v>
      </c>
      <c r="N377" s="9">
        <f t="shared" si="446"/>
        <v>0</v>
      </c>
      <c r="O377" s="12">
        <f t="shared" si="447"/>
        <v>0</v>
      </c>
      <c r="P377" s="13" t="str">
        <f t="shared" si="427"/>
        <v>NO</v>
      </c>
      <c r="Q377">
        <f t="shared" si="441"/>
        <v>0</v>
      </c>
      <c r="R377">
        <f t="shared" si="448"/>
        <v>100</v>
      </c>
      <c r="S377">
        <f t="shared" si="449"/>
        <v>0</v>
      </c>
      <c r="T377" s="152"/>
      <c r="U377" s="159"/>
      <c r="V377" s="160"/>
    </row>
    <row r="378" spans="1:22" ht="15" hidden="1" customHeight="1" thickBot="1" x14ac:dyDescent="0.35">
      <c r="A378" s="34" t="s">
        <v>1400</v>
      </c>
      <c r="B378" s="36">
        <v>195</v>
      </c>
      <c r="C378" s="29" t="s">
        <v>1262</v>
      </c>
      <c r="D378" s="29" t="str">
        <f t="shared" si="450"/>
        <v>NO APLICA</v>
      </c>
      <c r="E378" s="27" t="s">
        <v>1186</v>
      </c>
      <c r="F378" s="20">
        <f t="shared" si="454"/>
        <v>0</v>
      </c>
      <c r="G378" s="21">
        <f t="shared" si="451"/>
        <v>0</v>
      </c>
      <c r="H378" s="9">
        <f t="shared" si="442"/>
        <v>0</v>
      </c>
      <c r="I378" s="9" t="s">
        <v>1235</v>
      </c>
      <c r="J378" s="9">
        <f t="shared" si="443"/>
        <v>0</v>
      </c>
      <c r="K378" s="9">
        <f t="shared" si="444"/>
        <v>0</v>
      </c>
      <c r="L378" s="9">
        <f t="shared" si="445"/>
        <v>0</v>
      </c>
      <c r="M378" s="11">
        <f t="shared" si="452"/>
        <v>0</v>
      </c>
      <c r="N378" s="9">
        <f t="shared" si="446"/>
        <v>0</v>
      </c>
      <c r="O378" s="12">
        <f t="shared" si="447"/>
        <v>0</v>
      </c>
      <c r="P378" s="13" t="str">
        <f t="shared" si="427"/>
        <v>NO</v>
      </c>
      <c r="Q378">
        <f t="shared" si="441"/>
        <v>0</v>
      </c>
      <c r="R378">
        <f t="shared" si="448"/>
        <v>100</v>
      </c>
      <c r="S378">
        <f t="shared" si="449"/>
        <v>0</v>
      </c>
      <c r="T378" s="152">
        <v>0.05</v>
      </c>
      <c r="U378" s="159">
        <f t="shared" si="453"/>
        <v>0</v>
      </c>
      <c r="V378" s="160">
        <f t="shared" si="455"/>
        <v>0</v>
      </c>
    </row>
    <row r="379" spans="1:22" s="18" customFormat="1" ht="15" hidden="1" customHeight="1" thickBot="1" x14ac:dyDescent="0.35">
      <c r="A379" s="24"/>
      <c r="B379" s="26"/>
      <c r="C379" s="15" t="s">
        <v>1177</v>
      </c>
      <c r="D379" s="38" t="str">
        <f>D378</f>
        <v>NO APLICA</v>
      </c>
      <c r="E379" s="38"/>
      <c r="F379" s="16">
        <f>SUMIF(E371:E378,"Adicional",F371:F378)</f>
        <v>0</v>
      </c>
      <c r="G379" s="17"/>
      <c r="H379" s="16">
        <f>SUM(H371:H378)</f>
        <v>0</v>
      </c>
      <c r="I379" s="16"/>
      <c r="J379" s="16">
        <f t="shared" ref="J379:L379" si="456">SUM(J371:J378)</f>
        <v>0</v>
      </c>
      <c r="K379" s="16">
        <f t="shared" si="456"/>
        <v>0</v>
      </c>
      <c r="L379" s="16">
        <f t="shared" si="456"/>
        <v>0</v>
      </c>
      <c r="M379" s="16" t="s">
        <v>1178</v>
      </c>
      <c r="N379" s="16">
        <f t="shared" ref="N379:O379" si="457">SUM(N371:N378)</f>
        <v>0</v>
      </c>
      <c r="O379" s="84">
        <f t="shared" si="457"/>
        <v>0</v>
      </c>
      <c r="P379" s="13" t="str">
        <f t="shared" si="427"/>
        <v>NO</v>
      </c>
      <c r="Q379">
        <f>IF(D379="INCLUIDO",IF(H379&lt;&gt;0,1,0),0)</f>
        <v>0</v>
      </c>
      <c r="T379" s="143">
        <f>SUM(T371:T378)</f>
        <v>1</v>
      </c>
      <c r="U379" s="144">
        <f>SUM(U371:U378)</f>
        <v>0</v>
      </c>
      <c r="V379" s="145">
        <f>SUM(V371:V378)</f>
        <v>0</v>
      </c>
    </row>
    <row r="380" spans="1:22" ht="15" hidden="1" customHeight="1" x14ac:dyDescent="0.3">
      <c r="A380" s="82">
        <v>915</v>
      </c>
      <c r="B380" s="33">
        <v>1</v>
      </c>
      <c r="C380" s="19" t="s">
        <v>1407</v>
      </c>
      <c r="D380" s="23" t="str">
        <f>'Ramo Comercial'!C169</f>
        <v>NO APLICA</v>
      </c>
      <c r="E380" s="91"/>
      <c r="F380" s="28"/>
      <c r="G380" s="28"/>
      <c r="H380" s="28"/>
      <c r="I380" s="28"/>
      <c r="J380" s="28"/>
      <c r="K380" s="28"/>
      <c r="L380" s="28"/>
      <c r="M380" s="68">
        <v>0.2</v>
      </c>
      <c r="N380" s="28"/>
      <c r="O380" s="83"/>
      <c r="P380" s="13" t="str">
        <f t="shared" si="427"/>
        <v>NO</v>
      </c>
      <c r="Q380" s="47">
        <f>IF(D380="INCLUIDO",IF(F381&lt;&gt;0,1,0),0)</f>
        <v>0</v>
      </c>
    </row>
    <row r="381" spans="1:22" ht="15" hidden="1" customHeight="1" x14ac:dyDescent="0.3">
      <c r="A381" s="34" t="s">
        <v>1408</v>
      </c>
      <c r="B381" s="36">
        <v>203</v>
      </c>
      <c r="C381" s="29" t="s">
        <v>1409</v>
      </c>
      <c r="D381" s="29" t="str">
        <f>$D$380</f>
        <v>NO APLICA</v>
      </c>
      <c r="E381" s="27" t="s">
        <v>1152</v>
      </c>
      <c r="F381" s="43">
        <v>0</v>
      </c>
      <c r="G381" s="21">
        <v>0</v>
      </c>
      <c r="H381" s="9">
        <f t="shared" ref="H381:H393" si="458">(IF(I381="$ Prima",G381,G381*F381/R381))*$U$9</f>
        <v>0</v>
      </c>
      <c r="I381" s="9" t="s">
        <v>1287</v>
      </c>
      <c r="J381" s="9">
        <f t="shared" ref="J381:J393" si="459">H381*$U$7</f>
        <v>0</v>
      </c>
      <c r="K381" s="9">
        <f t="shared" ref="K381:K393" si="460">(H381+J381)*$K$15</f>
        <v>0</v>
      </c>
      <c r="L381" s="9">
        <f t="shared" ref="L381:L393" si="461">ROUND(H381+J381+K381,2)</f>
        <v>0</v>
      </c>
      <c r="M381" s="11">
        <f>$M$380</f>
        <v>0.2</v>
      </c>
      <c r="N381" s="9">
        <f t="shared" ref="N381:N393" si="462">H381*M381</f>
        <v>0</v>
      </c>
      <c r="O381" s="12">
        <f t="shared" ref="O381:O393" si="463">N381</f>
        <v>0</v>
      </c>
      <c r="P381" s="13" t="str">
        <f t="shared" si="427"/>
        <v>NO</v>
      </c>
      <c r="Q381">
        <f t="shared" ref="Q381:Q393" si="464">IF(D381="INCLUIDO",IF(F381&lt;&gt;0,1,0),0)</f>
        <v>0</v>
      </c>
      <c r="R381">
        <f t="shared" ref="R381:R393" si="465">IF(I381="%o Al Millar",1000,IF(I381="% Al Porciento",100,IF(I381="$ Prima",G381)))</f>
        <v>0</v>
      </c>
      <c r="S381">
        <f t="shared" ref="S381:S393" si="466">IF(E381="Excluido",0,IF(D381="NO APLICA",0,1))</f>
        <v>0</v>
      </c>
    </row>
    <row r="382" spans="1:22" ht="15" hidden="1" customHeight="1" x14ac:dyDescent="0.3">
      <c r="A382" s="34" t="s">
        <v>1408</v>
      </c>
      <c r="B382" s="36">
        <v>206</v>
      </c>
      <c r="C382" s="29" t="s">
        <v>1410</v>
      </c>
      <c r="D382" s="29" t="str">
        <f t="shared" ref="D382:D393" si="467">$D$380</f>
        <v>NO APLICA</v>
      </c>
      <c r="E382" s="27" t="s">
        <v>1152</v>
      </c>
      <c r="F382" s="43">
        <v>0</v>
      </c>
      <c r="G382" s="21">
        <v>0</v>
      </c>
      <c r="H382" s="9">
        <f t="shared" si="458"/>
        <v>0</v>
      </c>
      <c r="I382" s="9" t="s">
        <v>1287</v>
      </c>
      <c r="J382" s="9">
        <f t="shared" si="459"/>
        <v>0</v>
      </c>
      <c r="K382" s="9">
        <f t="shared" si="460"/>
        <v>0</v>
      </c>
      <c r="L382" s="9">
        <f t="shared" si="461"/>
        <v>0</v>
      </c>
      <c r="M382" s="11">
        <f t="shared" ref="M382:M393" si="468">$M$380</f>
        <v>0.2</v>
      </c>
      <c r="N382" s="9">
        <f t="shared" si="462"/>
        <v>0</v>
      </c>
      <c r="O382" s="12">
        <f t="shared" si="463"/>
        <v>0</v>
      </c>
      <c r="P382" s="13" t="str">
        <f t="shared" si="427"/>
        <v>NO</v>
      </c>
      <c r="Q382">
        <f t="shared" si="464"/>
        <v>0</v>
      </c>
      <c r="R382">
        <f t="shared" si="465"/>
        <v>0</v>
      </c>
      <c r="S382">
        <f t="shared" si="466"/>
        <v>0</v>
      </c>
    </row>
    <row r="383" spans="1:22" ht="15" hidden="1" customHeight="1" x14ac:dyDescent="0.3">
      <c r="A383" s="34" t="s">
        <v>1408</v>
      </c>
      <c r="B383" s="36">
        <v>269</v>
      </c>
      <c r="C383" s="29" t="s">
        <v>1411</v>
      </c>
      <c r="D383" s="29" t="str">
        <f t="shared" si="467"/>
        <v>NO APLICA</v>
      </c>
      <c r="E383" s="27" t="s">
        <v>1152</v>
      </c>
      <c r="F383" s="43">
        <v>0</v>
      </c>
      <c r="G383" s="21">
        <v>0</v>
      </c>
      <c r="H383" s="9">
        <f t="shared" si="458"/>
        <v>0</v>
      </c>
      <c r="I383" s="9" t="s">
        <v>1287</v>
      </c>
      <c r="J383" s="9">
        <f t="shared" si="459"/>
        <v>0</v>
      </c>
      <c r="K383" s="9">
        <f t="shared" si="460"/>
        <v>0</v>
      </c>
      <c r="L383" s="9">
        <f t="shared" si="461"/>
        <v>0</v>
      </c>
      <c r="M383" s="11">
        <f t="shared" si="468"/>
        <v>0.2</v>
      </c>
      <c r="N383" s="9">
        <f t="shared" si="462"/>
        <v>0</v>
      </c>
      <c r="O383" s="12">
        <f t="shared" si="463"/>
        <v>0</v>
      </c>
      <c r="P383" s="13" t="str">
        <f t="shared" si="427"/>
        <v>NO</v>
      </c>
      <c r="Q383">
        <f t="shared" si="464"/>
        <v>0</v>
      </c>
      <c r="R383">
        <f t="shared" si="465"/>
        <v>0</v>
      </c>
      <c r="S383">
        <f t="shared" si="466"/>
        <v>0</v>
      </c>
    </row>
    <row r="384" spans="1:22" ht="15" hidden="1" customHeight="1" x14ac:dyDescent="0.3">
      <c r="A384" s="34" t="s">
        <v>1408</v>
      </c>
      <c r="B384" s="36">
        <v>270</v>
      </c>
      <c r="C384" s="29" t="s">
        <v>1412</v>
      </c>
      <c r="D384" s="29" t="str">
        <f t="shared" si="467"/>
        <v>NO APLICA</v>
      </c>
      <c r="E384" s="27" t="s">
        <v>1152</v>
      </c>
      <c r="F384" s="43">
        <v>0</v>
      </c>
      <c r="G384" s="21">
        <v>0</v>
      </c>
      <c r="H384" s="9">
        <f t="shared" si="458"/>
        <v>0</v>
      </c>
      <c r="I384" s="9" t="s">
        <v>1287</v>
      </c>
      <c r="J384" s="9">
        <f t="shared" si="459"/>
        <v>0</v>
      </c>
      <c r="K384" s="9">
        <f t="shared" si="460"/>
        <v>0</v>
      </c>
      <c r="L384" s="9">
        <f t="shared" si="461"/>
        <v>0</v>
      </c>
      <c r="M384" s="11">
        <f t="shared" si="468"/>
        <v>0.2</v>
      </c>
      <c r="N384" s="9">
        <f t="shared" si="462"/>
        <v>0</v>
      </c>
      <c r="O384" s="12">
        <f t="shared" si="463"/>
        <v>0</v>
      </c>
      <c r="P384" s="13" t="str">
        <f t="shared" si="427"/>
        <v>NO</v>
      </c>
      <c r="Q384">
        <f t="shared" si="464"/>
        <v>0</v>
      </c>
      <c r="R384">
        <f t="shared" si="465"/>
        <v>0</v>
      </c>
      <c r="S384">
        <f t="shared" si="466"/>
        <v>0</v>
      </c>
    </row>
    <row r="385" spans="1:19" ht="15" hidden="1" customHeight="1" x14ac:dyDescent="0.3">
      <c r="A385" s="34" t="s">
        <v>1408</v>
      </c>
      <c r="B385" s="36">
        <v>204</v>
      </c>
      <c r="C385" s="29" t="s">
        <v>1413</v>
      </c>
      <c r="D385" s="29" t="str">
        <f t="shared" si="467"/>
        <v>NO APLICA</v>
      </c>
      <c r="E385" s="27" t="s">
        <v>1152</v>
      </c>
      <c r="F385" s="43">
        <v>0</v>
      </c>
      <c r="G385" s="21">
        <v>0</v>
      </c>
      <c r="H385" s="9">
        <f t="shared" si="458"/>
        <v>0</v>
      </c>
      <c r="I385" s="9" t="s">
        <v>1287</v>
      </c>
      <c r="J385" s="9">
        <f t="shared" si="459"/>
        <v>0</v>
      </c>
      <c r="K385" s="9">
        <f t="shared" si="460"/>
        <v>0</v>
      </c>
      <c r="L385" s="9">
        <f t="shared" si="461"/>
        <v>0</v>
      </c>
      <c r="M385" s="11">
        <f t="shared" si="468"/>
        <v>0.2</v>
      </c>
      <c r="N385" s="9">
        <f t="shared" si="462"/>
        <v>0</v>
      </c>
      <c r="O385" s="12">
        <f t="shared" si="463"/>
        <v>0</v>
      </c>
      <c r="P385" s="13" t="str">
        <f t="shared" si="427"/>
        <v>NO</v>
      </c>
      <c r="Q385">
        <f t="shared" si="464"/>
        <v>0</v>
      </c>
      <c r="R385">
        <f t="shared" si="465"/>
        <v>0</v>
      </c>
      <c r="S385">
        <f t="shared" si="466"/>
        <v>0</v>
      </c>
    </row>
    <row r="386" spans="1:19" ht="15" hidden="1" customHeight="1" x14ac:dyDescent="0.3">
      <c r="A386" s="34" t="s">
        <v>1408</v>
      </c>
      <c r="B386" s="36">
        <v>207</v>
      </c>
      <c r="C386" s="29" t="s">
        <v>1414</v>
      </c>
      <c r="D386" s="29" t="str">
        <f t="shared" si="467"/>
        <v>NO APLICA</v>
      </c>
      <c r="E386" s="27" t="s">
        <v>1152</v>
      </c>
      <c r="F386" s="43">
        <v>0</v>
      </c>
      <c r="G386" s="21">
        <v>0</v>
      </c>
      <c r="H386" s="9">
        <f t="shared" si="458"/>
        <v>0</v>
      </c>
      <c r="I386" s="9" t="s">
        <v>1287</v>
      </c>
      <c r="J386" s="9">
        <f t="shared" si="459"/>
        <v>0</v>
      </c>
      <c r="K386" s="9">
        <f t="shared" si="460"/>
        <v>0</v>
      </c>
      <c r="L386" s="9">
        <f t="shared" si="461"/>
        <v>0</v>
      </c>
      <c r="M386" s="11">
        <f t="shared" si="468"/>
        <v>0.2</v>
      </c>
      <c r="N386" s="9">
        <f t="shared" si="462"/>
        <v>0</v>
      </c>
      <c r="O386" s="12">
        <f t="shared" si="463"/>
        <v>0</v>
      </c>
      <c r="P386" s="13" t="str">
        <f t="shared" si="427"/>
        <v>NO</v>
      </c>
      <c r="Q386">
        <f t="shared" si="464"/>
        <v>0</v>
      </c>
      <c r="R386">
        <f t="shared" si="465"/>
        <v>0</v>
      </c>
      <c r="S386">
        <f t="shared" si="466"/>
        <v>0</v>
      </c>
    </row>
    <row r="387" spans="1:19" ht="15" hidden="1" customHeight="1" x14ac:dyDescent="0.3">
      <c r="A387" s="34" t="s">
        <v>1408</v>
      </c>
      <c r="B387" s="36">
        <v>271</v>
      </c>
      <c r="C387" s="29" t="s">
        <v>1415</v>
      </c>
      <c r="D387" s="29" t="str">
        <f t="shared" si="467"/>
        <v>NO APLICA</v>
      </c>
      <c r="E387" s="27" t="s">
        <v>1152</v>
      </c>
      <c r="F387" s="43">
        <v>0</v>
      </c>
      <c r="G387" s="21">
        <v>0</v>
      </c>
      <c r="H387" s="9">
        <f t="shared" si="458"/>
        <v>0</v>
      </c>
      <c r="I387" s="9" t="s">
        <v>1287</v>
      </c>
      <c r="J387" s="9">
        <f t="shared" si="459"/>
        <v>0</v>
      </c>
      <c r="K387" s="9">
        <f t="shared" si="460"/>
        <v>0</v>
      </c>
      <c r="L387" s="9">
        <f t="shared" si="461"/>
        <v>0</v>
      </c>
      <c r="M387" s="11">
        <f t="shared" si="468"/>
        <v>0.2</v>
      </c>
      <c r="N387" s="9">
        <f t="shared" si="462"/>
        <v>0</v>
      </c>
      <c r="O387" s="12">
        <f t="shared" si="463"/>
        <v>0</v>
      </c>
      <c r="P387" s="13" t="str">
        <f t="shared" si="427"/>
        <v>NO</v>
      </c>
      <c r="Q387">
        <f t="shared" si="464"/>
        <v>0</v>
      </c>
      <c r="R387">
        <f t="shared" si="465"/>
        <v>0</v>
      </c>
      <c r="S387">
        <f t="shared" si="466"/>
        <v>0</v>
      </c>
    </row>
    <row r="388" spans="1:19" ht="15" hidden="1" customHeight="1" x14ac:dyDescent="0.3">
      <c r="A388" s="34" t="s">
        <v>1408</v>
      </c>
      <c r="B388" s="36">
        <v>272</v>
      </c>
      <c r="C388" s="29" t="s">
        <v>1416</v>
      </c>
      <c r="D388" s="29" t="str">
        <f t="shared" si="467"/>
        <v>NO APLICA</v>
      </c>
      <c r="E388" s="27" t="s">
        <v>1152</v>
      </c>
      <c r="F388" s="43">
        <v>0</v>
      </c>
      <c r="G388" s="21">
        <v>0</v>
      </c>
      <c r="H388" s="9">
        <f t="shared" si="458"/>
        <v>0</v>
      </c>
      <c r="I388" s="9" t="s">
        <v>1287</v>
      </c>
      <c r="J388" s="9">
        <f t="shared" si="459"/>
        <v>0</v>
      </c>
      <c r="K388" s="9">
        <f t="shared" si="460"/>
        <v>0</v>
      </c>
      <c r="L388" s="9">
        <f t="shared" si="461"/>
        <v>0</v>
      </c>
      <c r="M388" s="11">
        <f t="shared" si="468"/>
        <v>0.2</v>
      </c>
      <c r="N388" s="9">
        <f t="shared" si="462"/>
        <v>0</v>
      </c>
      <c r="O388" s="12">
        <f t="shared" si="463"/>
        <v>0</v>
      </c>
      <c r="P388" s="13" t="str">
        <f t="shared" si="427"/>
        <v>NO</v>
      </c>
      <c r="Q388">
        <f t="shared" si="464"/>
        <v>0</v>
      </c>
      <c r="R388">
        <f t="shared" si="465"/>
        <v>0</v>
      </c>
      <c r="S388">
        <f t="shared" si="466"/>
        <v>0</v>
      </c>
    </row>
    <row r="389" spans="1:19" ht="15" hidden="1" customHeight="1" x14ac:dyDescent="0.3">
      <c r="A389" s="34" t="s">
        <v>1408</v>
      </c>
      <c r="B389" s="36">
        <v>205</v>
      </c>
      <c r="C389" s="29" t="s">
        <v>1417</v>
      </c>
      <c r="D389" s="29" t="str">
        <f t="shared" si="467"/>
        <v>NO APLICA</v>
      </c>
      <c r="E389" s="27" t="s">
        <v>1152</v>
      </c>
      <c r="F389" s="43">
        <v>0</v>
      </c>
      <c r="G389" s="21">
        <v>0</v>
      </c>
      <c r="H389" s="9">
        <f t="shared" si="458"/>
        <v>0</v>
      </c>
      <c r="I389" s="9" t="s">
        <v>1287</v>
      </c>
      <c r="J389" s="9">
        <f t="shared" si="459"/>
        <v>0</v>
      </c>
      <c r="K389" s="9">
        <f t="shared" si="460"/>
        <v>0</v>
      </c>
      <c r="L389" s="9">
        <f t="shared" si="461"/>
        <v>0</v>
      </c>
      <c r="M389" s="11">
        <f t="shared" si="468"/>
        <v>0.2</v>
      </c>
      <c r="N389" s="9">
        <f t="shared" si="462"/>
        <v>0</v>
      </c>
      <c r="O389" s="12">
        <f t="shared" si="463"/>
        <v>0</v>
      </c>
      <c r="P389" s="13" t="str">
        <f t="shared" si="427"/>
        <v>NO</v>
      </c>
      <c r="Q389">
        <f t="shared" si="464"/>
        <v>0</v>
      </c>
      <c r="R389">
        <f t="shared" si="465"/>
        <v>0</v>
      </c>
      <c r="S389">
        <f t="shared" si="466"/>
        <v>0</v>
      </c>
    </row>
    <row r="390" spans="1:19" ht="15" hidden="1" customHeight="1" x14ac:dyDescent="0.3">
      <c r="A390" s="34" t="s">
        <v>1408</v>
      </c>
      <c r="B390" s="36">
        <v>208</v>
      </c>
      <c r="C390" s="29" t="s">
        <v>1418</v>
      </c>
      <c r="D390" s="29" t="str">
        <f t="shared" si="467"/>
        <v>NO APLICA</v>
      </c>
      <c r="E390" s="27" t="s">
        <v>1152</v>
      </c>
      <c r="F390" s="43">
        <v>0</v>
      </c>
      <c r="G390" s="21">
        <v>0</v>
      </c>
      <c r="H390" s="9">
        <f t="shared" si="458"/>
        <v>0</v>
      </c>
      <c r="I390" s="9" t="s">
        <v>1287</v>
      </c>
      <c r="J390" s="9">
        <f t="shared" si="459"/>
        <v>0</v>
      </c>
      <c r="K390" s="9">
        <f t="shared" si="460"/>
        <v>0</v>
      </c>
      <c r="L390" s="9">
        <f t="shared" si="461"/>
        <v>0</v>
      </c>
      <c r="M390" s="11">
        <f t="shared" si="468"/>
        <v>0.2</v>
      </c>
      <c r="N390" s="9">
        <f t="shared" si="462"/>
        <v>0</v>
      </c>
      <c r="O390" s="12">
        <f t="shared" si="463"/>
        <v>0</v>
      </c>
      <c r="P390" s="13" t="str">
        <f t="shared" si="427"/>
        <v>NO</v>
      </c>
      <c r="Q390">
        <f t="shared" si="464"/>
        <v>0</v>
      </c>
      <c r="R390">
        <f t="shared" si="465"/>
        <v>0</v>
      </c>
      <c r="S390">
        <f t="shared" si="466"/>
        <v>0</v>
      </c>
    </row>
    <row r="391" spans="1:19" ht="15" hidden="1" customHeight="1" x14ac:dyDescent="0.3">
      <c r="A391" s="34" t="s">
        <v>1408</v>
      </c>
      <c r="B391" s="36">
        <v>273</v>
      </c>
      <c r="C391" s="29" t="s">
        <v>1419</v>
      </c>
      <c r="D391" s="29" t="str">
        <f t="shared" si="467"/>
        <v>NO APLICA</v>
      </c>
      <c r="E391" s="27" t="s">
        <v>1152</v>
      </c>
      <c r="F391" s="43">
        <v>0</v>
      </c>
      <c r="G391" s="21">
        <v>0</v>
      </c>
      <c r="H391" s="9">
        <f t="shared" si="458"/>
        <v>0</v>
      </c>
      <c r="I391" s="9" t="s">
        <v>1287</v>
      </c>
      <c r="J391" s="9">
        <f t="shared" si="459"/>
        <v>0</v>
      </c>
      <c r="K391" s="9">
        <f t="shared" si="460"/>
        <v>0</v>
      </c>
      <c r="L391" s="9">
        <f t="shared" si="461"/>
        <v>0</v>
      </c>
      <c r="M391" s="11">
        <f t="shared" si="468"/>
        <v>0.2</v>
      </c>
      <c r="N391" s="9">
        <f t="shared" si="462"/>
        <v>0</v>
      </c>
      <c r="O391" s="12">
        <f t="shared" si="463"/>
        <v>0</v>
      </c>
      <c r="P391" s="13" t="str">
        <f t="shared" si="427"/>
        <v>NO</v>
      </c>
      <c r="Q391">
        <f t="shared" si="464"/>
        <v>0</v>
      </c>
      <c r="R391">
        <f t="shared" si="465"/>
        <v>0</v>
      </c>
      <c r="S391">
        <f t="shared" si="466"/>
        <v>0</v>
      </c>
    </row>
    <row r="392" spans="1:19" ht="15" hidden="1" customHeight="1" x14ac:dyDescent="0.3">
      <c r="A392" s="34" t="s">
        <v>1408</v>
      </c>
      <c r="B392" s="36">
        <v>274</v>
      </c>
      <c r="C392" s="29" t="s">
        <v>1420</v>
      </c>
      <c r="D392" s="29" t="str">
        <f t="shared" si="467"/>
        <v>NO APLICA</v>
      </c>
      <c r="E392" s="27" t="s">
        <v>1152</v>
      </c>
      <c r="F392" s="43">
        <v>0</v>
      </c>
      <c r="G392" s="21">
        <v>0</v>
      </c>
      <c r="H392" s="9">
        <f t="shared" si="458"/>
        <v>0</v>
      </c>
      <c r="I392" s="9" t="s">
        <v>1287</v>
      </c>
      <c r="J392" s="9">
        <f t="shared" si="459"/>
        <v>0</v>
      </c>
      <c r="K392" s="9">
        <f t="shared" si="460"/>
        <v>0</v>
      </c>
      <c r="L392" s="9">
        <f t="shared" si="461"/>
        <v>0</v>
      </c>
      <c r="M392" s="11">
        <f t="shared" si="468"/>
        <v>0.2</v>
      </c>
      <c r="N392" s="9">
        <f t="shared" si="462"/>
        <v>0</v>
      </c>
      <c r="O392" s="12">
        <f t="shared" si="463"/>
        <v>0</v>
      </c>
      <c r="P392" s="13" t="str">
        <f t="shared" si="427"/>
        <v>NO</v>
      </c>
      <c r="Q392">
        <f t="shared" si="464"/>
        <v>0</v>
      </c>
      <c r="R392">
        <f t="shared" si="465"/>
        <v>0</v>
      </c>
      <c r="S392">
        <f t="shared" si="466"/>
        <v>0</v>
      </c>
    </row>
    <row r="393" spans="1:19" ht="15" hidden="1" customHeight="1" x14ac:dyDescent="0.3">
      <c r="A393" s="34" t="s">
        <v>1408</v>
      </c>
      <c r="B393" s="36">
        <v>255</v>
      </c>
      <c r="C393" s="29" t="s">
        <v>1293</v>
      </c>
      <c r="D393" s="29" t="str">
        <f t="shared" si="467"/>
        <v>NO APLICA</v>
      </c>
      <c r="E393" s="27" t="s">
        <v>1152</v>
      </c>
      <c r="F393" s="43">
        <v>0</v>
      </c>
      <c r="G393" s="21">
        <v>0</v>
      </c>
      <c r="H393" s="9">
        <f t="shared" si="458"/>
        <v>0</v>
      </c>
      <c r="I393" s="9" t="s">
        <v>1287</v>
      </c>
      <c r="J393" s="9">
        <f t="shared" si="459"/>
        <v>0</v>
      </c>
      <c r="K393" s="9">
        <f t="shared" si="460"/>
        <v>0</v>
      </c>
      <c r="L393" s="9">
        <f t="shared" si="461"/>
        <v>0</v>
      </c>
      <c r="M393" s="11">
        <f t="shared" si="468"/>
        <v>0.2</v>
      </c>
      <c r="N393" s="9">
        <f t="shared" si="462"/>
        <v>0</v>
      </c>
      <c r="O393" s="12">
        <f t="shared" si="463"/>
        <v>0</v>
      </c>
      <c r="P393" s="13" t="str">
        <f t="shared" si="427"/>
        <v>NO</v>
      </c>
      <c r="Q393">
        <f t="shared" si="464"/>
        <v>0</v>
      </c>
      <c r="R393">
        <f t="shared" si="465"/>
        <v>0</v>
      </c>
      <c r="S393">
        <f t="shared" si="466"/>
        <v>0</v>
      </c>
    </row>
    <row r="394" spans="1:19" s="18" customFormat="1" ht="15" hidden="1" customHeight="1" x14ac:dyDescent="0.3">
      <c r="A394" s="24"/>
      <c r="B394" s="26"/>
      <c r="C394" s="15" t="s">
        <v>1177</v>
      </c>
      <c r="D394" s="38" t="str">
        <f>D393</f>
        <v>NO APLICA</v>
      </c>
      <c r="E394" s="38"/>
      <c r="F394" s="16">
        <f>SUMIF(E381:E393,"Adicional",F381:F393)</f>
        <v>0</v>
      </c>
      <c r="G394" s="17"/>
      <c r="H394" s="16">
        <f>SUM(H381:H393)</f>
        <v>0</v>
      </c>
      <c r="I394" s="16"/>
      <c r="J394" s="16">
        <f t="shared" ref="J394:L394" si="469">SUM(J381:J393)</f>
        <v>0</v>
      </c>
      <c r="K394" s="16">
        <f t="shared" si="469"/>
        <v>0</v>
      </c>
      <c r="L394" s="16">
        <f t="shared" si="469"/>
        <v>0</v>
      </c>
      <c r="M394" s="16" t="s">
        <v>1178</v>
      </c>
      <c r="N394" s="16">
        <f t="shared" ref="N394:O394" si="470">SUM(N381:N393)</f>
        <v>0</v>
      </c>
      <c r="O394" s="84">
        <f t="shared" si="470"/>
        <v>0</v>
      </c>
      <c r="P394" s="13" t="str">
        <f t="shared" si="427"/>
        <v>NO</v>
      </c>
      <c r="Q394">
        <f>IF(D394="INCLUIDO",IF(H394&lt;&gt;0,1,0),0)</f>
        <v>0</v>
      </c>
    </row>
    <row r="395" spans="1:19" ht="15" hidden="1" customHeight="1" x14ac:dyDescent="0.3">
      <c r="A395" s="82">
        <v>916</v>
      </c>
      <c r="B395" s="33">
        <v>1</v>
      </c>
      <c r="C395" s="19" t="s">
        <v>1421</v>
      </c>
      <c r="D395" s="23" t="str">
        <f>'Ramo Comercial'!C171</f>
        <v>NO APLICA</v>
      </c>
      <c r="E395" s="91"/>
      <c r="F395" s="28"/>
      <c r="G395" s="28"/>
      <c r="H395" s="28"/>
      <c r="I395" s="28"/>
      <c r="J395" s="28"/>
      <c r="K395" s="28"/>
      <c r="L395" s="28"/>
      <c r="M395" s="68">
        <v>0</v>
      </c>
      <c r="N395" s="28"/>
      <c r="O395" s="83"/>
      <c r="P395" s="13" t="str">
        <f t="shared" si="427"/>
        <v>NO</v>
      </c>
      <c r="Q395" s="47">
        <f>IF(D395="INCLUIDO",IF(F396&lt;&gt;0,1,0),0)</f>
        <v>0</v>
      </c>
    </row>
    <row r="396" spans="1:19" ht="15" hidden="1" customHeight="1" x14ac:dyDescent="0.3">
      <c r="A396" s="34" t="s">
        <v>1422</v>
      </c>
      <c r="B396" s="36">
        <v>212</v>
      </c>
      <c r="C396" s="29" t="s">
        <v>1423</v>
      </c>
      <c r="D396" s="29" t="str">
        <f>$D$395</f>
        <v>NO APLICA</v>
      </c>
      <c r="E396" s="27" t="s">
        <v>1152</v>
      </c>
      <c r="F396" s="43">
        <v>0</v>
      </c>
      <c r="G396" s="21">
        <v>0</v>
      </c>
      <c r="H396" s="9">
        <f t="shared" ref="H396:H400" si="471">(IF(I396="$ Prima",G396,G396*F396/R396))*$U$9</f>
        <v>0</v>
      </c>
      <c r="I396" s="9" t="s">
        <v>1235</v>
      </c>
      <c r="J396" s="9">
        <f t="shared" ref="J396:J400" si="472">H396*$U$7</f>
        <v>0</v>
      </c>
      <c r="K396" s="9">
        <f t="shared" ref="K396:K400" si="473">(H396+J396)*$K$15</f>
        <v>0</v>
      </c>
      <c r="L396" s="9">
        <f t="shared" ref="L396:L400" si="474">ROUND(H396+J396+K396,2)</f>
        <v>0</v>
      </c>
      <c r="M396" s="11">
        <f>$M$395</f>
        <v>0</v>
      </c>
      <c r="N396" s="9">
        <f t="shared" ref="N396:N400" si="475">H396*M396</f>
        <v>0</v>
      </c>
      <c r="O396" s="12">
        <f t="shared" ref="O396:O400" si="476">N396</f>
        <v>0</v>
      </c>
      <c r="P396" s="13" t="str">
        <f t="shared" si="427"/>
        <v>NO</v>
      </c>
      <c r="Q396">
        <f>IF(D396="INCLUIDO",IF(F396&lt;&gt;0,1,0),0)</f>
        <v>0</v>
      </c>
      <c r="R396">
        <f>IF(I396="%o Al Millar",1000,IF(I396="% Al Porciento",100,IF(I396="$ Prima",G396)))</f>
        <v>100</v>
      </c>
      <c r="S396">
        <f t="shared" ref="S396:S400" si="477">IF(E396="Excluido",0,IF(D396="NO APLICA",0,1))</f>
        <v>0</v>
      </c>
    </row>
    <row r="397" spans="1:19" ht="15" hidden="1" customHeight="1" x14ac:dyDescent="0.3">
      <c r="A397" s="34" t="s">
        <v>1422</v>
      </c>
      <c r="B397" s="36">
        <v>211</v>
      </c>
      <c r="C397" s="29" t="s">
        <v>1424</v>
      </c>
      <c r="D397" s="29" t="str">
        <f t="shared" ref="D397:D400" si="478">$D$395</f>
        <v>NO APLICA</v>
      </c>
      <c r="E397" s="27" t="s">
        <v>1137</v>
      </c>
      <c r="F397" s="43">
        <v>0</v>
      </c>
      <c r="G397" s="21">
        <v>0</v>
      </c>
      <c r="H397" s="9">
        <f t="shared" si="471"/>
        <v>0</v>
      </c>
      <c r="I397" s="9" t="s">
        <v>1235</v>
      </c>
      <c r="J397" s="9">
        <f t="shared" si="472"/>
        <v>0</v>
      </c>
      <c r="K397" s="9">
        <f t="shared" si="473"/>
        <v>0</v>
      </c>
      <c r="L397" s="9">
        <f t="shared" si="474"/>
        <v>0</v>
      </c>
      <c r="M397" s="11">
        <f t="shared" ref="M397:M400" si="479">$M$395</f>
        <v>0</v>
      </c>
      <c r="N397" s="9">
        <f t="shared" si="475"/>
        <v>0</v>
      </c>
      <c r="O397" s="12">
        <f t="shared" si="476"/>
        <v>0</v>
      </c>
      <c r="P397" s="13" t="str">
        <f t="shared" si="427"/>
        <v>NO</v>
      </c>
      <c r="Q397">
        <f>IF(D397="INCLUIDO",IF(F397&lt;&gt;0,1,0),0)</f>
        <v>0</v>
      </c>
      <c r="R397">
        <f>IF(I397="%o Al Millar",1000,IF(I397="% Al Porciento",100,IF(I397="$ Prima",G397)))</f>
        <v>100</v>
      </c>
      <c r="S397">
        <f t="shared" si="477"/>
        <v>0</v>
      </c>
    </row>
    <row r="398" spans="1:19" ht="15" hidden="1" customHeight="1" x14ac:dyDescent="0.3">
      <c r="A398" s="34" t="s">
        <v>1422</v>
      </c>
      <c r="B398" s="36">
        <v>215</v>
      </c>
      <c r="C398" s="29" t="s">
        <v>1425</v>
      </c>
      <c r="D398" s="29" t="str">
        <f t="shared" si="478"/>
        <v>NO APLICA</v>
      </c>
      <c r="E398" s="27" t="s">
        <v>1137</v>
      </c>
      <c r="F398" s="43">
        <v>0</v>
      </c>
      <c r="G398" s="21">
        <v>0</v>
      </c>
      <c r="H398" s="9">
        <f t="shared" si="471"/>
        <v>0</v>
      </c>
      <c r="I398" s="9" t="s">
        <v>1235</v>
      </c>
      <c r="J398" s="9">
        <f t="shared" si="472"/>
        <v>0</v>
      </c>
      <c r="K398" s="9">
        <f t="shared" si="473"/>
        <v>0</v>
      </c>
      <c r="L398" s="9">
        <f t="shared" si="474"/>
        <v>0</v>
      </c>
      <c r="M398" s="11">
        <f t="shared" si="479"/>
        <v>0</v>
      </c>
      <c r="N398" s="9">
        <f t="shared" si="475"/>
        <v>0</v>
      </c>
      <c r="O398" s="12">
        <f t="shared" si="476"/>
        <v>0</v>
      </c>
      <c r="P398" s="13" t="str">
        <f t="shared" si="427"/>
        <v>NO</v>
      </c>
      <c r="Q398">
        <f>IF(D398="INCLUIDO",IF(F398&lt;&gt;0,1,0),0)</f>
        <v>0</v>
      </c>
      <c r="R398">
        <f>IF(I398="%o Al Millar",1000,IF(I398="% Al Porciento",100,IF(I398="$ Prima",G398)))</f>
        <v>100</v>
      </c>
      <c r="S398">
        <f t="shared" si="477"/>
        <v>0</v>
      </c>
    </row>
    <row r="399" spans="1:19" ht="15" hidden="1" customHeight="1" x14ac:dyDescent="0.3">
      <c r="A399" s="34" t="s">
        <v>1422</v>
      </c>
      <c r="B399" s="36">
        <v>217</v>
      </c>
      <c r="C399" s="29" t="s">
        <v>1426</v>
      </c>
      <c r="D399" s="29" t="str">
        <f t="shared" si="478"/>
        <v>NO APLICA</v>
      </c>
      <c r="E399" s="27" t="s">
        <v>1137</v>
      </c>
      <c r="F399" s="43">
        <v>0</v>
      </c>
      <c r="G399" s="21">
        <v>0</v>
      </c>
      <c r="H399" s="9">
        <f t="shared" si="471"/>
        <v>0</v>
      </c>
      <c r="I399" s="9" t="s">
        <v>1235</v>
      </c>
      <c r="J399" s="9">
        <f t="shared" si="472"/>
        <v>0</v>
      </c>
      <c r="K399" s="9">
        <f t="shared" si="473"/>
        <v>0</v>
      </c>
      <c r="L399" s="9">
        <f t="shared" si="474"/>
        <v>0</v>
      </c>
      <c r="M399" s="11">
        <f t="shared" si="479"/>
        <v>0</v>
      </c>
      <c r="N399" s="9">
        <f t="shared" si="475"/>
        <v>0</v>
      </c>
      <c r="O399" s="12">
        <f t="shared" si="476"/>
        <v>0</v>
      </c>
      <c r="P399" s="13" t="str">
        <f t="shared" si="427"/>
        <v>NO</v>
      </c>
      <c r="Q399">
        <f>IF(D399="INCLUIDO",IF(F399&lt;&gt;0,1,0),0)</f>
        <v>0</v>
      </c>
      <c r="R399">
        <f>IF(I399="%o Al Millar",1000,IF(I399="% Al Porciento",100,IF(I399="$ Prima",G399)))</f>
        <v>100</v>
      </c>
      <c r="S399">
        <f t="shared" si="477"/>
        <v>0</v>
      </c>
    </row>
    <row r="400" spans="1:19" ht="15" hidden="1" customHeight="1" x14ac:dyDescent="0.3">
      <c r="A400" s="34" t="s">
        <v>1422</v>
      </c>
      <c r="B400" s="36">
        <v>218</v>
      </c>
      <c r="C400" s="29" t="s">
        <v>1392</v>
      </c>
      <c r="D400" s="29" t="str">
        <f t="shared" si="478"/>
        <v>NO APLICA</v>
      </c>
      <c r="E400" s="27" t="s">
        <v>1137</v>
      </c>
      <c r="F400" s="43">
        <v>0</v>
      </c>
      <c r="G400" s="21">
        <v>0</v>
      </c>
      <c r="H400" s="9">
        <f t="shared" si="471"/>
        <v>0</v>
      </c>
      <c r="I400" s="9" t="s">
        <v>1235</v>
      </c>
      <c r="J400" s="9">
        <f t="shared" si="472"/>
        <v>0</v>
      </c>
      <c r="K400" s="9">
        <f t="shared" si="473"/>
        <v>0</v>
      </c>
      <c r="L400" s="9">
        <f t="shared" si="474"/>
        <v>0</v>
      </c>
      <c r="M400" s="11">
        <f t="shared" si="479"/>
        <v>0</v>
      </c>
      <c r="N400" s="9">
        <f t="shared" si="475"/>
        <v>0</v>
      </c>
      <c r="O400" s="12">
        <f t="shared" si="476"/>
        <v>0</v>
      </c>
      <c r="P400" s="13" t="str">
        <f t="shared" si="427"/>
        <v>NO</v>
      </c>
      <c r="Q400">
        <f>IF(D400="INCLUIDO",IF(F400&lt;&gt;0,1,0),0)</f>
        <v>0</v>
      </c>
      <c r="R400">
        <f>IF(I400="%o Al Millar",1000,IF(I400="% Al Porciento",100,IF(I400="$ Prima",G400)))</f>
        <v>100</v>
      </c>
      <c r="S400">
        <f t="shared" si="477"/>
        <v>0</v>
      </c>
    </row>
    <row r="401" spans="1:19" s="18" customFormat="1" ht="15" hidden="1" customHeight="1" x14ac:dyDescent="0.3">
      <c r="A401" s="24"/>
      <c r="B401" s="26"/>
      <c r="C401" s="15" t="s">
        <v>1177</v>
      </c>
      <c r="D401" s="38" t="str">
        <f>D400</f>
        <v>NO APLICA</v>
      </c>
      <c r="E401" s="38"/>
      <c r="F401" s="16">
        <f>SUMIF(E396:E400,"Adicional",F396:F400)</f>
        <v>0</v>
      </c>
      <c r="G401" s="17"/>
      <c r="H401" s="16">
        <f>SUM(H396:H400)</f>
        <v>0</v>
      </c>
      <c r="I401" s="16"/>
      <c r="J401" s="16">
        <f t="shared" ref="J401:L401" si="480">SUM(J396:J400)</f>
        <v>0</v>
      </c>
      <c r="K401" s="16">
        <f t="shared" si="480"/>
        <v>0</v>
      </c>
      <c r="L401" s="16">
        <f t="shared" si="480"/>
        <v>0</v>
      </c>
      <c r="M401" s="16" t="s">
        <v>1178</v>
      </c>
      <c r="N401" s="16">
        <f t="shared" ref="N401:O401" si="481">SUM(N396:N400)</f>
        <v>0</v>
      </c>
      <c r="O401" s="84">
        <f t="shared" si="481"/>
        <v>0</v>
      </c>
      <c r="P401" s="13" t="str">
        <f t="shared" si="427"/>
        <v>NO</v>
      </c>
      <c r="Q401">
        <f>IF(D401="INCLUIDO",IF(H401&lt;&gt;0,1,0),0)</f>
        <v>0</v>
      </c>
    </row>
    <row r="402" spans="1:19" ht="15" hidden="1" customHeight="1" x14ac:dyDescent="0.3">
      <c r="A402" s="82">
        <v>918</v>
      </c>
      <c r="B402" s="33">
        <v>1</v>
      </c>
      <c r="C402" s="19" t="s">
        <v>1427</v>
      </c>
      <c r="D402" s="23" t="str">
        <f>'Ramo Comercial'!C172</f>
        <v>NO APLICA</v>
      </c>
      <c r="E402" s="91"/>
      <c r="F402" s="42">
        <v>0</v>
      </c>
      <c r="G402" s="28"/>
      <c r="H402" s="28"/>
      <c r="I402" s="28"/>
      <c r="J402" s="28"/>
      <c r="K402" s="28"/>
      <c r="L402" s="28"/>
      <c r="M402" s="68">
        <v>0</v>
      </c>
      <c r="N402" s="28"/>
      <c r="O402" s="83"/>
      <c r="P402" s="13" t="str">
        <f t="shared" si="427"/>
        <v>NO</v>
      </c>
      <c r="Q402" s="48">
        <f>IF(D402="INCLUIDO",IF(F402&lt;&gt;0,1,0),0)</f>
        <v>0</v>
      </c>
    </row>
    <row r="403" spans="1:19" ht="15" hidden="1" customHeight="1" x14ac:dyDescent="0.3">
      <c r="A403" s="34" t="s">
        <v>1428</v>
      </c>
      <c r="B403" s="36">
        <v>219</v>
      </c>
      <c r="C403" s="29" t="s">
        <v>1429</v>
      </c>
      <c r="D403" s="29" t="str">
        <f>D402</f>
        <v>NO APLICA</v>
      </c>
      <c r="E403" s="27" t="s">
        <v>1152</v>
      </c>
      <c r="F403" s="20">
        <f>F402*S403</f>
        <v>0</v>
      </c>
      <c r="G403" s="21">
        <v>0</v>
      </c>
      <c r="H403" s="9">
        <f>(IF(I403="$ Prima",G403,G403*F403/R403))*$U$9</f>
        <v>0</v>
      </c>
      <c r="I403" s="9" t="s">
        <v>1235</v>
      </c>
      <c r="J403" s="9">
        <f>H403*$U$7</f>
        <v>0</v>
      </c>
      <c r="K403" s="9">
        <f>(H403+J403)*$K$15</f>
        <v>0</v>
      </c>
      <c r="L403" s="9">
        <f>ROUND(H403+J403+K403,2)</f>
        <v>0</v>
      </c>
      <c r="M403" s="11">
        <f>M402</f>
        <v>0</v>
      </c>
      <c r="N403" s="9">
        <f>H403*M403</f>
        <v>0</v>
      </c>
      <c r="O403" s="12">
        <f>N403</f>
        <v>0</v>
      </c>
      <c r="P403" s="13" t="str">
        <f t="shared" si="427"/>
        <v>NO</v>
      </c>
      <c r="Q403">
        <f>IF(D403="INCLUIDO",IF(F403&lt;&gt;0,1,0),0)</f>
        <v>0</v>
      </c>
      <c r="R403">
        <f>IF(I403="%o Al Millar",1000,IF(I403="% Al Porciento",100,IF(I403="$ Prima",G403)))</f>
        <v>100</v>
      </c>
      <c r="S403">
        <f t="shared" ref="S403" si="482">IF(E403="Excluido",0,IF(D403="NO APLICA",0,1))</f>
        <v>0</v>
      </c>
    </row>
    <row r="404" spans="1:19" s="18" customFormat="1" ht="15" hidden="1" customHeight="1" x14ac:dyDescent="0.3">
      <c r="A404" s="24"/>
      <c r="B404" s="26"/>
      <c r="C404" s="15" t="s">
        <v>1177</v>
      </c>
      <c r="D404" s="38" t="str">
        <f>D403</f>
        <v>NO APLICA</v>
      </c>
      <c r="E404" s="38"/>
      <c r="F404" s="16">
        <f>F403</f>
        <v>0</v>
      </c>
      <c r="G404" s="17"/>
      <c r="H404" s="16">
        <f>SUM(H403)</f>
        <v>0</v>
      </c>
      <c r="I404" s="16"/>
      <c r="J404" s="16">
        <f t="shared" ref="J404:L404" si="483">SUM(J403)</f>
        <v>0</v>
      </c>
      <c r="K404" s="16">
        <f t="shared" si="483"/>
        <v>0</v>
      </c>
      <c r="L404" s="16">
        <f t="shared" si="483"/>
        <v>0</v>
      </c>
      <c r="M404" s="16" t="s">
        <v>1178</v>
      </c>
      <c r="N404" s="16">
        <f t="shared" ref="N404:O404" si="484">SUM(N403)</f>
        <v>0</v>
      </c>
      <c r="O404" s="84">
        <f t="shared" si="484"/>
        <v>0</v>
      </c>
      <c r="P404" s="13" t="str">
        <f t="shared" si="427"/>
        <v>NO</v>
      </c>
      <c r="Q404">
        <f>IF(D404="INCLUIDO",IF(H404&lt;&gt;0,1,0),0)</f>
        <v>0</v>
      </c>
    </row>
    <row r="405" spans="1:19" ht="15" hidden="1" customHeight="1" x14ac:dyDescent="0.3">
      <c r="A405" s="82">
        <v>919</v>
      </c>
      <c r="B405" s="33">
        <v>1</v>
      </c>
      <c r="C405" s="19" t="s">
        <v>1430</v>
      </c>
      <c r="D405" s="23" t="str">
        <f>'Ramo Comercial'!C173</f>
        <v>NO APLICA</v>
      </c>
      <c r="E405" s="91"/>
      <c r="F405" s="28"/>
      <c r="G405" s="28"/>
      <c r="H405" s="28"/>
      <c r="I405" s="28"/>
      <c r="J405" s="28"/>
      <c r="K405" s="28"/>
      <c r="L405" s="28"/>
      <c r="M405" s="68">
        <v>0</v>
      </c>
      <c r="N405" s="28"/>
      <c r="O405" s="83"/>
      <c r="P405" s="13" t="str">
        <f t="shared" si="427"/>
        <v>NO</v>
      </c>
      <c r="Q405" s="47">
        <f>IF(D405="INCLUIDO",IF(F406&lt;&gt;0,1,0),0)</f>
        <v>0</v>
      </c>
    </row>
    <row r="406" spans="1:19" ht="15" hidden="1" customHeight="1" x14ac:dyDescent="0.3">
      <c r="A406" s="34" t="s">
        <v>1430</v>
      </c>
      <c r="B406" s="36">
        <v>220</v>
      </c>
      <c r="C406" s="29" t="s">
        <v>1431</v>
      </c>
      <c r="D406" s="29" t="str">
        <f>$D$405</f>
        <v>NO APLICA</v>
      </c>
      <c r="E406" s="27" t="s">
        <v>1152</v>
      </c>
      <c r="F406" s="43">
        <v>0</v>
      </c>
      <c r="G406" s="21">
        <v>0</v>
      </c>
      <c r="H406" s="9">
        <f t="shared" ref="H406:H409" si="485">(IF(I406="$ Prima",G406,G406*F406/R406))*$U$9</f>
        <v>0</v>
      </c>
      <c r="I406" s="9" t="s">
        <v>1287</v>
      </c>
      <c r="J406" s="9">
        <f t="shared" ref="J406:J409" si="486">H406*$U$7</f>
        <v>0</v>
      </c>
      <c r="K406" s="9">
        <f t="shared" ref="K406:K409" si="487">(H406+J406)*$K$15</f>
        <v>0</v>
      </c>
      <c r="L406" s="9">
        <f t="shared" ref="L406:L409" si="488">ROUND(H406+J406+K406,2)</f>
        <v>0</v>
      </c>
      <c r="M406" s="11">
        <f>$M$405</f>
        <v>0</v>
      </c>
      <c r="N406" s="9">
        <f t="shared" ref="N406:N409" si="489">H406*M406</f>
        <v>0</v>
      </c>
      <c r="O406" s="12">
        <f t="shared" ref="O406:O409" si="490">N406</f>
        <v>0</v>
      </c>
      <c r="P406" s="13" t="str">
        <f t="shared" si="427"/>
        <v>NO</v>
      </c>
      <c r="Q406">
        <f>IF(D406="INCLUIDO",IF(F406&lt;&gt;0,1,0),0)</f>
        <v>0</v>
      </c>
      <c r="R406">
        <f>IF(I406="%o Al Millar",1000,IF(I406="% Al Porciento",100,IF(I406="$ Prima",G406)))</f>
        <v>0</v>
      </c>
      <c r="S406">
        <f t="shared" ref="S406:S409" si="491">IF(E406="Excluido",0,IF(D406="NO APLICA",0,1))</f>
        <v>0</v>
      </c>
    </row>
    <row r="407" spans="1:19" ht="22.5" hidden="1" customHeight="1" x14ac:dyDescent="0.3">
      <c r="A407" s="34" t="s">
        <v>1430</v>
      </c>
      <c r="B407" s="36">
        <v>221</v>
      </c>
      <c r="C407" s="29" t="s">
        <v>1432</v>
      </c>
      <c r="D407" s="29" t="str">
        <f t="shared" ref="D407:D409" si="492">$D$405</f>
        <v>NO APLICA</v>
      </c>
      <c r="E407" s="27" t="s">
        <v>1137</v>
      </c>
      <c r="F407" s="43">
        <v>0</v>
      </c>
      <c r="G407" s="21">
        <v>0</v>
      </c>
      <c r="H407" s="9">
        <f t="shared" si="485"/>
        <v>0</v>
      </c>
      <c r="I407" s="9" t="s">
        <v>1287</v>
      </c>
      <c r="J407" s="9">
        <f t="shared" si="486"/>
        <v>0</v>
      </c>
      <c r="K407" s="9">
        <f t="shared" si="487"/>
        <v>0</v>
      </c>
      <c r="L407" s="9">
        <f t="shared" si="488"/>
        <v>0</v>
      </c>
      <c r="M407" s="11">
        <f t="shared" ref="M407:M409" si="493">$M$405</f>
        <v>0</v>
      </c>
      <c r="N407" s="9">
        <f t="shared" si="489"/>
        <v>0</v>
      </c>
      <c r="O407" s="12">
        <f t="shared" si="490"/>
        <v>0</v>
      </c>
      <c r="P407" s="13" t="str">
        <f t="shared" si="427"/>
        <v>NO</v>
      </c>
      <c r="Q407">
        <f>IF(D407="INCLUIDO",IF(F407&lt;&gt;0,1,0),0)</f>
        <v>0</v>
      </c>
      <c r="R407">
        <f>IF(I407="%o Al Millar",1000,IF(I407="% Al Porciento",100,IF(I407="$ Prima",G407)))</f>
        <v>0</v>
      </c>
      <c r="S407">
        <f t="shared" si="491"/>
        <v>0</v>
      </c>
    </row>
    <row r="408" spans="1:19" ht="15" hidden="1" customHeight="1" x14ac:dyDescent="0.3">
      <c r="A408" s="34" t="s">
        <v>1430</v>
      </c>
      <c r="B408" s="36">
        <v>222</v>
      </c>
      <c r="C408" s="29" t="s">
        <v>1433</v>
      </c>
      <c r="D408" s="29" t="str">
        <f t="shared" si="492"/>
        <v>NO APLICA</v>
      </c>
      <c r="E408" s="27" t="s">
        <v>1137</v>
      </c>
      <c r="F408" s="43">
        <v>0</v>
      </c>
      <c r="G408" s="21">
        <v>0</v>
      </c>
      <c r="H408" s="9">
        <f t="shared" si="485"/>
        <v>0</v>
      </c>
      <c r="I408" s="9" t="s">
        <v>1287</v>
      </c>
      <c r="J408" s="9">
        <f t="shared" si="486"/>
        <v>0</v>
      </c>
      <c r="K408" s="9">
        <f t="shared" si="487"/>
        <v>0</v>
      </c>
      <c r="L408" s="9">
        <f t="shared" si="488"/>
        <v>0</v>
      </c>
      <c r="M408" s="11">
        <f t="shared" si="493"/>
        <v>0</v>
      </c>
      <c r="N408" s="9">
        <f t="shared" si="489"/>
        <v>0</v>
      </c>
      <c r="O408" s="12">
        <f t="shared" si="490"/>
        <v>0</v>
      </c>
      <c r="P408" s="13" t="str">
        <f t="shared" si="427"/>
        <v>NO</v>
      </c>
      <c r="Q408">
        <f>IF(D408="INCLUIDO",IF(F408&lt;&gt;0,1,0),0)</f>
        <v>0</v>
      </c>
      <c r="R408">
        <f>IF(I408="%o Al Millar",1000,IF(I408="% Al Porciento",100,IF(I408="$ Prima",G408)))</f>
        <v>0</v>
      </c>
      <c r="S408">
        <f t="shared" si="491"/>
        <v>0</v>
      </c>
    </row>
    <row r="409" spans="1:19" ht="15" hidden="1" customHeight="1" x14ac:dyDescent="0.3">
      <c r="A409" s="34" t="s">
        <v>1430</v>
      </c>
      <c r="B409" s="36">
        <v>223</v>
      </c>
      <c r="C409" s="29" t="s">
        <v>1434</v>
      </c>
      <c r="D409" s="29" t="str">
        <f t="shared" si="492"/>
        <v>NO APLICA</v>
      </c>
      <c r="E409" s="27" t="s">
        <v>1137</v>
      </c>
      <c r="F409" s="43">
        <v>0</v>
      </c>
      <c r="G409" s="21">
        <v>0</v>
      </c>
      <c r="H409" s="9">
        <f t="shared" si="485"/>
        <v>0</v>
      </c>
      <c r="I409" s="9" t="s">
        <v>1287</v>
      </c>
      <c r="J409" s="9">
        <f t="shared" si="486"/>
        <v>0</v>
      </c>
      <c r="K409" s="9">
        <f t="shared" si="487"/>
        <v>0</v>
      </c>
      <c r="L409" s="9">
        <f t="shared" si="488"/>
        <v>0</v>
      </c>
      <c r="M409" s="11">
        <f t="shared" si="493"/>
        <v>0</v>
      </c>
      <c r="N409" s="9">
        <f t="shared" si="489"/>
        <v>0</v>
      </c>
      <c r="O409" s="12">
        <f t="shared" si="490"/>
        <v>0</v>
      </c>
      <c r="P409" s="13" t="str">
        <f t="shared" si="427"/>
        <v>NO</v>
      </c>
      <c r="Q409">
        <f>IF(D409="INCLUIDO",IF(F409&lt;&gt;0,1,0),0)</f>
        <v>0</v>
      </c>
      <c r="R409">
        <f>IF(I409="%o Al Millar",1000,IF(I409="% Al Porciento",100,IF(I409="$ Prima",G409)))</f>
        <v>0</v>
      </c>
      <c r="S409">
        <f t="shared" si="491"/>
        <v>0</v>
      </c>
    </row>
    <row r="410" spans="1:19" s="18" customFormat="1" ht="15.75" hidden="1" customHeight="1" thickBot="1" x14ac:dyDescent="0.35">
      <c r="A410" s="85"/>
      <c r="B410" s="86"/>
      <c r="C410" s="99" t="s">
        <v>1177</v>
      </c>
      <c r="D410" s="100" t="str">
        <f>D409</f>
        <v>NO APLICA</v>
      </c>
      <c r="E410" s="100"/>
      <c r="F410" s="87">
        <f>SUMIF(E406:E409,"Adicional",F406:F409)</f>
        <v>0</v>
      </c>
      <c r="G410" s="101"/>
      <c r="H410" s="87">
        <f>SUM(H406:H409)</f>
        <v>0</v>
      </c>
      <c r="I410" s="87"/>
      <c r="J410" s="87">
        <f t="shared" ref="J410:L410" si="494">SUM(J406:J409)</f>
        <v>0</v>
      </c>
      <c r="K410" s="87">
        <f t="shared" si="494"/>
        <v>0</v>
      </c>
      <c r="L410" s="87">
        <f t="shared" si="494"/>
        <v>0</v>
      </c>
      <c r="M410" s="87" t="s">
        <v>1178</v>
      </c>
      <c r="N410" s="87">
        <f t="shared" ref="N410:O410" si="495">SUM(N406:N409)</f>
        <v>0</v>
      </c>
      <c r="O410" s="102">
        <f t="shared" si="495"/>
        <v>0</v>
      </c>
      <c r="P410" s="13" t="str">
        <f t="shared" si="427"/>
        <v>NO</v>
      </c>
      <c r="Q410">
        <f>IF(D410="INCLUIDO",IF(H410&lt;&gt;0,1,0),0)</f>
        <v>0</v>
      </c>
    </row>
    <row r="411" spans="1:19" s="18" customFormat="1" ht="21" customHeight="1" x14ac:dyDescent="0.3">
      <c r="A411" s="69"/>
      <c r="B411" s="69"/>
      <c r="C411" s="103" t="s">
        <v>1435</v>
      </c>
      <c r="D411" s="94" t="s">
        <v>1436</v>
      </c>
      <c r="E411" s="94"/>
      <c r="F411" s="104">
        <f>SUMIF(C17:C410,"SUBTOTAL",F17:F410)</f>
        <v>0</v>
      </c>
      <c r="G411" s="94"/>
      <c r="H411" s="93">
        <f>H40+H77+H99+H103+H107+H111+H115+H122+H129+H137+H145+H148+H151+H154+H157+H160+H166+H172+H178+H182+H186+H202+H206+H210+H213+H216+H220+H223+H226+H230+H233+H236+H240+H272+H276+H282+H329+H336+H344+H350+H363+H369+H379+H394+H401+H404+H410</f>
        <v>2912.5434008221268</v>
      </c>
      <c r="I411" s="104">
        <v>0</v>
      </c>
      <c r="J411" s="93">
        <v>0</v>
      </c>
      <c r="K411" s="93">
        <f>(H411+I411+J411)*16%</f>
        <v>466.00694413154031</v>
      </c>
      <c r="L411" s="93">
        <f>H411+I411+J411+K411</f>
        <v>3378.5503449536673</v>
      </c>
      <c r="M411" s="94"/>
      <c r="N411" s="93">
        <f>N40+N77+N99+N103+N107+N111+N115+N122+N129+N137+N145+N148+N151+N154+N157+N160+N166+N172+N178+N182+N186+N202+N206+N210+N213+N216+N220+N223+N226+N230+N233+N236+N240+N272+N276+N282+N329+N336+N344+N350+N363+N369+N379+N394+N401+N404+N410</f>
        <v>232.76216133929</v>
      </c>
      <c r="O411" s="93">
        <f>O40+O77+O99+O103+O107+O111+O115+O122+O129+O137+O145+O148+O151+O154+O157+O160+O166+O172+O178+O182+O186+O202+O206+O210+O213+O216+O220+O223+O226+O230+O233+O236+O240+O272+O276+O282+O329+O336+O344+O350+O363+O369+O379+O394+O401+O404+O410</f>
        <v>232.76216133929</v>
      </c>
      <c r="P411" s="98" t="s">
        <v>1437</v>
      </c>
      <c r="Q411"/>
    </row>
    <row r="412" spans="1:19" x14ac:dyDescent="0.3">
      <c r="C412" s="3"/>
      <c r="D412" s="94" t="s">
        <v>1436</v>
      </c>
      <c r="E412" s="94"/>
      <c r="F412" s="96" t="s">
        <v>1438</v>
      </c>
      <c r="G412" s="94"/>
      <c r="H412" s="95" t="s">
        <v>1439</v>
      </c>
      <c r="I412" s="96" t="s">
        <v>56</v>
      </c>
      <c r="J412" s="95" t="s">
        <v>1440</v>
      </c>
      <c r="K412" s="95" t="s">
        <v>1131</v>
      </c>
      <c r="L412" s="95" t="s">
        <v>79</v>
      </c>
      <c r="M412" s="93"/>
      <c r="N412" s="736" t="s">
        <v>1441</v>
      </c>
      <c r="O412" s="736"/>
      <c r="P412" s="98" t="s">
        <v>1437</v>
      </c>
    </row>
    <row r="413" spans="1:19" x14ac:dyDescent="0.3">
      <c r="C413" s="3"/>
      <c r="G413" s="22"/>
      <c r="H413" s="22"/>
      <c r="I413" s="22"/>
      <c r="N413" s="432">
        <f>N411/H411</f>
        <v>7.9917147766308982E-2</v>
      </c>
    </row>
    <row r="414" spans="1:19" ht="24" x14ac:dyDescent="0.3">
      <c r="C414" s="422" t="s">
        <v>1443</v>
      </c>
      <c r="D414" s="421"/>
      <c r="E414" s="735" t="s">
        <v>1444</v>
      </c>
      <c r="F414" s="735"/>
      <c r="G414" s="735"/>
      <c r="H414" s="422" t="s">
        <v>1445</v>
      </c>
      <c r="J414" s="417" t="s">
        <v>1474</v>
      </c>
      <c r="K414" s="777" t="s">
        <v>1442</v>
      </c>
      <c r="L414" s="778"/>
      <c r="M414" s="778"/>
      <c r="N414" s="778"/>
      <c r="O414" s="778"/>
    </row>
    <row r="415" spans="1:19" ht="18" x14ac:dyDescent="0.3">
      <c r="C415" t="s">
        <v>1446</v>
      </c>
      <c r="F415" s="4" t="s">
        <v>1447</v>
      </c>
      <c r="H415" s="4" t="s">
        <v>1437</v>
      </c>
      <c r="J415" s="417" t="s">
        <v>1475</v>
      </c>
      <c r="K415" s="751"/>
      <c r="L415" s="751"/>
      <c r="M415" s="751"/>
      <c r="N415" s="751"/>
      <c r="O415" s="751"/>
    </row>
    <row r="416" spans="1:19" ht="18" x14ac:dyDescent="0.3">
      <c r="C416" t="s">
        <v>1449</v>
      </c>
      <c r="F416" s="4" t="s">
        <v>1450</v>
      </c>
      <c r="H416" s="4" t="s">
        <v>1437</v>
      </c>
      <c r="J416" s="417" t="s">
        <v>1476</v>
      </c>
      <c r="K416" s="752" t="s">
        <v>1448</v>
      </c>
      <c r="L416" s="753"/>
      <c r="M416" s="753"/>
      <c r="N416" s="753"/>
      <c r="O416" s="753"/>
    </row>
    <row r="417" spans="3:15" ht="18" x14ac:dyDescent="0.3">
      <c r="C417" t="s">
        <v>1451</v>
      </c>
      <c r="F417" s="4" t="s">
        <v>1452</v>
      </c>
      <c r="H417" s="4" t="s">
        <v>1437</v>
      </c>
      <c r="J417" s="417"/>
      <c r="K417" s="754"/>
      <c r="L417" s="754"/>
      <c r="M417" s="754"/>
      <c r="N417" s="754"/>
      <c r="O417" s="754"/>
    </row>
    <row r="418" spans="3:15" ht="18" x14ac:dyDescent="0.3">
      <c r="C418" t="s">
        <v>1454</v>
      </c>
      <c r="F418" s="4" t="s">
        <v>1455</v>
      </c>
      <c r="H418" s="4" t="s">
        <v>1437</v>
      </c>
      <c r="J418" s="417"/>
      <c r="K418" s="417"/>
      <c r="L418" s="417"/>
      <c r="M418" s="418"/>
      <c r="N418" s="417"/>
      <c r="O418" s="417"/>
    </row>
    <row r="419" spans="3:15" x14ac:dyDescent="0.3">
      <c r="C419" t="s">
        <v>1457</v>
      </c>
      <c r="F419" s="4" t="s">
        <v>1458</v>
      </c>
      <c r="H419" s="4" t="s">
        <v>1437</v>
      </c>
    </row>
    <row r="420" spans="3:15" x14ac:dyDescent="0.3">
      <c r="C420" t="s">
        <v>1460</v>
      </c>
      <c r="F420" s="4" t="s">
        <v>1461</v>
      </c>
      <c r="H420" s="4" t="s">
        <v>1462</v>
      </c>
    </row>
  </sheetData>
  <autoFilter ref="A16:P412" xr:uid="{00000000-0009-0000-0000-000001000000}">
    <filterColumn colId="3">
      <filters>
        <filter val="INCLUIDO"/>
      </filters>
    </filterColumn>
    <filterColumn colId="15">
      <filters>
        <filter val="SI"/>
      </filters>
    </filterColumn>
  </autoFilter>
  <dataConsolidate/>
  <mergeCells count="37">
    <mergeCell ref="K416:O416"/>
    <mergeCell ref="K417:O417"/>
    <mergeCell ref="A15:B15"/>
    <mergeCell ref="C15:D15"/>
    <mergeCell ref="N412:O412"/>
    <mergeCell ref="E414:G414"/>
    <mergeCell ref="K414:O414"/>
    <mergeCell ref="K415:O415"/>
    <mergeCell ref="A12:B12"/>
    <mergeCell ref="H12:J12"/>
    <mergeCell ref="A13:B13"/>
    <mergeCell ref="D13:E13"/>
    <mergeCell ref="H13:I13"/>
    <mergeCell ref="J13:J14"/>
    <mergeCell ref="A14:B14"/>
    <mergeCell ref="D14:E14"/>
    <mergeCell ref="S9:T9"/>
    <mergeCell ref="A10:B10"/>
    <mergeCell ref="C10:K10"/>
    <mergeCell ref="L10:M10"/>
    <mergeCell ref="N10:O10"/>
    <mergeCell ref="A11:B11"/>
    <mergeCell ref="C11:K11"/>
    <mergeCell ref="A8:B8"/>
    <mergeCell ref="C8:E8"/>
    <mergeCell ref="G8:K8"/>
    <mergeCell ref="L8:O8"/>
    <mergeCell ref="A9:B9"/>
    <mergeCell ref="C9:I9"/>
    <mergeCell ref="L9:M9"/>
    <mergeCell ref="N9:O9"/>
    <mergeCell ref="S7:T7"/>
    <mergeCell ref="E2:H3"/>
    <mergeCell ref="A5:O5"/>
    <mergeCell ref="A7:B7"/>
    <mergeCell ref="C7:J7"/>
    <mergeCell ref="L7:O7"/>
  </mergeCells>
  <conditionalFormatting sqref="E18:E19">
    <cfRule type="containsText" dxfId="765" priority="736" operator="containsText" text="Sublimite">
      <formula>NOT(ISERROR(SEARCH("Sublimite",E18)))</formula>
    </cfRule>
    <cfRule type="containsText" dxfId="764" priority="737" operator="containsText" text="Adicional">
      <formula>NOT(ISERROR(SEARCH("Adicional",E18)))</formula>
    </cfRule>
  </conditionalFormatting>
  <conditionalFormatting sqref="E18:E27">
    <cfRule type="containsText" dxfId="763" priority="23" operator="containsText" text="Excluido">
      <formula>NOT(ISERROR(SEARCH("Excluido",E18)))</formula>
    </cfRule>
    <cfRule type="containsText" dxfId="762" priority="26" operator="containsText" text="Sublimite">
      <formula>NOT(ISERROR(SEARCH("Sublimite",E18)))</formula>
    </cfRule>
    <cfRule type="containsText" dxfId="761" priority="25" operator="containsText" text="Excluido">
      <formula>NOT(ISERROR(SEARCH("Excluido",E18)))</formula>
    </cfRule>
    <cfRule type="containsText" dxfId="760" priority="24" operator="containsText" text="Sublimite">
      <formula>NOT(ISERROR(SEARCH("Sublimite",E18)))</formula>
    </cfRule>
  </conditionalFormatting>
  <conditionalFormatting sqref="E20:E23">
    <cfRule type="containsText" dxfId="759" priority="720" operator="containsText" text="Sublimite">
      <formula>NOT(ISERROR(SEARCH("Sublimite",E20)))</formula>
    </cfRule>
  </conditionalFormatting>
  <conditionalFormatting sqref="E24">
    <cfRule type="containsText" dxfId="758" priority="28" operator="containsText" text="Adicional">
      <formula>NOT(ISERROR(SEARCH("Adicional",E24)))</formula>
    </cfRule>
    <cfRule type="containsText" dxfId="757" priority="27" operator="containsText" text="Sublimite">
      <formula>NOT(ISERROR(SEARCH("Sublimite",E24)))</formula>
    </cfRule>
  </conditionalFormatting>
  <conditionalFormatting sqref="E25">
    <cfRule type="containsText" dxfId="756" priority="715" operator="containsText" text="Sublimite">
      <formula>NOT(ISERROR(SEARCH("Sublimite",E25)))</formula>
    </cfRule>
  </conditionalFormatting>
  <conditionalFormatting sqref="E26:E27">
    <cfRule type="containsText" dxfId="755" priority="45" operator="containsText" text="Sublimite">
      <formula>NOT(ISERROR(SEARCH("Sublimite",E26)))</formula>
    </cfRule>
    <cfRule type="containsText" dxfId="754" priority="46" operator="containsText" text="Adicional">
      <formula>NOT(ISERROR(SEARCH("Adicional",E26)))</formula>
    </cfRule>
  </conditionalFormatting>
  <conditionalFormatting sqref="E29:E30">
    <cfRule type="containsText" dxfId="753" priority="705" operator="containsText" text="Sublimite">
      <formula>NOT(ISERROR(SEARCH("Sublimite",E29)))</formula>
    </cfRule>
    <cfRule type="containsText" dxfId="752" priority="704" operator="containsText" text="Sublimite">
      <formula>NOT(ISERROR(SEARCH("Sublimite",E29)))</formula>
    </cfRule>
    <cfRule type="containsText" dxfId="751" priority="703" operator="containsText" text="Excluido">
      <formula>NOT(ISERROR(SEARCH("Excluido",E29)))</formula>
    </cfRule>
    <cfRule type="containsText" dxfId="750" priority="702" operator="containsText" text="Sublimite">
      <formula>NOT(ISERROR(SEARCH("Sublimite",E29)))</formula>
    </cfRule>
    <cfRule type="containsText" dxfId="749" priority="701" operator="containsText" text="Excluido">
      <formula>NOT(ISERROR(SEARCH("Excluido",E29)))</formula>
    </cfRule>
  </conditionalFormatting>
  <conditionalFormatting sqref="E32:E33">
    <cfRule type="containsText" dxfId="748" priority="692" operator="containsText" text="Sublimite">
      <formula>NOT(ISERROR(SEARCH("Sublimite",E32)))</formula>
    </cfRule>
    <cfRule type="containsText" dxfId="747" priority="691" operator="containsText" text="Excluido">
      <formula>NOT(ISERROR(SEARCH("Excluido",E32)))</formula>
    </cfRule>
    <cfRule type="containsText" dxfId="746" priority="695" operator="containsText" text="Sublimite">
      <formula>NOT(ISERROR(SEARCH("Sublimite",E32)))</formula>
    </cfRule>
    <cfRule type="containsText" dxfId="745" priority="693" operator="containsText" text="Excluido">
      <formula>NOT(ISERROR(SEARCH("Excluido",E32)))</formula>
    </cfRule>
    <cfRule type="containsText" dxfId="744" priority="694" operator="containsText" text="Sublimite">
      <formula>NOT(ISERROR(SEARCH("Sublimite",E32)))</formula>
    </cfRule>
  </conditionalFormatting>
  <conditionalFormatting sqref="E35">
    <cfRule type="containsText" dxfId="743" priority="13" operator="containsText" text="Excluido">
      <formula>NOT(ISERROR(SEARCH("Excluido",E35)))</formula>
    </cfRule>
    <cfRule type="containsText" dxfId="742" priority="14" operator="containsText" text="Sublimite">
      <formula>NOT(ISERROR(SEARCH("Sublimite",E35)))</formula>
    </cfRule>
    <cfRule type="containsText" dxfId="741" priority="15" operator="containsText" text="Excluido">
      <formula>NOT(ISERROR(SEARCH("Excluido",E35)))</formula>
    </cfRule>
    <cfRule type="containsText" dxfId="740" priority="16" operator="containsText" text="Sublimite">
      <formula>NOT(ISERROR(SEARCH("Sublimite",E35)))</formula>
    </cfRule>
    <cfRule type="containsText" dxfId="739" priority="17" operator="containsText" text="Sublimite">
      <formula>NOT(ISERROR(SEARCH("Sublimite",E35)))</formula>
    </cfRule>
    <cfRule type="containsText" dxfId="738" priority="18" operator="containsText" text="Adicional">
      <formula>NOT(ISERROR(SEARCH("Adicional",E35)))</formula>
    </cfRule>
  </conditionalFormatting>
  <conditionalFormatting sqref="E37">
    <cfRule type="containsText" dxfId="737" priority="181" operator="containsText" text="Sublimite">
      <formula>NOT(ISERROR(SEARCH("Sublimite",E37)))</formula>
    </cfRule>
    <cfRule type="containsText" dxfId="736" priority="180" operator="containsText" text="Sublimite">
      <formula>NOT(ISERROR(SEARCH("Sublimite",E37)))</formula>
    </cfRule>
    <cfRule type="containsText" dxfId="735" priority="179" operator="containsText" text="Excluido">
      <formula>NOT(ISERROR(SEARCH("Excluido",E37)))</formula>
    </cfRule>
    <cfRule type="containsText" dxfId="734" priority="178" operator="containsText" text="Sublimite">
      <formula>NOT(ISERROR(SEARCH("Sublimite",E37)))</formula>
    </cfRule>
    <cfRule type="containsText" dxfId="733" priority="177" operator="containsText" text="Excluido">
      <formula>NOT(ISERROR(SEARCH("Excluido",E37)))</formula>
    </cfRule>
  </conditionalFormatting>
  <conditionalFormatting sqref="E39">
    <cfRule type="containsText" dxfId="732" priority="175" operator="containsText" text="Sublimite">
      <formula>NOT(ISERROR(SEARCH("Sublimite",E39)))</formula>
    </cfRule>
    <cfRule type="containsText" dxfId="731" priority="174" operator="containsText" text="Excluido">
      <formula>NOT(ISERROR(SEARCH("Excluido",E39)))</formula>
    </cfRule>
    <cfRule type="containsText" dxfId="730" priority="173" operator="containsText" text="Sublimite">
      <formula>NOT(ISERROR(SEARCH("Sublimite",E39)))</formula>
    </cfRule>
    <cfRule type="containsText" dxfId="729" priority="172" operator="containsText" text="Excluido">
      <formula>NOT(ISERROR(SEARCH("Excluido",E39)))</formula>
    </cfRule>
    <cfRule type="containsText" dxfId="728" priority="176" operator="containsText" text="Sublimite">
      <formula>NOT(ISERROR(SEARCH("Sublimite",E39)))</formula>
    </cfRule>
  </conditionalFormatting>
  <conditionalFormatting sqref="E42:E43">
    <cfRule type="containsText" dxfId="727" priority="33" operator="containsText" text="Sublimite">
      <formula>NOT(ISERROR(SEARCH("Sublimite",E42)))</formula>
    </cfRule>
    <cfRule type="containsText" dxfId="726" priority="34" operator="containsText" text="Adicional">
      <formula>NOT(ISERROR(SEARCH("Adicional",E42)))</formula>
    </cfRule>
  </conditionalFormatting>
  <conditionalFormatting sqref="E42:E60">
    <cfRule type="containsText" dxfId="725" priority="31" operator="containsText" text="Excluido">
      <formula>NOT(ISERROR(SEARCH("Excluido",E42)))</formula>
    </cfRule>
    <cfRule type="containsText" dxfId="724" priority="32" operator="containsText" text="Sublimite">
      <formula>NOT(ISERROR(SEARCH("Sublimite",E42)))</formula>
    </cfRule>
    <cfRule type="containsText" dxfId="723" priority="30" operator="containsText" text="Sublimite">
      <formula>NOT(ISERROR(SEARCH("Sublimite",E42)))</formula>
    </cfRule>
    <cfRule type="containsText" dxfId="722" priority="29" operator="containsText" text="Excluido">
      <formula>NOT(ISERROR(SEARCH("Excluido",E42)))</formula>
    </cfRule>
  </conditionalFormatting>
  <conditionalFormatting sqref="E44:E58">
    <cfRule type="containsText" dxfId="721" priority="620" operator="containsText" text="Sublimite">
      <formula>NOT(ISERROR(SEARCH("Sublimite",E44)))</formula>
    </cfRule>
  </conditionalFormatting>
  <conditionalFormatting sqref="E59:E60">
    <cfRule type="containsText" dxfId="720" priority="39" operator="containsText" text="Sublimite">
      <formula>NOT(ISERROR(SEARCH("Sublimite",E59)))</formula>
    </cfRule>
    <cfRule type="containsText" dxfId="719" priority="40" operator="containsText" text="Adicional">
      <formula>NOT(ISERROR(SEARCH("Adicional",E59)))</formula>
    </cfRule>
  </conditionalFormatting>
  <conditionalFormatting sqref="E62:E63">
    <cfRule type="containsText" dxfId="718" priority="607" operator="containsText" text="Sublimite">
      <formula>NOT(ISERROR(SEARCH("Sublimite",E62)))</formula>
    </cfRule>
    <cfRule type="containsText" dxfId="717" priority="609" operator="containsText" text="Sublimite">
      <formula>NOT(ISERROR(SEARCH("Sublimite",E62)))</formula>
    </cfRule>
    <cfRule type="containsText" dxfId="716" priority="610" operator="containsText" text="Sublimite">
      <formula>NOT(ISERROR(SEARCH("Sublimite",E62)))</formula>
    </cfRule>
    <cfRule type="containsText" dxfId="715" priority="608" operator="containsText" text="Excluido">
      <formula>NOT(ISERROR(SEARCH("Excluido",E62)))</formula>
    </cfRule>
    <cfRule type="containsText" dxfId="714" priority="606" operator="containsText" text="Excluido">
      <formula>NOT(ISERROR(SEARCH("Excluido",E62)))</formula>
    </cfRule>
  </conditionalFormatting>
  <conditionalFormatting sqref="E65:E66">
    <cfRule type="containsText" dxfId="713" priority="600" operator="containsText" text="Sublimite">
      <formula>NOT(ISERROR(SEARCH("Sublimite",E65)))</formula>
    </cfRule>
    <cfRule type="containsText" dxfId="712" priority="599" operator="containsText" text="Sublimite">
      <formula>NOT(ISERROR(SEARCH("Sublimite",E65)))</formula>
    </cfRule>
    <cfRule type="containsText" dxfId="711" priority="598" operator="containsText" text="Excluido">
      <formula>NOT(ISERROR(SEARCH("Excluido",E65)))</formula>
    </cfRule>
    <cfRule type="containsText" dxfId="710" priority="597" operator="containsText" text="Sublimite">
      <formula>NOT(ISERROR(SEARCH("Sublimite",E65)))</formula>
    </cfRule>
    <cfRule type="containsText" dxfId="709" priority="596" operator="containsText" text="Excluido">
      <formula>NOT(ISERROR(SEARCH("Excluido",E65)))</formula>
    </cfRule>
  </conditionalFormatting>
  <conditionalFormatting sqref="E68">
    <cfRule type="containsText" dxfId="708" priority="357" operator="containsText" text="Sublimite">
      <formula>NOT(ISERROR(SEARCH("Sublimite",E68)))</formula>
    </cfRule>
    <cfRule type="containsText" dxfId="707" priority="358" operator="containsText" text="Excluido">
      <formula>NOT(ISERROR(SEARCH("Excluido",E68)))</formula>
    </cfRule>
    <cfRule type="containsText" dxfId="706" priority="360" operator="containsText" text="Sublimite">
      <formula>NOT(ISERROR(SEARCH("Sublimite",E68)))</formula>
    </cfRule>
    <cfRule type="containsText" dxfId="705" priority="361" operator="containsText" text="Adicional">
      <formula>NOT(ISERROR(SEARCH("Adicional",E68)))</formula>
    </cfRule>
    <cfRule type="containsText" dxfId="704" priority="359" operator="containsText" text="Sublimite">
      <formula>NOT(ISERROR(SEARCH("Sublimite",E68)))</formula>
    </cfRule>
    <cfRule type="containsText" dxfId="703" priority="356" operator="containsText" text="Excluido">
      <formula>NOT(ISERROR(SEARCH("Excluido",E68)))</formula>
    </cfRule>
  </conditionalFormatting>
  <conditionalFormatting sqref="E70">
    <cfRule type="containsText" dxfId="702" priority="169" operator="containsText" text="Excluido">
      <formula>NOT(ISERROR(SEARCH("Excluido",E70)))</formula>
    </cfRule>
    <cfRule type="containsText" dxfId="701" priority="171" operator="containsText" text="Sublimite">
      <formula>NOT(ISERROR(SEARCH("Sublimite",E70)))</formula>
    </cfRule>
    <cfRule type="containsText" dxfId="700" priority="168" operator="containsText" text="Sublimite">
      <formula>NOT(ISERROR(SEARCH("Sublimite",E70)))</formula>
    </cfRule>
    <cfRule type="containsText" dxfId="699" priority="170" operator="containsText" text="Sublimite">
      <formula>NOT(ISERROR(SEARCH("Sublimite",E70)))</formula>
    </cfRule>
    <cfRule type="containsText" dxfId="698" priority="167" operator="containsText" text="Excluido">
      <formula>NOT(ISERROR(SEARCH("Excluido",E70)))</formula>
    </cfRule>
  </conditionalFormatting>
  <conditionalFormatting sqref="E72">
    <cfRule type="containsText" dxfId="697" priority="162" operator="containsText" text="Excluido">
      <formula>NOT(ISERROR(SEARCH("Excluido",E72)))</formula>
    </cfRule>
    <cfRule type="containsText" dxfId="696" priority="163" operator="containsText" text="Sublimite">
      <formula>NOT(ISERROR(SEARCH("Sublimite",E72)))</formula>
    </cfRule>
    <cfRule type="containsText" dxfId="695" priority="164" operator="containsText" text="Excluido">
      <formula>NOT(ISERROR(SEARCH("Excluido",E72)))</formula>
    </cfRule>
    <cfRule type="containsText" dxfId="694" priority="166" operator="containsText" text="Sublimite">
      <formula>NOT(ISERROR(SEARCH("Sublimite",E72)))</formula>
    </cfRule>
    <cfRule type="containsText" dxfId="693" priority="165" operator="containsText" text="Sublimite">
      <formula>NOT(ISERROR(SEARCH("Sublimite",E72)))</formula>
    </cfRule>
  </conditionalFormatting>
  <conditionalFormatting sqref="E74">
    <cfRule type="containsText" dxfId="692" priority="159" operator="containsText" text="Excluido">
      <formula>NOT(ISERROR(SEARCH("Excluido",E74)))</formula>
    </cfRule>
    <cfRule type="containsText" dxfId="691" priority="157" operator="containsText" text="Excluido">
      <formula>NOT(ISERROR(SEARCH("Excluido",E74)))</formula>
    </cfRule>
    <cfRule type="containsText" dxfId="690" priority="158" operator="containsText" text="Sublimite">
      <formula>NOT(ISERROR(SEARCH("Sublimite",E74)))</formula>
    </cfRule>
    <cfRule type="containsText" dxfId="689" priority="161" operator="containsText" text="Sublimite">
      <formula>NOT(ISERROR(SEARCH("Sublimite",E74)))</formula>
    </cfRule>
    <cfRule type="containsText" dxfId="688" priority="160" operator="containsText" text="Sublimite">
      <formula>NOT(ISERROR(SEARCH("Sublimite",E74)))</formula>
    </cfRule>
  </conditionalFormatting>
  <conditionalFormatting sqref="E76">
    <cfRule type="containsText" dxfId="687" priority="156" operator="containsText" text="Sublimite">
      <formula>NOT(ISERROR(SEARCH("Sublimite",E76)))</formula>
    </cfRule>
    <cfRule type="containsText" dxfId="686" priority="155" operator="containsText" text="Sublimite">
      <formula>NOT(ISERROR(SEARCH("Sublimite",E76)))</formula>
    </cfRule>
    <cfRule type="containsText" dxfId="685" priority="154" operator="containsText" text="Excluido">
      <formula>NOT(ISERROR(SEARCH("Excluido",E76)))</formula>
    </cfRule>
    <cfRule type="containsText" dxfId="684" priority="153" operator="containsText" text="Sublimite">
      <formula>NOT(ISERROR(SEARCH("Sublimite",E76)))</formula>
    </cfRule>
    <cfRule type="containsText" dxfId="683" priority="152" operator="containsText" text="Excluido">
      <formula>NOT(ISERROR(SEARCH("Excluido",E76)))</formula>
    </cfRule>
  </conditionalFormatting>
  <conditionalFormatting sqref="E79:E86">
    <cfRule type="containsText" dxfId="682" priority="354" operator="containsText" text="Sublimite">
      <formula>NOT(ISERROR(SEARCH("Sublimite",E79)))</formula>
    </cfRule>
    <cfRule type="containsText" dxfId="681" priority="355" operator="containsText" text="Adicional">
      <formula>NOT(ISERROR(SEARCH("Adicional",E79)))</formula>
    </cfRule>
  </conditionalFormatting>
  <conditionalFormatting sqref="E79:E89">
    <cfRule type="containsText" dxfId="680" priority="150" operator="containsText" text="Sublimite">
      <formula>NOT(ISERROR(SEARCH("Sublimite",E79)))</formula>
    </cfRule>
    <cfRule type="containsText" dxfId="679" priority="149" operator="containsText" text="Excluido">
      <formula>NOT(ISERROR(SEARCH("Excluido",E79)))</formula>
    </cfRule>
    <cfRule type="containsText" dxfId="678" priority="147" operator="containsText" text="Excluido">
      <formula>NOT(ISERROR(SEARCH("Excluido",E79)))</formula>
    </cfRule>
    <cfRule type="containsText" dxfId="677" priority="148" operator="containsText" text="Sublimite">
      <formula>NOT(ISERROR(SEARCH("Sublimite",E79)))</formula>
    </cfRule>
  </conditionalFormatting>
  <conditionalFormatting sqref="E87:E89">
    <cfRule type="containsText" dxfId="676" priority="151" operator="containsText" text="Sublimite">
      <formula>NOT(ISERROR(SEARCH("Sublimite",E87)))</formula>
    </cfRule>
  </conditionalFormatting>
  <conditionalFormatting sqref="E91:E94">
    <cfRule type="containsText" dxfId="675" priority="145" operator="containsText" text="Sublimite">
      <formula>NOT(ISERROR(SEARCH("Sublimite",E91)))</formula>
    </cfRule>
    <cfRule type="containsText" dxfId="674" priority="146" operator="containsText" text="Sublimite">
      <formula>NOT(ISERROR(SEARCH("Sublimite",E91)))</formula>
    </cfRule>
    <cfRule type="containsText" dxfId="673" priority="144" operator="containsText" text="Excluido">
      <formula>NOT(ISERROR(SEARCH("Excluido",E91)))</formula>
    </cfRule>
    <cfRule type="containsText" dxfId="672" priority="143" operator="containsText" text="Sublimite">
      <formula>NOT(ISERROR(SEARCH("Sublimite",E91)))</formula>
    </cfRule>
    <cfRule type="containsText" dxfId="671" priority="142" operator="containsText" text="Excluido">
      <formula>NOT(ISERROR(SEARCH("Excluido",E91)))</formula>
    </cfRule>
  </conditionalFormatting>
  <conditionalFormatting sqref="E96:E98">
    <cfRule type="containsText" dxfId="670" priority="141" operator="containsText" text="Sublimite">
      <formula>NOT(ISERROR(SEARCH("Sublimite",E96)))</formula>
    </cfRule>
    <cfRule type="containsText" dxfId="669" priority="140" operator="containsText" text="Sublimite">
      <formula>NOT(ISERROR(SEARCH("Sublimite",E96)))</formula>
    </cfRule>
    <cfRule type="containsText" dxfId="668" priority="139" operator="containsText" text="Excluido">
      <formula>NOT(ISERROR(SEARCH("Excluido",E96)))</formula>
    </cfRule>
    <cfRule type="containsText" dxfId="667" priority="138" operator="containsText" text="Sublimite">
      <formula>NOT(ISERROR(SEARCH("Sublimite",E96)))</formula>
    </cfRule>
    <cfRule type="containsText" dxfId="666" priority="137" operator="containsText" text="Excluido">
      <formula>NOT(ISERROR(SEARCH("Excluido",E96)))</formula>
    </cfRule>
  </conditionalFormatting>
  <conditionalFormatting sqref="E101:E102">
    <cfRule type="containsText" dxfId="665" priority="463" operator="containsText" text="Adicional">
      <formula>NOT(ISERROR(SEARCH("Adicional",E101)))</formula>
    </cfRule>
    <cfRule type="containsText" dxfId="664" priority="462" operator="containsText" text="Sublimite">
      <formula>NOT(ISERROR(SEARCH("Sublimite",E101)))</formula>
    </cfRule>
    <cfRule type="containsText" dxfId="663" priority="460" operator="containsText" text="Excluido">
      <formula>NOT(ISERROR(SEARCH("Excluido",E101)))</formula>
    </cfRule>
    <cfRule type="containsText" dxfId="662" priority="461" operator="containsText" text="Sublimite">
      <formula>NOT(ISERROR(SEARCH("Sublimite",E101)))</formula>
    </cfRule>
    <cfRule type="containsText" dxfId="661" priority="459" operator="containsText" text="Sublimite">
      <formula>NOT(ISERROR(SEARCH("Sublimite",E101)))</formula>
    </cfRule>
    <cfRule type="containsText" dxfId="660" priority="458" operator="containsText" text="Excluido">
      <formula>NOT(ISERROR(SEARCH("Excluido",E101)))</formula>
    </cfRule>
  </conditionalFormatting>
  <conditionalFormatting sqref="E105:E106">
    <cfRule type="containsText" dxfId="659" priority="450" operator="containsText" text="Sublimite">
      <formula>NOT(ISERROR(SEARCH("Sublimite",E105)))</formula>
    </cfRule>
    <cfRule type="containsText" dxfId="658" priority="447" operator="containsText" text="Sublimite">
      <formula>NOT(ISERROR(SEARCH("Sublimite",E105)))</formula>
    </cfRule>
    <cfRule type="containsText" dxfId="657" priority="448" operator="containsText" text="Excluido">
      <formula>NOT(ISERROR(SEARCH("Excluido",E105)))</formula>
    </cfRule>
    <cfRule type="containsText" dxfId="656" priority="449" operator="containsText" text="Sublimite">
      <formula>NOT(ISERROR(SEARCH("Sublimite",E105)))</formula>
    </cfRule>
    <cfRule type="containsText" dxfId="655" priority="451" operator="containsText" text="Adicional">
      <formula>NOT(ISERROR(SEARCH("Adicional",E105)))</formula>
    </cfRule>
    <cfRule type="containsText" dxfId="654" priority="446" operator="containsText" text="Excluido">
      <formula>NOT(ISERROR(SEARCH("Excluido",E105)))</formula>
    </cfRule>
  </conditionalFormatting>
  <conditionalFormatting sqref="E109:E110">
    <cfRule type="containsText" dxfId="653" priority="435" operator="containsText" text="Sublimite">
      <formula>NOT(ISERROR(SEARCH("Sublimite",E109)))</formula>
    </cfRule>
    <cfRule type="containsText" dxfId="652" priority="436" operator="containsText" text="Excluido">
      <formula>NOT(ISERROR(SEARCH("Excluido",E109)))</formula>
    </cfRule>
    <cfRule type="containsText" dxfId="651" priority="437" operator="containsText" text="Sublimite">
      <formula>NOT(ISERROR(SEARCH("Sublimite",E109)))</formula>
    </cfRule>
    <cfRule type="containsText" dxfId="650" priority="438" operator="containsText" text="Sublimite">
      <formula>NOT(ISERROR(SEARCH("Sublimite",E109)))</formula>
    </cfRule>
    <cfRule type="containsText" dxfId="649" priority="434" operator="containsText" text="Excluido">
      <formula>NOT(ISERROR(SEARCH("Excluido",E109)))</formula>
    </cfRule>
    <cfRule type="containsText" dxfId="648" priority="439" operator="containsText" text="Adicional">
      <formula>NOT(ISERROR(SEARCH("Adicional",E109)))</formula>
    </cfRule>
  </conditionalFormatting>
  <conditionalFormatting sqref="E113:E114">
    <cfRule type="containsText" dxfId="647" priority="422" operator="containsText" text="Excluido">
      <formula>NOT(ISERROR(SEARCH("Excluido",E113)))</formula>
    </cfRule>
    <cfRule type="containsText" dxfId="646" priority="427" operator="containsText" text="Adicional">
      <formula>NOT(ISERROR(SEARCH("Adicional",E113)))</formula>
    </cfRule>
    <cfRule type="containsText" dxfId="645" priority="425" operator="containsText" text="Sublimite">
      <formula>NOT(ISERROR(SEARCH("Sublimite",E113)))</formula>
    </cfRule>
    <cfRule type="containsText" dxfId="644" priority="424" operator="containsText" text="Excluido">
      <formula>NOT(ISERROR(SEARCH("Excluido",E113)))</formula>
    </cfRule>
    <cfRule type="containsText" dxfId="643" priority="423" operator="containsText" text="Sublimite">
      <formula>NOT(ISERROR(SEARCH("Sublimite",E113)))</formula>
    </cfRule>
    <cfRule type="containsText" dxfId="642" priority="426" operator="containsText" text="Sublimite">
      <formula>NOT(ISERROR(SEARCH("Sublimite",E113)))</formula>
    </cfRule>
  </conditionalFormatting>
  <conditionalFormatting sqref="E117">
    <cfRule type="containsText" dxfId="641" priority="12" operator="containsText" text="Adicional">
      <formula>NOT(ISERROR(SEARCH("Adicional",E117)))</formula>
    </cfRule>
    <cfRule type="containsText" dxfId="640" priority="11" operator="containsText" text="Sublimite">
      <formula>NOT(ISERROR(SEARCH("Sublimite",E117)))</formula>
    </cfRule>
  </conditionalFormatting>
  <conditionalFormatting sqref="E117:E121">
    <cfRule type="containsText" dxfId="639" priority="10" operator="containsText" text="Sublimite">
      <formula>NOT(ISERROR(SEARCH("Sublimite",E117)))</formula>
    </cfRule>
    <cfRule type="containsText" dxfId="638" priority="9" operator="containsText" text="Excluido">
      <formula>NOT(ISERROR(SEARCH("Excluido",E117)))</formula>
    </cfRule>
    <cfRule type="containsText" dxfId="637" priority="8" operator="containsText" text="Sublimite">
      <formula>NOT(ISERROR(SEARCH("Sublimite",E117)))</formula>
    </cfRule>
    <cfRule type="containsText" dxfId="636" priority="7" operator="containsText" text="Excluido">
      <formula>NOT(ISERROR(SEARCH("Excluido",E117)))</formula>
    </cfRule>
  </conditionalFormatting>
  <conditionalFormatting sqref="E118:E121">
    <cfRule type="containsText" dxfId="635" priority="136" operator="containsText" text="Sublimite">
      <formula>NOT(ISERROR(SEARCH("Sublimite",E118)))</formula>
    </cfRule>
  </conditionalFormatting>
  <conditionalFormatting sqref="E124">
    <cfRule type="containsText" dxfId="634" priority="5" operator="containsText" text="Sublimite">
      <formula>NOT(ISERROR(SEARCH("Sublimite",E124)))</formula>
    </cfRule>
    <cfRule type="containsText" dxfId="633" priority="6" operator="containsText" text="Adicional">
      <formula>NOT(ISERROR(SEARCH("Adicional",E124)))</formula>
    </cfRule>
  </conditionalFormatting>
  <conditionalFormatting sqref="E124:E128">
    <cfRule type="containsText" dxfId="632" priority="3" operator="containsText" text="Excluido">
      <formula>NOT(ISERROR(SEARCH("Excluido",E124)))</formula>
    </cfRule>
    <cfRule type="containsText" dxfId="631" priority="4" operator="containsText" text="Sublimite">
      <formula>NOT(ISERROR(SEARCH("Sublimite",E124)))</formula>
    </cfRule>
    <cfRule type="containsText" dxfId="630" priority="1" operator="containsText" text="Excluido">
      <formula>NOT(ISERROR(SEARCH("Excluido",E124)))</formula>
    </cfRule>
    <cfRule type="containsText" dxfId="629" priority="2" operator="containsText" text="Sublimite">
      <formula>NOT(ISERROR(SEARCH("Sublimite",E124)))</formula>
    </cfRule>
  </conditionalFormatting>
  <conditionalFormatting sqref="E125:E128">
    <cfRule type="containsText" dxfId="628" priority="131" operator="containsText" text="Sublimite">
      <formula>NOT(ISERROR(SEARCH("Sublimite",E125)))</formula>
    </cfRule>
  </conditionalFormatting>
  <conditionalFormatting sqref="E131:E136">
    <cfRule type="containsText" dxfId="627" priority="349" operator="containsText" text="Adicional">
      <formula>NOT(ISERROR(SEARCH("Adicional",E131)))</formula>
    </cfRule>
    <cfRule type="containsText" dxfId="626" priority="348" operator="containsText" text="Sublimite">
      <formula>NOT(ISERROR(SEARCH("Sublimite",E131)))</formula>
    </cfRule>
    <cfRule type="containsText" dxfId="625" priority="347" operator="containsText" text="Sublimite">
      <formula>NOT(ISERROR(SEARCH("Sublimite",E131)))</formula>
    </cfRule>
    <cfRule type="containsText" dxfId="624" priority="346" operator="containsText" text="Excluido">
      <formula>NOT(ISERROR(SEARCH("Excluido",E131)))</formula>
    </cfRule>
    <cfRule type="containsText" dxfId="623" priority="345" operator="containsText" text="Sublimite">
      <formula>NOT(ISERROR(SEARCH("Sublimite",E131)))</formula>
    </cfRule>
    <cfRule type="containsText" dxfId="622" priority="344" operator="containsText" text="Excluido">
      <formula>NOT(ISERROR(SEARCH("Excluido",E131)))</formula>
    </cfRule>
  </conditionalFormatting>
  <conditionalFormatting sqref="E139:E144">
    <cfRule type="containsText" dxfId="621" priority="339" operator="containsText" text="Sublimite">
      <formula>NOT(ISERROR(SEARCH("Sublimite",E139)))</formula>
    </cfRule>
    <cfRule type="containsText" dxfId="620" priority="338" operator="containsText" text="Excluido">
      <formula>NOT(ISERROR(SEARCH("Excluido",E139)))</formula>
    </cfRule>
    <cfRule type="containsText" dxfId="619" priority="342" operator="containsText" text="Sublimite">
      <formula>NOT(ISERROR(SEARCH("Sublimite",E139)))</formula>
    </cfRule>
    <cfRule type="containsText" dxfId="618" priority="341" operator="containsText" text="Sublimite">
      <formula>NOT(ISERROR(SEARCH("Sublimite",E139)))</formula>
    </cfRule>
    <cfRule type="containsText" dxfId="617" priority="340" operator="containsText" text="Excluido">
      <formula>NOT(ISERROR(SEARCH("Excluido",E139)))</formula>
    </cfRule>
    <cfRule type="containsText" dxfId="616" priority="343" operator="containsText" text="Adicional">
      <formula>NOT(ISERROR(SEARCH("Adicional",E139)))</formula>
    </cfRule>
  </conditionalFormatting>
  <conditionalFormatting sqref="E147">
    <cfRule type="containsText" dxfId="615" priority="336" operator="containsText" text="Sublimite">
      <formula>NOT(ISERROR(SEARCH("Sublimite",E147)))</formula>
    </cfRule>
    <cfRule type="containsText" dxfId="614" priority="335" operator="containsText" text="Sublimite">
      <formula>NOT(ISERROR(SEARCH("Sublimite",E147)))</formula>
    </cfRule>
    <cfRule type="containsText" dxfId="613" priority="334" operator="containsText" text="Excluido">
      <formula>NOT(ISERROR(SEARCH("Excluido",E147)))</formula>
    </cfRule>
    <cfRule type="containsText" dxfId="612" priority="333" operator="containsText" text="Sublimite">
      <formula>NOT(ISERROR(SEARCH("Sublimite",E147)))</formula>
    </cfRule>
    <cfRule type="containsText" dxfId="611" priority="332" operator="containsText" text="Excluido">
      <formula>NOT(ISERROR(SEARCH("Excluido",E147)))</formula>
    </cfRule>
    <cfRule type="containsText" dxfId="610" priority="337" operator="containsText" text="Adicional">
      <formula>NOT(ISERROR(SEARCH("Adicional",E147)))</formula>
    </cfRule>
  </conditionalFormatting>
  <conditionalFormatting sqref="E150">
    <cfRule type="containsText" dxfId="609" priority="327" operator="containsText" text="Sublimite">
      <formula>NOT(ISERROR(SEARCH("Sublimite",E150)))</formula>
    </cfRule>
    <cfRule type="containsText" dxfId="608" priority="331" operator="containsText" text="Adicional">
      <formula>NOT(ISERROR(SEARCH("Adicional",E150)))</formula>
    </cfRule>
    <cfRule type="containsText" dxfId="607" priority="326" operator="containsText" text="Excluido">
      <formula>NOT(ISERROR(SEARCH("Excluido",E150)))</formula>
    </cfRule>
    <cfRule type="containsText" dxfId="606" priority="330" operator="containsText" text="Sublimite">
      <formula>NOT(ISERROR(SEARCH("Sublimite",E150)))</formula>
    </cfRule>
    <cfRule type="containsText" dxfId="605" priority="329" operator="containsText" text="Sublimite">
      <formula>NOT(ISERROR(SEARCH("Sublimite",E150)))</formula>
    </cfRule>
    <cfRule type="containsText" dxfId="604" priority="328" operator="containsText" text="Excluido">
      <formula>NOT(ISERROR(SEARCH("Excluido",E150)))</formula>
    </cfRule>
  </conditionalFormatting>
  <conditionalFormatting sqref="E153">
    <cfRule type="containsText" dxfId="603" priority="325" operator="containsText" text="Adicional">
      <formula>NOT(ISERROR(SEARCH("Adicional",E153)))</formula>
    </cfRule>
    <cfRule type="containsText" dxfId="602" priority="324" operator="containsText" text="Sublimite">
      <formula>NOT(ISERROR(SEARCH("Sublimite",E153)))</formula>
    </cfRule>
    <cfRule type="containsText" dxfId="601" priority="323" operator="containsText" text="Sublimite">
      <formula>NOT(ISERROR(SEARCH("Sublimite",E153)))</formula>
    </cfRule>
    <cfRule type="containsText" dxfId="600" priority="320" operator="containsText" text="Excluido">
      <formula>NOT(ISERROR(SEARCH("Excluido",E153)))</formula>
    </cfRule>
    <cfRule type="containsText" dxfId="599" priority="321" operator="containsText" text="Sublimite">
      <formula>NOT(ISERROR(SEARCH("Sublimite",E153)))</formula>
    </cfRule>
    <cfRule type="containsText" dxfId="598" priority="322" operator="containsText" text="Excluido">
      <formula>NOT(ISERROR(SEARCH("Excluido",E153)))</formula>
    </cfRule>
  </conditionalFormatting>
  <conditionalFormatting sqref="E156">
    <cfRule type="containsText" dxfId="597" priority="317" operator="containsText" text="Sublimite">
      <formula>NOT(ISERROR(SEARCH("Sublimite",E156)))</formula>
    </cfRule>
    <cfRule type="containsText" dxfId="596" priority="319" operator="containsText" text="Adicional">
      <formula>NOT(ISERROR(SEARCH("Adicional",E156)))</formula>
    </cfRule>
    <cfRule type="containsText" dxfId="595" priority="318" operator="containsText" text="Sublimite">
      <formula>NOT(ISERROR(SEARCH("Sublimite",E156)))</formula>
    </cfRule>
    <cfRule type="containsText" dxfId="594" priority="316" operator="containsText" text="Excluido">
      <formula>NOT(ISERROR(SEARCH("Excluido",E156)))</formula>
    </cfRule>
    <cfRule type="containsText" dxfId="593" priority="315" operator="containsText" text="Sublimite">
      <formula>NOT(ISERROR(SEARCH("Sublimite",E156)))</formula>
    </cfRule>
    <cfRule type="containsText" dxfId="592" priority="314" operator="containsText" text="Excluido">
      <formula>NOT(ISERROR(SEARCH("Excluido",E156)))</formula>
    </cfRule>
  </conditionalFormatting>
  <conditionalFormatting sqref="E159">
    <cfRule type="containsText" dxfId="591" priority="313" operator="containsText" text="Adicional">
      <formula>NOT(ISERROR(SEARCH("Adicional",E159)))</formula>
    </cfRule>
    <cfRule type="containsText" dxfId="590" priority="311" operator="containsText" text="Sublimite">
      <formula>NOT(ISERROR(SEARCH("Sublimite",E159)))</formula>
    </cfRule>
    <cfRule type="containsText" dxfId="589" priority="312" operator="containsText" text="Sublimite">
      <formula>NOT(ISERROR(SEARCH("Sublimite",E159)))</formula>
    </cfRule>
    <cfRule type="containsText" dxfId="588" priority="310" operator="containsText" text="Excluido">
      <formula>NOT(ISERROR(SEARCH("Excluido",E159)))</formula>
    </cfRule>
    <cfRule type="containsText" dxfId="587" priority="309" operator="containsText" text="Sublimite">
      <formula>NOT(ISERROR(SEARCH("Sublimite",E159)))</formula>
    </cfRule>
    <cfRule type="containsText" dxfId="586" priority="308" operator="containsText" text="Excluido">
      <formula>NOT(ISERROR(SEARCH("Excluido",E159)))</formula>
    </cfRule>
  </conditionalFormatting>
  <conditionalFormatting sqref="E162:E163">
    <cfRule type="containsText" dxfId="585" priority="414" operator="containsText" text="Sublimite">
      <formula>NOT(ISERROR(SEARCH("Sublimite",E162)))</formula>
    </cfRule>
    <cfRule type="containsText" dxfId="584" priority="415" operator="containsText" text="Adicional">
      <formula>NOT(ISERROR(SEARCH("Adicional",E162)))</formula>
    </cfRule>
  </conditionalFormatting>
  <conditionalFormatting sqref="E162:E165">
    <cfRule type="containsText" dxfId="583" priority="410" operator="containsText" text="Excluido">
      <formula>NOT(ISERROR(SEARCH("Excluido",E162)))</formula>
    </cfRule>
    <cfRule type="containsText" dxfId="582" priority="411" operator="containsText" text="Sublimite">
      <formula>NOT(ISERROR(SEARCH("Sublimite",E162)))</formula>
    </cfRule>
    <cfRule type="containsText" dxfId="581" priority="412" operator="containsText" text="Excluido">
      <formula>NOT(ISERROR(SEARCH("Excluido",E162)))</formula>
    </cfRule>
    <cfRule type="containsText" dxfId="580" priority="413" operator="containsText" text="Sublimite">
      <formula>NOT(ISERROR(SEARCH("Sublimite",E162)))</formula>
    </cfRule>
  </conditionalFormatting>
  <conditionalFormatting sqref="E164:E165">
    <cfRule type="containsText" dxfId="579" priority="590" operator="containsText" text="Sublimite">
      <formula>NOT(ISERROR(SEARCH("Sublimite",E164)))</formula>
    </cfRule>
  </conditionalFormatting>
  <conditionalFormatting sqref="E168:E169">
    <cfRule type="containsText" dxfId="578" priority="402" operator="containsText" text="Sublimite">
      <formula>NOT(ISERROR(SEARCH("Sublimite",E168)))</formula>
    </cfRule>
    <cfRule type="containsText" dxfId="577" priority="403" operator="containsText" text="Adicional">
      <formula>NOT(ISERROR(SEARCH("Adicional",E168)))</formula>
    </cfRule>
  </conditionalFormatting>
  <conditionalFormatting sqref="E168:E171">
    <cfRule type="containsText" dxfId="576" priority="398" operator="containsText" text="Excluido">
      <formula>NOT(ISERROR(SEARCH("Excluido",E168)))</formula>
    </cfRule>
    <cfRule type="containsText" dxfId="575" priority="399" operator="containsText" text="Sublimite">
      <formula>NOT(ISERROR(SEARCH("Sublimite",E168)))</formula>
    </cfRule>
    <cfRule type="containsText" dxfId="574" priority="400" operator="containsText" text="Excluido">
      <formula>NOT(ISERROR(SEARCH("Excluido",E168)))</formula>
    </cfRule>
    <cfRule type="containsText" dxfId="573" priority="401" operator="containsText" text="Sublimite">
      <formula>NOT(ISERROR(SEARCH("Sublimite",E168)))</formula>
    </cfRule>
  </conditionalFormatting>
  <conditionalFormatting sqref="E170:E171">
    <cfRule type="containsText" dxfId="572" priority="580" operator="containsText" text="Sublimite">
      <formula>NOT(ISERROR(SEARCH("Sublimite",E170)))</formula>
    </cfRule>
  </conditionalFormatting>
  <conditionalFormatting sqref="E174:E175">
    <cfRule type="containsText" dxfId="571" priority="390" operator="containsText" text="Sublimite">
      <formula>NOT(ISERROR(SEARCH("Sublimite",E174)))</formula>
    </cfRule>
    <cfRule type="containsText" dxfId="570" priority="391" operator="containsText" text="Adicional">
      <formula>NOT(ISERROR(SEARCH("Adicional",E174)))</formula>
    </cfRule>
  </conditionalFormatting>
  <conditionalFormatting sqref="E174:E177">
    <cfRule type="containsText" dxfId="569" priority="386" operator="containsText" text="Excluido">
      <formula>NOT(ISERROR(SEARCH("Excluido",E174)))</formula>
    </cfRule>
    <cfRule type="containsText" dxfId="568" priority="387" operator="containsText" text="Sublimite">
      <formula>NOT(ISERROR(SEARCH("Sublimite",E174)))</formula>
    </cfRule>
    <cfRule type="containsText" dxfId="567" priority="388" operator="containsText" text="Excluido">
      <formula>NOT(ISERROR(SEARCH("Excluido",E174)))</formula>
    </cfRule>
    <cfRule type="containsText" dxfId="566" priority="389" operator="containsText" text="Sublimite">
      <formula>NOT(ISERROR(SEARCH("Sublimite",E174)))</formula>
    </cfRule>
  </conditionalFormatting>
  <conditionalFormatting sqref="E176:E177">
    <cfRule type="containsText" dxfId="565" priority="570" operator="containsText" text="Sublimite">
      <formula>NOT(ISERROR(SEARCH("Sublimite",E176)))</formula>
    </cfRule>
  </conditionalFormatting>
  <conditionalFormatting sqref="E180:E181">
    <cfRule type="containsText" dxfId="564" priority="559" operator="containsText" text="Sublimite">
      <formula>NOT(ISERROR(SEARCH("Sublimite",E180)))</formula>
    </cfRule>
    <cfRule type="containsText" dxfId="563" priority="560" operator="containsText" text="Sublimite">
      <formula>NOT(ISERROR(SEARCH("Sublimite",E180)))</formula>
    </cfRule>
    <cfRule type="containsText" dxfId="562" priority="556" operator="containsText" text="Excluido">
      <formula>NOT(ISERROR(SEARCH("Excluido",E180)))</formula>
    </cfRule>
    <cfRule type="containsText" dxfId="561" priority="557" operator="containsText" text="Sublimite">
      <formula>NOT(ISERROR(SEARCH("Sublimite",E180)))</formula>
    </cfRule>
    <cfRule type="containsText" dxfId="560" priority="558" operator="containsText" text="Excluido">
      <formula>NOT(ISERROR(SEARCH("Excluido",E180)))</formula>
    </cfRule>
  </conditionalFormatting>
  <conditionalFormatting sqref="E184:E185">
    <cfRule type="containsText" dxfId="559" priority="550" operator="containsText" text="Sublimite">
      <formula>NOT(ISERROR(SEARCH("Sublimite",E184)))</formula>
    </cfRule>
    <cfRule type="containsText" dxfId="558" priority="549" operator="containsText" text="Sublimite">
      <formula>NOT(ISERROR(SEARCH("Sublimite",E184)))</formula>
    </cfRule>
    <cfRule type="containsText" dxfId="557" priority="548" operator="containsText" text="Excluido">
      <formula>NOT(ISERROR(SEARCH("Excluido",E184)))</formula>
    </cfRule>
    <cfRule type="containsText" dxfId="556" priority="547" operator="containsText" text="Sublimite">
      <formula>NOT(ISERROR(SEARCH("Sublimite",E184)))</formula>
    </cfRule>
    <cfRule type="containsText" dxfId="555" priority="546" operator="containsText" text="Excluido">
      <formula>NOT(ISERROR(SEARCH("Excluido",E184)))</formula>
    </cfRule>
  </conditionalFormatting>
  <conditionalFormatting sqref="E188:E191">
    <cfRule type="containsText" dxfId="554" priority="366" operator="containsText" text="Sublimite">
      <formula>NOT(ISERROR(SEARCH("Sublimite",E188)))</formula>
    </cfRule>
    <cfRule type="containsText" dxfId="553" priority="367" operator="containsText" text="Adicional">
      <formula>NOT(ISERROR(SEARCH("Adicional",E188)))</formula>
    </cfRule>
  </conditionalFormatting>
  <conditionalFormatting sqref="E188:E201">
    <cfRule type="containsText" dxfId="552" priority="363" operator="containsText" text="Sublimite">
      <formula>NOT(ISERROR(SEARCH("Sublimite",E188)))</formula>
    </cfRule>
    <cfRule type="containsText" dxfId="551" priority="364" operator="containsText" text="Excluido">
      <formula>NOT(ISERROR(SEARCH("Excluido",E188)))</formula>
    </cfRule>
    <cfRule type="containsText" dxfId="550" priority="365" operator="containsText" text="Sublimite">
      <formula>NOT(ISERROR(SEARCH("Sublimite",E188)))</formula>
    </cfRule>
    <cfRule type="containsText" dxfId="549" priority="362" operator="containsText" text="Excluido">
      <formula>NOT(ISERROR(SEARCH("Excluido",E188)))</formula>
    </cfRule>
  </conditionalFormatting>
  <conditionalFormatting sqref="E192:E201">
    <cfRule type="containsText" dxfId="548" priority="500" operator="containsText" text="Sublimite">
      <formula>NOT(ISERROR(SEARCH("Sublimite",E192)))</formula>
    </cfRule>
  </conditionalFormatting>
  <conditionalFormatting sqref="E204:E205">
    <cfRule type="containsText" dxfId="547" priority="490" operator="containsText" text="Sublimite">
      <formula>NOT(ISERROR(SEARCH("Sublimite",E204)))</formula>
    </cfRule>
    <cfRule type="containsText" dxfId="546" priority="489" operator="containsText" text="Sublimite">
      <formula>NOT(ISERROR(SEARCH("Sublimite",E204)))</formula>
    </cfRule>
    <cfRule type="containsText" dxfId="545" priority="488" operator="containsText" text="Excluido">
      <formula>NOT(ISERROR(SEARCH("Excluido",E204)))</formula>
    </cfRule>
    <cfRule type="containsText" dxfId="544" priority="487" operator="containsText" text="Sublimite">
      <formula>NOT(ISERROR(SEARCH("Sublimite",E204)))</formula>
    </cfRule>
    <cfRule type="containsText" dxfId="543" priority="486" operator="containsText" text="Excluido">
      <formula>NOT(ISERROR(SEARCH("Excluido",E204)))</formula>
    </cfRule>
  </conditionalFormatting>
  <conditionalFormatting sqref="E208:E209">
    <cfRule type="containsText" dxfId="542" priority="477" operator="containsText" text="Sublimite">
      <formula>NOT(ISERROR(SEARCH("Sublimite",E208)))</formula>
    </cfRule>
    <cfRule type="containsText" dxfId="541" priority="479" operator="containsText" text="Sublimite">
      <formula>NOT(ISERROR(SEARCH("Sublimite",E208)))</formula>
    </cfRule>
    <cfRule type="containsText" dxfId="540" priority="480" operator="containsText" text="Sublimite">
      <formula>NOT(ISERROR(SEARCH("Sublimite",E208)))</formula>
    </cfRule>
    <cfRule type="containsText" dxfId="539" priority="478" operator="containsText" text="Excluido">
      <formula>NOT(ISERROR(SEARCH("Excluido",E208)))</formula>
    </cfRule>
    <cfRule type="containsText" dxfId="538" priority="476" operator="containsText" text="Excluido">
      <formula>NOT(ISERROR(SEARCH("Excluido",E208)))</formula>
    </cfRule>
  </conditionalFormatting>
  <conditionalFormatting sqref="E212">
    <cfRule type="containsText" dxfId="537" priority="306" operator="containsText" text="Sublimite">
      <formula>NOT(ISERROR(SEARCH("Sublimite",E212)))</formula>
    </cfRule>
    <cfRule type="containsText" dxfId="536" priority="302" operator="containsText" text="Excluido">
      <formula>NOT(ISERROR(SEARCH("Excluido",E212)))</formula>
    </cfRule>
    <cfRule type="containsText" dxfId="535" priority="303" operator="containsText" text="Sublimite">
      <formula>NOT(ISERROR(SEARCH("Sublimite",E212)))</formula>
    </cfRule>
    <cfRule type="containsText" dxfId="534" priority="304" operator="containsText" text="Excluido">
      <formula>NOT(ISERROR(SEARCH("Excluido",E212)))</formula>
    </cfRule>
    <cfRule type="containsText" dxfId="533" priority="305" operator="containsText" text="Sublimite">
      <formula>NOT(ISERROR(SEARCH("Sublimite",E212)))</formula>
    </cfRule>
    <cfRule type="containsText" dxfId="532" priority="307" operator="containsText" text="Adicional">
      <formula>NOT(ISERROR(SEARCH("Adicional",E212)))</formula>
    </cfRule>
  </conditionalFormatting>
  <conditionalFormatting sqref="E215">
    <cfRule type="containsText" dxfId="531" priority="301" operator="containsText" text="Adicional">
      <formula>NOT(ISERROR(SEARCH("Adicional",E215)))</formula>
    </cfRule>
    <cfRule type="containsText" dxfId="530" priority="299" operator="containsText" text="Sublimite">
      <formula>NOT(ISERROR(SEARCH("Sublimite",E215)))</formula>
    </cfRule>
    <cfRule type="containsText" dxfId="529" priority="298" operator="containsText" text="Excluido">
      <formula>NOT(ISERROR(SEARCH("Excluido",E215)))</formula>
    </cfRule>
    <cfRule type="containsText" dxfId="528" priority="297" operator="containsText" text="Sublimite">
      <formula>NOT(ISERROR(SEARCH("Sublimite",E215)))</formula>
    </cfRule>
    <cfRule type="containsText" dxfId="527" priority="296" operator="containsText" text="Excluido">
      <formula>NOT(ISERROR(SEARCH("Excluido",E215)))</formula>
    </cfRule>
    <cfRule type="containsText" dxfId="526" priority="300" operator="containsText" text="Sublimite">
      <formula>NOT(ISERROR(SEARCH("Sublimite",E215)))</formula>
    </cfRule>
  </conditionalFormatting>
  <conditionalFormatting sqref="E218">
    <cfRule type="containsText" dxfId="525" priority="295" operator="containsText" text="Adicional">
      <formula>NOT(ISERROR(SEARCH("Adicional",E218)))</formula>
    </cfRule>
    <cfRule type="containsText" dxfId="524" priority="294" operator="containsText" text="Sublimite">
      <formula>NOT(ISERROR(SEARCH("Sublimite",E218)))</formula>
    </cfRule>
  </conditionalFormatting>
  <conditionalFormatting sqref="E218:E219">
    <cfRule type="containsText" dxfId="523" priority="122" operator="containsText" text="Excluido">
      <formula>NOT(ISERROR(SEARCH("Excluido",E218)))</formula>
    </cfRule>
    <cfRule type="containsText" dxfId="522" priority="125" operator="containsText" text="Sublimite">
      <formula>NOT(ISERROR(SEARCH("Sublimite",E218)))</formula>
    </cfRule>
    <cfRule type="containsText" dxfId="521" priority="123" operator="containsText" text="Sublimite">
      <formula>NOT(ISERROR(SEARCH("Sublimite",E218)))</formula>
    </cfRule>
    <cfRule type="containsText" dxfId="520" priority="124" operator="containsText" text="Excluido">
      <formula>NOT(ISERROR(SEARCH("Excluido",E218)))</formula>
    </cfRule>
  </conditionalFormatting>
  <conditionalFormatting sqref="E219">
    <cfRule type="containsText" dxfId="519" priority="126" operator="containsText" text="Sublimite">
      <formula>NOT(ISERROR(SEARCH("Sublimite",E219)))</formula>
    </cfRule>
  </conditionalFormatting>
  <conditionalFormatting sqref="E222">
    <cfRule type="containsText" dxfId="518" priority="121" operator="containsText" text="Sublimite">
      <formula>NOT(ISERROR(SEARCH("Sublimite",E222)))</formula>
    </cfRule>
    <cfRule type="containsText" dxfId="517" priority="120" operator="containsText" text="Sublimite">
      <formula>NOT(ISERROR(SEARCH("Sublimite",E222)))</formula>
    </cfRule>
    <cfRule type="containsText" dxfId="516" priority="119" operator="containsText" text="Excluido">
      <formula>NOT(ISERROR(SEARCH("Excluido",E222)))</formula>
    </cfRule>
    <cfRule type="containsText" dxfId="515" priority="118" operator="containsText" text="Sublimite">
      <formula>NOT(ISERROR(SEARCH("Sublimite",E222)))</formula>
    </cfRule>
    <cfRule type="containsText" dxfId="514" priority="117" operator="containsText" text="Excluido">
      <formula>NOT(ISERROR(SEARCH("Excluido",E222)))</formula>
    </cfRule>
  </conditionalFormatting>
  <conditionalFormatting sqref="E225">
    <cfRule type="containsText" dxfId="513" priority="112" operator="containsText" text="Excluido">
      <formula>NOT(ISERROR(SEARCH("Excluido",E225)))</formula>
    </cfRule>
    <cfRule type="containsText" dxfId="512" priority="113" operator="containsText" text="Sublimite">
      <formula>NOT(ISERROR(SEARCH("Sublimite",E225)))</formula>
    </cfRule>
    <cfRule type="containsText" dxfId="511" priority="116" operator="containsText" text="Sublimite">
      <formula>NOT(ISERROR(SEARCH("Sublimite",E225)))</formula>
    </cfRule>
    <cfRule type="containsText" dxfId="510" priority="115" operator="containsText" text="Sublimite">
      <formula>NOT(ISERROR(SEARCH("Sublimite",E225)))</formula>
    </cfRule>
    <cfRule type="containsText" dxfId="509" priority="114" operator="containsText" text="Excluido">
      <formula>NOT(ISERROR(SEARCH("Excluido",E225)))</formula>
    </cfRule>
  </conditionalFormatting>
  <conditionalFormatting sqref="E228">
    <cfRule type="containsText" dxfId="508" priority="288" operator="containsText" text="Sublimite">
      <formula>NOT(ISERROR(SEARCH("Sublimite",E228)))</formula>
    </cfRule>
    <cfRule type="containsText" dxfId="507" priority="289" operator="containsText" text="Adicional">
      <formula>NOT(ISERROR(SEARCH("Adicional",E228)))</formula>
    </cfRule>
  </conditionalFormatting>
  <conditionalFormatting sqref="E228:E229">
    <cfRule type="containsText" dxfId="506" priority="107" operator="containsText" text="Excluido">
      <formula>NOT(ISERROR(SEARCH("Excluido",E228)))</formula>
    </cfRule>
    <cfRule type="containsText" dxfId="505" priority="108" operator="containsText" text="Sublimite">
      <formula>NOT(ISERROR(SEARCH("Sublimite",E228)))</formula>
    </cfRule>
    <cfRule type="containsText" dxfId="504" priority="110" operator="containsText" text="Sublimite">
      <formula>NOT(ISERROR(SEARCH("Sublimite",E228)))</formula>
    </cfRule>
    <cfRule type="containsText" dxfId="503" priority="109" operator="containsText" text="Excluido">
      <formula>NOT(ISERROR(SEARCH("Excluido",E228)))</formula>
    </cfRule>
  </conditionalFormatting>
  <conditionalFormatting sqref="E229">
    <cfRule type="containsText" dxfId="502" priority="111" operator="containsText" text="Sublimite">
      <formula>NOT(ISERROR(SEARCH("Sublimite",E229)))</formula>
    </cfRule>
  </conditionalFormatting>
  <conditionalFormatting sqref="E232">
    <cfRule type="containsText" dxfId="501" priority="102" operator="containsText" text="Excluido">
      <formula>NOT(ISERROR(SEARCH("Excluido",E232)))</formula>
    </cfRule>
    <cfRule type="containsText" dxfId="500" priority="104" operator="containsText" text="Excluido">
      <formula>NOT(ISERROR(SEARCH("Excluido",E232)))</formula>
    </cfRule>
    <cfRule type="containsText" dxfId="499" priority="105" operator="containsText" text="Sublimite">
      <formula>NOT(ISERROR(SEARCH("Sublimite",E232)))</formula>
    </cfRule>
    <cfRule type="containsText" dxfId="498" priority="106" operator="containsText" text="Sublimite">
      <formula>NOT(ISERROR(SEARCH("Sublimite",E232)))</formula>
    </cfRule>
    <cfRule type="containsText" dxfId="497" priority="103" operator="containsText" text="Sublimite">
      <formula>NOT(ISERROR(SEARCH("Sublimite",E232)))</formula>
    </cfRule>
  </conditionalFormatting>
  <conditionalFormatting sqref="E235">
    <cfRule type="containsText" dxfId="496" priority="97" operator="containsText" text="Excluido">
      <formula>NOT(ISERROR(SEARCH("Excluido",E235)))</formula>
    </cfRule>
    <cfRule type="containsText" dxfId="495" priority="98" operator="containsText" text="Sublimite">
      <formula>NOT(ISERROR(SEARCH("Sublimite",E235)))</formula>
    </cfRule>
    <cfRule type="containsText" dxfId="494" priority="99" operator="containsText" text="Excluido">
      <formula>NOT(ISERROR(SEARCH("Excluido",E235)))</formula>
    </cfRule>
    <cfRule type="containsText" dxfId="493" priority="100" operator="containsText" text="Sublimite">
      <formula>NOT(ISERROR(SEARCH("Sublimite",E235)))</formula>
    </cfRule>
    <cfRule type="containsText" dxfId="492" priority="101" operator="containsText" text="Sublimite">
      <formula>NOT(ISERROR(SEARCH("Sublimite",E235)))</formula>
    </cfRule>
  </conditionalFormatting>
  <conditionalFormatting sqref="E238:E239">
    <cfRule type="containsText" dxfId="491" priority="279" operator="containsText" text="Sublimite">
      <formula>NOT(ISERROR(SEARCH("Sublimite",E238)))</formula>
    </cfRule>
    <cfRule type="containsText" dxfId="490" priority="278" operator="containsText" text="Excluido">
      <formula>NOT(ISERROR(SEARCH("Excluido",E238)))</formula>
    </cfRule>
    <cfRule type="containsText" dxfId="489" priority="280" operator="containsText" text="Excluido">
      <formula>NOT(ISERROR(SEARCH("Excluido",E238)))</formula>
    </cfRule>
    <cfRule type="containsText" dxfId="488" priority="281" operator="containsText" text="Sublimite">
      <formula>NOT(ISERROR(SEARCH("Sublimite",E238)))</formula>
    </cfRule>
    <cfRule type="containsText" dxfId="487" priority="282" operator="containsText" text="Sublimite">
      <formula>NOT(ISERROR(SEARCH("Sublimite",E238)))</formula>
    </cfRule>
    <cfRule type="containsText" dxfId="486" priority="283" operator="containsText" text="Adicional">
      <formula>NOT(ISERROR(SEARCH("Adicional",E238)))</formula>
    </cfRule>
  </conditionalFormatting>
  <conditionalFormatting sqref="E242:E243">
    <cfRule type="containsText" dxfId="485" priority="277" operator="containsText" text="Adicional">
      <formula>NOT(ISERROR(SEARCH("Adicional",E242)))</formula>
    </cfRule>
    <cfRule type="containsText" dxfId="484" priority="276" operator="containsText" text="Sublimite">
      <formula>NOT(ISERROR(SEARCH("Sublimite",E242)))</formula>
    </cfRule>
  </conditionalFormatting>
  <conditionalFormatting sqref="E242:E271">
    <cfRule type="containsText" dxfId="483" priority="84" operator="containsText" text="Excluido">
      <formula>NOT(ISERROR(SEARCH("Excluido",E242)))</formula>
    </cfRule>
    <cfRule type="containsText" dxfId="482" priority="85" operator="containsText" text="Sublimite">
      <formula>NOT(ISERROR(SEARCH("Sublimite",E242)))</formula>
    </cfRule>
    <cfRule type="containsText" dxfId="481" priority="82" operator="containsText" text="Excluido">
      <formula>NOT(ISERROR(SEARCH("Excluido",E242)))</formula>
    </cfRule>
    <cfRule type="containsText" dxfId="480" priority="83" operator="containsText" text="Sublimite">
      <formula>NOT(ISERROR(SEARCH("Sublimite",E242)))</formula>
    </cfRule>
  </conditionalFormatting>
  <conditionalFormatting sqref="E244:E265">
    <cfRule type="containsText" dxfId="479" priority="96" operator="containsText" text="Sublimite">
      <formula>NOT(ISERROR(SEARCH("Sublimite",E244)))</formula>
    </cfRule>
  </conditionalFormatting>
  <conditionalFormatting sqref="E266">
    <cfRule type="containsText" dxfId="478" priority="271" operator="containsText" text="Adicional">
      <formula>NOT(ISERROR(SEARCH("Adicional",E266)))</formula>
    </cfRule>
    <cfRule type="containsText" dxfId="477" priority="270" operator="containsText" text="Sublimite">
      <formula>NOT(ISERROR(SEARCH("Sublimite",E266)))</formula>
    </cfRule>
  </conditionalFormatting>
  <conditionalFormatting sqref="E267:E268">
    <cfRule type="containsText" dxfId="476" priority="91" operator="containsText" text="Sublimite">
      <formula>NOT(ISERROR(SEARCH("Sublimite",E267)))</formula>
    </cfRule>
  </conditionalFormatting>
  <conditionalFormatting sqref="E269">
    <cfRule type="containsText" dxfId="475" priority="265" operator="containsText" text="Adicional">
      <formula>NOT(ISERROR(SEARCH("Adicional",E269)))</formula>
    </cfRule>
    <cfRule type="containsText" dxfId="474" priority="264" operator="containsText" text="Sublimite">
      <formula>NOT(ISERROR(SEARCH("Sublimite",E269)))</formula>
    </cfRule>
  </conditionalFormatting>
  <conditionalFormatting sqref="E270:E271">
    <cfRule type="containsText" dxfId="473" priority="86" operator="containsText" text="Sublimite">
      <formula>NOT(ISERROR(SEARCH("Sublimite",E270)))</formula>
    </cfRule>
  </conditionalFormatting>
  <conditionalFormatting sqref="E274">
    <cfRule type="containsText" dxfId="472" priority="259" operator="containsText" text="Adicional">
      <formula>NOT(ISERROR(SEARCH("Adicional",E274)))</formula>
    </cfRule>
    <cfRule type="containsText" dxfId="471" priority="258" operator="containsText" text="Sublimite">
      <formula>NOT(ISERROR(SEARCH("Sublimite",E274)))</formula>
    </cfRule>
  </conditionalFormatting>
  <conditionalFormatting sqref="E274:E275">
    <cfRule type="containsText" dxfId="470" priority="77" operator="containsText" text="Excluido">
      <formula>NOT(ISERROR(SEARCH("Excluido",E274)))</formula>
    </cfRule>
    <cfRule type="containsText" dxfId="469" priority="78" operator="containsText" text="Sublimite">
      <formula>NOT(ISERROR(SEARCH("Sublimite",E274)))</formula>
    </cfRule>
    <cfRule type="containsText" dxfId="468" priority="80" operator="containsText" text="Sublimite">
      <formula>NOT(ISERROR(SEARCH("Sublimite",E274)))</formula>
    </cfRule>
    <cfRule type="containsText" dxfId="467" priority="79" operator="containsText" text="Excluido">
      <formula>NOT(ISERROR(SEARCH("Excluido",E274)))</formula>
    </cfRule>
  </conditionalFormatting>
  <conditionalFormatting sqref="E275">
    <cfRule type="containsText" dxfId="466" priority="81" operator="containsText" text="Sublimite">
      <formula>NOT(ISERROR(SEARCH("Sublimite",E275)))</formula>
    </cfRule>
  </conditionalFormatting>
  <conditionalFormatting sqref="E278">
    <cfRule type="containsText" dxfId="465" priority="253" operator="containsText" text="Adicional">
      <formula>NOT(ISERROR(SEARCH("Adicional",E278)))</formula>
    </cfRule>
    <cfRule type="containsText" dxfId="464" priority="252" operator="containsText" text="Sublimite">
      <formula>NOT(ISERROR(SEARCH("Sublimite",E278)))</formula>
    </cfRule>
  </conditionalFormatting>
  <conditionalFormatting sqref="E278:E281">
    <cfRule type="containsText" dxfId="463" priority="75" operator="containsText" text="Sublimite">
      <formula>NOT(ISERROR(SEARCH("Sublimite",E278)))</formula>
    </cfRule>
    <cfRule type="containsText" dxfId="462" priority="74" operator="containsText" text="Excluido">
      <formula>NOT(ISERROR(SEARCH("Excluido",E278)))</formula>
    </cfRule>
    <cfRule type="containsText" dxfId="461" priority="73" operator="containsText" text="Sublimite">
      <formula>NOT(ISERROR(SEARCH("Sublimite",E278)))</formula>
    </cfRule>
    <cfRule type="containsText" dxfId="460" priority="72" operator="containsText" text="Excluido">
      <formula>NOT(ISERROR(SEARCH("Excluido",E278)))</formula>
    </cfRule>
  </conditionalFormatting>
  <conditionalFormatting sqref="E279:E281">
    <cfRule type="containsText" dxfId="459" priority="76" operator="containsText" text="Sublimite">
      <formula>NOT(ISERROR(SEARCH("Sublimite",E279)))</formula>
    </cfRule>
  </conditionalFormatting>
  <conditionalFormatting sqref="E284:E328">
    <cfRule type="containsText" dxfId="458" priority="246" operator="containsText" text="Sublimite">
      <formula>NOT(ISERROR(SEARCH("Sublimite",E284)))</formula>
    </cfRule>
    <cfRule type="containsText" dxfId="457" priority="247" operator="containsText" text="Adicional">
      <formula>NOT(ISERROR(SEARCH("Adicional",E284)))</formula>
    </cfRule>
    <cfRule type="containsText" dxfId="456" priority="242" operator="containsText" text="Excluido">
      <formula>NOT(ISERROR(SEARCH("Excluido",E284)))</formula>
    </cfRule>
    <cfRule type="containsText" dxfId="455" priority="243" operator="containsText" text="Sublimite">
      <formula>NOT(ISERROR(SEARCH("Sublimite",E284)))</formula>
    </cfRule>
    <cfRule type="containsText" dxfId="454" priority="244" operator="containsText" text="Excluido">
      <formula>NOT(ISERROR(SEARCH("Excluido",E284)))</formula>
    </cfRule>
    <cfRule type="containsText" dxfId="453" priority="245" operator="containsText" text="Sublimite">
      <formula>NOT(ISERROR(SEARCH("Sublimite",E284)))</formula>
    </cfRule>
  </conditionalFormatting>
  <conditionalFormatting sqref="E331">
    <cfRule type="containsText" dxfId="452" priority="240" operator="containsText" text="Sublimite">
      <formula>NOT(ISERROR(SEARCH("Sublimite",E331)))</formula>
    </cfRule>
    <cfRule type="containsText" dxfId="451" priority="241" operator="containsText" text="Adicional">
      <formula>NOT(ISERROR(SEARCH("Adicional",E331)))</formula>
    </cfRule>
  </conditionalFormatting>
  <conditionalFormatting sqref="E331:E335">
    <cfRule type="containsText" dxfId="450" priority="67" operator="containsText" text="Excluido">
      <formula>NOT(ISERROR(SEARCH("Excluido",E331)))</formula>
    </cfRule>
    <cfRule type="containsText" dxfId="449" priority="68" operator="containsText" text="Sublimite">
      <formula>NOT(ISERROR(SEARCH("Sublimite",E331)))</formula>
    </cfRule>
    <cfRule type="containsText" dxfId="448" priority="69" operator="containsText" text="Excluido">
      <formula>NOT(ISERROR(SEARCH("Excluido",E331)))</formula>
    </cfRule>
    <cfRule type="containsText" dxfId="447" priority="70" operator="containsText" text="Sublimite">
      <formula>NOT(ISERROR(SEARCH("Sublimite",E331)))</formula>
    </cfRule>
  </conditionalFormatting>
  <conditionalFormatting sqref="E332:E335">
    <cfRule type="containsText" dxfId="446" priority="71" operator="containsText" text="Sublimite">
      <formula>NOT(ISERROR(SEARCH("Sublimite",E332)))</formula>
    </cfRule>
  </conditionalFormatting>
  <conditionalFormatting sqref="E338">
    <cfRule type="containsText" dxfId="445" priority="235" operator="containsText" text="Adicional">
      <formula>NOT(ISERROR(SEARCH("Adicional",E338)))</formula>
    </cfRule>
    <cfRule type="containsText" dxfId="444" priority="234" operator="containsText" text="Sublimite">
      <formula>NOT(ISERROR(SEARCH("Sublimite",E338)))</formula>
    </cfRule>
  </conditionalFormatting>
  <conditionalFormatting sqref="E338:E343">
    <cfRule type="containsText" dxfId="443" priority="64" operator="containsText" text="Excluido">
      <formula>NOT(ISERROR(SEARCH("Excluido",E338)))</formula>
    </cfRule>
    <cfRule type="containsText" dxfId="442" priority="65" operator="containsText" text="Sublimite">
      <formula>NOT(ISERROR(SEARCH("Sublimite",E338)))</formula>
    </cfRule>
    <cfRule type="containsText" dxfId="441" priority="62" operator="containsText" text="Excluido">
      <formula>NOT(ISERROR(SEARCH("Excluido",E338)))</formula>
    </cfRule>
    <cfRule type="containsText" dxfId="440" priority="63" operator="containsText" text="Sublimite">
      <formula>NOT(ISERROR(SEARCH("Sublimite",E338)))</formula>
    </cfRule>
  </conditionalFormatting>
  <conditionalFormatting sqref="E339:E343">
    <cfRule type="containsText" dxfId="439" priority="66" operator="containsText" text="Sublimite">
      <formula>NOT(ISERROR(SEARCH("Sublimite",E339)))</formula>
    </cfRule>
  </conditionalFormatting>
  <conditionalFormatting sqref="E346:E348">
    <cfRule type="containsText" dxfId="438" priority="228" operator="containsText" text="Sublimite">
      <formula>NOT(ISERROR(SEARCH("Sublimite",E346)))</formula>
    </cfRule>
    <cfRule type="containsText" dxfId="437" priority="229" operator="containsText" text="Adicional">
      <formula>NOT(ISERROR(SEARCH("Adicional",E346)))</formula>
    </cfRule>
  </conditionalFormatting>
  <conditionalFormatting sqref="E346:E349">
    <cfRule type="containsText" dxfId="436" priority="227" operator="containsText" text="Sublimite">
      <formula>NOT(ISERROR(SEARCH("Sublimite",E346)))</formula>
    </cfRule>
    <cfRule type="containsText" dxfId="435" priority="224" operator="containsText" text="Excluido">
      <formula>NOT(ISERROR(SEARCH("Excluido",E346)))</formula>
    </cfRule>
    <cfRule type="containsText" dxfId="434" priority="225" operator="containsText" text="Sublimite">
      <formula>NOT(ISERROR(SEARCH("Sublimite",E346)))</formula>
    </cfRule>
    <cfRule type="containsText" dxfId="433" priority="226" operator="containsText" text="Excluido">
      <formula>NOT(ISERROR(SEARCH("Excluido",E346)))</formula>
    </cfRule>
  </conditionalFormatting>
  <conditionalFormatting sqref="E349">
    <cfRule type="containsText" dxfId="432" priority="749" operator="containsText" text="Sublimite">
      <formula>NOT(ISERROR(SEARCH("Sublimite",E349)))</formula>
    </cfRule>
  </conditionalFormatting>
  <conditionalFormatting sqref="E352:E362">
    <cfRule type="containsText" dxfId="431" priority="218" operator="containsText" text="Excluido">
      <formula>NOT(ISERROR(SEARCH("Excluido",E352)))</formula>
    </cfRule>
    <cfRule type="containsText" dxfId="430" priority="219" operator="containsText" text="Sublimite">
      <formula>NOT(ISERROR(SEARCH("Sublimite",E352)))</formula>
    </cfRule>
    <cfRule type="containsText" dxfId="429" priority="220" operator="containsText" text="Excluido">
      <formula>NOT(ISERROR(SEARCH("Excluido",E352)))</formula>
    </cfRule>
    <cfRule type="containsText" dxfId="428" priority="221" operator="containsText" text="Sublimite">
      <formula>NOT(ISERROR(SEARCH("Sublimite",E352)))</formula>
    </cfRule>
    <cfRule type="containsText" dxfId="427" priority="222" operator="containsText" text="Sublimite">
      <formula>NOT(ISERROR(SEARCH("Sublimite",E352)))</formula>
    </cfRule>
    <cfRule type="containsText" dxfId="426" priority="223" operator="containsText" text="Adicional">
      <formula>NOT(ISERROR(SEARCH("Adicional",E352)))</formula>
    </cfRule>
  </conditionalFormatting>
  <conditionalFormatting sqref="E365:E368">
    <cfRule type="containsText" dxfId="425" priority="215" operator="containsText" text="Sublimite">
      <formula>NOT(ISERROR(SEARCH("Sublimite",E365)))</formula>
    </cfRule>
    <cfRule type="containsText" dxfId="424" priority="217" operator="containsText" text="Adicional">
      <formula>NOT(ISERROR(SEARCH("Adicional",E365)))</formula>
    </cfRule>
    <cfRule type="containsText" dxfId="423" priority="213" operator="containsText" text="Sublimite">
      <formula>NOT(ISERROR(SEARCH("Sublimite",E365)))</formula>
    </cfRule>
    <cfRule type="containsText" dxfId="422" priority="212" operator="containsText" text="Excluido">
      <formula>NOT(ISERROR(SEARCH("Excluido",E365)))</formula>
    </cfRule>
    <cfRule type="containsText" dxfId="421" priority="216" operator="containsText" text="Sublimite">
      <formula>NOT(ISERROR(SEARCH("Sublimite",E365)))</formula>
    </cfRule>
    <cfRule type="containsText" dxfId="420" priority="214" operator="containsText" text="Excluido">
      <formula>NOT(ISERROR(SEARCH("Excluido",E365)))</formula>
    </cfRule>
  </conditionalFormatting>
  <conditionalFormatting sqref="E371">
    <cfRule type="containsText" dxfId="419" priority="211" operator="containsText" text="Adicional">
      <formula>NOT(ISERROR(SEARCH("Adicional",E371)))</formula>
    </cfRule>
    <cfRule type="containsText" dxfId="418" priority="210" operator="containsText" text="Sublimite">
      <formula>NOT(ISERROR(SEARCH("Sublimite",E371)))</formula>
    </cfRule>
  </conditionalFormatting>
  <conditionalFormatting sqref="E371:E378">
    <cfRule type="containsText" dxfId="417" priority="57" operator="containsText" text="Excluido">
      <formula>NOT(ISERROR(SEARCH("Excluido",E371)))</formula>
    </cfRule>
    <cfRule type="containsText" dxfId="416" priority="58" operator="containsText" text="Sublimite">
      <formula>NOT(ISERROR(SEARCH("Sublimite",E371)))</formula>
    </cfRule>
    <cfRule type="containsText" dxfId="415" priority="59" operator="containsText" text="Excluido">
      <formula>NOT(ISERROR(SEARCH("Excluido",E371)))</formula>
    </cfRule>
    <cfRule type="containsText" dxfId="414" priority="60" operator="containsText" text="Sublimite">
      <formula>NOT(ISERROR(SEARCH("Sublimite",E371)))</formula>
    </cfRule>
  </conditionalFormatting>
  <conditionalFormatting sqref="E372:E378">
    <cfRule type="containsText" dxfId="413" priority="61" operator="containsText" text="Sublimite">
      <formula>NOT(ISERROR(SEARCH("Sublimite",E372)))</formula>
    </cfRule>
  </conditionalFormatting>
  <conditionalFormatting sqref="E381:E393">
    <cfRule type="containsText" dxfId="412" priority="205" operator="containsText" text="Adicional">
      <formula>NOT(ISERROR(SEARCH("Adicional",E381)))</formula>
    </cfRule>
    <cfRule type="containsText" dxfId="411" priority="204" operator="containsText" text="Sublimite">
      <formula>NOT(ISERROR(SEARCH("Sublimite",E381)))</formula>
    </cfRule>
    <cfRule type="containsText" dxfId="410" priority="203" operator="containsText" text="Sublimite">
      <formula>NOT(ISERROR(SEARCH("Sublimite",E381)))</formula>
    </cfRule>
    <cfRule type="containsText" dxfId="409" priority="202" operator="containsText" text="Excluido">
      <formula>NOT(ISERROR(SEARCH("Excluido",E381)))</formula>
    </cfRule>
    <cfRule type="containsText" dxfId="408" priority="201" operator="containsText" text="Sublimite">
      <formula>NOT(ISERROR(SEARCH("Sublimite",E381)))</formula>
    </cfRule>
    <cfRule type="containsText" dxfId="407" priority="200" operator="containsText" text="Excluido">
      <formula>NOT(ISERROR(SEARCH("Excluido",E381)))</formula>
    </cfRule>
  </conditionalFormatting>
  <conditionalFormatting sqref="E396">
    <cfRule type="containsText" dxfId="406" priority="198" operator="containsText" text="Sublimite">
      <formula>NOT(ISERROR(SEARCH("Sublimite",E396)))</formula>
    </cfRule>
    <cfRule type="containsText" dxfId="405" priority="199" operator="containsText" text="Adicional">
      <formula>NOT(ISERROR(SEARCH("Adicional",E396)))</formula>
    </cfRule>
  </conditionalFormatting>
  <conditionalFormatting sqref="E396:E400">
    <cfRule type="containsText" dxfId="404" priority="52" operator="containsText" text="Excluido">
      <formula>NOT(ISERROR(SEARCH("Excluido",E396)))</formula>
    </cfRule>
    <cfRule type="containsText" dxfId="403" priority="53" operator="containsText" text="Sublimite">
      <formula>NOT(ISERROR(SEARCH("Sublimite",E396)))</formula>
    </cfRule>
    <cfRule type="containsText" dxfId="402" priority="54" operator="containsText" text="Excluido">
      <formula>NOT(ISERROR(SEARCH("Excluido",E396)))</formula>
    </cfRule>
    <cfRule type="containsText" dxfId="401" priority="55" operator="containsText" text="Sublimite">
      <formula>NOT(ISERROR(SEARCH("Sublimite",E396)))</formula>
    </cfRule>
  </conditionalFormatting>
  <conditionalFormatting sqref="E397:E400">
    <cfRule type="containsText" dxfId="400" priority="56" operator="containsText" text="Sublimite">
      <formula>NOT(ISERROR(SEARCH("Sublimite",E397)))</formula>
    </cfRule>
  </conditionalFormatting>
  <conditionalFormatting sqref="E403">
    <cfRule type="containsText" dxfId="399" priority="193" operator="containsText" text="Adicional">
      <formula>NOT(ISERROR(SEARCH("Adicional",E403)))</formula>
    </cfRule>
    <cfRule type="containsText" dxfId="398" priority="191" operator="containsText" text="Sublimite">
      <formula>NOT(ISERROR(SEARCH("Sublimite",E403)))</formula>
    </cfRule>
    <cfRule type="containsText" dxfId="397" priority="189" operator="containsText" text="Sublimite">
      <formula>NOT(ISERROR(SEARCH("Sublimite",E403)))</formula>
    </cfRule>
    <cfRule type="containsText" dxfId="396" priority="190" operator="containsText" text="Excluido">
      <formula>NOT(ISERROR(SEARCH("Excluido",E403)))</formula>
    </cfRule>
    <cfRule type="containsText" dxfId="395" priority="188" operator="containsText" text="Excluido">
      <formula>NOT(ISERROR(SEARCH("Excluido",E403)))</formula>
    </cfRule>
    <cfRule type="containsText" dxfId="394" priority="192" operator="containsText" text="Sublimite">
      <formula>NOT(ISERROR(SEARCH("Sublimite",E403)))</formula>
    </cfRule>
  </conditionalFormatting>
  <conditionalFormatting sqref="E406">
    <cfRule type="containsText" dxfId="393" priority="187" operator="containsText" text="Adicional">
      <formula>NOT(ISERROR(SEARCH("Adicional",E406)))</formula>
    </cfRule>
    <cfRule type="containsText" dxfId="392" priority="186" operator="containsText" text="Sublimite">
      <formula>NOT(ISERROR(SEARCH("Sublimite",E406)))</formula>
    </cfRule>
  </conditionalFormatting>
  <conditionalFormatting sqref="E406:E409">
    <cfRule type="containsText" dxfId="391" priority="47" operator="containsText" text="Excluido">
      <formula>NOT(ISERROR(SEARCH("Excluido",E406)))</formula>
    </cfRule>
    <cfRule type="containsText" dxfId="390" priority="49" operator="containsText" text="Excluido">
      <formula>NOT(ISERROR(SEARCH("Excluido",E406)))</formula>
    </cfRule>
    <cfRule type="containsText" dxfId="389" priority="50" operator="containsText" text="Sublimite">
      <formula>NOT(ISERROR(SEARCH("Sublimite",E406)))</formula>
    </cfRule>
    <cfRule type="containsText" dxfId="388" priority="48" operator="containsText" text="Sublimite">
      <formula>NOT(ISERROR(SEARCH("Sublimite",E406)))</formula>
    </cfRule>
  </conditionalFormatting>
  <conditionalFormatting sqref="E407:E409">
    <cfRule type="containsText" dxfId="387" priority="51" operator="containsText" text="Sublimite">
      <formula>NOT(ISERROR(SEARCH("Sublimite",E407)))</formula>
    </cfRule>
  </conditionalFormatting>
  <conditionalFormatting sqref="L7:O7">
    <cfRule type="containsText" dxfId="386" priority="19" operator="containsText" text="POLIZA A VALORES TOTALES">
      <formula>NOT(ISERROR(SEARCH("POLIZA A VALORES TOTALES",L7)))</formula>
    </cfRule>
    <cfRule type="containsText" dxfId="385" priority="20" operator="containsText" text="POLIZA SIN PRIMER RIESGO">
      <formula>NOT(ISERROR(SEARCH("POLIZA SIN PRIMER RIESGO",L7)))</formula>
    </cfRule>
  </conditionalFormatting>
  <dataValidations count="10">
    <dataValidation type="list" allowBlank="1" showInputMessage="1" showErrorMessage="1" sqref="I29:I30 I32:I33 I35 I37 I39 I18:I27 I62:I63 I65:I66 I68 I70 I235 I76 I91:I94 I96:I98 I101:I102 I105:I106 I109:I110 I113:I114 I117:I121 I124:I128 I131:I136 I139:I144 I147 I150 I153 I156 I159 I174:I177 I162:I165 I168:I171 I180:I181 I184:I185 I284:I328 I204:I205 I208:I209 I212 I215 I218:I219 I222 I225 I228:I229 I232 I238:I239 I242:I271 I274:I275 I278:I281 I331:I335 I338:I343 I352:I362 I365:I368 I371:I378 I381:I393 I396:I400 I403 I406:I409 I72 I74 I42:I60 I79:I89 I188:I201 I346:I349" xr:uid="{C5A192D3-358A-449B-A8E4-0FC87131D703}">
      <formula1>"%o Al Millar,% Al Porciento,$ Prima"</formula1>
    </dataValidation>
    <dataValidation type="list" allowBlank="1" showInputMessage="1" showErrorMessage="1" sqref="F13" xr:uid="{AC117695-0CBC-4084-8CCE-B6C3EE2DEC19}">
      <formula1>"NACIONAL, DÓLARES"</formula1>
    </dataValidation>
    <dataValidation type="list" allowBlank="1" showInputMessage="1" showErrorMessage="1" sqref="N10" xr:uid="{C20E6CA4-5343-464C-9954-4E185E6E6785}">
      <formula1>"TODO RIESGO, RIESGOS NOMBRADOS"</formula1>
    </dataValidation>
    <dataValidation type="list" allowBlank="1" showInputMessage="1" showErrorMessage="1" sqref="H14" xr:uid="{23B5DC11-55AB-4D80-B30A-8D3F5E1AB63F}">
      <formula1>"PRORRATA, DIRECTA"</formula1>
    </dataValidation>
    <dataValidation type="list" allowBlank="1" showInputMessage="1" showErrorMessage="1" sqref="N9:O9" xr:uid="{CBF93F48-9A22-4303-AFBE-EC2139B285B3}">
      <formula1>"POLIZA NUEVA, RENOVACION, CANCELACION, ENDOSO DE AUMENTO, ENDOSO DE DISMINUCION, ENDOSO DE DECLARACION, ENDOSO DE EXTENSIÓN DE VIGENCIA, ENDOSO DE REDUCCIÓN DE VIGENCIA, CAMBIO DE FORMA DE PAGO, ANULACIÓN DE PÓLIZA, ANULACIÓN DE ENDOSO"</formula1>
    </dataValidation>
    <dataValidation type="list" allowBlank="1" showInputMessage="1" showErrorMessage="1" sqref="E406 E396 E168:E169 E365:E368 E26:E27 E188:E191 E68 E19 E101:E102 E105:E106 E109:E110 E79:E86 E331 E43 E131:E136 E139:E144 E147 E150 E153 E156 E174:E175 E59:E60 E113:E114 E381:E393 E162:E163 E371 E403 E159 E212 E215 E218 E228 E278 E269 E274 E124 E338 E346:E348 E352:E362 E238:E239 E266 E243 E35 E117 E284:E328" xr:uid="{7CDAB470-5457-4314-B430-2F6573B4F67F}">
      <formula1>"Adicional, Sublimite, Excluido"</formula1>
    </dataValidation>
    <dataValidation type="list" allowBlank="1" showInputMessage="1" showErrorMessage="1" sqref="E37 E235 E25 E407:E409 E29:E30 E32:E33 E44:E58 E62:E63 E39 E70 E72 E74 E76 E87:E89 E91:E94 E96:E98 E118:E121 E65:E66 E164:E165 E170:E171 E176:E177 E180:E181 E397:E400 E192:E201 E204:E205 E125:E128 E219 E222 E225 E229 E232 E184:E185 E244:E265 E267:E268 E270:E271 E332:E335 E275 E279:E281 E339:E343 E372:E378 E208:E209 E349 E20:E23" xr:uid="{7D8E0FDC-E84B-4834-BAAD-518CB7851E88}">
      <formula1>"Sublimite, Excluido"</formula1>
    </dataValidation>
    <dataValidation type="list" allowBlank="1" showInputMessage="1" showErrorMessage="1" sqref="F12" xr:uid="{CB018DD2-6323-4C2E-A504-5C2F8CDB3D52}">
      <formula1>"ORDINARIO, COMERCIAL E INDUSTRIAL, GRANDES RIESGOS, HABITACIONAL"</formula1>
    </dataValidation>
    <dataValidation type="list" allowBlank="1" showInputMessage="1" showErrorMessage="1" sqref="E18 E42 E24 E242" xr:uid="{AA6EAD32-5CEB-497D-BA17-2D3A1A3A2922}">
      <formula1>"Adicional, Sublimite"</formula1>
    </dataValidation>
    <dataValidation type="list" allowBlank="1" showInputMessage="1" showErrorMessage="1" sqref="L7:O7" xr:uid="{F7642D5E-31AB-4B75-813A-2A86DC840778}">
      <formula1>"POLIZA CON COASEGURO CONVENIDO, POLIZA A PRIMER RIESGO, POLIZA A VALORES TOTALES"</formula1>
    </dataValidation>
  </dataValidations>
  <hyperlinks>
    <hyperlink ref="K416" r:id="rId1" display="juliop@arvida.com.mx" xr:uid="{C6B9EC82-D7B4-4EE7-9A9C-28E2E5FD2F4C}"/>
  </hyperlinks>
  <pageMargins left="0.51181102362204722" right="0.31496062992125984" top="0.35433070866141736" bottom="0.35433070866141736" header="0.31496062992125984" footer="0.31496062992125984"/>
  <pageSetup scale="50" orientation="landscape" r:id="rId2"/>
  <headerFooter>
    <oddFooter>&amp;CPágina &amp;P de &amp;F &amp;RBRENDA PEREZ]</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48129" r:id="rId5" name="Drop Down 25">
              <controlPr defaultSize="0" autoLine="0" autoPict="0">
                <anchor moveWithCells="1">
                  <from>
                    <xdr:col>5</xdr:col>
                    <xdr:colOff>7620</xdr:colOff>
                    <xdr:row>13</xdr:row>
                    <xdr:rowOff>0</xdr:rowOff>
                  </from>
                  <to>
                    <xdr:col>5</xdr:col>
                    <xdr:colOff>1546860</xdr:colOff>
                    <xdr:row>14</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containsText" priority="21" operator="containsText" id="{669864AA-7B14-445F-BF28-7DF9422DB81B}">
            <xm:f>NOT(ISERROR(SEARCH($L$8,L7)))</xm:f>
            <xm:f>$L$8</xm:f>
            <x14:dxf>
              <font>
                <b/>
                <i val="0"/>
                <color theme="0"/>
              </font>
              <fill>
                <patternFill>
                  <bgColor rgb="FFFF0000"/>
                </patternFill>
              </fill>
            </x14:dxf>
          </x14:cfRule>
          <x14:cfRule type="containsText" priority="22" operator="containsText" id="{B5BB9E77-104B-4211-8D1D-E38977FA3323}">
            <xm:f>NOT(ISERROR(SEARCH($L$8,L7)))</xm:f>
            <xm:f>$L$8</xm:f>
            <x14:dxf>
              <font>
                <color rgb="FF9C0006"/>
              </font>
              <fill>
                <patternFill>
                  <bgColor rgb="FFFFC7CE"/>
                </patternFill>
              </fill>
            </x14:dxf>
          </x14:cfRule>
          <xm:sqref>L7:O8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197E34E4-4B75-4A30-9345-2142AE5BAEFD}">
          <x14:formula1>
            <xm:f>Hoja1!$J$3:$J$134</xm:f>
          </x14:formula1>
          <xm:sqref>C8</xm:sqref>
        </x14:dataValidation>
        <x14:dataValidation type="list" allowBlank="1" showInputMessage="1" showErrorMessage="1" xr:uid="{10CF304C-8331-41DC-96BF-8B5893574CD9}">
          <x14:formula1>
            <xm:f>Hoja1!$B$4653:$B$4730</xm:f>
          </x14:formula1>
          <xm:sqref>C7:J7</xm:sqref>
        </x14:dataValidation>
        <x14:dataValidation type="list" allowBlank="1" showInputMessage="1" showErrorMessage="1" xr:uid="{9CFDBFF8-4173-4475-9888-862AF3DB156A}">
          <x14:formula1>
            <xm:f>Hoja3!$F$2:$F$39</xm:f>
          </x14:formula1>
          <xm:sqref>G8:K8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ABE15-2952-46FE-B730-0551D9725ED3}">
  <sheetPr>
    <pageSetUpPr fitToPage="1"/>
  </sheetPr>
  <dimension ref="A1:D63"/>
  <sheetViews>
    <sheetView workbookViewId="0">
      <selection activeCell="B2" sqref="B2"/>
    </sheetView>
  </sheetViews>
  <sheetFormatPr baseColWidth="10" defaultColWidth="11.44140625" defaultRowHeight="12" x14ac:dyDescent="0.25"/>
  <cols>
    <col min="1" max="1" width="36" style="1" customWidth="1"/>
    <col min="2" max="2" width="47.6640625" style="1" customWidth="1"/>
    <col min="3" max="3" width="27.33203125" style="1" customWidth="1"/>
    <col min="4" max="4" width="28.109375" style="1" customWidth="1"/>
    <col min="5" max="16384" width="11.44140625" style="1"/>
  </cols>
  <sheetData>
    <row r="1" spans="1:2" x14ac:dyDescent="0.25">
      <c r="A1" s="120" t="s">
        <v>1485</v>
      </c>
      <c r="B1" s="121" t="s">
        <v>1486</v>
      </c>
    </row>
    <row r="2" spans="1:2" x14ac:dyDescent="0.25">
      <c r="A2" s="122" t="s">
        <v>1487</v>
      </c>
      <c r="B2" s="123" t="s">
        <v>1488</v>
      </c>
    </row>
    <row r="3" spans="1:2" x14ac:dyDescent="0.25">
      <c r="A3" s="122" t="s">
        <v>1489</v>
      </c>
      <c r="B3" s="123" t="s">
        <v>1490</v>
      </c>
    </row>
    <row r="5" spans="1:2" x14ac:dyDescent="0.25">
      <c r="A5" s="120" t="s">
        <v>1491</v>
      </c>
      <c r="B5" s="121" t="s">
        <v>1486</v>
      </c>
    </row>
    <row r="6" spans="1:2" x14ac:dyDescent="0.25">
      <c r="A6" s="122" t="s">
        <v>1492</v>
      </c>
      <c r="B6" s="123" t="s">
        <v>1493</v>
      </c>
    </row>
    <row r="7" spans="1:2" x14ac:dyDescent="0.25">
      <c r="A7" s="122" t="s">
        <v>1494</v>
      </c>
      <c r="B7" s="123" t="s">
        <v>1495</v>
      </c>
    </row>
    <row r="8" spans="1:2" x14ac:dyDescent="0.25">
      <c r="A8" s="122" t="s">
        <v>1496</v>
      </c>
      <c r="B8" s="123" t="s">
        <v>1497</v>
      </c>
    </row>
    <row r="9" spans="1:2" x14ac:dyDescent="0.25">
      <c r="A9" s="122" t="s">
        <v>1498</v>
      </c>
      <c r="B9" s="123">
        <v>2000</v>
      </c>
    </row>
    <row r="10" spans="1:2" x14ac:dyDescent="0.25">
      <c r="A10" s="122" t="s">
        <v>1499</v>
      </c>
      <c r="B10" s="123">
        <v>1</v>
      </c>
    </row>
    <row r="11" spans="1:2" x14ac:dyDescent="0.25">
      <c r="A11" s="122" t="s">
        <v>1500</v>
      </c>
      <c r="B11" s="123">
        <v>0</v>
      </c>
    </row>
    <row r="12" spans="1:2" x14ac:dyDescent="0.25">
      <c r="A12" s="122" t="s">
        <v>1501</v>
      </c>
      <c r="B12" s="123">
        <v>1</v>
      </c>
    </row>
    <row r="13" spans="1:2" x14ac:dyDescent="0.25">
      <c r="A13" s="122" t="s">
        <v>1502</v>
      </c>
      <c r="B13" s="123"/>
    </row>
    <row r="14" spans="1:2" x14ac:dyDescent="0.25">
      <c r="A14" s="122" t="s">
        <v>1503</v>
      </c>
      <c r="B14" s="123"/>
    </row>
    <row r="16" spans="1:2" x14ac:dyDescent="0.25">
      <c r="A16" s="120" t="s">
        <v>1504</v>
      </c>
      <c r="B16" s="121" t="s">
        <v>1486</v>
      </c>
    </row>
    <row r="17" spans="1:4" x14ac:dyDescent="0.25">
      <c r="A17" s="122" t="s">
        <v>1505</v>
      </c>
      <c r="B17" s="123" t="s">
        <v>1437</v>
      </c>
    </row>
    <row r="18" spans="1:4" x14ac:dyDescent="0.25">
      <c r="A18" s="122" t="s">
        <v>1506</v>
      </c>
      <c r="B18" s="123" t="s">
        <v>1462</v>
      </c>
    </row>
    <row r="19" spans="1:4" x14ac:dyDescent="0.25">
      <c r="A19" s="122" t="s">
        <v>1507</v>
      </c>
      <c r="B19" s="123" t="s">
        <v>1508</v>
      </c>
    </row>
    <row r="20" spans="1:4" x14ac:dyDescent="0.25">
      <c r="A20" s="122" t="s">
        <v>1509</v>
      </c>
      <c r="B20" s="123" t="s">
        <v>1510</v>
      </c>
    </row>
    <row r="21" spans="1:4" x14ac:dyDescent="0.25">
      <c r="A21" s="122" t="s">
        <v>1511</v>
      </c>
      <c r="B21" s="123" t="s">
        <v>1512</v>
      </c>
    </row>
    <row r="22" spans="1:4" x14ac:dyDescent="0.25">
      <c r="A22" s="122" t="s">
        <v>1513</v>
      </c>
      <c r="B22" s="123" t="s">
        <v>1514</v>
      </c>
    </row>
    <row r="23" spans="1:4" x14ac:dyDescent="0.25">
      <c r="A23" s="122" t="s">
        <v>1515</v>
      </c>
      <c r="B23" s="123" t="s">
        <v>1516</v>
      </c>
    </row>
    <row r="24" spans="1:4" x14ac:dyDescent="0.25">
      <c r="A24" s="122" t="s">
        <v>1517</v>
      </c>
      <c r="B24" s="123" t="s">
        <v>1518</v>
      </c>
    </row>
    <row r="25" spans="1:4" x14ac:dyDescent="0.25">
      <c r="A25" s="122" t="s">
        <v>1519</v>
      </c>
      <c r="B25" s="123" t="s">
        <v>1520</v>
      </c>
    </row>
    <row r="26" spans="1:4" x14ac:dyDescent="0.25">
      <c r="A26" s="122" t="s">
        <v>1521</v>
      </c>
      <c r="B26" s="123" t="s">
        <v>1522</v>
      </c>
    </row>
    <row r="27" spans="1:4" x14ac:dyDescent="0.25">
      <c r="A27" s="122" t="s">
        <v>1523</v>
      </c>
      <c r="B27" s="123" t="s">
        <v>1524</v>
      </c>
    </row>
    <row r="29" spans="1:4" x14ac:dyDescent="0.25">
      <c r="A29" s="120" t="s">
        <v>1525</v>
      </c>
      <c r="B29" s="121" t="s">
        <v>1486</v>
      </c>
      <c r="D29" s="124"/>
    </row>
    <row r="30" spans="1:4" x14ac:dyDescent="0.25">
      <c r="A30" s="122" t="s">
        <v>1526</v>
      </c>
      <c r="B30" s="125" t="s">
        <v>1527</v>
      </c>
      <c r="D30" s="124"/>
    </row>
    <row r="31" spans="1:4" x14ac:dyDescent="0.25">
      <c r="A31" s="122" t="s">
        <v>1528</v>
      </c>
      <c r="B31" s="125" t="s">
        <v>1529</v>
      </c>
      <c r="D31" s="124"/>
    </row>
    <row r="32" spans="1:4" x14ac:dyDescent="0.25">
      <c r="A32" s="122" t="s">
        <v>1530</v>
      </c>
      <c r="B32" s="125" t="s">
        <v>1531</v>
      </c>
      <c r="D32" s="124"/>
    </row>
    <row r="33" spans="1:4" x14ac:dyDescent="0.25">
      <c r="A33" s="122" t="s">
        <v>1532</v>
      </c>
      <c r="B33" s="125" t="s">
        <v>1533</v>
      </c>
      <c r="D33" s="124"/>
    </row>
    <row r="34" spans="1:4" x14ac:dyDescent="0.25">
      <c r="A34" s="122" t="s">
        <v>1534</v>
      </c>
      <c r="B34" s="125" t="s">
        <v>1535</v>
      </c>
      <c r="D34" s="124"/>
    </row>
    <row r="35" spans="1:4" x14ac:dyDescent="0.25">
      <c r="A35" s="122" t="s">
        <v>1536</v>
      </c>
      <c r="B35" s="125" t="s">
        <v>1535</v>
      </c>
      <c r="D35" s="124"/>
    </row>
    <row r="36" spans="1:4" x14ac:dyDescent="0.25">
      <c r="A36" s="122" t="s">
        <v>1537</v>
      </c>
      <c r="B36" s="125" t="s">
        <v>1538</v>
      </c>
      <c r="D36" s="124"/>
    </row>
    <row r="37" spans="1:4" x14ac:dyDescent="0.25">
      <c r="A37" s="122" t="s">
        <v>1539</v>
      </c>
      <c r="B37" s="125" t="s">
        <v>1540</v>
      </c>
      <c r="D37" s="124"/>
    </row>
    <row r="38" spans="1:4" x14ac:dyDescent="0.25">
      <c r="A38" s="122" t="s">
        <v>1541</v>
      </c>
      <c r="B38" s="125" t="s">
        <v>1542</v>
      </c>
      <c r="D38" s="124"/>
    </row>
    <row r="39" spans="1:4" x14ac:dyDescent="0.25">
      <c r="A39" s="122" t="s">
        <v>1543</v>
      </c>
      <c r="B39" s="125" t="s">
        <v>1544</v>
      </c>
      <c r="D39" s="124"/>
    </row>
    <row r="40" spans="1:4" x14ac:dyDescent="0.25">
      <c r="A40" s="122" t="s">
        <v>1545</v>
      </c>
      <c r="B40" s="125">
        <v>0</v>
      </c>
      <c r="D40" s="124"/>
    </row>
    <row r="41" spans="1:4" x14ac:dyDescent="0.25">
      <c r="A41" s="122" t="s">
        <v>1546</v>
      </c>
      <c r="B41" s="125" t="s">
        <v>1547</v>
      </c>
      <c r="D41" s="124"/>
    </row>
    <row r="42" spans="1:4" x14ac:dyDescent="0.25">
      <c r="D42" s="124"/>
    </row>
    <row r="43" spans="1:4" x14ac:dyDescent="0.25">
      <c r="A43" s="120" t="s">
        <v>1548</v>
      </c>
      <c r="B43" s="121" t="s">
        <v>1486</v>
      </c>
      <c r="D43" s="124"/>
    </row>
    <row r="44" spans="1:4" x14ac:dyDescent="0.25">
      <c r="A44" s="122" t="s">
        <v>1549</v>
      </c>
      <c r="B44" s="123" t="s">
        <v>1550</v>
      </c>
      <c r="D44" s="124"/>
    </row>
    <row r="45" spans="1:4" x14ac:dyDescent="0.25">
      <c r="A45" s="122" t="s">
        <v>1551</v>
      </c>
      <c r="B45" s="123" t="s">
        <v>1550</v>
      </c>
      <c r="D45" s="124"/>
    </row>
    <row r="46" spans="1:4" x14ac:dyDescent="0.25">
      <c r="A46" s="122" t="s">
        <v>1552</v>
      </c>
      <c r="B46" s="123"/>
    </row>
    <row r="47" spans="1:4" x14ac:dyDescent="0.25">
      <c r="A47" s="122" t="s">
        <v>1553</v>
      </c>
      <c r="B47" s="123" t="s">
        <v>1554</v>
      </c>
    </row>
    <row r="49" spans="1:2" x14ac:dyDescent="0.25">
      <c r="A49" s="120" t="s">
        <v>1555</v>
      </c>
      <c r="B49" s="121" t="s">
        <v>1486</v>
      </c>
    </row>
    <row r="50" spans="1:2" x14ac:dyDescent="0.25">
      <c r="A50" s="126" t="s">
        <v>1556</v>
      </c>
      <c r="B50" s="127" t="s">
        <v>1557</v>
      </c>
    </row>
    <row r="51" spans="1:2" x14ac:dyDescent="0.25">
      <c r="A51" s="126" t="s">
        <v>1558</v>
      </c>
      <c r="B51" s="127"/>
    </row>
    <row r="52" spans="1:2" x14ac:dyDescent="0.25">
      <c r="A52" s="126" t="s">
        <v>1559</v>
      </c>
      <c r="B52" s="127" t="s">
        <v>1560</v>
      </c>
    </row>
    <row r="53" spans="1:2" x14ac:dyDescent="0.25">
      <c r="A53" s="126" t="s">
        <v>1561</v>
      </c>
      <c r="B53" s="127" t="s">
        <v>1535</v>
      </c>
    </row>
    <row r="54" spans="1:2" ht="24" x14ac:dyDescent="0.25">
      <c r="A54" s="126" t="s">
        <v>1562</v>
      </c>
      <c r="B54" s="127" t="s">
        <v>1563</v>
      </c>
    </row>
    <row r="55" spans="1:2" x14ac:dyDescent="0.25">
      <c r="A55" s="126" t="s">
        <v>1564</v>
      </c>
      <c r="B55" s="127" t="s">
        <v>1563</v>
      </c>
    </row>
    <row r="56" spans="1:2" x14ac:dyDescent="0.25">
      <c r="A56" s="126" t="s">
        <v>1565</v>
      </c>
      <c r="B56" s="127" t="s">
        <v>1566</v>
      </c>
    </row>
    <row r="57" spans="1:2" ht="24" x14ac:dyDescent="0.25">
      <c r="A57" s="126" t="s">
        <v>1567</v>
      </c>
      <c r="B57" s="127" t="s">
        <v>1568</v>
      </c>
    </row>
    <row r="58" spans="1:2" x14ac:dyDescent="0.25">
      <c r="A58" s="126" t="s">
        <v>1569</v>
      </c>
      <c r="B58" s="127" t="s">
        <v>1570</v>
      </c>
    </row>
    <row r="59" spans="1:2" x14ac:dyDescent="0.25">
      <c r="A59" s="126" t="s">
        <v>1571</v>
      </c>
      <c r="B59" s="127" t="s">
        <v>1572</v>
      </c>
    </row>
    <row r="60" spans="1:2" x14ac:dyDescent="0.25">
      <c r="A60" s="126" t="s">
        <v>1573</v>
      </c>
      <c r="B60" s="127" t="s">
        <v>1574</v>
      </c>
    </row>
    <row r="61" spans="1:2" x14ac:dyDescent="0.25">
      <c r="A61" s="126" t="s">
        <v>1575</v>
      </c>
      <c r="B61" s="127" t="s">
        <v>1576</v>
      </c>
    </row>
    <row r="62" spans="1:2" x14ac:dyDescent="0.25">
      <c r="A62" s="126" t="s">
        <v>1577</v>
      </c>
      <c r="B62" s="127" t="s">
        <v>1578</v>
      </c>
    </row>
    <row r="63" spans="1:2" x14ac:dyDescent="0.25">
      <c r="A63" s="126" t="s">
        <v>1579</v>
      </c>
      <c r="B63" s="127" t="s">
        <v>1580</v>
      </c>
    </row>
  </sheetData>
  <dataConsolidate/>
  <dataValidations count="1">
    <dataValidation type="list" allowBlank="1" showInputMessage="1" showErrorMessage="1" sqref="B17:B18" xr:uid="{6573C122-8D7D-46D7-975F-C521A5784BE6}">
      <formula1>"SI, NO"</formula1>
    </dataValidation>
  </dataValidations>
  <pageMargins left="0.70866141732283472" right="0.70866141732283472" top="0.74803149606299213" bottom="0.74803149606299213" header="0.31496062992125984" footer="0.31496062992125984"/>
  <pageSetup scale="91" orientation="portrait" r:id="rId1"/>
  <extLst>
    <ext xmlns:x14="http://schemas.microsoft.com/office/spreadsheetml/2009/9/main" uri="{CCE6A557-97BC-4b89-ADB6-D9C93CAAB3DF}">
      <x14:dataValidations xmlns:xm="http://schemas.microsoft.com/office/excel/2006/main" count="39">
        <x14:dataValidation type="list" allowBlank="1" showInputMessage="1" showErrorMessage="1" xr:uid="{1B2644D1-BA11-4E30-913C-34140D2BF6AC}">
          <x14:formula1>
            <xm:f>'D TEV y FHM'!$A$2:$A$29</xm:f>
          </x14:formula1>
          <xm:sqref>B2</xm:sqref>
        </x14:dataValidation>
        <x14:dataValidation type="list" allowBlank="1" showInputMessage="1" showErrorMessage="1" xr:uid="{4DF80D41-24F0-4B02-919F-8625062F32E0}">
          <x14:formula1>
            <xm:f>'D TEV y FHM'!$B$2:$B$4</xm:f>
          </x14:formula1>
          <xm:sqref>B3</xm:sqref>
        </x14:dataValidation>
        <x14:dataValidation type="list" allowBlank="1" showInputMessage="1" showErrorMessage="1" xr:uid="{67B6336C-ADA9-46A2-AC64-617062C8C7DC}">
          <x14:formula1>
            <xm:f>'D TEV y FHM'!$B$7:$B$18</xm:f>
          </x14:formula1>
          <xm:sqref>B6</xm:sqref>
        </x14:dataValidation>
        <x14:dataValidation type="list" allowBlank="1" showInputMessage="1" showErrorMessage="1" xr:uid="{3065A5FD-6049-45FB-BE2E-EA8C001B7F81}">
          <x14:formula1>
            <xm:f>'D TEV y FHM'!$C$7:$C$12</xm:f>
          </x14:formula1>
          <xm:sqref>B7</xm:sqref>
        </x14:dataValidation>
        <x14:dataValidation type="list" allowBlank="1" showInputMessage="1" showErrorMessage="1" xr:uid="{AA157FA6-FF36-40A1-B073-2E7E4737FBAE}">
          <x14:formula1>
            <xm:f>'D TEV y FHM'!$C$14:$C$15</xm:f>
          </x14:formula1>
          <xm:sqref>B8</xm:sqref>
        </x14:dataValidation>
        <x14:dataValidation type="list" allowBlank="1" showInputMessage="1" showErrorMessage="1" xr:uid="{1B359236-F409-4DB4-A475-09E8E43A7885}">
          <x14:formula1>
            <xm:f>'D TEV y FHM'!$B$20:$B$23</xm:f>
          </x14:formula1>
          <xm:sqref>B19</xm:sqref>
        </x14:dataValidation>
        <x14:dataValidation type="list" allowBlank="1" showInputMessage="1" showErrorMessage="1" xr:uid="{C09275DE-30DF-4F47-A310-13F767A34C5D}">
          <x14:formula1>
            <xm:f>'D TEV y FHM'!$A$31:$A$59</xm:f>
          </x14:formula1>
          <xm:sqref>B20</xm:sqref>
        </x14:dataValidation>
        <x14:dataValidation type="list" allowBlank="1" showInputMessage="1" showErrorMessage="1" xr:uid="{D69A5530-A4C3-4039-A601-1504401334EB}">
          <x14:formula1>
            <xm:f>'D TEV y FHM'!$C$20:$C$22</xm:f>
          </x14:formula1>
          <xm:sqref>B21</xm:sqref>
        </x14:dataValidation>
        <x14:dataValidation type="list" allowBlank="1" showInputMessage="1" showErrorMessage="1" xr:uid="{7C19FE6F-BFFA-4243-B561-628203F7358E}">
          <x14:formula1>
            <xm:f>'D TEV y FHM'!$C$24:$C$26</xm:f>
          </x14:formula1>
          <xm:sqref>B22</xm:sqref>
        </x14:dataValidation>
        <x14:dataValidation type="list" allowBlank="1" showInputMessage="1" showErrorMessage="1" xr:uid="{3FF792AB-1F32-410A-9E38-E196F211F9B4}">
          <x14:formula1>
            <xm:f>'D TEV y FHM'!$C$28:$C$29</xm:f>
          </x14:formula1>
          <xm:sqref>B23</xm:sqref>
        </x14:dataValidation>
        <x14:dataValidation type="list" allowBlank="1" showInputMessage="1" showErrorMessage="1" xr:uid="{2DC87601-821B-4884-B52F-4BB8FB15B5E3}">
          <x14:formula1>
            <xm:f>'D TEV y FHM'!$B$28:$B$29</xm:f>
          </x14:formula1>
          <xm:sqref>B24</xm:sqref>
        </x14:dataValidation>
        <x14:dataValidation type="list" allowBlank="1" showInputMessage="1" showErrorMessage="1" xr:uid="{E486F29D-9D9D-400E-9480-08A9E19EA387}">
          <x14:formula1>
            <xm:f>'D TEV y FHM'!$B$31:$B$33</xm:f>
          </x14:formula1>
          <xm:sqref>B25</xm:sqref>
        </x14:dataValidation>
        <x14:dataValidation type="list" allowBlank="1" showInputMessage="1" showErrorMessage="1" xr:uid="{956DD830-9142-4E39-B216-45C8C12841D1}">
          <x14:formula1>
            <xm:f>'D TEV y FHM'!$C$31:$C$32</xm:f>
          </x14:formula1>
          <xm:sqref>B26</xm:sqref>
        </x14:dataValidation>
        <x14:dataValidation type="list" allowBlank="1" showInputMessage="1" showErrorMessage="1" xr:uid="{F4061B78-B487-47E7-8E41-E683D8AB6597}">
          <x14:formula1>
            <xm:f>'D TEV y FHM'!$B$35:$B$36</xm:f>
          </x14:formula1>
          <xm:sqref>B27</xm:sqref>
        </x14:dataValidation>
        <x14:dataValidation type="list" allowBlank="1" showInputMessage="1" showErrorMessage="1" xr:uid="{A813B4FD-8699-41B4-9884-9CAE6286CEF4}">
          <x14:formula1>
            <xm:f>'D TEV y FHM'!$C$35:$C$36</xm:f>
          </x14:formula1>
          <xm:sqref>B30</xm:sqref>
        </x14:dataValidation>
        <x14:dataValidation type="list" allowBlank="1" showInputMessage="1" showErrorMessage="1" xr:uid="{301767D1-D2DE-4815-93A6-4FE636298E61}">
          <x14:formula1>
            <xm:f>'D TEV y FHM'!$B$38:$B$39</xm:f>
          </x14:formula1>
          <xm:sqref>B31</xm:sqref>
        </x14:dataValidation>
        <x14:dataValidation type="list" allowBlank="1" showInputMessage="1" showErrorMessage="1" xr:uid="{CAD17EFC-7358-4EB2-BA55-FE5991D09E3F}">
          <x14:formula1>
            <xm:f>'D TEV y FHM'!$C$38:$C$41</xm:f>
          </x14:formula1>
          <xm:sqref>B32</xm:sqref>
        </x14:dataValidation>
        <x14:dataValidation type="list" allowBlank="1" showInputMessage="1" showErrorMessage="1" xr:uid="{0BDCE410-996F-458D-887F-2396B3D824F5}">
          <x14:formula1>
            <xm:f>'D TEV y FHM'!$B$43:$B$44</xm:f>
          </x14:formula1>
          <xm:sqref>B33</xm:sqref>
        </x14:dataValidation>
        <x14:dataValidation type="list" allowBlank="1" showInputMessage="1" showErrorMessage="1" xr:uid="{08E2DA5C-1D72-4026-905E-02A2DAFD0CAD}">
          <x14:formula1>
            <xm:f>'D TEV y FHM'!$C$43:$C$45</xm:f>
          </x14:formula1>
          <xm:sqref>B34</xm:sqref>
        </x14:dataValidation>
        <x14:dataValidation type="list" allowBlank="1" showInputMessage="1" showErrorMessage="1" xr:uid="{97DE97DB-4A7C-4935-8414-EBC7B635D09B}">
          <x14:formula1>
            <xm:f>'D TEV y FHM'!$D$43:$D$45</xm:f>
          </x14:formula1>
          <xm:sqref>B35</xm:sqref>
        </x14:dataValidation>
        <x14:dataValidation type="list" allowBlank="1" showInputMessage="1" showErrorMessage="1" xr:uid="{B3D56EDD-1244-4F4F-B72A-2948EE6C6706}">
          <x14:formula1>
            <xm:f>'D TEV y FHM'!$B$47:$B$48</xm:f>
          </x14:formula1>
          <xm:sqref>B36</xm:sqref>
        </x14:dataValidation>
        <x14:dataValidation type="list" allowBlank="1" showInputMessage="1" showErrorMessage="1" xr:uid="{5EE7A4EA-BAE8-45BF-8FBE-A9E7F309CE89}">
          <x14:formula1>
            <xm:f>'D TEV y FHM'!$D$47:$D$49</xm:f>
          </x14:formula1>
          <xm:sqref>B37</xm:sqref>
        </x14:dataValidation>
        <x14:dataValidation type="list" allowBlank="1" showInputMessage="1" showErrorMessage="1" xr:uid="{1C961AD5-C687-4025-93A9-1661C94C6875}">
          <x14:formula1>
            <xm:f>'D TEV y FHM'!$B$50:$B$51</xm:f>
          </x14:formula1>
          <xm:sqref>B38</xm:sqref>
        </x14:dataValidation>
        <x14:dataValidation type="list" allowBlank="1" showInputMessage="1" showErrorMessage="1" xr:uid="{A9E70303-93E4-4866-AEDC-B85390738536}">
          <x14:formula1>
            <xm:f>'D TEV y FHM'!$D$50:$D$51</xm:f>
          </x14:formula1>
          <xm:sqref>B39</xm:sqref>
        </x14:dataValidation>
        <x14:dataValidation type="list" allowBlank="1" showInputMessage="1" showErrorMessage="1" xr:uid="{EFD39D8C-B422-4DF8-A88C-1D9C21DA89D9}">
          <x14:formula1>
            <xm:f>'D TEV y FHM'!$B$58:$B$59</xm:f>
          </x14:formula1>
          <xm:sqref>B44:B45</xm:sqref>
        </x14:dataValidation>
        <x14:dataValidation type="list" allowBlank="1" showInputMessage="1" showErrorMessage="1" xr:uid="{AEABDF75-7B48-4342-B6F6-5438BAC38CA3}">
          <x14:formula1>
            <xm:f>'D TEV y FHM'!$D$53:$D$56</xm:f>
          </x14:formula1>
          <xm:sqref>B47</xm:sqref>
        </x14:dataValidation>
        <x14:dataValidation type="list" allowBlank="1" showInputMessage="1" showErrorMessage="1" xr:uid="{E73F7056-1088-4AF6-BA5F-2D058FB610DE}">
          <x14:formula1>
            <xm:f>'D TEV y FHM'!$D$58:$D$61</xm:f>
          </x14:formula1>
          <xm:sqref>B50</xm:sqref>
        </x14:dataValidation>
        <x14:dataValidation type="list" allowBlank="1" showInputMessage="1" showErrorMessage="1" xr:uid="{BC52AE85-35E0-458D-8978-AF2970F6E123}">
          <x14:formula1>
            <xm:f>'D TEV y FHM'!$B$63:$B$67</xm:f>
          </x14:formula1>
          <xm:sqref>B52</xm:sqref>
        </x14:dataValidation>
        <x14:dataValidation type="list" allowBlank="1" showInputMessage="1" showErrorMessage="1" xr:uid="{117DA3C7-C5EB-493C-AAB6-BA1AF5C28CDE}">
          <x14:formula1>
            <xm:f>'D TEV y FHM'!$D$63:$D$65</xm:f>
          </x14:formula1>
          <xm:sqref>B53</xm:sqref>
        </x14:dataValidation>
        <x14:dataValidation type="list" allowBlank="1" showInputMessage="1" showErrorMessage="1" xr:uid="{C0F3A716-3D96-47DA-93DD-AFBDE6681299}">
          <x14:formula1>
            <xm:f>'D TEV y FHM'!$D$67:$D$68</xm:f>
          </x14:formula1>
          <xm:sqref>B54:B55</xm:sqref>
        </x14:dataValidation>
        <x14:dataValidation type="list" allowBlank="1" showInputMessage="1" showErrorMessage="1" xr:uid="{9757722E-71B1-40B5-AB83-FFC101EFBF31}">
          <x14:formula1>
            <xm:f>'D TEV y FHM'!$A$70:$A$72</xm:f>
          </x14:formula1>
          <xm:sqref>B56</xm:sqref>
        </x14:dataValidation>
        <x14:dataValidation type="list" allowBlank="1" showInputMessage="1" showErrorMessage="1" xr:uid="{69C1D98B-C2C6-44AF-917E-FAC913EF0F73}">
          <x14:formula1>
            <xm:f>'D TEV y FHM'!$A$74:$A$76</xm:f>
          </x14:formula1>
          <xm:sqref>B57</xm:sqref>
        </x14:dataValidation>
        <x14:dataValidation type="list" allowBlank="1" showInputMessage="1" showErrorMessage="1" xr:uid="{554EE97C-76D0-4446-82B1-16D58C5DE4EF}">
          <x14:formula1>
            <xm:f>'D TEV y FHM'!$A$78:$A$81</xm:f>
          </x14:formula1>
          <xm:sqref>B58</xm:sqref>
        </x14:dataValidation>
        <x14:dataValidation type="list" allowBlank="1" showInputMessage="1" showErrorMessage="1" xr:uid="{3EB0B3DC-F00C-46D7-B7C5-97124B3E1842}">
          <x14:formula1>
            <xm:f>'D TEV y FHM'!$C$70:$C$72</xm:f>
          </x14:formula1>
          <xm:sqref>B59</xm:sqref>
        </x14:dataValidation>
        <x14:dataValidation type="list" allowBlank="1" showInputMessage="1" showErrorMessage="1" xr:uid="{AF37A943-A5F6-4821-A3D4-762DCCC79BBD}">
          <x14:formula1>
            <xm:f>'D TEV y FHM'!$C$74:$C$76</xm:f>
          </x14:formula1>
          <xm:sqref>B60</xm:sqref>
        </x14:dataValidation>
        <x14:dataValidation type="list" allowBlank="1" showInputMessage="1" showErrorMessage="1" xr:uid="{FC8A6604-0D53-4109-BC24-25B43A0DFF41}">
          <x14:formula1>
            <xm:f>'D TEV y FHM'!$F$74:$F$77</xm:f>
          </x14:formula1>
          <xm:sqref>B61</xm:sqref>
        </x14:dataValidation>
        <x14:dataValidation type="list" allowBlank="1" showInputMessage="1" showErrorMessage="1" xr:uid="{6CCF3006-5426-4198-A7D4-B725F0AEDB46}">
          <x14:formula1>
            <xm:f>'D TEV y FHM'!$C$78:$C$81</xm:f>
          </x14:formula1>
          <xm:sqref>B62</xm:sqref>
        </x14:dataValidation>
        <x14:dataValidation type="list" allowBlank="1" showInputMessage="1" showErrorMessage="1" xr:uid="{6D62739E-4147-44E2-A7BC-D47B559DA763}">
          <x14:formula1>
            <xm:f>'D TEV y FHM'!$A$84:$A$87</xm:f>
          </x14:formula1>
          <xm:sqref>B63</xm:sqref>
        </x14:dataValidation>
        <x14:dataValidation type="list" allowBlank="1" showInputMessage="1" showErrorMessage="1" xr:uid="{718AAAA5-A0A7-40FE-B675-E0F9B47B183C}">
          <x14:formula1>
            <xm:f>'D TEV y FHM'!$B$53:$B$56</xm:f>
          </x14:formula1>
          <xm:sqref>D29:D45 B41</xm:sqref>
        </x14:dataValidation>
      </x14:dataValidations>
    </ext>
  </extLs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6C51F-7CA9-4107-81B0-72933174BD43}">
  <sheetPr filterMode="1"/>
  <dimension ref="A1:IO420"/>
  <sheetViews>
    <sheetView topLeftCell="A39" zoomScaleNormal="100" workbookViewId="0">
      <selection activeCell="F61" sqref="F61"/>
    </sheetView>
  </sheetViews>
  <sheetFormatPr baseColWidth="10" defaultColWidth="11.5546875" defaultRowHeight="14.4" x14ac:dyDescent="0.3"/>
  <cols>
    <col min="1" max="1" width="14.6640625" style="3" customWidth="1"/>
    <col min="2" max="2" width="12.5546875" style="3" customWidth="1"/>
    <col min="3" max="3" width="38" customWidth="1"/>
    <col min="4" max="4" width="14.88671875" customWidth="1"/>
    <col min="5" max="5" width="12.5546875" customWidth="1"/>
    <col min="6" max="6" width="23.6640625" style="4" customWidth="1"/>
    <col min="7" max="7" width="15.88671875" style="4" customWidth="1"/>
    <col min="8" max="8" width="16.109375" style="4" customWidth="1"/>
    <col min="9" max="9" width="14.88671875" style="4" customWidth="1"/>
    <col min="10" max="10" width="15.44140625" style="4" customWidth="1"/>
    <col min="11" max="11" width="14.88671875" style="4" customWidth="1"/>
    <col min="12" max="12" width="14.6640625" style="4" customWidth="1"/>
    <col min="13" max="13" width="12" style="5" customWidth="1"/>
    <col min="14" max="14" width="18.109375" style="4" customWidth="1"/>
    <col min="15" max="15" width="13.44140625" style="4" customWidth="1"/>
    <col min="16" max="16" width="11.44140625" style="6" customWidth="1"/>
    <col min="17" max="19" width="11.44140625" customWidth="1"/>
    <col min="20" max="20" width="14.33203125" customWidth="1"/>
    <col min="21" max="21" width="13" customWidth="1"/>
    <col min="22" max="22" width="14.5546875" customWidth="1"/>
    <col min="23" max="25" width="6.33203125" bestFit="1" customWidth="1"/>
    <col min="26" max="26" width="6.6640625" customWidth="1"/>
    <col min="27" max="27" width="7.33203125" customWidth="1"/>
    <col min="28" max="28" width="6.33203125" bestFit="1" customWidth="1"/>
  </cols>
  <sheetData>
    <row r="1" spans="1:249" x14ac:dyDescent="0.3">
      <c r="S1" s="55">
        <v>3</v>
      </c>
      <c r="T1" s="52" t="str">
        <f>VLOOKUP(S1,S2:T5,2)</f>
        <v>TRIMESTRAL</v>
      </c>
      <c r="U1" s="56">
        <f>IF(F13="NACIONAL",1,2)</f>
        <v>2</v>
      </c>
      <c r="V1" s="53" t="str">
        <f>F13</f>
        <v>DÓLARES</v>
      </c>
    </row>
    <row r="2" spans="1:249" ht="18.75" customHeight="1" x14ac:dyDescent="0.3">
      <c r="E2" s="755" t="str">
        <f>VLOOKUP(C15,UBCINEMEX,2)</f>
        <v>Cinemex Toluca II S.A de C.V.</v>
      </c>
      <c r="F2" s="755"/>
      <c r="G2" s="755"/>
      <c r="H2" s="755"/>
      <c r="S2" s="57">
        <v>1</v>
      </c>
      <c r="T2" s="57" t="s">
        <v>789</v>
      </c>
      <c r="U2" s="54">
        <v>0</v>
      </c>
      <c r="V2" s="54">
        <v>0</v>
      </c>
    </row>
    <row r="3" spans="1:249" x14ac:dyDescent="0.3">
      <c r="E3" s="755"/>
      <c r="F3" s="755"/>
      <c r="G3" s="755"/>
      <c r="H3" s="755"/>
      <c r="S3" s="57">
        <v>2</v>
      </c>
      <c r="T3" s="57" t="s">
        <v>793</v>
      </c>
      <c r="U3" s="54">
        <v>4.2000000000000003E-2</v>
      </c>
      <c r="V3" s="54">
        <v>1.4E-2</v>
      </c>
    </row>
    <row r="4" spans="1:249" x14ac:dyDescent="0.3">
      <c r="S4" s="57">
        <v>3</v>
      </c>
      <c r="T4" s="57" t="s">
        <v>797</v>
      </c>
      <c r="U4" s="54">
        <v>6.4000000000000001E-2</v>
      </c>
      <c r="V4" s="54">
        <v>2.1100000000000001E-2</v>
      </c>
    </row>
    <row r="5" spans="1:249" ht="24.6" x14ac:dyDescent="0.3">
      <c r="A5" s="700" t="s">
        <v>1093</v>
      </c>
      <c r="B5" s="700"/>
      <c r="C5" s="700"/>
      <c r="D5" s="700"/>
      <c r="E5" s="700"/>
      <c r="F5" s="700"/>
      <c r="G5" s="700"/>
      <c r="H5" s="700"/>
      <c r="I5" s="700"/>
      <c r="J5" s="700"/>
      <c r="K5" s="700"/>
      <c r="L5" s="700"/>
      <c r="M5" s="700"/>
      <c r="N5" s="700"/>
      <c r="O5" s="700"/>
      <c r="S5" s="57">
        <v>4</v>
      </c>
      <c r="T5" s="57" t="s">
        <v>801</v>
      </c>
      <c r="U5" s="54">
        <v>7.6999999999999999E-2</v>
      </c>
      <c r="V5" s="54">
        <v>2.58E-2</v>
      </c>
    </row>
    <row r="6" spans="1:249" ht="15" thickBot="1" x14ac:dyDescent="0.35"/>
    <row r="7" spans="1:249" ht="21" customHeight="1" thickTop="1" thickBot="1" x14ac:dyDescent="0.35">
      <c r="A7" s="701" t="s">
        <v>1094</v>
      </c>
      <c r="B7" s="702"/>
      <c r="C7" s="703" t="s">
        <v>1465</v>
      </c>
      <c r="D7" s="704"/>
      <c r="E7" s="704"/>
      <c r="F7" s="704"/>
      <c r="G7" s="704"/>
      <c r="H7" s="704"/>
      <c r="I7" s="704"/>
      <c r="J7" s="705"/>
      <c r="K7" s="116">
        <f>MID(C7,1,2)*1</f>
        <v>27</v>
      </c>
      <c r="L7" s="706" t="s">
        <v>1096</v>
      </c>
      <c r="M7" s="707"/>
      <c r="N7" s="707"/>
      <c r="O7" s="708"/>
      <c r="S7" s="698" t="s">
        <v>1097</v>
      </c>
      <c r="T7" s="698"/>
      <c r="U7" s="54">
        <f>VLOOKUP(S1,S2:V5,U1+2)</f>
        <v>2.1100000000000001E-2</v>
      </c>
    </row>
    <row r="8" spans="1:249" ht="21" customHeight="1" thickTop="1" thickBot="1" x14ac:dyDescent="0.35">
      <c r="A8" s="701" t="s">
        <v>1098</v>
      </c>
      <c r="B8" s="702"/>
      <c r="C8" s="724" t="s">
        <v>1466</v>
      </c>
      <c r="D8" s="725"/>
      <c r="E8" s="726"/>
      <c r="F8" s="117" t="s">
        <v>1100</v>
      </c>
      <c r="G8" s="727" t="s">
        <v>1467</v>
      </c>
      <c r="H8" s="728"/>
      <c r="I8" s="728"/>
      <c r="J8" s="728"/>
      <c r="K8" s="729"/>
      <c r="L8" s="709" t="str">
        <f>Hoja3!A8</f>
        <v/>
      </c>
      <c r="M8" s="710"/>
      <c r="N8" s="710"/>
      <c r="O8" s="711"/>
      <c r="S8" s="90"/>
      <c r="T8" s="90"/>
      <c r="U8" s="54"/>
    </row>
    <row r="9" spans="1:249" ht="16.5" customHeight="1" thickTop="1" x14ac:dyDescent="0.3">
      <c r="A9" s="712" t="s">
        <v>1102</v>
      </c>
      <c r="B9" s="713"/>
      <c r="C9" s="714" t="s">
        <v>695</v>
      </c>
      <c r="D9" s="715"/>
      <c r="E9" s="715"/>
      <c r="F9" s="715"/>
      <c r="G9" s="715"/>
      <c r="H9" s="715"/>
      <c r="I9" s="716"/>
      <c r="J9" s="88" t="s">
        <v>1103</v>
      </c>
      <c r="K9" s="89">
        <v>0</v>
      </c>
      <c r="L9" s="717" t="s">
        <v>1104</v>
      </c>
      <c r="M9" s="717"/>
      <c r="N9" s="718" t="s">
        <v>1463</v>
      </c>
      <c r="O9" s="719"/>
      <c r="P9"/>
      <c r="S9" s="698" t="s">
        <v>1106</v>
      </c>
      <c r="T9" s="698"/>
      <c r="U9" s="58">
        <f>IF(H14="DIRECTA",1,J15/I15)</f>
        <v>1</v>
      </c>
    </row>
    <row r="10" spans="1:249" x14ac:dyDescent="0.3">
      <c r="A10" s="720" t="s">
        <v>1107</v>
      </c>
      <c r="B10" s="721"/>
      <c r="C10" s="722" t="s">
        <v>1108</v>
      </c>
      <c r="D10" s="722"/>
      <c r="E10" s="722"/>
      <c r="F10" s="722"/>
      <c r="G10" s="722"/>
      <c r="H10" s="722"/>
      <c r="I10" s="722"/>
      <c r="J10" s="722"/>
      <c r="K10" s="730"/>
      <c r="L10" s="731" t="s">
        <v>1109</v>
      </c>
      <c r="M10" s="732"/>
      <c r="N10" s="733" t="s">
        <v>1110</v>
      </c>
      <c r="O10" s="734"/>
      <c r="P10"/>
    </row>
    <row r="11" spans="1:249" x14ac:dyDescent="0.3">
      <c r="A11" s="720" t="s">
        <v>1111</v>
      </c>
      <c r="B11" s="721"/>
      <c r="C11" s="722" t="str">
        <f>VLOOKUP(C15,UBCINEMEX,7,0)</f>
        <v>BOULEVARD LAZARO CARDENAS S/N LOCAL 301 Y 302 INTERIOR PLAZA PUERTO PARAISO COL. EL MEDANO CABO SAN LUCASBAJA CALIFORNIA  SUR LOS CABOS 23410</v>
      </c>
      <c r="D11" s="722"/>
      <c r="E11" s="722"/>
      <c r="F11" s="722"/>
      <c r="G11" s="722"/>
      <c r="H11" s="722"/>
      <c r="I11" s="722"/>
      <c r="J11" s="722"/>
      <c r="K11" s="723"/>
      <c r="L11" s="79" t="s">
        <v>1112</v>
      </c>
      <c r="M11" s="207" t="str">
        <f>'COTIZACIÓN M.N.'!G13</f>
        <v xml:space="preserve">A </v>
      </c>
      <c r="N11" s="71" t="s">
        <v>1113</v>
      </c>
      <c r="O11" s="413" t="str">
        <f>'COTIZACIÓN M.N.'!G17</f>
        <v>A1PS</v>
      </c>
      <c r="P11"/>
    </row>
    <row r="12" spans="1:249" x14ac:dyDescent="0.3">
      <c r="A12" s="720" t="s">
        <v>1114</v>
      </c>
      <c r="B12" s="721"/>
      <c r="C12" s="50">
        <v>45107</v>
      </c>
      <c r="D12" s="73" t="s">
        <v>1115</v>
      </c>
      <c r="E12" s="73"/>
      <c r="F12" s="74" t="s">
        <v>1116</v>
      </c>
      <c r="G12" s="75" t="s">
        <v>1117</v>
      </c>
      <c r="H12" s="737" t="s">
        <v>724</v>
      </c>
      <c r="I12" s="737"/>
      <c r="J12" s="737"/>
      <c r="K12" s="78">
        <v>1</v>
      </c>
      <c r="L12" s="79" t="s">
        <v>1118</v>
      </c>
      <c r="M12" s="80">
        <f>'COTIZACIÓN M.N.'!G15</f>
        <v>0.2</v>
      </c>
      <c r="N12" s="76" t="s">
        <v>1119</v>
      </c>
      <c r="O12" s="77">
        <f>'COTIZACIÓN M.N.'!G16</f>
        <v>0</v>
      </c>
      <c r="P12"/>
    </row>
    <row r="13" spans="1:249" ht="17.25" customHeight="1" x14ac:dyDescent="0.3">
      <c r="A13" s="720" t="s">
        <v>1120</v>
      </c>
      <c r="B13" s="721"/>
      <c r="C13" s="50">
        <v>45473</v>
      </c>
      <c r="D13" s="738" t="s">
        <v>1121</v>
      </c>
      <c r="E13" s="739"/>
      <c r="F13" s="72" t="s">
        <v>1122</v>
      </c>
      <c r="G13" s="70" t="s">
        <v>1123</v>
      </c>
      <c r="H13" s="740" t="s">
        <v>98</v>
      </c>
      <c r="I13" s="740"/>
      <c r="J13" s="741" t="s">
        <v>1124</v>
      </c>
      <c r="N13" s="76" t="s">
        <v>1125</v>
      </c>
      <c r="O13" s="77">
        <f>100%-'COTIZACIÓN M.N.'!G18</f>
        <v>1</v>
      </c>
      <c r="P13"/>
    </row>
    <row r="14" spans="1:249" ht="16.5" customHeight="1" thickBot="1" x14ac:dyDescent="0.35">
      <c r="A14" s="742" t="s">
        <v>1126</v>
      </c>
      <c r="B14" s="743"/>
      <c r="C14" s="109" t="s">
        <v>1127</v>
      </c>
      <c r="D14" s="744" t="s">
        <v>1128</v>
      </c>
      <c r="E14" s="745"/>
      <c r="F14" s="133"/>
      <c r="G14" s="134" t="s">
        <v>1129</v>
      </c>
      <c r="H14" s="135" t="s">
        <v>1130</v>
      </c>
      <c r="I14" s="51"/>
      <c r="J14" s="741"/>
      <c r="K14" s="7" t="s">
        <v>1131</v>
      </c>
      <c r="N14" s="76" t="s">
        <v>1132</v>
      </c>
      <c r="O14" s="77">
        <f>100%-'COTIZACIÓN M.N.'!G14</f>
        <v>1</v>
      </c>
      <c r="P14"/>
    </row>
    <row r="15" spans="1:249" ht="15.6" thickTop="1" thickBot="1" x14ac:dyDescent="0.35">
      <c r="A15" s="746"/>
      <c r="B15" s="747"/>
      <c r="C15" s="748">
        <v>3</v>
      </c>
      <c r="D15" s="749"/>
      <c r="E15" s="138"/>
      <c r="F15" s="139"/>
      <c r="G15" s="139"/>
      <c r="H15" s="140"/>
      <c r="I15" s="59">
        <v>365</v>
      </c>
      <c r="J15" s="59">
        <f>C13-C12</f>
        <v>366</v>
      </c>
      <c r="K15" s="60">
        <v>0.16</v>
      </c>
      <c r="O15" s="61"/>
      <c r="P15" s="8"/>
    </row>
    <row r="16" spans="1:249" s="41" customFormat="1" ht="30" customHeight="1" thickTop="1" thickBot="1" x14ac:dyDescent="0.3">
      <c r="A16" s="62" t="s">
        <v>1133</v>
      </c>
      <c r="B16" s="63" t="s">
        <v>1134</v>
      </c>
      <c r="C16" s="64" t="s">
        <v>1135</v>
      </c>
      <c r="D16" s="64" t="s">
        <v>1136</v>
      </c>
      <c r="E16" s="136" t="s">
        <v>1137</v>
      </c>
      <c r="F16" s="137" t="s">
        <v>1138</v>
      </c>
      <c r="G16" s="137" t="s">
        <v>1139</v>
      </c>
      <c r="H16" s="137" t="s">
        <v>1140</v>
      </c>
      <c r="I16" s="65" t="s">
        <v>1141</v>
      </c>
      <c r="J16" s="65" t="s">
        <v>1142</v>
      </c>
      <c r="K16" s="65" t="s">
        <v>1131</v>
      </c>
      <c r="L16" s="65" t="s">
        <v>73</v>
      </c>
      <c r="M16" s="66" t="s">
        <v>1143</v>
      </c>
      <c r="N16" s="65" t="s">
        <v>1144</v>
      </c>
      <c r="O16" s="67" t="s">
        <v>1145</v>
      </c>
      <c r="P16" s="40" t="s">
        <v>1146</v>
      </c>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row>
    <row r="17" spans="1:23" ht="15.6" thickTop="1" thickBot="1" x14ac:dyDescent="0.35">
      <c r="A17" s="82" t="s">
        <v>1147</v>
      </c>
      <c r="B17" s="30" t="s">
        <v>1148</v>
      </c>
      <c r="C17" s="28" t="s">
        <v>1149</v>
      </c>
      <c r="D17" s="28" t="str">
        <f>'Ramo Comercial'!C121</f>
        <v>INCLUIDO</v>
      </c>
      <c r="E17" s="28"/>
      <c r="F17" s="113">
        <f>VLOOKUP(C15,UBCINEMEX,8,0)</f>
        <v>0</v>
      </c>
      <c r="G17" s="210">
        <f>'COTIZACIÓN M.N.'!E24+'COTIZACIÓN M.N.'!E25+'COTIZACIÓN M.N.'!E26</f>
        <v>0.30781530000000001</v>
      </c>
      <c r="H17" s="28"/>
      <c r="I17" s="28"/>
      <c r="J17" s="28"/>
      <c r="K17" s="28"/>
      <c r="L17" s="28"/>
      <c r="M17" s="68">
        <v>0.1201</v>
      </c>
      <c r="N17" s="28"/>
      <c r="O17" s="83"/>
      <c r="P17" s="13" t="str">
        <f>IF(Q17=1,"SI","NO")</f>
        <v>NO</v>
      </c>
      <c r="Q17" s="48">
        <f t="shared" ref="Q17:Q27" si="0">IF(D17="INCLUIDO",IF(F17&lt;&gt;0,1,0),0)</f>
        <v>0</v>
      </c>
      <c r="T17" s="146">
        <f>G17</f>
        <v>0.30781530000000001</v>
      </c>
      <c r="U17" s="150"/>
      <c r="V17" s="151"/>
    </row>
    <row r="18" spans="1:23" x14ac:dyDescent="0.3">
      <c r="A18" s="31" t="s">
        <v>1150</v>
      </c>
      <c r="B18" s="32" t="s">
        <v>1148</v>
      </c>
      <c r="C18" s="27" t="s">
        <v>1151</v>
      </c>
      <c r="D18" s="27" t="str">
        <f>$D$17</f>
        <v>INCLUIDO</v>
      </c>
      <c r="E18" s="27" t="s">
        <v>1137</v>
      </c>
      <c r="F18" s="9">
        <f>$F$17*S18</f>
        <v>0</v>
      </c>
      <c r="G18" s="49">
        <f>V18</f>
        <v>0</v>
      </c>
      <c r="H18" s="9">
        <f>(((IF(I18="$ Prima",G18,G18*F18/R18))*$U$9)/365)*$J$15</f>
        <v>0</v>
      </c>
      <c r="I18" s="9" t="s">
        <v>1153</v>
      </c>
      <c r="J18" s="9">
        <f>H18*$U$7</f>
        <v>0</v>
      </c>
      <c r="K18" s="9">
        <f>(H18+J18)*$K$15</f>
        <v>0</v>
      </c>
      <c r="L18" s="9">
        <f>ROUND(H18+J18+K18,2)</f>
        <v>0</v>
      </c>
      <c r="M18" s="11">
        <f t="shared" ref="M18:M27" si="1">$M$17</f>
        <v>0.1201</v>
      </c>
      <c r="N18" s="9">
        <f>H18*M18</f>
        <v>0</v>
      </c>
      <c r="O18" s="12">
        <f>N18</f>
        <v>0</v>
      </c>
      <c r="P18" s="13" t="str">
        <f t="shared" ref="P18:P90" si="2">IF(Q18=1,"SI","NO")</f>
        <v>NO</v>
      </c>
      <c r="Q18">
        <f t="shared" si="0"/>
        <v>0</v>
      </c>
      <c r="R18">
        <f t="shared" ref="R18:R27" si="3">IF(I18="%o Al Millar",1000,IF(I18="% Al Porciento",100,IF(I18="$ Prima",G18)))</f>
        <v>1000</v>
      </c>
      <c r="S18">
        <f t="shared" ref="S18:S39" si="4">IF(E18="Excluido",0,IF(D18="NO APLICA",0,1))</f>
        <v>1</v>
      </c>
      <c r="T18" s="152">
        <v>0.8</v>
      </c>
      <c r="U18">
        <f>IF(E18="Excluido",0,T17*T18)</f>
        <v>0.24625224000000001</v>
      </c>
      <c r="V18" s="153">
        <f>IF(F17=0,0,(U23-U22-U20)+(T17-U23))</f>
        <v>0</v>
      </c>
    </row>
    <row r="19" spans="1:23" hidden="1" x14ac:dyDescent="0.3">
      <c r="A19" s="31" t="s">
        <v>1150</v>
      </c>
      <c r="B19" s="32"/>
      <c r="C19" s="81">
        <f>$O$12</f>
        <v>0</v>
      </c>
      <c r="D19" s="27" t="str">
        <f t="shared" ref="D19:D39" si="5">$D$17</f>
        <v>INCLUIDO</v>
      </c>
      <c r="E19" s="27" t="s">
        <v>1152</v>
      </c>
      <c r="F19" s="9">
        <f>(F18*$O$12)*S19</f>
        <v>0</v>
      </c>
      <c r="G19" s="10">
        <f>G18*0.35</f>
        <v>0</v>
      </c>
      <c r="H19" s="9">
        <f t="shared" ref="H19" si="6">(IF(I19="$ Prima",G19,G19*F19/R19))*$U$9</f>
        <v>0</v>
      </c>
      <c r="I19" s="9" t="s">
        <v>1153</v>
      </c>
      <c r="J19" s="9">
        <f t="shared" ref="J19" si="7">H19*$U$7</f>
        <v>0</v>
      </c>
      <c r="K19" s="9">
        <f t="shared" ref="K19" si="8">(H19+J19)*$K$15</f>
        <v>0</v>
      </c>
      <c r="L19" s="9">
        <f t="shared" ref="L19:L27" si="9">ROUND(H19+J19+K19,2)</f>
        <v>0</v>
      </c>
      <c r="M19" s="11">
        <f t="shared" si="1"/>
        <v>0.1201</v>
      </c>
      <c r="N19" s="9">
        <f t="shared" ref="N19:N27" si="10">H19*M19</f>
        <v>0</v>
      </c>
      <c r="O19" s="12">
        <f t="shared" ref="O19:O27" si="11">N19</f>
        <v>0</v>
      </c>
      <c r="P19" s="13" t="str">
        <f t="shared" si="2"/>
        <v>NO</v>
      </c>
      <c r="Q19">
        <f t="shared" si="0"/>
        <v>0</v>
      </c>
      <c r="R19">
        <f t="shared" si="3"/>
        <v>1000</v>
      </c>
      <c r="S19">
        <f t="shared" si="4"/>
        <v>1</v>
      </c>
      <c r="T19" s="152"/>
      <c r="V19" s="153"/>
    </row>
    <row r="20" spans="1:23" ht="20.399999999999999" x14ac:dyDescent="0.3">
      <c r="A20" s="31" t="s">
        <v>1150</v>
      </c>
      <c r="B20" s="32" t="s">
        <v>1154</v>
      </c>
      <c r="C20" s="27" t="s">
        <v>1155</v>
      </c>
      <c r="D20" s="27" t="str">
        <f t="shared" si="5"/>
        <v>INCLUIDO</v>
      </c>
      <c r="E20" s="27" t="s">
        <v>1137</v>
      </c>
      <c r="F20" s="9">
        <f>$F$17*S20</f>
        <v>0</v>
      </c>
      <c r="G20" s="49">
        <f>V20</f>
        <v>0</v>
      </c>
      <c r="H20" s="9">
        <f>(((IF(I20="$ Prima",G20,G20*F20/R20))*$U$9)/365)*$J$15</f>
        <v>0</v>
      </c>
      <c r="I20" s="9" t="s">
        <v>1153</v>
      </c>
      <c r="J20" s="9">
        <f>H20*$U$7</f>
        <v>0</v>
      </c>
      <c r="K20" s="9">
        <f>(H20+J20)*$K$15</f>
        <v>0</v>
      </c>
      <c r="L20" s="9">
        <f t="shared" si="9"/>
        <v>0</v>
      </c>
      <c r="M20" s="11">
        <f t="shared" si="1"/>
        <v>0.1201</v>
      </c>
      <c r="N20" s="9">
        <f t="shared" si="10"/>
        <v>0</v>
      </c>
      <c r="O20" s="12">
        <f t="shared" si="11"/>
        <v>0</v>
      </c>
      <c r="P20" s="13" t="str">
        <f t="shared" si="2"/>
        <v>NO</v>
      </c>
      <c r="Q20">
        <f t="shared" si="0"/>
        <v>0</v>
      </c>
      <c r="R20">
        <f t="shared" si="3"/>
        <v>1000</v>
      </c>
      <c r="S20">
        <f t="shared" si="4"/>
        <v>1</v>
      </c>
      <c r="T20" s="152">
        <v>0.1</v>
      </c>
      <c r="U20">
        <f>IF(E20="Excluido",0,T17*T20)</f>
        <v>3.0781530000000001E-2</v>
      </c>
      <c r="V20" s="153">
        <f>IF(F$17=0,0,U20)</f>
        <v>0</v>
      </c>
    </row>
    <row r="21" spans="1:23" hidden="1" x14ac:dyDescent="0.3">
      <c r="A21" s="31" t="s">
        <v>1150</v>
      </c>
      <c r="B21" s="32"/>
      <c r="C21" s="81">
        <f>$O$12</f>
        <v>0</v>
      </c>
      <c r="D21" s="27" t="str">
        <f t="shared" si="5"/>
        <v>INCLUIDO</v>
      </c>
      <c r="E21" s="27" t="str">
        <f>E20</f>
        <v>Sublimite</v>
      </c>
      <c r="F21" s="9">
        <f>(F20*$O$12)*S21</f>
        <v>0</v>
      </c>
      <c r="G21" s="10">
        <f>G20*0.35</f>
        <v>0</v>
      </c>
      <c r="H21" s="9">
        <f t="shared" ref="H21" si="12">(IF(I21="$ Prima",G21,G21*F21/R21))*$U$9</f>
        <v>0</v>
      </c>
      <c r="I21" s="9" t="s">
        <v>1153</v>
      </c>
      <c r="J21" s="9">
        <f t="shared" ref="J21" si="13">H21*$U$7</f>
        <v>0</v>
      </c>
      <c r="K21" s="9">
        <f t="shared" ref="K21" si="14">(H21+J21)*$K$15</f>
        <v>0</v>
      </c>
      <c r="L21" s="9">
        <f t="shared" si="9"/>
        <v>0</v>
      </c>
      <c r="M21" s="11">
        <f t="shared" si="1"/>
        <v>0.1201</v>
      </c>
      <c r="N21" s="9">
        <f t="shared" si="10"/>
        <v>0</v>
      </c>
      <c r="O21" s="12">
        <f t="shared" si="11"/>
        <v>0</v>
      </c>
      <c r="P21" s="13" t="str">
        <f t="shared" si="2"/>
        <v>NO</v>
      </c>
      <c r="Q21">
        <f t="shared" si="0"/>
        <v>0</v>
      </c>
      <c r="R21">
        <f t="shared" si="3"/>
        <v>1000</v>
      </c>
      <c r="S21">
        <f t="shared" si="4"/>
        <v>1</v>
      </c>
      <c r="T21" s="152"/>
      <c r="V21" s="153"/>
    </row>
    <row r="22" spans="1:23" ht="15" customHeight="1" x14ac:dyDescent="0.3">
      <c r="A22" s="31" t="s">
        <v>1150</v>
      </c>
      <c r="B22" s="32" t="s">
        <v>1156</v>
      </c>
      <c r="C22" s="27" t="s">
        <v>1110</v>
      </c>
      <c r="D22" s="27" t="str">
        <f t="shared" si="5"/>
        <v>INCLUIDO</v>
      </c>
      <c r="E22" s="27" t="s">
        <v>1137</v>
      </c>
      <c r="F22" s="9">
        <f>F17</f>
        <v>0</v>
      </c>
      <c r="G22" s="49">
        <f>V22</f>
        <v>0</v>
      </c>
      <c r="H22" s="9">
        <f>(((IF(I22="$ Prima",G22,G22*F22/R22))*$U$9)/365)*$J$15</f>
        <v>0</v>
      </c>
      <c r="I22" s="9" t="s">
        <v>1153</v>
      </c>
      <c r="J22" s="9">
        <f>H22*$U$7</f>
        <v>0</v>
      </c>
      <c r="K22" s="9">
        <f>(H22+J22)*$K$15</f>
        <v>0</v>
      </c>
      <c r="L22" s="9">
        <f t="shared" si="9"/>
        <v>0</v>
      </c>
      <c r="M22" s="11">
        <f t="shared" si="1"/>
        <v>0.1201</v>
      </c>
      <c r="N22" s="9">
        <f t="shared" si="10"/>
        <v>0</v>
      </c>
      <c r="O22" s="12">
        <f t="shared" si="11"/>
        <v>0</v>
      </c>
      <c r="P22" s="13" t="str">
        <f t="shared" si="2"/>
        <v>NO</v>
      </c>
      <c r="Q22">
        <f t="shared" si="0"/>
        <v>0</v>
      </c>
      <c r="R22">
        <f t="shared" si="3"/>
        <v>1000</v>
      </c>
      <c r="S22">
        <f t="shared" si="4"/>
        <v>1</v>
      </c>
      <c r="T22" s="152">
        <v>0.1</v>
      </c>
      <c r="U22">
        <f>IF(E22="Excluido",0,T17*T22)</f>
        <v>3.0781530000000001E-2</v>
      </c>
      <c r="V22" s="153">
        <f>IF(F$17=0,0,U22)</f>
        <v>0</v>
      </c>
    </row>
    <row r="23" spans="1:23" ht="15" hidden="1" customHeight="1" thickBot="1" x14ac:dyDescent="0.35">
      <c r="A23" s="31" t="s">
        <v>1150</v>
      </c>
      <c r="B23" s="32"/>
      <c r="C23" s="81">
        <f>$O$12</f>
        <v>0</v>
      </c>
      <c r="D23" s="27" t="str">
        <f t="shared" si="5"/>
        <v>INCLUIDO</v>
      </c>
      <c r="E23" s="27" t="str">
        <f>E22</f>
        <v>Sublimite</v>
      </c>
      <c r="F23" s="9">
        <f>(F22*$O$12)*S23</f>
        <v>0</v>
      </c>
      <c r="G23" s="10">
        <f>G22*0.35</f>
        <v>0</v>
      </c>
      <c r="H23" s="9">
        <f t="shared" ref="H23:H25" si="15">(IF(I23="$ Prima",G23,G23*F23/R23))*$U$9</f>
        <v>0</v>
      </c>
      <c r="I23" s="9" t="s">
        <v>1153</v>
      </c>
      <c r="J23" s="9">
        <f t="shared" ref="J23:J25" si="16">H23*$U$7</f>
        <v>0</v>
      </c>
      <c r="K23" s="9">
        <f t="shared" ref="K23:K25" si="17">(H23+J23)*$K$15</f>
        <v>0</v>
      </c>
      <c r="L23" s="9">
        <f t="shared" si="9"/>
        <v>0</v>
      </c>
      <c r="M23" s="11">
        <f t="shared" si="1"/>
        <v>0.1201</v>
      </c>
      <c r="N23" s="9">
        <f t="shared" si="10"/>
        <v>0</v>
      </c>
      <c r="O23" s="12">
        <f t="shared" si="11"/>
        <v>0</v>
      </c>
      <c r="P23" s="13" t="str">
        <f t="shared" si="2"/>
        <v>NO</v>
      </c>
      <c r="Q23">
        <f t="shared" si="0"/>
        <v>0</v>
      </c>
      <c r="R23">
        <f t="shared" si="3"/>
        <v>1000</v>
      </c>
      <c r="S23">
        <f t="shared" si="4"/>
        <v>1</v>
      </c>
      <c r="T23" s="143">
        <f>SUM(T18:T22)</f>
        <v>1</v>
      </c>
      <c r="U23" s="147">
        <f>SUM(U18:U22)</f>
        <v>0.30781530000000001</v>
      </c>
      <c r="V23" s="148">
        <f>SUM(V18:V22)</f>
        <v>0</v>
      </c>
      <c r="W23" s="141"/>
    </row>
    <row r="24" spans="1:23" ht="15" hidden="1" customHeight="1" x14ac:dyDescent="0.3">
      <c r="A24" s="31" t="s">
        <v>1150</v>
      </c>
      <c r="B24" s="32">
        <v>280</v>
      </c>
      <c r="C24" s="27" t="s">
        <v>1157</v>
      </c>
      <c r="D24" s="27" t="str">
        <f t="shared" si="5"/>
        <v>INCLUIDO</v>
      </c>
      <c r="E24" s="27" t="s">
        <v>1137</v>
      </c>
      <c r="F24" s="113">
        <v>0</v>
      </c>
      <c r="G24" s="113">
        <v>0</v>
      </c>
      <c r="H24" s="9">
        <f t="shared" si="15"/>
        <v>0</v>
      </c>
      <c r="I24" s="9" t="s">
        <v>1153</v>
      </c>
      <c r="J24" s="9">
        <f t="shared" si="16"/>
        <v>0</v>
      </c>
      <c r="K24" s="9">
        <f t="shared" si="17"/>
        <v>0</v>
      </c>
      <c r="L24" s="9">
        <f t="shared" si="9"/>
        <v>0</v>
      </c>
      <c r="M24" s="11">
        <f t="shared" si="1"/>
        <v>0.1201</v>
      </c>
      <c r="N24" s="9">
        <f t="shared" si="10"/>
        <v>0</v>
      </c>
      <c r="O24" s="12">
        <f t="shared" si="11"/>
        <v>0</v>
      </c>
      <c r="P24" s="13" t="str">
        <f t="shared" si="2"/>
        <v>NO</v>
      </c>
      <c r="Q24">
        <f t="shared" si="0"/>
        <v>0</v>
      </c>
      <c r="R24">
        <f t="shared" si="3"/>
        <v>1000</v>
      </c>
      <c r="S24">
        <f t="shared" si="4"/>
        <v>1</v>
      </c>
    </row>
    <row r="25" spans="1:23" ht="15" hidden="1" customHeight="1" x14ac:dyDescent="0.3">
      <c r="A25" s="31" t="s">
        <v>1150</v>
      </c>
      <c r="B25" s="32"/>
      <c r="C25" s="81">
        <f>$O$12</f>
        <v>0</v>
      </c>
      <c r="D25" s="27" t="str">
        <f t="shared" si="5"/>
        <v>INCLUIDO</v>
      </c>
      <c r="E25" s="27" t="str">
        <f>E24</f>
        <v>Sublimite</v>
      </c>
      <c r="F25" s="9">
        <f>(F24*$O$12)*S25</f>
        <v>0</v>
      </c>
      <c r="G25" s="10">
        <f>G24*0.35</f>
        <v>0</v>
      </c>
      <c r="H25" s="9">
        <f t="shared" si="15"/>
        <v>0</v>
      </c>
      <c r="I25" s="9" t="s">
        <v>1153</v>
      </c>
      <c r="J25" s="9">
        <f t="shared" si="16"/>
        <v>0</v>
      </c>
      <c r="K25" s="9">
        <f t="shared" si="17"/>
        <v>0</v>
      </c>
      <c r="L25" s="9">
        <f t="shared" si="9"/>
        <v>0</v>
      </c>
      <c r="M25" s="11">
        <f t="shared" si="1"/>
        <v>0.1201</v>
      </c>
      <c r="N25" s="9">
        <f t="shared" si="10"/>
        <v>0</v>
      </c>
      <c r="O25" s="12">
        <f t="shared" si="11"/>
        <v>0</v>
      </c>
      <c r="P25" s="13" t="str">
        <f t="shared" si="2"/>
        <v>NO</v>
      </c>
      <c r="Q25">
        <f t="shared" si="0"/>
        <v>0</v>
      </c>
      <c r="R25">
        <f t="shared" si="3"/>
        <v>1000</v>
      </c>
      <c r="S25">
        <f t="shared" si="4"/>
        <v>1</v>
      </c>
    </row>
    <row r="26" spans="1:23" ht="15" customHeight="1" x14ac:dyDescent="0.3">
      <c r="A26" s="31" t="s">
        <v>1150</v>
      </c>
      <c r="B26" s="32" t="s">
        <v>1158</v>
      </c>
      <c r="C26" s="27" t="s">
        <v>1159</v>
      </c>
      <c r="D26" s="27" t="str">
        <f t="shared" si="5"/>
        <v>INCLUIDO</v>
      </c>
      <c r="E26" s="27" t="s">
        <v>1137</v>
      </c>
      <c r="F26" s="42">
        <v>0</v>
      </c>
      <c r="G26" s="10">
        <f>'COTIZACIÓN M.N.'!E67*50%</f>
        <v>1.1000000000000001E-3</v>
      </c>
      <c r="H26" s="75">
        <f>(((IF(I26="$ Prima",G26,G26*F26/R26))*$U$9)/365)*$J$15/'Ubicaciones total (2)'!A366</f>
        <v>0</v>
      </c>
      <c r="I26" s="9" t="s">
        <v>1153</v>
      </c>
      <c r="J26" s="9">
        <f>H26*$U$7</f>
        <v>0</v>
      </c>
      <c r="K26" s="9">
        <f>(H26+J26)*$K$15</f>
        <v>0</v>
      </c>
      <c r="L26" s="9">
        <f t="shared" si="9"/>
        <v>0</v>
      </c>
      <c r="M26" s="11">
        <f t="shared" si="1"/>
        <v>0.1201</v>
      </c>
      <c r="N26" s="9">
        <f t="shared" si="10"/>
        <v>0</v>
      </c>
      <c r="O26" s="12">
        <f t="shared" si="11"/>
        <v>0</v>
      </c>
      <c r="P26" s="13" t="str">
        <f t="shared" si="2"/>
        <v>NO</v>
      </c>
      <c r="Q26">
        <f t="shared" si="0"/>
        <v>0</v>
      </c>
      <c r="R26">
        <f t="shared" si="3"/>
        <v>1000</v>
      </c>
      <c r="S26">
        <f t="shared" si="4"/>
        <v>1</v>
      </c>
    </row>
    <row r="27" spans="1:23" ht="15" customHeight="1" x14ac:dyDescent="0.3">
      <c r="A27" s="31" t="s">
        <v>1150</v>
      </c>
      <c r="B27" s="32" t="s">
        <v>1160</v>
      </c>
      <c r="C27" s="27" t="s">
        <v>1161</v>
      </c>
      <c r="D27" s="27" t="str">
        <f t="shared" si="5"/>
        <v>INCLUIDO</v>
      </c>
      <c r="E27" s="27" t="s">
        <v>1137</v>
      </c>
      <c r="F27" s="42">
        <v>0</v>
      </c>
      <c r="G27" s="10">
        <f>G26</f>
        <v>1.1000000000000001E-3</v>
      </c>
      <c r="H27" s="75">
        <f>(((IF(I27="$ Prima",G27,G27*F27/R27))*$U$9)/365)*$J$15/'Ubicaciones total (2)'!A366</f>
        <v>0</v>
      </c>
      <c r="I27" s="9" t="s">
        <v>1153</v>
      </c>
      <c r="J27" s="9">
        <f>H27*$U$7</f>
        <v>0</v>
      </c>
      <c r="K27" s="9">
        <f>(H27+J27)*$K$15</f>
        <v>0</v>
      </c>
      <c r="L27" s="9">
        <f t="shared" si="9"/>
        <v>0</v>
      </c>
      <c r="M27" s="11">
        <f t="shared" si="1"/>
        <v>0.1201</v>
      </c>
      <c r="N27" s="9">
        <f t="shared" si="10"/>
        <v>0</v>
      </c>
      <c r="O27" s="12">
        <f t="shared" si="11"/>
        <v>0</v>
      </c>
      <c r="P27" s="13" t="str">
        <f t="shared" si="2"/>
        <v>NO</v>
      </c>
      <c r="Q27">
        <f t="shared" si="0"/>
        <v>0</v>
      </c>
      <c r="R27">
        <f t="shared" si="3"/>
        <v>1000</v>
      </c>
      <c r="S27">
        <f t="shared" si="4"/>
        <v>1</v>
      </c>
    </row>
    <row r="28" spans="1:23" x14ac:dyDescent="0.3">
      <c r="A28" s="82" t="s">
        <v>1162</v>
      </c>
      <c r="B28" s="33">
        <v>1</v>
      </c>
      <c r="C28" s="28" t="s">
        <v>1163</v>
      </c>
      <c r="D28" s="28" t="str">
        <f>$D$17</f>
        <v>INCLUIDO</v>
      </c>
      <c r="E28" s="28"/>
      <c r="F28" s="28"/>
      <c r="G28" s="28"/>
      <c r="H28" s="28"/>
      <c r="I28" s="28"/>
      <c r="J28" s="28"/>
      <c r="K28" s="28"/>
      <c r="L28" s="28"/>
      <c r="M28" s="68">
        <v>0.05</v>
      </c>
      <c r="N28" s="28"/>
      <c r="O28" s="83"/>
      <c r="P28" s="13" t="str">
        <f t="shared" si="2"/>
        <v>NO</v>
      </c>
      <c r="Q28" s="47">
        <f>IF(D28="INCLUIDO",IF(F29&lt;&gt;0,1,0),0)</f>
        <v>0</v>
      </c>
    </row>
    <row r="29" spans="1:23" x14ac:dyDescent="0.3">
      <c r="A29" s="31" t="s">
        <v>1164</v>
      </c>
      <c r="B29" s="32" t="s">
        <v>1165</v>
      </c>
      <c r="C29" s="27" t="s">
        <v>1166</v>
      </c>
      <c r="D29" s="27" t="str">
        <f t="shared" si="5"/>
        <v>INCLUIDO</v>
      </c>
      <c r="E29" s="27" t="s">
        <v>1137</v>
      </c>
      <c r="F29" s="9">
        <f>$F$17*S29</f>
        <v>0</v>
      </c>
      <c r="G29" s="10">
        <f>'COTIZACIÓN M.N.'!E28</f>
        <v>0.25</v>
      </c>
      <c r="H29" s="75">
        <f>((((IF(I29="$ Prima",G29,G29*F29/R29))*$U$9)/365)*$J$15)</f>
        <v>0</v>
      </c>
      <c r="I29" s="9" t="s">
        <v>1153</v>
      </c>
      <c r="J29" s="9">
        <f t="shared" ref="J29:J30" si="18">H29*$U$7</f>
        <v>0</v>
      </c>
      <c r="K29" s="9">
        <f t="shared" ref="K29:K30" si="19">(H29+J29)*$K$15</f>
        <v>0</v>
      </c>
      <c r="L29" s="9">
        <f t="shared" ref="L29:L30" si="20">ROUND(H29+J29+K29,2)</f>
        <v>0</v>
      </c>
      <c r="M29" s="11">
        <f>$M$28</f>
        <v>0.05</v>
      </c>
      <c r="N29" s="9">
        <f t="shared" ref="N29:N30" si="21">H29*M29</f>
        <v>0</v>
      </c>
      <c r="O29" s="12">
        <f t="shared" ref="O29:O30" si="22">N29</f>
        <v>0</v>
      </c>
      <c r="P29" s="13" t="str">
        <f t="shared" si="2"/>
        <v>NO</v>
      </c>
      <c r="Q29">
        <f>IF(D29="INCLUIDO",IF(F29&lt;&gt;0,1,0),0)</f>
        <v>0</v>
      </c>
      <c r="R29">
        <f>IF(I29="%o Al Millar",1000,IF(I29="% Al Porciento",100,IF(I29="$ Prima",G29)))</f>
        <v>1000</v>
      </c>
      <c r="S29">
        <f t="shared" si="4"/>
        <v>1</v>
      </c>
    </row>
    <row r="30" spans="1:23" hidden="1" x14ac:dyDescent="0.3">
      <c r="A30" s="31" t="s">
        <v>1164</v>
      </c>
      <c r="B30" s="32"/>
      <c r="C30" s="81">
        <f>$O$12</f>
        <v>0</v>
      </c>
      <c r="D30" s="27" t="str">
        <f t="shared" si="5"/>
        <v>INCLUIDO</v>
      </c>
      <c r="E30" s="27" t="str">
        <f>E29</f>
        <v>Sublimite</v>
      </c>
      <c r="F30" s="9">
        <f>(F29*$O$12)*S30</f>
        <v>0</v>
      </c>
      <c r="G30" s="10">
        <f>G29*0.35</f>
        <v>8.7499999999999994E-2</v>
      </c>
      <c r="H30" s="9">
        <f>((IF(I30="$ Prima",G30,G30*F30/R30))*$U$9)*O13</f>
        <v>0</v>
      </c>
      <c r="I30" s="9" t="s">
        <v>1153</v>
      </c>
      <c r="J30" s="9">
        <f t="shared" si="18"/>
        <v>0</v>
      </c>
      <c r="K30" s="9">
        <f t="shared" si="19"/>
        <v>0</v>
      </c>
      <c r="L30" s="9">
        <f t="shared" si="20"/>
        <v>0</v>
      </c>
      <c r="M30" s="11">
        <f>$M$28</f>
        <v>0.05</v>
      </c>
      <c r="N30" s="9">
        <f t="shared" si="21"/>
        <v>0</v>
      </c>
      <c r="O30" s="12">
        <f t="shared" si="22"/>
        <v>0</v>
      </c>
      <c r="P30" s="13" t="str">
        <f t="shared" si="2"/>
        <v>NO</v>
      </c>
      <c r="Q30">
        <f>IF(D30="INCLUIDO",IF(F30&lt;&gt;0,1,0),0)</f>
        <v>0</v>
      </c>
      <c r="R30">
        <f>IF(I30="%o Al Millar",1000,IF(I30="% Al Porciento",100,IF(I30="$ Prima",G30)))</f>
        <v>1000</v>
      </c>
      <c r="S30">
        <f t="shared" si="4"/>
        <v>1</v>
      </c>
    </row>
    <row r="31" spans="1:23" x14ac:dyDescent="0.3">
      <c r="A31" s="82">
        <v>904</v>
      </c>
      <c r="B31" s="33">
        <v>1</v>
      </c>
      <c r="C31" s="28" t="s">
        <v>1167</v>
      </c>
      <c r="D31" s="28" t="str">
        <f>$D$17</f>
        <v>INCLUIDO</v>
      </c>
      <c r="E31" s="28"/>
      <c r="F31" s="28"/>
      <c r="G31" s="28"/>
      <c r="H31" s="28"/>
      <c r="I31" s="28"/>
      <c r="J31" s="28"/>
      <c r="K31" s="28"/>
      <c r="L31" s="28"/>
      <c r="M31" s="68">
        <v>0.05</v>
      </c>
      <c r="N31" s="28"/>
      <c r="O31" s="83"/>
      <c r="P31" s="13" t="str">
        <f t="shared" si="2"/>
        <v>NO</v>
      </c>
      <c r="Q31" s="47">
        <f>IF(D31="INCLUIDO",IF(F32&lt;&gt;0,1,0),0)</f>
        <v>0</v>
      </c>
    </row>
    <row r="32" spans="1:23" x14ac:dyDescent="0.3">
      <c r="A32" s="31" t="s">
        <v>1168</v>
      </c>
      <c r="B32" s="32" t="s">
        <v>1169</v>
      </c>
      <c r="C32" s="27" t="s">
        <v>1170</v>
      </c>
      <c r="D32" s="27" t="str">
        <f t="shared" si="5"/>
        <v>INCLUIDO</v>
      </c>
      <c r="E32" s="27" t="s">
        <v>1137</v>
      </c>
      <c r="F32" s="9">
        <f>F17</f>
        <v>0</v>
      </c>
      <c r="G32" s="10">
        <f>'COTIZACIÓN M.N.'!E30</f>
        <v>0.4</v>
      </c>
      <c r="H32" s="75">
        <f>((((IF(I32="$ Prima",G32,G32*F32/R32))*$U$9)*O14)/365)*$J$15</f>
        <v>0</v>
      </c>
      <c r="I32" s="9" t="s">
        <v>1153</v>
      </c>
      <c r="J32" s="9">
        <f t="shared" ref="J32:J33" si="23">H32*$U$7</f>
        <v>0</v>
      </c>
      <c r="K32" s="9">
        <f t="shared" ref="K32:K33" si="24">(H32+J32)*$K$15</f>
        <v>0</v>
      </c>
      <c r="L32" s="9">
        <f t="shared" ref="L32:L33" si="25">ROUND(H32+J32+K32,2)</f>
        <v>0</v>
      </c>
      <c r="M32" s="11">
        <f>$M$31</f>
        <v>0.05</v>
      </c>
      <c r="N32" s="9">
        <f t="shared" ref="N32:N33" si="26">H32*M32</f>
        <v>0</v>
      </c>
      <c r="O32" s="12">
        <f t="shared" ref="O32:O33" si="27">N32</f>
        <v>0</v>
      </c>
      <c r="P32" s="13" t="str">
        <f t="shared" si="2"/>
        <v>NO</v>
      </c>
      <c r="Q32">
        <f>IF(D32="INCLUIDO",IF(F32&lt;&gt;0,1,0),0)</f>
        <v>0</v>
      </c>
      <c r="R32">
        <f>IF(I32="%o Al Millar",1000,IF(I32="% Al Porciento",100,IF(I32="$ Prima",G32)))</f>
        <v>1000</v>
      </c>
      <c r="S32">
        <f t="shared" si="4"/>
        <v>1</v>
      </c>
    </row>
    <row r="33" spans="1:22" hidden="1" x14ac:dyDescent="0.3">
      <c r="A33" s="31" t="s">
        <v>1168</v>
      </c>
      <c r="B33" s="32"/>
      <c r="C33" s="81">
        <f>$O$12</f>
        <v>0</v>
      </c>
      <c r="D33" s="27" t="str">
        <f t="shared" si="5"/>
        <v>INCLUIDO</v>
      </c>
      <c r="E33" s="27" t="str">
        <f>E32</f>
        <v>Sublimite</v>
      </c>
      <c r="F33" s="9">
        <f>(F32*$O$12)*S33</f>
        <v>0</v>
      </c>
      <c r="G33" s="10">
        <f>G32*0.35</f>
        <v>0.13999999999999999</v>
      </c>
      <c r="H33" s="9">
        <f>((IF(I33="$ Prima",G33,G33*F33/R33))*$U$9)*O14</f>
        <v>0</v>
      </c>
      <c r="I33" s="9" t="s">
        <v>1153</v>
      </c>
      <c r="J33" s="9">
        <f t="shared" si="23"/>
        <v>0</v>
      </c>
      <c r="K33" s="9">
        <f t="shared" si="24"/>
        <v>0</v>
      </c>
      <c r="L33" s="9">
        <f t="shared" si="25"/>
        <v>0</v>
      </c>
      <c r="M33" s="11">
        <f>$M$31</f>
        <v>0.05</v>
      </c>
      <c r="N33" s="9">
        <f t="shared" si="26"/>
        <v>0</v>
      </c>
      <c r="O33" s="12">
        <f t="shared" si="27"/>
        <v>0</v>
      </c>
      <c r="P33" s="13" t="str">
        <f t="shared" si="2"/>
        <v>NO</v>
      </c>
      <c r="Q33">
        <f>IF(D33="INCLUIDO",IF(F33&lt;&gt;0,1,0),0)</f>
        <v>0</v>
      </c>
      <c r="R33">
        <f>IF(I33="%o Al Millar",1000,IF(I33="% Al Porciento",100,IF(I33="$ Prima",G33)))</f>
        <v>1000</v>
      </c>
      <c r="S33">
        <f t="shared" si="4"/>
        <v>1</v>
      </c>
    </row>
    <row r="34" spans="1:22" x14ac:dyDescent="0.3">
      <c r="A34" s="82" t="s">
        <v>1147</v>
      </c>
      <c r="B34" s="33" t="s">
        <v>1148</v>
      </c>
      <c r="C34" s="28" t="s">
        <v>1171</v>
      </c>
      <c r="D34" s="28" t="str">
        <f>$D$17</f>
        <v>INCLUIDO</v>
      </c>
      <c r="E34" s="28"/>
      <c r="F34" s="113">
        <f>F17*M12</f>
        <v>0</v>
      </c>
      <c r="G34" s="28"/>
      <c r="H34" s="28"/>
      <c r="I34" s="28"/>
      <c r="J34" s="28"/>
      <c r="K34" s="28"/>
      <c r="L34" s="28"/>
      <c r="M34" s="68">
        <v>0.25</v>
      </c>
      <c r="N34" s="28"/>
      <c r="O34" s="83"/>
      <c r="P34" s="13" t="str">
        <f t="shared" si="2"/>
        <v>NO</v>
      </c>
      <c r="Q34" s="47">
        <f>IF(D34="INCLUIDO",IF(F35&lt;&gt;0,1,0),0)</f>
        <v>0</v>
      </c>
    </row>
    <row r="35" spans="1:22" x14ac:dyDescent="0.3">
      <c r="A35" s="31" t="s">
        <v>1150</v>
      </c>
      <c r="B35" s="32" t="s">
        <v>1172</v>
      </c>
      <c r="C35" s="27" t="s">
        <v>1173</v>
      </c>
      <c r="D35" s="27" t="str">
        <f t="shared" si="5"/>
        <v>INCLUIDO</v>
      </c>
      <c r="E35" s="27" t="s">
        <v>1137</v>
      </c>
      <c r="F35" s="9">
        <f>F34*S35</f>
        <v>0</v>
      </c>
      <c r="G35" s="10">
        <f>'COTIZACIÓN M.N.'!E61*75%</f>
        <v>4.1836147500000004E-2</v>
      </c>
      <c r="H35" s="471">
        <f>(((IF(I35="$ Prima",G35,G35*F35/R35))*$U$9)/365)*$J$15</f>
        <v>0</v>
      </c>
      <c r="I35" s="9" t="s">
        <v>1153</v>
      </c>
      <c r="J35" s="9">
        <f>H35*$U$7</f>
        <v>0</v>
      </c>
      <c r="K35" s="9">
        <f>(H35+J35)*$K$15</f>
        <v>0</v>
      </c>
      <c r="L35" s="9">
        <f>ROUND(H35+J35+K35,2)</f>
        <v>0</v>
      </c>
      <c r="M35" s="11">
        <f>M34</f>
        <v>0.25</v>
      </c>
      <c r="N35" s="9">
        <f>H35*M35</f>
        <v>0</v>
      </c>
      <c r="O35" s="12">
        <f>N35</f>
        <v>0</v>
      </c>
      <c r="P35" s="13" t="str">
        <f t="shared" si="2"/>
        <v>NO</v>
      </c>
      <c r="Q35">
        <f>IF(D35="INCLUIDO",IF(F35&lt;&gt;0,1,0),0)</f>
        <v>0</v>
      </c>
      <c r="R35">
        <f>IF(I35="%o Al Millar",1000,IF(I35="% Al Porciento",100,IF(I35="$ Prima",G35)))</f>
        <v>1000</v>
      </c>
      <c r="S35">
        <f t="shared" si="4"/>
        <v>1</v>
      </c>
    </row>
    <row r="36" spans="1:22" x14ac:dyDescent="0.3">
      <c r="A36" s="82" t="s">
        <v>1162</v>
      </c>
      <c r="B36" s="33">
        <v>1</v>
      </c>
      <c r="C36" s="28" t="s">
        <v>1163</v>
      </c>
      <c r="D36" s="28" t="str">
        <f>$D$17</f>
        <v>INCLUIDO</v>
      </c>
      <c r="E36" s="28"/>
      <c r="F36" s="28"/>
      <c r="G36" s="28"/>
      <c r="H36" s="28"/>
      <c r="I36" s="28"/>
      <c r="J36" s="28"/>
      <c r="K36" s="28"/>
      <c r="L36" s="28"/>
      <c r="M36" s="68">
        <f>M28</f>
        <v>0.05</v>
      </c>
      <c r="N36" s="28"/>
      <c r="O36" s="83"/>
      <c r="P36" s="13" t="str">
        <f t="shared" si="2"/>
        <v>NO</v>
      </c>
      <c r="Q36" s="47">
        <f>IF(D36="INCLUIDO",IF(F37&lt;&gt;0,1,0),0)</f>
        <v>0</v>
      </c>
    </row>
    <row r="37" spans="1:22" ht="20.399999999999999" x14ac:dyDescent="0.3">
      <c r="A37" s="31" t="s">
        <v>1164</v>
      </c>
      <c r="B37" s="32" t="s">
        <v>1174</v>
      </c>
      <c r="C37" s="27" t="s">
        <v>1175</v>
      </c>
      <c r="D37" s="27" t="str">
        <f t="shared" si="5"/>
        <v>INCLUIDO</v>
      </c>
      <c r="E37" s="27" t="s">
        <v>1137</v>
      </c>
      <c r="F37" s="9">
        <f>F34</f>
        <v>0</v>
      </c>
      <c r="G37" s="10">
        <f>'COTIZACIÓN M.N.'!E61*25%</f>
        <v>1.3945382500000001E-2</v>
      </c>
      <c r="H37" s="75">
        <f>(((IF(I37="$ Prima",G37,G37*F37/R37))*$U$9)/365)*$J$15</f>
        <v>0</v>
      </c>
      <c r="I37" s="9" t="s">
        <v>1153</v>
      </c>
      <c r="J37" s="9">
        <f>H37*$U$7</f>
        <v>0</v>
      </c>
      <c r="K37" s="9">
        <f>(H37+J37)*$K$15</f>
        <v>0</v>
      </c>
      <c r="L37" s="9">
        <f>ROUND(H37+J37+K37,2)</f>
        <v>0</v>
      </c>
      <c r="M37" s="11">
        <f>M36</f>
        <v>0.05</v>
      </c>
      <c r="N37" s="9">
        <f>H37*M37</f>
        <v>0</v>
      </c>
      <c r="O37" s="12">
        <f>N37</f>
        <v>0</v>
      </c>
      <c r="P37" s="13" t="str">
        <f t="shared" si="2"/>
        <v>NO</v>
      </c>
      <c r="Q37">
        <f>IF(D37="INCLUIDO",IF(F37&lt;&gt;0,1,0),0)</f>
        <v>0</v>
      </c>
      <c r="R37">
        <f>IF(I37="%o Al Millar",1000,IF(I37="% Al Porciento",100,IF(I37="$ Prima",G37)))</f>
        <v>1000</v>
      </c>
      <c r="S37">
        <f t="shared" si="4"/>
        <v>1</v>
      </c>
    </row>
    <row r="38" spans="1:22" x14ac:dyDescent="0.3">
      <c r="A38" s="82">
        <v>904</v>
      </c>
      <c r="B38" s="33">
        <v>1</v>
      </c>
      <c r="C38" s="28" t="s">
        <v>1167</v>
      </c>
      <c r="D38" s="28" t="str">
        <f>$D$17</f>
        <v>INCLUIDO</v>
      </c>
      <c r="E38" s="28"/>
      <c r="F38" s="28"/>
      <c r="G38" s="28"/>
      <c r="H38" s="28"/>
      <c r="I38" s="28"/>
      <c r="J38" s="28"/>
      <c r="K38" s="28"/>
      <c r="L38" s="28"/>
      <c r="M38" s="68">
        <f>M31</f>
        <v>0.05</v>
      </c>
      <c r="N38" s="28"/>
      <c r="O38" s="83"/>
      <c r="P38" s="13" t="str">
        <f t="shared" si="2"/>
        <v>NO</v>
      </c>
      <c r="Q38" s="47">
        <f>IF(D38="INCLUIDO",IF(F39&lt;&gt;0,1,0),0)</f>
        <v>0</v>
      </c>
    </row>
    <row r="39" spans="1:22" ht="20.399999999999999" x14ac:dyDescent="0.3">
      <c r="A39" s="31" t="s">
        <v>1168</v>
      </c>
      <c r="B39" s="32" t="s">
        <v>1176</v>
      </c>
      <c r="C39" s="27" t="s">
        <v>1175</v>
      </c>
      <c r="D39" s="27" t="str">
        <f t="shared" si="5"/>
        <v>INCLUIDO</v>
      </c>
      <c r="E39" s="27" t="s">
        <v>1137</v>
      </c>
      <c r="F39" s="9">
        <f>F34</f>
        <v>0</v>
      </c>
      <c r="G39" s="10">
        <f>'COTIZACIÓN M.N.'!E62</f>
        <v>4.0000000000000008E-2</v>
      </c>
      <c r="H39" s="75">
        <f>(((IF(I39="$ Prima",G39,G39*F39/R39))*$U$9)/365)*$J$15</f>
        <v>0</v>
      </c>
      <c r="I39" s="9" t="s">
        <v>1153</v>
      </c>
      <c r="J39" s="9">
        <f>H39*$U$7</f>
        <v>0</v>
      </c>
      <c r="K39" s="9">
        <f>(H39+J39)*$K$15</f>
        <v>0</v>
      </c>
      <c r="L39" s="9">
        <f>ROUND(H39+J39+K39,2)</f>
        <v>0</v>
      </c>
      <c r="M39" s="11">
        <f>M38</f>
        <v>0.05</v>
      </c>
      <c r="N39" s="9">
        <f>H39*M39</f>
        <v>0</v>
      </c>
      <c r="O39" s="12">
        <f>N39</f>
        <v>0</v>
      </c>
      <c r="P39" s="13" t="str">
        <f t="shared" si="2"/>
        <v>NO</v>
      </c>
      <c r="Q39">
        <f>IF(D39="INCLUIDO",IF(F39&lt;&gt;0,1,0),0)</f>
        <v>0</v>
      </c>
      <c r="R39">
        <f>IF(I39="%o Al Millar",1000,IF(I39="% Al Porciento",100,IF(I39="$ Prima",G39)))</f>
        <v>1000</v>
      </c>
      <c r="S39">
        <f t="shared" si="4"/>
        <v>1</v>
      </c>
    </row>
    <row r="40" spans="1:22" s="18" customFormat="1" ht="15" thickBot="1" x14ac:dyDescent="0.35">
      <c r="A40" s="14"/>
      <c r="B40" s="25"/>
      <c r="C40" s="15" t="s">
        <v>1177</v>
      </c>
      <c r="D40" s="38" t="str">
        <f>D39</f>
        <v>INCLUIDO</v>
      </c>
      <c r="E40" s="38"/>
      <c r="F40" s="16">
        <f>SUMIF(E18:E39,"Adicional",F18:F39)</f>
        <v>0</v>
      </c>
      <c r="G40" s="17"/>
      <c r="H40" s="16">
        <f>SUM(H18:H39)</f>
        <v>0</v>
      </c>
      <c r="I40" s="16"/>
      <c r="J40" s="16">
        <f>SUM(J18:J39)</f>
        <v>0</v>
      </c>
      <c r="K40" s="16">
        <f>SUM(K18:K39)</f>
        <v>0</v>
      </c>
      <c r="L40" s="16">
        <f>SUM(L18:L39)</f>
        <v>0</v>
      </c>
      <c r="M40" s="16" t="s">
        <v>1178</v>
      </c>
      <c r="N40" s="16">
        <f>SUM(N18:N39)</f>
        <v>0</v>
      </c>
      <c r="O40" s="84">
        <f>SUM(O18:O39)</f>
        <v>0</v>
      </c>
      <c r="P40" s="13" t="str">
        <f t="shared" si="2"/>
        <v>NO</v>
      </c>
      <c r="Q40">
        <f>IF(D40="INCLUIDO",IF(H40&lt;&gt;0,1,0),0)</f>
        <v>0</v>
      </c>
    </row>
    <row r="41" spans="1:22" ht="15" thickBot="1" x14ac:dyDescent="0.35">
      <c r="A41" s="82" t="s">
        <v>1147</v>
      </c>
      <c r="B41" s="33">
        <v>2</v>
      </c>
      <c r="C41" s="28" t="s">
        <v>1179</v>
      </c>
      <c r="D41" s="28" t="str">
        <f>$D$17</f>
        <v>INCLUIDO</v>
      </c>
      <c r="E41" s="28"/>
      <c r="F41" s="113">
        <f>VLOOKUP(C15,UBCINEMEX,9,0)</f>
        <v>2914531.0700000003</v>
      </c>
      <c r="G41" s="209">
        <f>'COTIZACIÓN M.N.'!E33+'COTIZACIÓN M.N.'!E34+'COTIZACIÓN M.N.'!E35</f>
        <v>0.30781530000000001</v>
      </c>
      <c r="H41" s="28"/>
      <c r="I41" s="28"/>
      <c r="J41" s="28"/>
      <c r="K41" s="28"/>
      <c r="L41" s="28"/>
      <c r="M41" s="68">
        <f>M17</f>
        <v>0.1201</v>
      </c>
      <c r="N41" s="28"/>
      <c r="O41" s="83"/>
      <c r="P41" s="13" t="str">
        <f t="shared" si="2"/>
        <v>SI</v>
      </c>
      <c r="Q41" s="48">
        <f t="shared" ref="Q41:Q60" si="28">IF(D41="INCLUIDO",IF(F41&lt;&gt;0,1,0),0)</f>
        <v>1</v>
      </c>
      <c r="T41" s="146">
        <f>G41</f>
        <v>0.30781530000000001</v>
      </c>
      <c r="U41" s="150"/>
      <c r="V41" s="151"/>
    </row>
    <row r="42" spans="1:22" x14ac:dyDescent="0.3">
      <c r="A42" s="34" t="s">
        <v>1150</v>
      </c>
      <c r="B42" s="35" t="s">
        <v>1180</v>
      </c>
      <c r="C42" s="29" t="s">
        <v>1151</v>
      </c>
      <c r="D42" s="27" t="str">
        <f t="shared" ref="D42:D76" si="29">$D$17</f>
        <v>INCLUIDO</v>
      </c>
      <c r="E42" s="27" t="s">
        <v>1137</v>
      </c>
      <c r="F42" s="20">
        <f>$F$41*S42</f>
        <v>2914531.0700000003</v>
      </c>
      <c r="G42" s="49">
        <f>V42</f>
        <v>0.24625224000000001</v>
      </c>
      <c r="H42" s="9">
        <f>(((IF(I42="$ Prima",G42,G42*F42/R42))*$U$9)/365)*$J$15</f>
        <v>719.67613276870532</v>
      </c>
      <c r="I42" s="9" t="s">
        <v>1153</v>
      </c>
      <c r="J42" s="9">
        <f t="shared" ref="J42:J60" si="30">H42*$U$7</f>
        <v>15.185166401419682</v>
      </c>
      <c r="K42" s="9">
        <f t="shared" ref="K42:K60" si="31">(H42+J42)*$K$15</f>
        <v>117.57780786722</v>
      </c>
      <c r="L42" s="9">
        <f t="shared" ref="L42:L60" si="32">ROUND(H42+J42+K42,2)</f>
        <v>852.44</v>
      </c>
      <c r="M42" s="11">
        <f>$M$41</f>
        <v>0.1201</v>
      </c>
      <c r="N42" s="9">
        <f t="shared" ref="N42:N60" si="33">H42*M42</f>
        <v>86.433103545521504</v>
      </c>
      <c r="O42" s="12">
        <f t="shared" ref="O42:O60" si="34">N42</f>
        <v>86.433103545521504</v>
      </c>
      <c r="P42" s="13" t="str">
        <f t="shared" si="2"/>
        <v>SI</v>
      </c>
      <c r="Q42">
        <f t="shared" si="28"/>
        <v>1</v>
      </c>
      <c r="R42">
        <f t="shared" ref="R42:R60" si="35">IF(I42="%o Al Millar",1000,IF(I42="% Al Porciento",100,IF(I42="$ Prima",G42)))</f>
        <v>1000</v>
      </c>
      <c r="S42">
        <f t="shared" ref="S42:S76" si="36">IF(E42="Excluido",0,IF(D42="NO APLICA",0,1))</f>
        <v>1</v>
      </c>
      <c r="T42" s="152">
        <v>0.7</v>
      </c>
      <c r="U42">
        <f>IF(E42="Excluido",0,T41*T42)</f>
        <v>0.21547071000000001</v>
      </c>
      <c r="V42" s="153">
        <f>IF(F41=0,0,(U51-U46-U44-U50)+(T41-U51))</f>
        <v>0.24625224000000001</v>
      </c>
    </row>
    <row r="43" spans="1:22" hidden="1" x14ac:dyDescent="0.3">
      <c r="A43" s="34" t="s">
        <v>1150</v>
      </c>
      <c r="B43" s="35"/>
      <c r="C43" s="81">
        <f>$O$12</f>
        <v>0</v>
      </c>
      <c r="D43" s="27" t="str">
        <f t="shared" si="29"/>
        <v>INCLUIDO</v>
      </c>
      <c r="E43" s="27" t="str">
        <f>E42</f>
        <v>Sublimite</v>
      </c>
      <c r="F43" s="9">
        <f>(F42*$O$12)*S42</f>
        <v>0</v>
      </c>
      <c r="G43" s="10">
        <f>G42*0.35</f>
        <v>8.6188284000000004E-2</v>
      </c>
      <c r="H43" s="9">
        <f t="shared" ref="H43" si="37">(IF(I43="$ Prima",G43,G43*F43/R43))*$U$9</f>
        <v>0</v>
      </c>
      <c r="I43" s="9" t="s">
        <v>1153</v>
      </c>
      <c r="J43" s="9">
        <f t="shared" si="30"/>
        <v>0</v>
      </c>
      <c r="K43" s="9">
        <f t="shared" si="31"/>
        <v>0</v>
      </c>
      <c r="L43" s="9">
        <f t="shared" si="32"/>
        <v>0</v>
      </c>
      <c r="M43" s="11">
        <f t="shared" ref="M43:M60" si="38">$M$41</f>
        <v>0.1201</v>
      </c>
      <c r="N43" s="9">
        <f t="shared" si="33"/>
        <v>0</v>
      </c>
      <c r="O43" s="12">
        <f t="shared" si="34"/>
        <v>0</v>
      </c>
      <c r="P43" s="13" t="str">
        <f t="shared" si="2"/>
        <v>NO</v>
      </c>
      <c r="Q43">
        <f t="shared" si="28"/>
        <v>0</v>
      </c>
      <c r="R43">
        <f t="shared" si="35"/>
        <v>1000</v>
      </c>
      <c r="S43">
        <f t="shared" si="36"/>
        <v>1</v>
      </c>
      <c r="T43" s="152"/>
      <c r="V43" s="153"/>
    </row>
    <row r="44" spans="1:22" ht="20.399999999999999" x14ac:dyDescent="0.3">
      <c r="A44" s="34" t="s">
        <v>1150</v>
      </c>
      <c r="B44" s="35" t="s">
        <v>1181</v>
      </c>
      <c r="C44" s="29" t="s">
        <v>1155</v>
      </c>
      <c r="D44" s="27" t="str">
        <f t="shared" si="29"/>
        <v>INCLUIDO</v>
      </c>
      <c r="E44" s="27" t="s">
        <v>1137</v>
      </c>
      <c r="F44" s="20">
        <f>$F$41*S44</f>
        <v>2914531.0700000003</v>
      </c>
      <c r="G44" s="49">
        <f>V44</f>
        <v>3.0781530000000001E-2</v>
      </c>
      <c r="H44" s="9">
        <f>(((IF(I44="$ Prima",G44,G44*F44/R44))*$U$9)/365)*$J$15</f>
        <v>89.959516596088164</v>
      </c>
      <c r="I44" s="9" t="s">
        <v>1153</v>
      </c>
      <c r="J44" s="9">
        <f t="shared" si="30"/>
        <v>1.8981458001774603</v>
      </c>
      <c r="K44" s="9">
        <f t="shared" si="31"/>
        <v>14.6972259834025</v>
      </c>
      <c r="L44" s="9">
        <f t="shared" si="32"/>
        <v>106.55</v>
      </c>
      <c r="M44" s="11">
        <f t="shared" si="38"/>
        <v>0.1201</v>
      </c>
      <c r="N44" s="9">
        <f t="shared" si="33"/>
        <v>10.804137943190188</v>
      </c>
      <c r="O44" s="12">
        <f t="shared" si="34"/>
        <v>10.804137943190188</v>
      </c>
      <c r="P44" s="13" t="str">
        <f t="shared" si="2"/>
        <v>SI</v>
      </c>
      <c r="Q44">
        <f t="shared" si="28"/>
        <v>1</v>
      </c>
      <c r="R44">
        <f t="shared" si="35"/>
        <v>1000</v>
      </c>
      <c r="S44">
        <f t="shared" si="36"/>
        <v>1</v>
      </c>
      <c r="T44" s="152">
        <v>0.1</v>
      </c>
      <c r="U44">
        <f>IF(E44="Excluido",0,T41*T44)</f>
        <v>3.0781530000000001E-2</v>
      </c>
      <c r="V44" s="153">
        <f>IF(F41=0,0,U44)</f>
        <v>3.0781530000000001E-2</v>
      </c>
    </row>
    <row r="45" spans="1:22" hidden="1" x14ac:dyDescent="0.3">
      <c r="A45" s="34" t="s">
        <v>1150</v>
      </c>
      <c r="B45" s="35"/>
      <c r="C45" s="81">
        <f>$O$12</f>
        <v>0</v>
      </c>
      <c r="D45" s="27" t="str">
        <f t="shared" si="29"/>
        <v>INCLUIDO</v>
      </c>
      <c r="E45" s="27" t="str">
        <f>E44</f>
        <v>Sublimite</v>
      </c>
      <c r="F45" s="9">
        <f>(F44*$O$12)*S44</f>
        <v>0</v>
      </c>
      <c r="G45" s="10">
        <f>G44*0.35</f>
        <v>1.07735355E-2</v>
      </c>
      <c r="H45" s="9">
        <f t="shared" ref="H45:H58" si="39">(IF(I45="$ Prima",G45,G45*F45/R45))*$U$9</f>
        <v>0</v>
      </c>
      <c r="I45" s="9" t="s">
        <v>1153</v>
      </c>
      <c r="J45" s="9">
        <f t="shared" si="30"/>
        <v>0</v>
      </c>
      <c r="K45" s="9">
        <f t="shared" si="31"/>
        <v>0</v>
      </c>
      <c r="L45" s="9">
        <f t="shared" si="32"/>
        <v>0</v>
      </c>
      <c r="M45" s="11">
        <f t="shared" si="38"/>
        <v>0.1201</v>
      </c>
      <c r="N45" s="9">
        <f t="shared" si="33"/>
        <v>0</v>
      </c>
      <c r="O45" s="12">
        <f t="shared" si="34"/>
        <v>0</v>
      </c>
      <c r="P45" s="13" t="str">
        <f t="shared" si="2"/>
        <v>NO</v>
      </c>
      <c r="Q45">
        <f t="shared" si="28"/>
        <v>0</v>
      </c>
      <c r="R45">
        <f t="shared" si="35"/>
        <v>1000</v>
      </c>
      <c r="S45">
        <f t="shared" si="36"/>
        <v>1</v>
      </c>
      <c r="T45" s="152"/>
      <c r="V45" s="153"/>
    </row>
    <row r="46" spans="1:22" x14ac:dyDescent="0.3">
      <c r="A46" s="34" t="s">
        <v>1150</v>
      </c>
      <c r="B46" s="35" t="s">
        <v>1182</v>
      </c>
      <c r="C46" s="29" t="s">
        <v>1110</v>
      </c>
      <c r="D46" s="27" t="str">
        <f t="shared" si="29"/>
        <v>INCLUIDO</v>
      </c>
      <c r="E46" s="27" t="s">
        <v>1137</v>
      </c>
      <c r="F46" s="20">
        <f>F41</f>
        <v>2914531.0700000003</v>
      </c>
      <c r="G46" s="49">
        <f>V46</f>
        <v>3.0781530000000001E-2</v>
      </c>
      <c r="H46" s="9">
        <f>(((IF(I46="$ Prima",G46,G46*F46/R46))*$U$9)/365)*$J$15</f>
        <v>89.959516596088164</v>
      </c>
      <c r="I46" s="9" t="s">
        <v>1153</v>
      </c>
      <c r="J46" s="9">
        <f t="shared" si="30"/>
        <v>1.8981458001774603</v>
      </c>
      <c r="K46" s="9">
        <f t="shared" si="31"/>
        <v>14.6972259834025</v>
      </c>
      <c r="L46" s="9">
        <f t="shared" si="32"/>
        <v>106.55</v>
      </c>
      <c r="M46" s="11">
        <f t="shared" si="38"/>
        <v>0.1201</v>
      </c>
      <c r="N46" s="9">
        <f t="shared" si="33"/>
        <v>10.804137943190188</v>
      </c>
      <c r="O46" s="12">
        <f t="shared" si="34"/>
        <v>10.804137943190188</v>
      </c>
      <c r="P46" s="13" t="str">
        <f t="shared" si="2"/>
        <v>SI</v>
      </c>
      <c r="Q46">
        <f t="shared" si="28"/>
        <v>1</v>
      </c>
      <c r="R46">
        <f t="shared" si="35"/>
        <v>1000</v>
      </c>
      <c r="S46">
        <f t="shared" si="36"/>
        <v>1</v>
      </c>
      <c r="T46" s="152">
        <v>0.1</v>
      </c>
      <c r="U46">
        <f>IF(E46="Excluido",0,T41*T46)</f>
        <v>3.0781530000000001E-2</v>
      </c>
      <c r="V46" s="153">
        <f>IF(F41=0,0,U46)</f>
        <v>3.0781530000000001E-2</v>
      </c>
    </row>
    <row r="47" spans="1:22" hidden="1" x14ac:dyDescent="0.3">
      <c r="A47" s="34" t="s">
        <v>1150</v>
      </c>
      <c r="B47" s="35"/>
      <c r="C47" s="81">
        <f>$O$12</f>
        <v>0</v>
      </c>
      <c r="D47" s="27" t="str">
        <f t="shared" si="29"/>
        <v>INCLUIDO</v>
      </c>
      <c r="E47" s="27" t="str">
        <f>E46</f>
        <v>Sublimite</v>
      </c>
      <c r="F47" s="9">
        <f>(F46*$O$12)*S46</f>
        <v>0</v>
      </c>
      <c r="G47" s="10">
        <f>G46*0.35</f>
        <v>1.07735355E-2</v>
      </c>
      <c r="H47" s="9">
        <f t="shared" ref="H47" si="40">(IF(I47="$ Prima",G47,G47*F47/R47))*$U$9</f>
        <v>0</v>
      </c>
      <c r="I47" s="9" t="s">
        <v>1153</v>
      </c>
      <c r="J47" s="9">
        <f t="shared" si="30"/>
        <v>0</v>
      </c>
      <c r="K47" s="9">
        <f t="shared" si="31"/>
        <v>0</v>
      </c>
      <c r="L47" s="9">
        <f t="shared" si="32"/>
        <v>0</v>
      </c>
      <c r="M47" s="11">
        <f t="shared" si="38"/>
        <v>0.1201</v>
      </c>
      <c r="N47" s="9">
        <f t="shared" si="33"/>
        <v>0</v>
      </c>
      <c r="O47" s="12">
        <f t="shared" si="34"/>
        <v>0</v>
      </c>
      <c r="P47" s="13" t="str">
        <f t="shared" si="2"/>
        <v>NO</v>
      </c>
      <c r="Q47">
        <f t="shared" si="28"/>
        <v>0</v>
      </c>
      <c r="R47">
        <f t="shared" si="35"/>
        <v>1000</v>
      </c>
      <c r="S47">
        <f t="shared" si="36"/>
        <v>1</v>
      </c>
      <c r="T47" s="154"/>
      <c r="V47" s="153"/>
    </row>
    <row r="48" spans="1:22" ht="15" hidden="1" customHeight="1" x14ac:dyDescent="0.3">
      <c r="A48" s="34" t="s">
        <v>1150</v>
      </c>
      <c r="B48" s="35" t="s">
        <v>1183</v>
      </c>
      <c r="C48" s="29" t="s">
        <v>1184</v>
      </c>
      <c r="D48" s="27" t="str">
        <f t="shared" si="29"/>
        <v>INCLUIDO</v>
      </c>
      <c r="E48" s="27" t="s">
        <v>1137</v>
      </c>
      <c r="F48" s="43">
        <v>0</v>
      </c>
      <c r="G48" s="21">
        <v>0</v>
      </c>
      <c r="H48" s="9">
        <f t="shared" si="39"/>
        <v>0</v>
      </c>
      <c r="I48" s="9" t="s">
        <v>1153</v>
      </c>
      <c r="J48" s="9">
        <f t="shared" si="30"/>
        <v>0</v>
      </c>
      <c r="K48" s="9">
        <f t="shared" si="31"/>
        <v>0</v>
      </c>
      <c r="L48" s="9">
        <f t="shared" si="32"/>
        <v>0</v>
      </c>
      <c r="M48" s="11">
        <f t="shared" si="38"/>
        <v>0.1201</v>
      </c>
      <c r="N48" s="9">
        <f t="shared" si="33"/>
        <v>0</v>
      </c>
      <c r="O48" s="12">
        <f t="shared" si="34"/>
        <v>0</v>
      </c>
      <c r="P48" s="13" t="str">
        <f t="shared" si="2"/>
        <v>NO</v>
      </c>
      <c r="Q48">
        <f t="shared" si="28"/>
        <v>0</v>
      </c>
      <c r="R48">
        <f t="shared" si="35"/>
        <v>1000</v>
      </c>
      <c r="S48">
        <f t="shared" si="36"/>
        <v>1</v>
      </c>
      <c r="T48" s="154"/>
      <c r="V48" s="153"/>
    </row>
    <row r="49" spans="1:22" ht="15" hidden="1" customHeight="1" x14ac:dyDescent="0.3">
      <c r="A49" s="34" t="s">
        <v>1150</v>
      </c>
      <c r="B49" s="35"/>
      <c r="C49" s="81">
        <f>$O$12</f>
        <v>0</v>
      </c>
      <c r="D49" s="27" t="str">
        <f t="shared" si="29"/>
        <v>INCLUIDO</v>
      </c>
      <c r="E49" s="27" t="str">
        <f>E48</f>
        <v>Sublimite</v>
      </c>
      <c r="F49" s="9">
        <f>(F48*$O$12)*S48</f>
        <v>0</v>
      </c>
      <c r="G49" s="10">
        <f>G48*0.35</f>
        <v>0</v>
      </c>
      <c r="H49" s="9">
        <f t="shared" si="39"/>
        <v>0</v>
      </c>
      <c r="I49" s="9" t="s">
        <v>1153</v>
      </c>
      <c r="J49" s="9">
        <f t="shared" si="30"/>
        <v>0</v>
      </c>
      <c r="K49" s="9">
        <f t="shared" si="31"/>
        <v>0</v>
      </c>
      <c r="L49" s="9">
        <f t="shared" si="32"/>
        <v>0</v>
      </c>
      <c r="M49" s="11">
        <f t="shared" si="38"/>
        <v>0.1201</v>
      </c>
      <c r="N49" s="9">
        <f t="shared" si="33"/>
        <v>0</v>
      </c>
      <c r="O49" s="12">
        <f t="shared" si="34"/>
        <v>0</v>
      </c>
      <c r="P49" s="13" t="str">
        <f t="shared" si="2"/>
        <v>NO</v>
      </c>
      <c r="Q49">
        <f t="shared" si="28"/>
        <v>0</v>
      </c>
      <c r="R49">
        <f t="shared" si="35"/>
        <v>1000</v>
      </c>
      <c r="S49">
        <f t="shared" si="36"/>
        <v>1</v>
      </c>
      <c r="T49" s="154"/>
      <c r="V49" s="153"/>
    </row>
    <row r="50" spans="1:22" ht="15" hidden="1" customHeight="1" thickBot="1" x14ac:dyDescent="0.35">
      <c r="A50" s="34" t="s">
        <v>1150</v>
      </c>
      <c r="B50" s="35">
        <v>229</v>
      </c>
      <c r="C50" s="29" t="s">
        <v>1185</v>
      </c>
      <c r="D50" s="27" t="str">
        <f t="shared" si="29"/>
        <v>INCLUIDO</v>
      </c>
      <c r="E50" s="27" t="s">
        <v>1186</v>
      </c>
      <c r="F50" s="20">
        <f>$F$41*S50</f>
        <v>0</v>
      </c>
      <c r="G50" s="21">
        <f>V50</f>
        <v>0</v>
      </c>
      <c r="H50" s="9">
        <f t="shared" si="39"/>
        <v>0</v>
      </c>
      <c r="I50" s="9" t="s">
        <v>1153</v>
      </c>
      <c r="J50" s="9">
        <f t="shared" si="30"/>
        <v>0</v>
      </c>
      <c r="K50" s="9">
        <f t="shared" si="31"/>
        <v>0</v>
      </c>
      <c r="L50" s="9">
        <f t="shared" si="32"/>
        <v>0</v>
      </c>
      <c r="M50" s="11">
        <f t="shared" si="38"/>
        <v>0.1201</v>
      </c>
      <c r="N50" s="9">
        <f t="shared" si="33"/>
        <v>0</v>
      </c>
      <c r="O50" s="12">
        <f t="shared" si="34"/>
        <v>0</v>
      </c>
      <c r="P50" s="13" t="str">
        <f t="shared" si="2"/>
        <v>NO</v>
      </c>
      <c r="Q50">
        <f t="shared" si="28"/>
        <v>0</v>
      </c>
      <c r="R50">
        <f t="shared" si="35"/>
        <v>1000</v>
      </c>
      <c r="S50">
        <f t="shared" si="36"/>
        <v>0</v>
      </c>
      <c r="T50" s="152">
        <v>0.1</v>
      </c>
      <c r="U50">
        <f>IF(E50="Excluido",0,T41*T50)</f>
        <v>0</v>
      </c>
      <c r="V50" s="153">
        <f>IF(F41=0,0,U50)</f>
        <v>0</v>
      </c>
    </row>
    <row r="51" spans="1:22" ht="15" hidden="1" customHeight="1" thickBot="1" x14ac:dyDescent="0.35">
      <c r="A51" s="34" t="s">
        <v>1150</v>
      </c>
      <c r="B51" s="35"/>
      <c r="C51" s="81">
        <f>$O$12</f>
        <v>0</v>
      </c>
      <c r="D51" s="27" t="str">
        <f t="shared" si="29"/>
        <v>INCLUIDO</v>
      </c>
      <c r="E51" s="27" t="str">
        <f>E50</f>
        <v>Excluido</v>
      </c>
      <c r="F51" s="9">
        <f>(F50*$O$12)*S50</f>
        <v>0</v>
      </c>
      <c r="G51" s="10">
        <f>G50*0.35</f>
        <v>0</v>
      </c>
      <c r="H51" s="9">
        <f t="shared" si="39"/>
        <v>0</v>
      </c>
      <c r="I51" s="9" t="s">
        <v>1153</v>
      </c>
      <c r="J51" s="9">
        <f t="shared" si="30"/>
        <v>0</v>
      </c>
      <c r="K51" s="9">
        <f t="shared" si="31"/>
        <v>0</v>
      </c>
      <c r="L51" s="9">
        <f t="shared" si="32"/>
        <v>0</v>
      </c>
      <c r="M51" s="11">
        <f t="shared" si="38"/>
        <v>0.1201</v>
      </c>
      <c r="N51" s="9">
        <f t="shared" si="33"/>
        <v>0</v>
      </c>
      <c r="O51" s="12">
        <f t="shared" si="34"/>
        <v>0</v>
      </c>
      <c r="P51" s="13" t="str">
        <f t="shared" si="2"/>
        <v>NO</v>
      </c>
      <c r="Q51">
        <f t="shared" si="28"/>
        <v>0</v>
      </c>
      <c r="R51">
        <f t="shared" si="35"/>
        <v>1000</v>
      </c>
      <c r="S51">
        <f t="shared" si="36"/>
        <v>0</v>
      </c>
      <c r="T51" s="143">
        <f>SUM(T42:T50)</f>
        <v>0.99999999999999989</v>
      </c>
      <c r="U51" s="147">
        <f>SUM(U42:U50)</f>
        <v>0.27703377000000001</v>
      </c>
      <c r="V51" s="148">
        <f>SUM(V42:V50)</f>
        <v>0.30781530000000001</v>
      </c>
    </row>
    <row r="52" spans="1:22" ht="15" hidden="1" customHeight="1" x14ac:dyDescent="0.3">
      <c r="A52" s="34" t="s">
        <v>1150</v>
      </c>
      <c r="B52" s="35">
        <v>230</v>
      </c>
      <c r="C52" s="29" t="s">
        <v>1187</v>
      </c>
      <c r="D52" s="27" t="str">
        <f t="shared" si="29"/>
        <v>INCLUIDO</v>
      </c>
      <c r="E52" s="27" t="s">
        <v>1137</v>
      </c>
      <c r="F52" s="43">
        <v>0</v>
      </c>
      <c r="G52" s="21">
        <v>0</v>
      </c>
      <c r="H52" s="9">
        <f t="shared" si="39"/>
        <v>0</v>
      </c>
      <c r="I52" s="9" t="s">
        <v>1153</v>
      </c>
      <c r="J52" s="9">
        <f t="shared" si="30"/>
        <v>0</v>
      </c>
      <c r="K52" s="9">
        <f t="shared" si="31"/>
        <v>0</v>
      </c>
      <c r="L52" s="9">
        <f t="shared" si="32"/>
        <v>0</v>
      </c>
      <c r="M52" s="11">
        <f t="shared" si="38"/>
        <v>0.1201</v>
      </c>
      <c r="N52" s="9">
        <f t="shared" si="33"/>
        <v>0</v>
      </c>
      <c r="O52" s="12">
        <f t="shared" si="34"/>
        <v>0</v>
      </c>
      <c r="P52" s="13" t="str">
        <f t="shared" si="2"/>
        <v>NO</v>
      </c>
      <c r="Q52">
        <f t="shared" si="28"/>
        <v>0</v>
      </c>
      <c r="R52">
        <f t="shared" si="35"/>
        <v>1000</v>
      </c>
      <c r="S52">
        <f t="shared" si="36"/>
        <v>1</v>
      </c>
    </row>
    <row r="53" spans="1:22" ht="15" hidden="1" customHeight="1" x14ac:dyDescent="0.3">
      <c r="A53" s="34" t="s">
        <v>1150</v>
      </c>
      <c r="B53" s="35"/>
      <c r="C53" s="81">
        <f>$O$12</f>
        <v>0</v>
      </c>
      <c r="D53" s="27" t="str">
        <f t="shared" si="29"/>
        <v>INCLUIDO</v>
      </c>
      <c r="E53" s="27" t="str">
        <f>E52</f>
        <v>Sublimite</v>
      </c>
      <c r="F53" s="9">
        <f>(F52*$O$12)*S52</f>
        <v>0</v>
      </c>
      <c r="G53" s="10">
        <f>G52*0.35</f>
        <v>0</v>
      </c>
      <c r="H53" s="9">
        <f t="shared" si="39"/>
        <v>0</v>
      </c>
      <c r="I53" s="9" t="s">
        <v>1153</v>
      </c>
      <c r="J53" s="9">
        <f t="shared" si="30"/>
        <v>0</v>
      </c>
      <c r="K53" s="9">
        <f t="shared" si="31"/>
        <v>0</v>
      </c>
      <c r="L53" s="9">
        <f t="shared" si="32"/>
        <v>0</v>
      </c>
      <c r="M53" s="11">
        <f t="shared" si="38"/>
        <v>0.1201</v>
      </c>
      <c r="N53" s="9">
        <f t="shared" si="33"/>
        <v>0</v>
      </c>
      <c r="O53" s="12">
        <f t="shared" si="34"/>
        <v>0</v>
      </c>
      <c r="P53" s="13" t="str">
        <f t="shared" si="2"/>
        <v>NO</v>
      </c>
      <c r="Q53">
        <f t="shared" si="28"/>
        <v>0</v>
      </c>
      <c r="R53">
        <f t="shared" si="35"/>
        <v>1000</v>
      </c>
      <c r="S53">
        <f t="shared" si="36"/>
        <v>1</v>
      </c>
    </row>
    <row r="54" spans="1:22" ht="15" hidden="1" customHeight="1" x14ac:dyDescent="0.3">
      <c r="A54" s="34" t="s">
        <v>1150</v>
      </c>
      <c r="B54" s="35">
        <v>231</v>
      </c>
      <c r="C54" s="29" t="s">
        <v>1188</v>
      </c>
      <c r="D54" s="27" t="str">
        <f t="shared" si="29"/>
        <v>INCLUIDO</v>
      </c>
      <c r="E54" s="27" t="s">
        <v>1137</v>
      </c>
      <c r="F54" s="43">
        <v>0</v>
      </c>
      <c r="G54" s="21">
        <v>0</v>
      </c>
      <c r="H54" s="9">
        <f t="shared" si="39"/>
        <v>0</v>
      </c>
      <c r="I54" s="9" t="s">
        <v>1153</v>
      </c>
      <c r="J54" s="9">
        <f t="shared" si="30"/>
        <v>0</v>
      </c>
      <c r="K54" s="9">
        <f t="shared" si="31"/>
        <v>0</v>
      </c>
      <c r="L54" s="9">
        <f t="shared" si="32"/>
        <v>0</v>
      </c>
      <c r="M54" s="11">
        <f t="shared" si="38"/>
        <v>0.1201</v>
      </c>
      <c r="N54" s="9">
        <f t="shared" si="33"/>
        <v>0</v>
      </c>
      <c r="O54" s="12">
        <f t="shared" si="34"/>
        <v>0</v>
      </c>
      <c r="P54" s="13" t="str">
        <f t="shared" si="2"/>
        <v>NO</v>
      </c>
      <c r="Q54">
        <f t="shared" si="28"/>
        <v>0</v>
      </c>
      <c r="R54">
        <f t="shared" si="35"/>
        <v>1000</v>
      </c>
      <c r="S54">
        <f t="shared" si="36"/>
        <v>1</v>
      </c>
    </row>
    <row r="55" spans="1:22" ht="15" customHeight="1" x14ac:dyDescent="0.3">
      <c r="A55" s="34" t="s">
        <v>1150</v>
      </c>
      <c r="B55" s="35" t="s">
        <v>1189</v>
      </c>
      <c r="C55" s="29" t="s">
        <v>1190</v>
      </c>
      <c r="D55" s="27" t="str">
        <f t="shared" si="29"/>
        <v>INCLUIDO</v>
      </c>
      <c r="E55" s="27" t="s">
        <v>1137</v>
      </c>
      <c r="F55" s="43">
        <f>'COTIZACIÓN M.N.'!D65</f>
        <v>3000000</v>
      </c>
      <c r="G55" s="21">
        <f>'COTIZACIÓN M.N.'!E65</f>
        <v>0.25</v>
      </c>
      <c r="H55" s="75">
        <f>(((((IF(I55="$ Prima",G55,G55*F55/R55))*$U$9)/365)*$J$15)/3)/'Ubicaciones total (2)'!A366</f>
        <v>0.68869486677705871</v>
      </c>
      <c r="I55" s="9" t="s">
        <v>1153</v>
      </c>
      <c r="J55" s="9">
        <f t="shared" si="30"/>
        <v>1.4531461688995939E-2</v>
      </c>
      <c r="K55" s="9">
        <f t="shared" si="31"/>
        <v>0.11251621255456876</v>
      </c>
      <c r="L55" s="9">
        <f t="shared" si="32"/>
        <v>0.82</v>
      </c>
      <c r="M55" s="11">
        <f t="shared" si="38"/>
        <v>0.1201</v>
      </c>
      <c r="N55" s="9">
        <f t="shared" si="33"/>
        <v>8.2712253499924754E-2</v>
      </c>
      <c r="O55" s="12">
        <f t="shared" si="34"/>
        <v>8.2712253499924754E-2</v>
      </c>
      <c r="P55" s="13" t="str">
        <f t="shared" si="2"/>
        <v>SI</v>
      </c>
      <c r="Q55">
        <f t="shared" si="28"/>
        <v>1</v>
      </c>
      <c r="R55">
        <f t="shared" si="35"/>
        <v>1000</v>
      </c>
      <c r="S55">
        <f t="shared" si="36"/>
        <v>1</v>
      </c>
    </row>
    <row r="56" spans="1:22" ht="15" hidden="1" customHeight="1" x14ac:dyDescent="0.3">
      <c r="A56" s="34" t="s">
        <v>1150</v>
      </c>
      <c r="B56" s="35"/>
      <c r="C56" s="81">
        <f>$O$12</f>
        <v>0</v>
      </c>
      <c r="D56" s="27" t="str">
        <f t="shared" si="29"/>
        <v>INCLUIDO</v>
      </c>
      <c r="E56" s="27" t="str">
        <f>E55</f>
        <v>Sublimite</v>
      </c>
      <c r="F56" s="9">
        <v>0</v>
      </c>
      <c r="G56" s="10">
        <f>G55*0.35</f>
        <v>8.7499999999999994E-2</v>
      </c>
      <c r="H56" s="9">
        <f t="shared" ref="H56" si="41">(IF(I56="$ Prima",G56,G56*F56/R56))*$U$9</f>
        <v>0</v>
      </c>
      <c r="I56" s="9" t="s">
        <v>1153</v>
      </c>
      <c r="J56" s="9">
        <f t="shared" si="30"/>
        <v>0</v>
      </c>
      <c r="K56" s="9">
        <f t="shared" si="31"/>
        <v>0</v>
      </c>
      <c r="L56" s="9">
        <f t="shared" si="32"/>
        <v>0</v>
      </c>
      <c r="M56" s="11">
        <f t="shared" si="38"/>
        <v>0.1201</v>
      </c>
      <c r="N56" s="9">
        <f t="shared" si="33"/>
        <v>0</v>
      </c>
      <c r="O56" s="12">
        <f t="shared" si="34"/>
        <v>0</v>
      </c>
      <c r="P56" s="13" t="str">
        <f t="shared" si="2"/>
        <v>NO</v>
      </c>
      <c r="Q56">
        <f t="shared" si="28"/>
        <v>0</v>
      </c>
      <c r="R56">
        <f t="shared" si="35"/>
        <v>1000</v>
      </c>
      <c r="S56">
        <f t="shared" si="36"/>
        <v>1</v>
      </c>
    </row>
    <row r="57" spans="1:22" ht="15" customHeight="1" x14ac:dyDescent="0.3">
      <c r="A57" s="34" t="s">
        <v>1150</v>
      </c>
      <c r="B57" s="35" t="s">
        <v>1191</v>
      </c>
      <c r="C57" s="29" t="s">
        <v>1192</v>
      </c>
      <c r="D57" s="27" t="str">
        <f t="shared" si="29"/>
        <v>INCLUIDO</v>
      </c>
      <c r="E57" s="27" t="s">
        <v>1137</v>
      </c>
      <c r="F57" s="43">
        <f>'COTIZACIÓN M.N.'!D66</f>
        <v>150000</v>
      </c>
      <c r="G57" s="21">
        <f>'COTIZACIÓN M.N.'!E66</f>
        <v>0.2</v>
      </c>
      <c r="H57" s="75">
        <f>(((IF(I57="$ Prima",G57,G57*F57/R57))*$U$9)/365)*$J$15/'Ubicaciones total (2)'!A366</f>
        <v>8.2643384013247015E-2</v>
      </c>
      <c r="I57" s="9" t="s">
        <v>1153</v>
      </c>
      <c r="J57" s="9">
        <f t="shared" si="30"/>
        <v>1.7437754026795121E-3</v>
      </c>
      <c r="K57" s="9">
        <f t="shared" si="31"/>
        <v>1.3501945506548246E-2</v>
      </c>
      <c r="L57" s="9">
        <f t="shared" si="32"/>
        <v>0.1</v>
      </c>
      <c r="M57" s="11">
        <f t="shared" si="38"/>
        <v>0.1201</v>
      </c>
      <c r="N57" s="9">
        <f t="shared" si="33"/>
        <v>9.9254704199909661E-3</v>
      </c>
      <c r="O57" s="12">
        <f t="shared" si="34"/>
        <v>9.9254704199909661E-3</v>
      </c>
      <c r="P57" s="13" t="str">
        <f t="shared" si="2"/>
        <v>SI</v>
      </c>
      <c r="Q57">
        <f t="shared" si="28"/>
        <v>1</v>
      </c>
      <c r="R57">
        <f t="shared" si="35"/>
        <v>1000</v>
      </c>
      <c r="S57">
        <f t="shared" si="36"/>
        <v>1</v>
      </c>
    </row>
    <row r="58" spans="1:22" ht="15" hidden="1" customHeight="1" x14ac:dyDescent="0.3">
      <c r="A58" s="34" t="s">
        <v>1150</v>
      </c>
      <c r="B58" s="35"/>
      <c r="C58" s="81">
        <f>$O$12</f>
        <v>0</v>
      </c>
      <c r="D58" s="27" t="str">
        <f t="shared" si="29"/>
        <v>INCLUIDO</v>
      </c>
      <c r="E58" s="27" t="str">
        <f>E57</f>
        <v>Sublimite</v>
      </c>
      <c r="F58" s="9">
        <v>0</v>
      </c>
      <c r="G58" s="10">
        <f>G57*0.35</f>
        <v>6.9999999999999993E-2</v>
      </c>
      <c r="H58" s="9">
        <f t="shared" si="39"/>
        <v>0</v>
      </c>
      <c r="I58" s="9" t="s">
        <v>1153</v>
      </c>
      <c r="J58" s="9">
        <f t="shared" si="30"/>
        <v>0</v>
      </c>
      <c r="K58" s="9">
        <f t="shared" si="31"/>
        <v>0</v>
      </c>
      <c r="L58" s="9">
        <f t="shared" si="32"/>
        <v>0</v>
      </c>
      <c r="M58" s="11">
        <f t="shared" si="38"/>
        <v>0.1201</v>
      </c>
      <c r="N58" s="9">
        <f t="shared" si="33"/>
        <v>0</v>
      </c>
      <c r="O58" s="12">
        <f t="shared" si="34"/>
        <v>0</v>
      </c>
      <c r="P58" s="13" t="str">
        <f t="shared" si="2"/>
        <v>NO</v>
      </c>
      <c r="Q58">
        <f t="shared" si="28"/>
        <v>0</v>
      </c>
      <c r="R58">
        <f t="shared" si="35"/>
        <v>1000</v>
      </c>
      <c r="S58">
        <f t="shared" si="36"/>
        <v>1</v>
      </c>
    </row>
    <row r="59" spans="1:22" ht="15" customHeight="1" x14ac:dyDescent="0.3">
      <c r="A59" s="34" t="s">
        <v>1150</v>
      </c>
      <c r="B59" s="35" t="s">
        <v>1193</v>
      </c>
      <c r="C59" s="29" t="s">
        <v>1159</v>
      </c>
      <c r="D59" s="27" t="str">
        <f t="shared" si="29"/>
        <v>INCLUIDO</v>
      </c>
      <c r="E59" s="27" t="s">
        <v>1137</v>
      </c>
      <c r="F59" s="43">
        <f>'COTIZACIÓN M.N.'!D67</f>
        <v>5000000</v>
      </c>
      <c r="G59" s="49">
        <f>G26</f>
        <v>1.1000000000000001E-3</v>
      </c>
      <c r="H59" s="75">
        <f>(((IF(I59="$ Prima",G59,G59*F59/R59))*$U$9)*2)/'Ubicaciones total (2)'!A366</f>
        <v>3.021978021978022E-2</v>
      </c>
      <c r="I59" s="9" t="s">
        <v>1153</v>
      </c>
      <c r="J59" s="9">
        <f t="shared" si="30"/>
        <v>6.3763736263736266E-4</v>
      </c>
      <c r="K59" s="9">
        <f t="shared" si="31"/>
        <v>4.9371868131868127E-3</v>
      </c>
      <c r="L59" s="9">
        <f t="shared" si="32"/>
        <v>0.04</v>
      </c>
      <c r="M59" s="11">
        <f t="shared" si="38"/>
        <v>0.1201</v>
      </c>
      <c r="N59" s="9">
        <f t="shared" si="33"/>
        <v>3.6293956043956044E-3</v>
      </c>
      <c r="O59" s="12">
        <f t="shared" si="34"/>
        <v>3.6293956043956044E-3</v>
      </c>
      <c r="P59" s="13" t="str">
        <f t="shared" si="2"/>
        <v>SI</v>
      </c>
      <c r="Q59">
        <f t="shared" si="28"/>
        <v>1</v>
      </c>
      <c r="R59">
        <f t="shared" si="35"/>
        <v>1000</v>
      </c>
      <c r="S59">
        <f t="shared" si="36"/>
        <v>1</v>
      </c>
    </row>
    <row r="60" spans="1:22" ht="15" customHeight="1" x14ac:dyDescent="0.3">
      <c r="A60" s="34" t="s">
        <v>1150</v>
      </c>
      <c r="B60" s="35" t="s">
        <v>1194</v>
      </c>
      <c r="C60" s="29" t="s">
        <v>1161</v>
      </c>
      <c r="D60" s="27" t="str">
        <f t="shared" si="29"/>
        <v>INCLUIDO</v>
      </c>
      <c r="E60" s="27" t="s">
        <v>1137</v>
      </c>
      <c r="F60" s="43">
        <f>'COTIZACIÓN M.N.'!D68</f>
        <v>5000000</v>
      </c>
      <c r="G60" s="49">
        <f>G59</f>
        <v>1.1000000000000001E-3</v>
      </c>
      <c r="H60" s="75">
        <f>(((IF(I60="$ Prima",G60,G60*F60/R60))*$U$9)*2)/'Ubicaciones total (2)'!A366</f>
        <v>3.021978021978022E-2</v>
      </c>
      <c r="I60" s="9" t="s">
        <v>1153</v>
      </c>
      <c r="J60" s="9">
        <f t="shared" si="30"/>
        <v>6.3763736263736266E-4</v>
      </c>
      <c r="K60" s="9">
        <f t="shared" si="31"/>
        <v>4.9371868131868127E-3</v>
      </c>
      <c r="L60" s="9">
        <f t="shared" si="32"/>
        <v>0.04</v>
      </c>
      <c r="M60" s="11">
        <f t="shared" si="38"/>
        <v>0.1201</v>
      </c>
      <c r="N60" s="9">
        <f t="shared" si="33"/>
        <v>3.6293956043956044E-3</v>
      </c>
      <c r="O60" s="12">
        <f t="shared" si="34"/>
        <v>3.6293956043956044E-3</v>
      </c>
      <c r="P60" s="13" t="str">
        <f t="shared" si="2"/>
        <v>SI</v>
      </c>
      <c r="Q60">
        <f t="shared" si="28"/>
        <v>1</v>
      </c>
      <c r="R60">
        <f t="shared" si="35"/>
        <v>1000</v>
      </c>
      <c r="S60">
        <f t="shared" si="36"/>
        <v>1</v>
      </c>
    </row>
    <row r="61" spans="1:22" x14ac:dyDescent="0.3">
      <c r="A61" s="82" t="s">
        <v>1162</v>
      </c>
      <c r="B61" s="33">
        <v>2</v>
      </c>
      <c r="C61" s="28" t="s">
        <v>1195</v>
      </c>
      <c r="D61" s="28" t="str">
        <f>$D$17</f>
        <v>INCLUIDO</v>
      </c>
      <c r="E61" s="28"/>
      <c r="F61" s="28"/>
      <c r="G61" s="28"/>
      <c r="H61" s="28"/>
      <c r="I61" s="28"/>
      <c r="J61" s="28"/>
      <c r="K61" s="28"/>
      <c r="L61" s="28"/>
      <c r="M61" s="68">
        <v>0.05</v>
      </c>
      <c r="N61" s="28"/>
      <c r="O61" s="83"/>
      <c r="P61" s="13" t="str">
        <f t="shared" si="2"/>
        <v>SI</v>
      </c>
      <c r="Q61" s="47">
        <f>IF(D61="INCLUIDO",IF(F62&lt;&gt;0,1,0),0)</f>
        <v>1</v>
      </c>
      <c r="S61">
        <f t="shared" si="36"/>
        <v>1</v>
      </c>
    </row>
    <row r="62" spans="1:22" x14ac:dyDescent="0.3">
      <c r="A62" s="31" t="s">
        <v>1164</v>
      </c>
      <c r="B62" s="32" t="s">
        <v>1196</v>
      </c>
      <c r="C62" s="27" t="s">
        <v>1166</v>
      </c>
      <c r="D62" s="27" t="str">
        <f t="shared" si="29"/>
        <v>INCLUIDO</v>
      </c>
      <c r="E62" s="27" t="s">
        <v>1137</v>
      </c>
      <c r="F62" s="20">
        <f>$F$41*S62</f>
        <v>2914531.0700000003</v>
      </c>
      <c r="G62" s="49">
        <f>'COTIZACIÓN M.N.'!E37</f>
        <v>0.25</v>
      </c>
      <c r="H62" s="75">
        <f>((((IF(I62="$ Prima",G62,G62*F62/R62))*$U$9)/365)*$J$15)</f>
        <v>730.62902165753439</v>
      </c>
      <c r="I62" s="9" t="s">
        <v>1153</v>
      </c>
      <c r="J62" s="9">
        <f t="shared" ref="J62:J63" si="42">H62*$U$7</f>
        <v>15.416272356973977</v>
      </c>
      <c r="K62" s="9">
        <f t="shared" ref="K62:K63" si="43">(H62+J62)*$K$15</f>
        <v>119.36724704232134</v>
      </c>
      <c r="L62" s="9">
        <f t="shared" ref="L62:L63" si="44">ROUND(H62+J62+K62,2)</f>
        <v>865.41</v>
      </c>
      <c r="M62" s="11">
        <v>0.05</v>
      </c>
      <c r="N62" s="9">
        <f t="shared" ref="N62:N63" si="45">H62*M62</f>
        <v>36.531451082876721</v>
      </c>
      <c r="O62" s="12">
        <f t="shared" ref="O62:O63" si="46">N62</f>
        <v>36.531451082876721</v>
      </c>
      <c r="P62" s="13" t="str">
        <f t="shared" si="2"/>
        <v>SI</v>
      </c>
      <c r="Q62">
        <f>IF(D62="INCLUIDO",IF(F62&lt;&gt;0,1,0),0)</f>
        <v>1</v>
      </c>
      <c r="R62">
        <f>IF(I62="%o Al Millar",1000,IF(I62="% Al Porciento",100,IF(I62="$ Prima",G62)))</f>
        <v>1000</v>
      </c>
      <c r="S62">
        <f t="shared" si="36"/>
        <v>1</v>
      </c>
    </row>
    <row r="63" spans="1:22" hidden="1" x14ac:dyDescent="0.3">
      <c r="A63" s="31" t="s">
        <v>1164</v>
      </c>
      <c r="B63" s="32"/>
      <c r="C63" s="81">
        <f>$O$12</f>
        <v>0</v>
      </c>
      <c r="D63" s="27" t="str">
        <f t="shared" si="29"/>
        <v>INCLUIDO</v>
      </c>
      <c r="E63" s="27" t="str">
        <f>E62</f>
        <v>Sublimite</v>
      </c>
      <c r="F63" s="9">
        <f>(F62*$O$12)*S62</f>
        <v>0</v>
      </c>
      <c r="G63" s="10">
        <f>G62*35%</f>
        <v>8.7499999999999994E-2</v>
      </c>
      <c r="H63" s="9">
        <f>((IF(I63="$ Prima",G63,G63*F63/R63))*$U$9)</f>
        <v>0</v>
      </c>
      <c r="I63" s="9" t="s">
        <v>1153</v>
      </c>
      <c r="J63" s="9">
        <f t="shared" si="42"/>
        <v>0</v>
      </c>
      <c r="K63" s="9">
        <f t="shared" si="43"/>
        <v>0</v>
      </c>
      <c r="L63" s="9">
        <f t="shared" si="44"/>
        <v>0</v>
      </c>
      <c r="M63" s="11">
        <f>$M$61</f>
        <v>0.05</v>
      </c>
      <c r="N63" s="9">
        <f t="shared" si="45"/>
        <v>0</v>
      </c>
      <c r="O63" s="12">
        <f t="shared" si="46"/>
        <v>0</v>
      </c>
      <c r="P63" s="13" t="str">
        <f t="shared" si="2"/>
        <v>NO</v>
      </c>
      <c r="Q63">
        <f>IF(D63="INCLUIDO",IF(F63&lt;&gt;0,1,0),0)</f>
        <v>0</v>
      </c>
      <c r="R63">
        <f>IF(I63="%o Al Millar",1000,IF(I63="% Al Porciento",100,IF(I63="$ Prima",G63)))</f>
        <v>1000</v>
      </c>
      <c r="S63">
        <f t="shared" si="36"/>
        <v>1</v>
      </c>
    </row>
    <row r="64" spans="1:22" x14ac:dyDescent="0.3">
      <c r="A64" s="82">
        <v>904</v>
      </c>
      <c r="B64" s="33">
        <v>2</v>
      </c>
      <c r="C64" s="28" t="s">
        <v>1197</v>
      </c>
      <c r="D64" s="28" t="str">
        <f>$D$17</f>
        <v>INCLUIDO</v>
      </c>
      <c r="E64" s="28"/>
      <c r="F64" s="28"/>
      <c r="G64" s="28"/>
      <c r="H64" s="28"/>
      <c r="I64" s="28"/>
      <c r="J64" s="28"/>
      <c r="K64" s="28"/>
      <c r="L64" s="28"/>
      <c r="M64" s="68">
        <v>0.05</v>
      </c>
      <c r="N64" s="28"/>
      <c r="O64" s="83"/>
      <c r="P64" s="13" t="str">
        <f t="shared" si="2"/>
        <v>SI</v>
      </c>
      <c r="Q64" s="47">
        <f>IF(D64="INCLUIDO",IF(F65&lt;&gt;0,1,0),0)</f>
        <v>1</v>
      </c>
      <c r="S64">
        <f t="shared" si="36"/>
        <v>1</v>
      </c>
    </row>
    <row r="65" spans="1:19" x14ac:dyDescent="0.3">
      <c r="A65" s="31" t="s">
        <v>1168</v>
      </c>
      <c r="B65" s="36">
        <v>63</v>
      </c>
      <c r="C65" s="37" t="s">
        <v>1170</v>
      </c>
      <c r="D65" s="27" t="str">
        <f t="shared" si="29"/>
        <v>INCLUIDO</v>
      </c>
      <c r="E65" s="27" t="s">
        <v>1137</v>
      </c>
      <c r="F65" s="20">
        <f>F41</f>
        <v>2914531.0700000003</v>
      </c>
      <c r="G65" s="10">
        <f>'COTIZACIÓN M.N.'!E39</f>
        <v>0.2</v>
      </c>
      <c r="H65" s="75">
        <f>((((IF(I65="$ Prima",G65,G65*F65/R65))*$U$9)*O14)/365)*$J$15</f>
        <v>584.50321732602742</v>
      </c>
      <c r="I65" s="9" t="s">
        <v>1153</v>
      </c>
      <c r="J65" s="9">
        <f t="shared" ref="J65:J66" si="47">H65*$U$7</f>
        <v>12.33301788557918</v>
      </c>
      <c r="K65" s="9">
        <f t="shared" ref="K65:K66" si="48">(H65+J65)*$K$15</f>
        <v>95.493797633857056</v>
      </c>
      <c r="L65" s="9">
        <f t="shared" ref="L65:L66" si="49">ROUND(H65+J65+K65,2)</f>
        <v>692.33</v>
      </c>
      <c r="M65" s="11">
        <f>$M$64</f>
        <v>0.05</v>
      </c>
      <c r="N65" s="9">
        <f t="shared" ref="N65:N66" si="50">H65*M65</f>
        <v>29.225160866301373</v>
      </c>
      <c r="O65" s="12">
        <f t="shared" ref="O65:O66" si="51">N65</f>
        <v>29.225160866301373</v>
      </c>
      <c r="P65" s="13" t="str">
        <f t="shared" si="2"/>
        <v>SI</v>
      </c>
      <c r="Q65">
        <f>IF(D65="INCLUIDO",IF(F65&lt;&gt;0,1,0),0)</f>
        <v>1</v>
      </c>
      <c r="R65">
        <f>IF(I65="%o Al Millar",1000,IF(I65="% Al Porciento",100,IF(I65="$ Prima",G65)))</f>
        <v>1000</v>
      </c>
      <c r="S65">
        <f t="shared" si="36"/>
        <v>1</v>
      </c>
    </row>
    <row r="66" spans="1:19" hidden="1" x14ac:dyDescent="0.3">
      <c r="A66" s="31" t="s">
        <v>1168</v>
      </c>
      <c r="B66" s="32"/>
      <c r="C66" s="81">
        <f>$O$12</f>
        <v>0</v>
      </c>
      <c r="D66" s="27" t="str">
        <f t="shared" si="29"/>
        <v>INCLUIDO</v>
      </c>
      <c r="E66" s="27" t="str">
        <f>E65</f>
        <v>Sublimite</v>
      </c>
      <c r="F66" s="9">
        <f>(F65*$O$12)*S65</f>
        <v>0</v>
      </c>
      <c r="G66" s="10">
        <f>G65*0.35</f>
        <v>6.9999999999999993E-2</v>
      </c>
      <c r="H66" s="9">
        <f>((IF(I66="$ Prima",G66,G66*F66/R66))*$U$9)*O14</f>
        <v>0</v>
      </c>
      <c r="I66" s="9" t="s">
        <v>1153</v>
      </c>
      <c r="J66" s="9">
        <f t="shared" si="47"/>
        <v>0</v>
      </c>
      <c r="K66" s="9">
        <f t="shared" si="48"/>
        <v>0</v>
      </c>
      <c r="L66" s="9">
        <f t="shared" si="49"/>
        <v>0</v>
      </c>
      <c r="M66" s="11">
        <f>$M$64</f>
        <v>0.05</v>
      </c>
      <c r="N66" s="9">
        <f t="shared" si="50"/>
        <v>0</v>
      </c>
      <c r="O66" s="12">
        <f t="shared" si="51"/>
        <v>0</v>
      </c>
      <c r="P66" s="13" t="str">
        <f t="shared" si="2"/>
        <v>NO</v>
      </c>
      <c r="Q66">
        <f>IF(D66="INCLUIDO",IF(F66&lt;&gt;0,1,0),0)</f>
        <v>0</v>
      </c>
      <c r="R66">
        <f>IF(I66="%o Al Millar",1000,IF(I66="% Al Porciento",100,IF(I66="$ Prima",G66)))</f>
        <v>1000</v>
      </c>
      <c r="S66">
        <f t="shared" si="36"/>
        <v>1</v>
      </c>
    </row>
    <row r="67" spans="1:19" x14ac:dyDescent="0.3">
      <c r="A67" s="82">
        <v>902</v>
      </c>
      <c r="B67" s="33">
        <v>2</v>
      </c>
      <c r="C67" s="28" t="s">
        <v>1198</v>
      </c>
      <c r="D67" s="28" t="str">
        <f>$D$17</f>
        <v>INCLUIDO</v>
      </c>
      <c r="E67" s="28"/>
      <c r="F67" s="42">
        <f>F41*M12</f>
        <v>582906.21400000004</v>
      </c>
      <c r="G67" s="28"/>
      <c r="H67" s="28"/>
      <c r="I67" s="28"/>
      <c r="J67" s="28"/>
      <c r="K67" s="28"/>
      <c r="L67" s="28"/>
      <c r="M67" s="68">
        <f>M41</f>
        <v>0.1201</v>
      </c>
      <c r="N67" s="28"/>
      <c r="O67" s="83"/>
      <c r="P67" s="13" t="str">
        <f t="shared" si="2"/>
        <v>SI</v>
      </c>
      <c r="Q67" s="47">
        <f>IF(D67="INCLUIDO",IF(F68&lt;&gt;0,1,0),0)</f>
        <v>1</v>
      </c>
      <c r="S67">
        <f t="shared" si="36"/>
        <v>1</v>
      </c>
    </row>
    <row r="68" spans="1:19" x14ac:dyDescent="0.3">
      <c r="A68" s="31" t="s">
        <v>1150</v>
      </c>
      <c r="B68" s="36">
        <v>27</v>
      </c>
      <c r="C68" s="27" t="s">
        <v>1173</v>
      </c>
      <c r="D68" s="27" t="str">
        <f t="shared" si="29"/>
        <v>INCLUIDO</v>
      </c>
      <c r="E68" s="27" t="s">
        <v>1137</v>
      </c>
      <c r="F68" s="9">
        <f>F67*S68</f>
        <v>582906.21400000004</v>
      </c>
      <c r="G68" s="10">
        <f>'COTIZACIÓN M.N.'!E63*75%</f>
        <v>4.1836147500000004E-2</v>
      </c>
      <c r="H68" s="75">
        <f>(((IF(I68="$ Prima",G68,G68*F68/R68))*$U$9)/365)*$J$15</f>
        <v>24.453362814276243</v>
      </c>
      <c r="I68" s="9" t="s">
        <v>1153</v>
      </c>
      <c r="J68" s="9">
        <f>H68*$U$7</f>
        <v>0.5159659553812288</v>
      </c>
      <c r="K68" s="9">
        <f>(H68+J68)*$K$15</f>
        <v>3.9950926031451957</v>
      </c>
      <c r="L68" s="9">
        <f>ROUND(H68+J68+K68,2)</f>
        <v>28.96</v>
      </c>
      <c r="M68" s="11">
        <f>M67</f>
        <v>0.1201</v>
      </c>
      <c r="N68" s="9">
        <f>H68*M68</f>
        <v>2.9368488739945766</v>
      </c>
      <c r="O68" s="12">
        <f>N68</f>
        <v>2.9368488739945766</v>
      </c>
      <c r="P68" s="13" t="str">
        <f t="shared" si="2"/>
        <v>SI</v>
      </c>
      <c r="Q68">
        <f>IF(D68="INCLUIDO",IF(F68&lt;&gt;0,1,0),0)</f>
        <v>1</v>
      </c>
      <c r="R68">
        <f>IF(I68="%o Al Millar",1000,IF(I68="% Al Porciento",100,IF(I68="$ Prima",G68)))</f>
        <v>1000</v>
      </c>
      <c r="S68">
        <f t="shared" si="36"/>
        <v>1</v>
      </c>
    </row>
    <row r="69" spans="1:19" x14ac:dyDescent="0.3">
      <c r="A69" s="82" t="s">
        <v>1162</v>
      </c>
      <c r="B69" s="33">
        <v>2</v>
      </c>
      <c r="C69" s="28" t="s">
        <v>1195</v>
      </c>
      <c r="D69" s="28" t="str">
        <f>$D$17</f>
        <v>INCLUIDO</v>
      </c>
      <c r="E69" s="28"/>
      <c r="F69" s="28"/>
      <c r="G69" s="28"/>
      <c r="H69" s="28"/>
      <c r="I69" s="28"/>
      <c r="J69" s="28"/>
      <c r="K69" s="28"/>
      <c r="L69" s="28"/>
      <c r="M69" s="68">
        <f>M61</f>
        <v>0.05</v>
      </c>
      <c r="N69" s="28"/>
      <c r="O69" s="83"/>
      <c r="P69" s="13" t="str">
        <f t="shared" si="2"/>
        <v>SI</v>
      </c>
      <c r="Q69" s="47">
        <f>IF(D69="INCLUIDO",IF(F70&lt;&gt;0,1,0),0)</f>
        <v>1</v>
      </c>
      <c r="S69">
        <f t="shared" si="36"/>
        <v>1</v>
      </c>
    </row>
    <row r="70" spans="1:19" ht="20.399999999999999" x14ac:dyDescent="0.3">
      <c r="A70" s="31" t="s">
        <v>1164</v>
      </c>
      <c r="B70" s="36">
        <v>44</v>
      </c>
      <c r="C70" s="27" t="s">
        <v>1175</v>
      </c>
      <c r="D70" s="27" t="str">
        <f t="shared" si="29"/>
        <v>INCLUIDO</v>
      </c>
      <c r="E70" s="27" t="s">
        <v>1137</v>
      </c>
      <c r="F70" s="9">
        <f>F67</f>
        <v>582906.21400000004</v>
      </c>
      <c r="G70" s="10">
        <f>'COTIZACIÓN M.N.'!E63*25%</f>
        <v>1.3945382500000001E-2</v>
      </c>
      <c r="H70" s="75">
        <f>(((IF(I70="$ Prima",G70,G70*F70/R70))*$U$9)/365)*$J$15</f>
        <v>8.151120938092081</v>
      </c>
      <c r="I70" s="9" t="s">
        <v>1153</v>
      </c>
      <c r="J70" s="9">
        <f>H70*$U$7</f>
        <v>0.17198865179374292</v>
      </c>
      <c r="K70" s="9">
        <f>(H70+J70)*$K$15</f>
        <v>1.3316975343817319</v>
      </c>
      <c r="L70" s="9">
        <f>ROUND(H70+J70+K70,2)</f>
        <v>9.65</v>
      </c>
      <c r="M70" s="11">
        <f>M69</f>
        <v>0.05</v>
      </c>
      <c r="N70" s="9">
        <f>H70*M70</f>
        <v>0.40755604690460406</v>
      </c>
      <c r="O70" s="12">
        <f>N70</f>
        <v>0.40755604690460406</v>
      </c>
      <c r="P70" s="13" t="str">
        <f t="shared" si="2"/>
        <v>SI</v>
      </c>
      <c r="Q70">
        <f>IF(D70="INCLUIDO",IF(F70&lt;&gt;0,1,0),0)</f>
        <v>1</v>
      </c>
      <c r="R70">
        <f>IF(I70="%o Al Millar",1000,IF(I70="% Al Porciento",100,IF(I70="$ Prima",G70)))</f>
        <v>1000</v>
      </c>
      <c r="S70">
        <f t="shared" si="36"/>
        <v>1</v>
      </c>
    </row>
    <row r="71" spans="1:19" x14ac:dyDescent="0.3">
      <c r="A71" s="82">
        <v>904</v>
      </c>
      <c r="B71" s="33">
        <v>2</v>
      </c>
      <c r="C71" s="28" t="s">
        <v>1197</v>
      </c>
      <c r="D71" s="28" t="str">
        <f>$D$17</f>
        <v>INCLUIDO</v>
      </c>
      <c r="E71" s="28"/>
      <c r="F71" s="28"/>
      <c r="G71" s="28"/>
      <c r="H71" s="28"/>
      <c r="I71" s="28"/>
      <c r="J71" s="28"/>
      <c r="K71" s="28"/>
      <c r="L71" s="28"/>
      <c r="M71" s="68">
        <f>M64</f>
        <v>0.05</v>
      </c>
      <c r="N71" s="28"/>
      <c r="O71" s="83"/>
      <c r="P71" s="13" t="str">
        <f t="shared" si="2"/>
        <v>SI</v>
      </c>
      <c r="Q71" s="47">
        <f>IF(D71="INCLUIDO",IF(F72&lt;&gt;0,1,0),0)</f>
        <v>1</v>
      </c>
      <c r="S71">
        <f t="shared" si="36"/>
        <v>1</v>
      </c>
    </row>
    <row r="72" spans="1:19" ht="20.399999999999999" x14ac:dyDescent="0.3">
      <c r="A72" s="31" t="s">
        <v>1168</v>
      </c>
      <c r="B72" s="36">
        <v>62</v>
      </c>
      <c r="C72" s="27" t="s">
        <v>1199</v>
      </c>
      <c r="D72" s="27" t="str">
        <f t="shared" si="29"/>
        <v>INCLUIDO</v>
      </c>
      <c r="E72" s="27" t="s">
        <v>1137</v>
      </c>
      <c r="F72" s="9">
        <f>F68*S72*O14</f>
        <v>582906.21400000004</v>
      </c>
      <c r="G72" s="10">
        <f>'COTIZACIÓN M.N.'!E64</f>
        <v>2.0000000000000004E-2</v>
      </c>
      <c r="H72" s="75">
        <f>(((IF(I72="$ Prima",G72,G72*F72/R72))*$U$9)/365)*$J$15</f>
        <v>11.690064346520552</v>
      </c>
      <c r="I72" s="9" t="s">
        <v>1153</v>
      </c>
      <c r="J72" s="9">
        <f>H72*$U$7</f>
        <v>0.24666035771158365</v>
      </c>
      <c r="K72" s="9">
        <f>(H72+J72)*$K$15</f>
        <v>1.9098759526771418</v>
      </c>
      <c r="L72" s="9">
        <f>ROUND(H72+J72+K72,2)</f>
        <v>13.85</v>
      </c>
      <c r="M72" s="11">
        <f>M71</f>
        <v>0.05</v>
      </c>
      <c r="N72" s="9">
        <f>H72*M72</f>
        <v>0.58450321732602761</v>
      </c>
      <c r="O72" s="12">
        <f>N72</f>
        <v>0.58450321732602761</v>
      </c>
      <c r="P72" s="13" t="str">
        <f t="shared" si="2"/>
        <v>SI</v>
      </c>
      <c r="Q72">
        <f>IF(D72="INCLUIDO",IF(F72&lt;&gt;0,1,0),0)</f>
        <v>1</v>
      </c>
      <c r="R72">
        <f>IF(I72="%o Al Millar",1000,IF(I72="% Al Porciento",100,IF(I72="$ Prima",G72)))</f>
        <v>1000</v>
      </c>
      <c r="S72">
        <f t="shared" si="36"/>
        <v>1</v>
      </c>
    </row>
    <row r="73" spans="1:19" ht="15" customHeight="1" x14ac:dyDescent="0.3">
      <c r="A73" s="82" t="s">
        <v>1162</v>
      </c>
      <c r="B73" s="33">
        <v>2</v>
      </c>
      <c r="C73" s="28" t="s">
        <v>1195</v>
      </c>
      <c r="D73" s="28" t="str">
        <f>$D$17</f>
        <v>INCLUIDO</v>
      </c>
      <c r="E73" s="28"/>
      <c r="F73" s="28"/>
      <c r="G73" s="28"/>
      <c r="H73" s="28"/>
      <c r="I73" s="28"/>
      <c r="J73" s="28"/>
      <c r="K73" s="28"/>
      <c r="L73" s="28"/>
      <c r="M73" s="68">
        <f>M61</f>
        <v>0.05</v>
      </c>
      <c r="N73" s="28"/>
      <c r="O73" s="83"/>
      <c r="P73" s="13" t="str">
        <f t="shared" si="2"/>
        <v>SI</v>
      </c>
      <c r="Q73" s="47">
        <f>IF(D73="INCLUIDO",IF(F74&lt;&gt;0,1,0),0)</f>
        <v>1</v>
      </c>
      <c r="S73">
        <f t="shared" si="36"/>
        <v>1</v>
      </c>
    </row>
    <row r="74" spans="1:19" ht="22.5" customHeight="1" x14ac:dyDescent="0.3">
      <c r="A74" s="34" t="s">
        <v>1164</v>
      </c>
      <c r="B74" s="36" t="s">
        <v>1200</v>
      </c>
      <c r="C74" s="29" t="s">
        <v>1201</v>
      </c>
      <c r="D74" s="27" t="str">
        <f t="shared" si="29"/>
        <v>INCLUIDO</v>
      </c>
      <c r="E74" s="27" t="s">
        <v>1137</v>
      </c>
      <c r="F74" s="43">
        <f>F55</f>
        <v>3000000</v>
      </c>
      <c r="G74" s="21">
        <v>0</v>
      </c>
      <c r="H74" s="9">
        <f>H55</f>
        <v>0.68869486677705871</v>
      </c>
      <c r="I74" s="9" t="s">
        <v>1153</v>
      </c>
      <c r="J74" s="9">
        <f>H74*$U$7</f>
        <v>1.4531461688995939E-2</v>
      </c>
      <c r="K74" s="9">
        <f>(H74+J74)*$K$15</f>
        <v>0.11251621255456876</v>
      </c>
      <c r="L74" s="9">
        <f>ROUND(H74+J74+K74,2)</f>
        <v>0.82</v>
      </c>
      <c r="M74" s="11">
        <f>M73</f>
        <v>0.05</v>
      </c>
      <c r="N74" s="9">
        <f>H74*M74</f>
        <v>3.4434743338852936E-2</v>
      </c>
      <c r="O74" s="12">
        <f>N74</f>
        <v>3.4434743338852936E-2</v>
      </c>
      <c r="P74" s="13" t="str">
        <f t="shared" si="2"/>
        <v>SI</v>
      </c>
      <c r="Q74">
        <f>IF(D74="INCLUIDO",IF(F74&lt;&gt;0,1,0),0)</f>
        <v>1</v>
      </c>
      <c r="R74">
        <f>IF(I74="%o Al Millar",1000,IF(I74="% Al Porciento",100,IF(I74="$ Prima",G74)))</f>
        <v>1000</v>
      </c>
      <c r="S74">
        <f t="shared" si="36"/>
        <v>1</v>
      </c>
    </row>
    <row r="75" spans="1:19" ht="15" customHeight="1" x14ac:dyDescent="0.3">
      <c r="A75" s="82">
        <v>904</v>
      </c>
      <c r="B75" s="33">
        <v>2</v>
      </c>
      <c r="C75" s="28" t="s">
        <v>1197</v>
      </c>
      <c r="D75" s="28" t="str">
        <f>$D$17</f>
        <v>INCLUIDO</v>
      </c>
      <c r="E75" s="28"/>
      <c r="F75" s="28"/>
      <c r="G75" s="28"/>
      <c r="H75" s="28"/>
      <c r="I75" s="28"/>
      <c r="J75" s="28"/>
      <c r="K75" s="28"/>
      <c r="L75" s="28"/>
      <c r="M75" s="68">
        <f>M64</f>
        <v>0.05</v>
      </c>
      <c r="N75" s="28"/>
      <c r="O75" s="83"/>
      <c r="P75" s="13" t="str">
        <f t="shared" si="2"/>
        <v>SI</v>
      </c>
      <c r="Q75" s="47">
        <f>IF(D75="INCLUIDO",IF(F76&lt;&gt;0,1,0),0)</f>
        <v>1</v>
      </c>
      <c r="S75">
        <f t="shared" si="36"/>
        <v>1</v>
      </c>
    </row>
    <row r="76" spans="1:19" ht="22.5" customHeight="1" x14ac:dyDescent="0.3">
      <c r="A76" s="34" t="s">
        <v>1168</v>
      </c>
      <c r="B76" s="36">
        <v>58</v>
      </c>
      <c r="C76" s="29" t="s">
        <v>1202</v>
      </c>
      <c r="D76" s="27" t="str">
        <f t="shared" si="29"/>
        <v>INCLUIDO</v>
      </c>
      <c r="E76" s="27" t="s">
        <v>1137</v>
      </c>
      <c r="F76" s="43">
        <f>F74</f>
        <v>3000000</v>
      </c>
      <c r="G76" s="10">
        <v>0</v>
      </c>
      <c r="H76" s="9">
        <f>H74</f>
        <v>0.68869486677705871</v>
      </c>
      <c r="I76" s="9" t="s">
        <v>1153</v>
      </c>
      <c r="J76" s="9">
        <f>H76*$U$7</f>
        <v>1.4531461688995939E-2</v>
      </c>
      <c r="K76" s="9">
        <f>(H76+J76)*$K$15</f>
        <v>0.11251621255456876</v>
      </c>
      <c r="L76" s="9">
        <f>ROUND(H76+J76+K76,2)</f>
        <v>0.82</v>
      </c>
      <c r="M76" s="11">
        <f>M75</f>
        <v>0.05</v>
      </c>
      <c r="N76" s="9">
        <f>H76*M76</f>
        <v>3.4434743338852936E-2</v>
      </c>
      <c r="O76" s="12">
        <f>N76</f>
        <v>3.4434743338852936E-2</v>
      </c>
      <c r="P76" s="13" t="str">
        <f t="shared" si="2"/>
        <v>SI</v>
      </c>
      <c r="Q76">
        <f>IF(D76="INCLUIDO",IF(F76&lt;&gt;0,1,0),0)</f>
        <v>1</v>
      </c>
      <c r="R76">
        <f>IF(I76="%o Al Millar",1000,IF(I76="% Al Porciento",100,IF(I76="$ Prima",G76)))</f>
        <v>1000</v>
      </c>
      <c r="S76">
        <f t="shared" si="36"/>
        <v>1</v>
      </c>
    </row>
    <row r="77" spans="1:19" s="18" customFormat="1" x14ac:dyDescent="0.3">
      <c r="A77" s="24"/>
      <c r="B77" s="26"/>
      <c r="C77" s="15" t="s">
        <v>1177</v>
      </c>
      <c r="D77" s="38" t="str">
        <f>D76</f>
        <v>INCLUIDO</v>
      </c>
      <c r="E77" s="38"/>
      <c r="F77" s="16">
        <f>SUMIF(E42:E76,"Adicional",F42:F76)</f>
        <v>0</v>
      </c>
      <c r="G77" s="17"/>
      <c r="H77" s="16">
        <f>SUM(H42:H76)</f>
        <v>2261.2311205881165</v>
      </c>
      <c r="I77" s="16"/>
      <c r="J77" s="16">
        <f>SUM(J42:J76)</f>
        <v>47.711976644409248</v>
      </c>
      <c r="K77" s="16">
        <f>SUM(K42:K76)</f>
        <v>369.43089555720411</v>
      </c>
      <c r="L77" s="16">
        <f>SUM(L42:L76)</f>
        <v>2678.38</v>
      </c>
      <c r="M77" s="16" t="s">
        <v>1178</v>
      </c>
      <c r="N77" s="16">
        <f>SUM(N42:N76)</f>
        <v>177.89566552111157</v>
      </c>
      <c r="O77" s="84">
        <f>SUM(O42:O76)</f>
        <v>177.89566552111157</v>
      </c>
      <c r="P77" s="13" t="str">
        <f t="shared" si="2"/>
        <v>SI</v>
      </c>
      <c r="Q77">
        <f>IF(D77="INCLUIDO",IF(H77&lt;&gt;0,1,0),0)</f>
        <v>1</v>
      </c>
    </row>
    <row r="78" spans="1:19" ht="20.25" hidden="1" customHeight="1" x14ac:dyDescent="0.3">
      <c r="A78" s="82" t="s">
        <v>1147</v>
      </c>
      <c r="B78" s="30" t="s">
        <v>1203</v>
      </c>
      <c r="C78" s="19" t="s">
        <v>1204</v>
      </c>
      <c r="D78" s="28" t="str">
        <f>$D$17</f>
        <v>INCLUIDO</v>
      </c>
      <c r="E78" s="28"/>
      <c r="F78" s="28"/>
      <c r="G78" s="28"/>
      <c r="H78" s="28"/>
      <c r="I78" s="28"/>
      <c r="J78" s="28"/>
      <c r="K78" s="28"/>
      <c r="L78" s="28"/>
      <c r="M78" s="68">
        <f>M41</f>
        <v>0.1201</v>
      </c>
      <c r="N78" s="28"/>
      <c r="O78" s="83"/>
      <c r="P78" s="13" t="str">
        <f t="shared" si="2"/>
        <v>NO</v>
      </c>
      <c r="Q78" s="47">
        <f>IF(D78="INCLUIDO",IF(F79&lt;&gt;0,1,0),0)</f>
        <v>0</v>
      </c>
    </row>
    <row r="79" spans="1:19" ht="15" hidden="1" customHeight="1" x14ac:dyDescent="0.3">
      <c r="A79" s="34" t="s">
        <v>1150</v>
      </c>
      <c r="B79" s="36" t="s">
        <v>1205</v>
      </c>
      <c r="C79" s="29" t="s">
        <v>1206</v>
      </c>
      <c r="D79" s="27" t="str">
        <f t="shared" ref="D79:D98" si="52">$D$17</f>
        <v>INCLUIDO</v>
      </c>
      <c r="E79" s="27" t="s">
        <v>1186</v>
      </c>
      <c r="F79" s="42">
        <v>0</v>
      </c>
      <c r="G79" s="10">
        <v>0</v>
      </c>
      <c r="H79" s="9">
        <f t="shared" ref="H79:H89" si="53">(IF(I79="$ Prima",G79,G79*F79/R79))*$U$9</f>
        <v>0</v>
      </c>
      <c r="I79" s="9" t="s">
        <v>1153</v>
      </c>
      <c r="J79" s="9">
        <f t="shared" ref="J79:J89" si="54">H79*$U$7</f>
        <v>0</v>
      </c>
      <c r="K79" s="9">
        <f t="shared" ref="K79:K89" si="55">(H79+J79)*$K$15</f>
        <v>0</v>
      </c>
      <c r="L79" s="9">
        <f t="shared" ref="L79:L89" si="56">ROUND(H79+J79+K79,2)</f>
        <v>0</v>
      </c>
      <c r="M79" s="11">
        <f>$M$78</f>
        <v>0.1201</v>
      </c>
      <c r="N79" s="9">
        <f t="shared" ref="N79:N89" si="57">H79*M79</f>
        <v>0</v>
      </c>
      <c r="O79" s="12">
        <f t="shared" ref="O79:O89" si="58">N79</f>
        <v>0</v>
      </c>
      <c r="P79" s="13" t="str">
        <f t="shared" si="2"/>
        <v>NO</v>
      </c>
      <c r="Q79">
        <f t="shared" ref="Q79:Q89" si="59">IF(D79="INCLUIDO",IF(F79&lt;&gt;0,1,0),0)</f>
        <v>0</v>
      </c>
      <c r="R79">
        <f t="shared" ref="R79:R89" si="60">IF(I79="%o Al Millar",1000,IF(I79="% Al Porciento",100,IF(I79="$ Prima",G79)))</f>
        <v>1000</v>
      </c>
      <c r="S79">
        <f t="shared" ref="S79:S89" si="61">IF(E79="Excluido",0,IF(D79="NO APLICA",0,1))</f>
        <v>0</v>
      </c>
    </row>
    <row r="80" spans="1:19" ht="15" customHeight="1" x14ac:dyDescent="0.3">
      <c r="A80" s="34" t="s">
        <v>1150</v>
      </c>
      <c r="B80" s="36" t="s">
        <v>1207</v>
      </c>
      <c r="C80" s="29" t="s">
        <v>1208</v>
      </c>
      <c r="D80" s="27" t="str">
        <f t="shared" si="52"/>
        <v>INCLUIDO</v>
      </c>
      <c r="E80" s="27" t="s">
        <v>1137</v>
      </c>
      <c r="F80" s="42">
        <f>VLOOKUP(C15,UBCINEMEX,11,0)</f>
        <v>1251126.4095708469</v>
      </c>
      <c r="G80" s="10">
        <f>'COTIZACIÓN M.N.'!E42</f>
        <v>0.24625224000000001</v>
      </c>
      <c r="H80" s="9">
        <f>(((IF(I80="$ Prima",G80,G80*F80/R80))*$U$9)/365)*$J$15</f>
        <v>308.93677041663597</v>
      </c>
      <c r="I80" s="9" t="s">
        <v>1153</v>
      </c>
      <c r="J80" s="9">
        <f t="shared" si="54"/>
        <v>6.5185658557910191</v>
      </c>
      <c r="K80" s="9">
        <f t="shared" si="55"/>
        <v>50.472853803588315</v>
      </c>
      <c r="L80" s="9">
        <f t="shared" si="56"/>
        <v>365.93</v>
      </c>
      <c r="M80" s="11">
        <f t="shared" ref="M80:M89" si="62">$M$78</f>
        <v>0.1201</v>
      </c>
      <c r="N80" s="9">
        <f t="shared" si="57"/>
        <v>37.103306127037982</v>
      </c>
      <c r="O80" s="12">
        <f t="shared" si="58"/>
        <v>37.103306127037982</v>
      </c>
      <c r="P80" s="13" t="str">
        <f t="shared" si="2"/>
        <v>SI</v>
      </c>
      <c r="Q80">
        <f t="shared" si="59"/>
        <v>1</v>
      </c>
      <c r="R80">
        <f t="shared" si="60"/>
        <v>1000</v>
      </c>
      <c r="S80">
        <f t="shared" si="61"/>
        <v>1</v>
      </c>
    </row>
    <row r="81" spans="1:19" ht="15" hidden="1" customHeight="1" x14ac:dyDescent="0.3">
      <c r="A81" s="34" t="s">
        <v>1150</v>
      </c>
      <c r="B81" s="36" t="s">
        <v>1209</v>
      </c>
      <c r="C81" s="29" t="s">
        <v>1210</v>
      </c>
      <c r="D81" s="27" t="str">
        <f t="shared" si="52"/>
        <v>INCLUIDO</v>
      </c>
      <c r="E81" s="27" t="s">
        <v>1152</v>
      </c>
      <c r="F81" s="42">
        <v>0</v>
      </c>
      <c r="G81" s="10">
        <v>0</v>
      </c>
      <c r="H81" s="9">
        <f t="shared" si="53"/>
        <v>0</v>
      </c>
      <c r="I81" s="9" t="s">
        <v>1153</v>
      </c>
      <c r="J81" s="9">
        <f t="shared" si="54"/>
        <v>0</v>
      </c>
      <c r="K81" s="9">
        <f t="shared" si="55"/>
        <v>0</v>
      </c>
      <c r="L81" s="9">
        <f t="shared" si="56"/>
        <v>0</v>
      </c>
      <c r="M81" s="11">
        <f t="shared" si="62"/>
        <v>0.1201</v>
      </c>
      <c r="N81" s="9">
        <f t="shared" si="57"/>
        <v>0</v>
      </c>
      <c r="O81" s="12">
        <f t="shared" si="58"/>
        <v>0</v>
      </c>
      <c r="P81" s="13" t="str">
        <f t="shared" si="2"/>
        <v>NO</v>
      </c>
      <c r="Q81">
        <f t="shared" si="59"/>
        <v>0</v>
      </c>
      <c r="R81">
        <f t="shared" si="60"/>
        <v>1000</v>
      </c>
      <c r="S81">
        <f t="shared" si="61"/>
        <v>1</v>
      </c>
    </row>
    <row r="82" spans="1:19" ht="22.5" hidden="1" customHeight="1" x14ac:dyDescent="0.3">
      <c r="A82" s="34" t="s">
        <v>1150</v>
      </c>
      <c r="B82" s="36">
        <v>276</v>
      </c>
      <c r="C82" s="29" t="s">
        <v>1211</v>
      </c>
      <c r="D82" s="27" t="str">
        <f t="shared" si="52"/>
        <v>INCLUIDO</v>
      </c>
      <c r="E82" s="27" t="s">
        <v>1186</v>
      </c>
      <c r="F82" s="42">
        <v>0</v>
      </c>
      <c r="G82" s="10">
        <v>0</v>
      </c>
      <c r="H82" s="9">
        <f t="shared" si="53"/>
        <v>0</v>
      </c>
      <c r="I82" s="9" t="s">
        <v>1153</v>
      </c>
      <c r="J82" s="9">
        <f t="shared" si="54"/>
        <v>0</v>
      </c>
      <c r="K82" s="9">
        <f t="shared" si="55"/>
        <v>0</v>
      </c>
      <c r="L82" s="9">
        <f t="shared" si="56"/>
        <v>0</v>
      </c>
      <c r="M82" s="11">
        <f t="shared" si="62"/>
        <v>0.1201</v>
      </c>
      <c r="N82" s="9">
        <f t="shared" si="57"/>
        <v>0</v>
      </c>
      <c r="O82" s="12">
        <f t="shared" si="58"/>
        <v>0</v>
      </c>
      <c r="P82" s="13" t="str">
        <f t="shared" si="2"/>
        <v>NO</v>
      </c>
      <c r="Q82">
        <f t="shared" si="59"/>
        <v>0</v>
      </c>
      <c r="R82">
        <f t="shared" si="60"/>
        <v>1000</v>
      </c>
      <c r="S82">
        <f t="shared" si="61"/>
        <v>0</v>
      </c>
    </row>
    <row r="83" spans="1:19" ht="15" customHeight="1" x14ac:dyDescent="0.3">
      <c r="A83" s="34" t="s">
        <v>1150</v>
      </c>
      <c r="B83" s="36" t="s">
        <v>1212</v>
      </c>
      <c r="C83" s="29" t="s">
        <v>1213</v>
      </c>
      <c r="D83" s="27" t="str">
        <f t="shared" si="52"/>
        <v>INCLUIDO</v>
      </c>
      <c r="E83" s="27" t="s">
        <v>1137</v>
      </c>
      <c r="F83" s="43">
        <f>'COTIZACIÓN M.N.'!D58</f>
        <v>86937199.982531995</v>
      </c>
      <c r="G83" s="10">
        <f>'COTIZACIÓN M.N.'!E58</f>
        <v>0.11240080626426369</v>
      </c>
      <c r="H83" s="9">
        <f>(((IF(I83="$ Prima",G83,G83*F83/R83))*$U$9)/365)*$J$15/'Ubicaciones total (2)'!A366</f>
        <v>26.91918532512608</v>
      </c>
      <c r="I83" s="9" t="s">
        <v>1153</v>
      </c>
      <c r="J83" s="9">
        <f t="shared" si="54"/>
        <v>0.56799481036016031</v>
      </c>
      <c r="K83" s="9">
        <f t="shared" si="55"/>
        <v>4.3979488216777991</v>
      </c>
      <c r="L83" s="9">
        <f t="shared" si="56"/>
        <v>31.89</v>
      </c>
      <c r="M83" s="11">
        <f t="shared" si="62"/>
        <v>0.1201</v>
      </c>
      <c r="N83" s="9">
        <f t="shared" si="57"/>
        <v>3.2329941575476422</v>
      </c>
      <c r="O83" s="12">
        <f t="shared" si="58"/>
        <v>3.2329941575476422</v>
      </c>
      <c r="P83" s="13" t="str">
        <f t="shared" si="2"/>
        <v>SI</v>
      </c>
      <c r="Q83">
        <f t="shared" si="59"/>
        <v>1</v>
      </c>
      <c r="R83">
        <f t="shared" si="60"/>
        <v>1000</v>
      </c>
      <c r="S83">
        <f t="shared" si="61"/>
        <v>1</v>
      </c>
    </row>
    <row r="84" spans="1:19" ht="22.5" hidden="1" customHeight="1" x14ac:dyDescent="0.3">
      <c r="A84" s="34" t="s">
        <v>1150</v>
      </c>
      <c r="B84" s="36" t="s">
        <v>1214</v>
      </c>
      <c r="C84" s="29" t="s">
        <v>1215</v>
      </c>
      <c r="D84" s="27" t="str">
        <f t="shared" si="52"/>
        <v>INCLUIDO</v>
      </c>
      <c r="E84" s="27" t="s">
        <v>1186</v>
      </c>
      <c r="F84" s="43">
        <v>0</v>
      </c>
      <c r="G84" s="10">
        <v>0</v>
      </c>
      <c r="H84" s="9">
        <f t="shared" si="53"/>
        <v>0</v>
      </c>
      <c r="I84" s="9" t="s">
        <v>1153</v>
      </c>
      <c r="J84" s="9">
        <f t="shared" si="54"/>
        <v>0</v>
      </c>
      <c r="K84" s="9">
        <f t="shared" si="55"/>
        <v>0</v>
      </c>
      <c r="L84" s="9">
        <f t="shared" si="56"/>
        <v>0</v>
      </c>
      <c r="M84" s="11">
        <f t="shared" si="62"/>
        <v>0.1201</v>
      </c>
      <c r="N84" s="9">
        <f t="shared" si="57"/>
        <v>0</v>
      </c>
      <c r="O84" s="12">
        <f t="shared" si="58"/>
        <v>0</v>
      </c>
      <c r="P84" s="13" t="str">
        <f t="shared" si="2"/>
        <v>NO</v>
      </c>
      <c r="Q84">
        <f t="shared" si="59"/>
        <v>0</v>
      </c>
      <c r="R84">
        <f t="shared" si="60"/>
        <v>1000</v>
      </c>
      <c r="S84">
        <f t="shared" si="61"/>
        <v>0</v>
      </c>
    </row>
    <row r="85" spans="1:19" ht="15" hidden="1" customHeight="1" x14ac:dyDescent="0.3">
      <c r="A85" s="34" t="s">
        <v>1150</v>
      </c>
      <c r="B85" s="36" t="s">
        <v>1216</v>
      </c>
      <c r="C85" s="29" t="s">
        <v>1217</v>
      </c>
      <c r="D85" s="27" t="str">
        <f t="shared" si="52"/>
        <v>INCLUIDO</v>
      </c>
      <c r="E85" s="27" t="s">
        <v>1186</v>
      </c>
      <c r="F85" s="43">
        <v>0</v>
      </c>
      <c r="G85" s="21">
        <v>0</v>
      </c>
      <c r="H85" s="9">
        <f t="shared" si="53"/>
        <v>0</v>
      </c>
      <c r="I85" s="9" t="s">
        <v>1153</v>
      </c>
      <c r="J85" s="9">
        <f t="shared" si="54"/>
        <v>0</v>
      </c>
      <c r="K85" s="9">
        <f t="shared" si="55"/>
        <v>0</v>
      </c>
      <c r="L85" s="9">
        <f t="shared" si="56"/>
        <v>0</v>
      </c>
      <c r="M85" s="11">
        <f t="shared" si="62"/>
        <v>0.1201</v>
      </c>
      <c r="N85" s="9">
        <f t="shared" si="57"/>
        <v>0</v>
      </c>
      <c r="O85" s="12">
        <f t="shared" si="58"/>
        <v>0</v>
      </c>
      <c r="P85" s="13" t="str">
        <f t="shared" si="2"/>
        <v>NO</v>
      </c>
      <c r="Q85">
        <f t="shared" si="59"/>
        <v>0</v>
      </c>
      <c r="R85">
        <f t="shared" si="60"/>
        <v>1000</v>
      </c>
      <c r="S85">
        <f t="shared" si="61"/>
        <v>0</v>
      </c>
    </row>
    <row r="86" spans="1:19" ht="15" hidden="1" customHeight="1" x14ac:dyDescent="0.3">
      <c r="A86" s="34" t="s">
        <v>1150</v>
      </c>
      <c r="B86" s="36" t="s">
        <v>1218</v>
      </c>
      <c r="C86" s="29" t="s">
        <v>1219</v>
      </c>
      <c r="D86" s="27" t="str">
        <f t="shared" si="52"/>
        <v>INCLUIDO</v>
      </c>
      <c r="E86" s="27" t="s">
        <v>1186</v>
      </c>
      <c r="F86" s="43">
        <v>0</v>
      </c>
      <c r="G86" s="21">
        <v>0</v>
      </c>
      <c r="H86" s="9">
        <f t="shared" si="53"/>
        <v>0</v>
      </c>
      <c r="I86" s="9" t="s">
        <v>1153</v>
      </c>
      <c r="J86" s="9">
        <f t="shared" si="54"/>
        <v>0</v>
      </c>
      <c r="K86" s="9">
        <f t="shared" si="55"/>
        <v>0</v>
      </c>
      <c r="L86" s="9">
        <f t="shared" si="56"/>
        <v>0</v>
      </c>
      <c r="M86" s="11">
        <f t="shared" si="62"/>
        <v>0.1201</v>
      </c>
      <c r="N86" s="9">
        <f t="shared" si="57"/>
        <v>0</v>
      </c>
      <c r="O86" s="12">
        <f t="shared" si="58"/>
        <v>0</v>
      </c>
      <c r="P86" s="13" t="str">
        <f t="shared" si="2"/>
        <v>NO</v>
      </c>
      <c r="Q86">
        <f t="shared" si="59"/>
        <v>0</v>
      </c>
      <c r="R86">
        <f t="shared" si="60"/>
        <v>1000</v>
      </c>
      <c r="S86">
        <f t="shared" si="61"/>
        <v>0</v>
      </c>
    </row>
    <row r="87" spans="1:19" ht="15" hidden="1" customHeight="1" x14ac:dyDescent="0.3">
      <c r="A87" s="34" t="s">
        <v>1150</v>
      </c>
      <c r="B87" s="36">
        <v>277</v>
      </c>
      <c r="C87" s="29" t="s">
        <v>1220</v>
      </c>
      <c r="D87" s="27" t="str">
        <f t="shared" si="52"/>
        <v>INCLUIDO</v>
      </c>
      <c r="E87" s="27" t="s">
        <v>1186</v>
      </c>
      <c r="F87" s="43">
        <v>0</v>
      </c>
      <c r="G87" s="21">
        <v>0</v>
      </c>
      <c r="H87" s="9">
        <f t="shared" si="53"/>
        <v>0</v>
      </c>
      <c r="I87" s="9" t="s">
        <v>1153</v>
      </c>
      <c r="J87" s="9">
        <f t="shared" si="54"/>
        <v>0</v>
      </c>
      <c r="K87" s="9">
        <f t="shared" si="55"/>
        <v>0</v>
      </c>
      <c r="L87" s="9">
        <f t="shared" si="56"/>
        <v>0</v>
      </c>
      <c r="M87" s="11">
        <f t="shared" si="62"/>
        <v>0.1201</v>
      </c>
      <c r="N87" s="9">
        <f t="shared" si="57"/>
        <v>0</v>
      </c>
      <c r="O87" s="12">
        <f t="shared" si="58"/>
        <v>0</v>
      </c>
      <c r="P87" s="13" t="str">
        <f t="shared" si="2"/>
        <v>NO</v>
      </c>
      <c r="Q87">
        <f t="shared" si="59"/>
        <v>0</v>
      </c>
      <c r="R87">
        <f t="shared" si="60"/>
        <v>1000</v>
      </c>
      <c r="S87">
        <f t="shared" si="61"/>
        <v>0</v>
      </c>
    </row>
    <row r="88" spans="1:19" ht="15" hidden="1" customHeight="1" x14ac:dyDescent="0.3">
      <c r="A88" s="34" t="s">
        <v>1150</v>
      </c>
      <c r="B88" s="36">
        <v>278</v>
      </c>
      <c r="C88" s="29" t="s">
        <v>1221</v>
      </c>
      <c r="D88" s="27" t="str">
        <f t="shared" si="52"/>
        <v>INCLUIDO</v>
      </c>
      <c r="E88" s="27" t="s">
        <v>1186</v>
      </c>
      <c r="F88" s="43">
        <v>0</v>
      </c>
      <c r="G88" s="21">
        <v>0</v>
      </c>
      <c r="H88" s="9">
        <f t="shared" si="53"/>
        <v>0</v>
      </c>
      <c r="I88" s="9" t="s">
        <v>1153</v>
      </c>
      <c r="J88" s="9">
        <f t="shared" si="54"/>
        <v>0</v>
      </c>
      <c r="K88" s="9">
        <f t="shared" si="55"/>
        <v>0</v>
      </c>
      <c r="L88" s="9">
        <f t="shared" si="56"/>
        <v>0</v>
      </c>
      <c r="M88" s="11">
        <f t="shared" si="62"/>
        <v>0.1201</v>
      </c>
      <c r="N88" s="9">
        <f t="shared" si="57"/>
        <v>0</v>
      </c>
      <c r="O88" s="12">
        <f t="shared" si="58"/>
        <v>0</v>
      </c>
      <c r="P88" s="13" t="str">
        <f t="shared" si="2"/>
        <v>NO</v>
      </c>
      <c r="Q88">
        <f t="shared" si="59"/>
        <v>0</v>
      </c>
      <c r="R88">
        <f t="shared" si="60"/>
        <v>1000</v>
      </c>
      <c r="S88">
        <f t="shared" si="61"/>
        <v>0</v>
      </c>
    </row>
    <row r="89" spans="1:19" ht="15" hidden="1" customHeight="1" x14ac:dyDescent="0.3">
      <c r="A89" s="34" t="s">
        <v>1150</v>
      </c>
      <c r="B89" s="36">
        <v>279</v>
      </c>
      <c r="C89" s="29" t="s">
        <v>1222</v>
      </c>
      <c r="D89" s="27" t="str">
        <f t="shared" si="52"/>
        <v>INCLUIDO</v>
      </c>
      <c r="E89" s="27" t="s">
        <v>1186</v>
      </c>
      <c r="F89" s="43">
        <v>0</v>
      </c>
      <c r="G89" s="21">
        <v>0</v>
      </c>
      <c r="H89" s="9">
        <f t="shared" si="53"/>
        <v>0</v>
      </c>
      <c r="I89" s="9" t="s">
        <v>1153</v>
      </c>
      <c r="J89" s="9">
        <f t="shared" si="54"/>
        <v>0</v>
      </c>
      <c r="K89" s="9">
        <f t="shared" si="55"/>
        <v>0</v>
      </c>
      <c r="L89" s="9">
        <f t="shared" si="56"/>
        <v>0</v>
      </c>
      <c r="M89" s="11">
        <f t="shared" si="62"/>
        <v>0.1201</v>
      </c>
      <c r="N89" s="9">
        <f t="shared" si="57"/>
        <v>0</v>
      </c>
      <c r="O89" s="12">
        <f t="shared" si="58"/>
        <v>0</v>
      </c>
      <c r="P89" s="13" t="str">
        <f t="shared" si="2"/>
        <v>NO</v>
      </c>
      <c r="Q89">
        <f t="shared" si="59"/>
        <v>0</v>
      </c>
      <c r="R89">
        <f t="shared" si="60"/>
        <v>1000</v>
      </c>
      <c r="S89">
        <f t="shared" si="61"/>
        <v>0</v>
      </c>
    </row>
    <row r="90" spans="1:19" ht="15" customHeight="1" x14ac:dyDescent="0.3">
      <c r="A90" s="82" t="s">
        <v>1162</v>
      </c>
      <c r="B90" s="33">
        <v>3</v>
      </c>
      <c r="C90" s="19" t="s">
        <v>1223</v>
      </c>
      <c r="D90" s="28" t="str">
        <f>$D$17</f>
        <v>INCLUIDO</v>
      </c>
      <c r="E90" s="28"/>
      <c r="F90" s="28"/>
      <c r="G90" s="28"/>
      <c r="H90" s="28"/>
      <c r="I90" s="28"/>
      <c r="J90" s="28"/>
      <c r="K90" s="28"/>
      <c r="L90" s="28"/>
      <c r="M90" s="68">
        <f>M61</f>
        <v>0.05</v>
      </c>
      <c r="N90" s="28"/>
      <c r="O90" s="83"/>
      <c r="P90" s="13" t="str">
        <f t="shared" si="2"/>
        <v>SI</v>
      </c>
      <c r="Q90" s="47">
        <f>IF(D90="INCLUIDO",IF(F91&lt;&gt;0,1,0),0)</f>
        <v>1</v>
      </c>
    </row>
    <row r="91" spans="1:19" ht="22.5" customHeight="1" x14ac:dyDescent="0.3">
      <c r="A91" s="34" t="s">
        <v>1164</v>
      </c>
      <c r="B91" s="36">
        <v>50</v>
      </c>
      <c r="C91" s="29" t="s">
        <v>1224</v>
      </c>
      <c r="D91" s="27" t="str">
        <f t="shared" si="52"/>
        <v>INCLUIDO</v>
      </c>
      <c r="E91" s="27" t="s">
        <v>1137</v>
      </c>
      <c r="F91" s="42">
        <f>F80</f>
        <v>1251126.4095708469</v>
      </c>
      <c r="G91" s="10">
        <f>'COTIZACIÓN M.N.'!E43</f>
        <v>0.2</v>
      </c>
      <c r="H91" s="9">
        <f t="shared" ref="H91" si="63">(((IF(I91="$ Prima",G91,G91*F91/R91))*$U$9)/365)*$J$15</f>
        <v>250.9108306317425</v>
      </c>
      <c r="I91" s="9" t="s">
        <v>1153</v>
      </c>
      <c r="J91" s="9">
        <f t="shared" ref="J91:J94" si="64">H91*$U$7</f>
        <v>5.2942185263297672</v>
      </c>
      <c r="K91" s="9">
        <f t="shared" ref="K91:K94" si="65">(H91+J91)*$K$15</f>
        <v>40.99280786529156</v>
      </c>
      <c r="L91" s="9">
        <f t="shared" ref="L91:L94" si="66">ROUND(H91+J91+K91,2)</f>
        <v>297.2</v>
      </c>
      <c r="M91" s="11">
        <f>$M$90</f>
        <v>0.05</v>
      </c>
      <c r="N91" s="9">
        <f t="shared" ref="N91:N94" si="67">H91*M91</f>
        <v>12.545541531587126</v>
      </c>
      <c r="O91" s="12">
        <f t="shared" ref="O91:O94" si="68">N91</f>
        <v>12.545541531587126</v>
      </c>
      <c r="P91" s="13" t="str">
        <f t="shared" ref="P91:P154" si="69">IF(Q91=1,"SI","NO")</f>
        <v>SI</v>
      </c>
      <c r="Q91">
        <f>IF(D91="INCLUIDO",IF(F91&lt;&gt;0,1,0),0)</f>
        <v>1</v>
      </c>
      <c r="R91">
        <f>IF(I91="%o Al Millar",1000,IF(I91="% Al Porciento",100,IF(I91="$ Prima",G91)))</f>
        <v>1000</v>
      </c>
      <c r="S91">
        <f t="shared" ref="S91:S94" si="70">IF(E91="Excluido",0,IF(D91="NO APLICA",0,1))</f>
        <v>1</v>
      </c>
    </row>
    <row r="92" spans="1:19" ht="22.5" customHeight="1" x14ac:dyDescent="0.3">
      <c r="A92" s="34" t="s">
        <v>1164</v>
      </c>
      <c r="B92" s="36">
        <v>49</v>
      </c>
      <c r="C92" s="29" t="s">
        <v>1225</v>
      </c>
      <c r="D92" s="27" t="str">
        <f t="shared" si="52"/>
        <v>INCLUIDO</v>
      </c>
      <c r="E92" s="27" t="s">
        <v>1137</v>
      </c>
      <c r="F92" s="43">
        <f>'COTIZACIÓN M.N.'!D59</f>
        <v>86937199.982531995</v>
      </c>
      <c r="G92" s="10">
        <f>'COTIZACIÓN M.N.'!E59</f>
        <v>9.1289164528423131E-2</v>
      </c>
      <c r="H92" s="9">
        <f>(((IF(I92="$ Prima",G92,G92*F92/R92))*$U$9)/365)*$J$15/'Ubicaciones total (2)'!A366</f>
        <v>21.863098849477336</v>
      </c>
      <c r="I92" s="9" t="s">
        <v>1153</v>
      </c>
      <c r="J92" s="9">
        <f t="shared" si="64"/>
        <v>0.46131138572397179</v>
      </c>
      <c r="K92" s="9">
        <f t="shared" si="65"/>
        <v>3.5719056376322089</v>
      </c>
      <c r="L92" s="9">
        <f t="shared" si="66"/>
        <v>25.9</v>
      </c>
      <c r="M92" s="11">
        <f t="shared" ref="M92:M94" si="71">$M$90</f>
        <v>0.05</v>
      </c>
      <c r="N92" s="9">
        <f t="shared" si="67"/>
        <v>1.0931549424738669</v>
      </c>
      <c r="O92" s="12">
        <f t="shared" si="68"/>
        <v>1.0931549424738669</v>
      </c>
      <c r="P92" s="13" t="str">
        <f t="shared" si="69"/>
        <v>SI</v>
      </c>
      <c r="Q92">
        <f>IF(D92="INCLUIDO",IF(F92&lt;&gt;0,1,0),0)</f>
        <v>1</v>
      </c>
      <c r="R92">
        <f>IF(I92="%o Al Millar",1000,IF(I92="% Al Porciento",100,IF(I92="$ Prima",G92)))</f>
        <v>1000</v>
      </c>
      <c r="S92">
        <f t="shared" si="70"/>
        <v>1</v>
      </c>
    </row>
    <row r="93" spans="1:19" ht="22.5" hidden="1" customHeight="1" x14ac:dyDescent="0.3">
      <c r="A93" s="34" t="s">
        <v>1164</v>
      </c>
      <c r="B93" s="36">
        <v>48</v>
      </c>
      <c r="C93" s="29" t="s">
        <v>1226</v>
      </c>
      <c r="D93" s="27" t="str">
        <f t="shared" si="52"/>
        <v>INCLUIDO</v>
      </c>
      <c r="E93" s="27" t="s">
        <v>1186</v>
      </c>
      <c r="F93" s="43">
        <v>0</v>
      </c>
      <c r="G93" s="21">
        <v>0</v>
      </c>
      <c r="H93" s="9">
        <f t="shared" ref="H93:H94" si="72">(IF(I93="$ Prima",G93,G93*F93/R93))*$U$9</f>
        <v>0</v>
      </c>
      <c r="I93" s="9" t="s">
        <v>1153</v>
      </c>
      <c r="J93" s="9">
        <f t="shared" si="64"/>
        <v>0</v>
      </c>
      <c r="K93" s="9">
        <f t="shared" si="65"/>
        <v>0</v>
      </c>
      <c r="L93" s="9">
        <f t="shared" si="66"/>
        <v>0</v>
      </c>
      <c r="M93" s="11">
        <f t="shared" si="71"/>
        <v>0.05</v>
      </c>
      <c r="N93" s="9">
        <f t="shared" si="67"/>
        <v>0</v>
      </c>
      <c r="O93" s="12">
        <f t="shared" si="68"/>
        <v>0</v>
      </c>
      <c r="P93" s="13" t="str">
        <f t="shared" si="69"/>
        <v>NO</v>
      </c>
      <c r="Q93">
        <f>IF(D93="INCLUIDO",IF(F93&lt;&gt;0,1,0),0)</f>
        <v>0</v>
      </c>
      <c r="R93">
        <f>IF(I93="%o Al Millar",1000,IF(I93="% Al Porciento",100,IF(I93="$ Prima",G93)))</f>
        <v>1000</v>
      </c>
      <c r="S93">
        <f t="shared" si="70"/>
        <v>0</v>
      </c>
    </row>
    <row r="94" spans="1:19" ht="15" hidden="1" customHeight="1" x14ac:dyDescent="0.3">
      <c r="A94" s="34" t="s">
        <v>1164</v>
      </c>
      <c r="B94" s="36">
        <v>47</v>
      </c>
      <c r="C94" s="29" t="s">
        <v>1227</v>
      </c>
      <c r="D94" s="27" t="str">
        <f t="shared" si="52"/>
        <v>INCLUIDO</v>
      </c>
      <c r="E94" s="27" t="s">
        <v>1186</v>
      </c>
      <c r="F94" s="43">
        <v>0</v>
      </c>
      <c r="G94" s="21">
        <v>0</v>
      </c>
      <c r="H94" s="9">
        <f t="shared" si="72"/>
        <v>0</v>
      </c>
      <c r="I94" s="9" t="s">
        <v>1153</v>
      </c>
      <c r="J94" s="9">
        <f t="shared" si="64"/>
        <v>0</v>
      </c>
      <c r="K94" s="9">
        <f t="shared" si="65"/>
        <v>0</v>
      </c>
      <c r="L94" s="9">
        <f t="shared" si="66"/>
        <v>0</v>
      </c>
      <c r="M94" s="11">
        <f t="shared" si="71"/>
        <v>0.05</v>
      </c>
      <c r="N94" s="9">
        <f t="shared" si="67"/>
        <v>0</v>
      </c>
      <c r="O94" s="12">
        <f t="shared" si="68"/>
        <v>0</v>
      </c>
      <c r="P94" s="13" t="str">
        <f t="shared" si="69"/>
        <v>NO</v>
      </c>
      <c r="Q94">
        <f>IF(D94="INCLUIDO",IF(F94&lt;&gt;0,1,0),0)</f>
        <v>0</v>
      </c>
      <c r="R94">
        <f>IF(I94="%o Al Millar",1000,IF(I94="% Al Porciento",100,IF(I94="$ Prima",G94)))</f>
        <v>1000</v>
      </c>
      <c r="S94">
        <f t="shared" si="70"/>
        <v>0</v>
      </c>
    </row>
    <row r="95" spans="1:19" ht="15" customHeight="1" x14ac:dyDescent="0.3">
      <c r="A95" s="82">
        <v>904</v>
      </c>
      <c r="B95" s="33">
        <v>3</v>
      </c>
      <c r="C95" s="19" t="s">
        <v>1228</v>
      </c>
      <c r="D95" s="28" t="str">
        <f>$D$17</f>
        <v>INCLUIDO</v>
      </c>
      <c r="E95" s="28"/>
      <c r="F95" s="28"/>
      <c r="G95" s="28"/>
      <c r="H95" s="28"/>
      <c r="I95" s="28"/>
      <c r="J95" s="28"/>
      <c r="K95" s="28"/>
      <c r="L95" s="28"/>
      <c r="M95" s="68">
        <f>M64</f>
        <v>0.05</v>
      </c>
      <c r="N95" s="28"/>
      <c r="O95" s="83"/>
      <c r="P95" s="13" t="str">
        <f t="shared" si="69"/>
        <v>SI</v>
      </c>
      <c r="Q95" s="47">
        <f>IF(D95="INCLUIDO",IF(F96&lt;&gt;0,1,0),0)</f>
        <v>1</v>
      </c>
    </row>
    <row r="96" spans="1:19" ht="22.5" customHeight="1" x14ac:dyDescent="0.3">
      <c r="A96" s="34" t="s">
        <v>1168</v>
      </c>
      <c r="B96" s="36">
        <v>68</v>
      </c>
      <c r="C96" s="29" t="s">
        <v>1229</v>
      </c>
      <c r="D96" s="27" t="str">
        <f t="shared" si="52"/>
        <v>INCLUIDO</v>
      </c>
      <c r="E96" s="27" t="s">
        <v>1137</v>
      </c>
      <c r="F96" s="42">
        <f>F80</f>
        <v>1251126.4095708469</v>
      </c>
      <c r="G96" s="10">
        <f>'COTIZACIÓN M.N.'!E44</f>
        <v>0.32000000000000006</v>
      </c>
      <c r="H96" s="9">
        <f t="shared" ref="H96" si="73">(((IF(I96="$ Prima",G96,G96*F96/R96))*$U$9)/365)*$J$15</f>
        <v>401.45732901078799</v>
      </c>
      <c r="I96" s="9" t="s">
        <v>1153</v>
      </c>
      <c r="J96" s="9">
        <f t="shared" ref="J96:J98" si="74">H96*$U$7</f>
        <v>8.4707496421276272</v>
      </c>
      <c r="K96" s="9">
        <f t="shared" ref="K96:K98" si="75">(H96+J96)*$K$15</f>
        <v>65.588492584466493</v>
      </c>
      <c r="L96" s="9">
        <f t="shared" ref="L96:L98" si="76">ROUND(H96+J96+K96,2)</f>
        <v>475.52</v>
      </c>
      <c r="M96" s="11">
        <f>$M$95</f>
        <v>0.05</v>
      </c>
      <c r="N96" s="9">
        <f t="shared" ref="N96:N98" si="77">H96*M96</f>
        <v>20.072866450539401</v>
      </c>
      <c r="O96" s="12">
        <f t="shared" ref="O96:O98" si="78">N96</f>
        <v>20.072866450539401</v>
      </c>
      <c r="P96" s="13" t="str">
        <f t="shared" si="69"/>
        <v>SI</v>
      </c>
      <c r="Q96">
        <f>IF(D96="INCLUIDO",IF(F96&lt;&gt;0,1,0),0)</f>
        <v>1</v>
      </c>
      <c r="R96">
        <f>IF(I96="%o Al Millar",1000,IF(I96="% Al Porciento",100,IF(I96="$ Prima",G96)))</f>
        <v>1000</v>
      </c>
      <c r="S96">
        <f t="shared" ref="S96:S98" si="79">IF(E96="Excluido",0,IF(D96="NO APLICA",0,1))</f>
        <v>1</v>
      </c>
    </row>
    <row r="97" spans="1:19" ht="22.5" customHeight="1" x14ac:dyDescent="0.3">
      <c r="A97" s="34" t="s">
        <v>1168</v>
      </c>
      <c r="B97" s="36">
        <v>67</v>
      </c>
      <c r="C97" s="29" t="s">
        <v>1230</v>
      </c>
      <c r="D97" s="27" t="str">
        <f t="shared" si="52"/>
        <v>INCLUIDO</v>
      </c>
      <c r="E97" s="27" t="s">
        <v>1137</v>
      </c>
      <c r="F97" s="43">
        <f>'COTIZACIÓN M.N.'!D60</f>
        <v>86937199.982531995</v>
      </c>
      <c r="G97" s="10">
        <f>'COTIZACIÓN M.N.'!E60</f>
        <v>7.304439852819071E-2</v>
      </c>
      <c r="H97" s="9">
        <f>(((IF(I97="$ Prima",G97,G97*F97/R97))*$U$9)/365)*$J$15/'Ubicaciones total (2)'!A366</f>
        <v>17.493608509531565</v>
      </c>
      <c r="I97" s="9" t="s">
        <v>1153</v>
      </c>
      <c r="J97" s="9">
        <f t="shared" si="74"/>
        <v>0.36911513955111602</v>
      </c>
      <c r="K97" s="9">
        <f t="shared" si="75"/>
        <v>2.8580357838532291</v>
      </c>
      <c r="L97" s="9">
        <f t="shared" si="76"/>
        <v>20.72</v>
      </c>
      <c r="M97" s="11">
        <f t="shared" ref="M97:M98" si="80">$M$95</f>
        <v>0.05</v>
      </c>
      <c r="N97" s="9">
        <f t="shared" si="77"/>
        <v>0.87468042547657832</v>
      </c>
      <c r="O97" s="12">
        <f t="shared" si="78"/>
        <v>0.87468042547657832</v>
      </c>
      <c r="P97" s="13" t="str">
        <f t="shared" si="69"/>
        <v>SI</v>
      </c>
      <c r="Q97">
        <f>IF(D97="INCLUIDO",IF(F97&lt;&gt;0,1,0),0)</f>
        <v>1</v>
      </c>
      <c r="R97">
        <f>IF(I97="%o Al Millar",1000,IF(I97="% Al Porciento",100,IF(I97="$ Prima",G97)))</f>
        <v>1000</v>
      </c>
      <c r="S97">
        <f t="shared" si="79"/>
        <v>1</v>
      </c>
    </row>
    <row r="98" spans="1:19" ht="22.5" hidden="1" customHeight="1" x14ac:dyDescent="0.3">
      <c r="A98" s="34" t="s">
        <v>1168</v>
      </c>
      <c r="B98" s="36">
        <v>65</v>
      </c>
      <c r="C98" s="29" t="s">
        <v>1231</v>
      </c>
      <c r="D98" s="27" t="str">
        <f t="shared" si="52"/>
        <v>INCLUIDO</v>
      </c>
      <c r="E98" s="27" t="s">
        <v>1186</v>
      </c>
      <c r="F98" s="43">
        <v>0</v>
      </c>
      <c r="G98" s="21">
        <v>0</v>
      </c>
      <c r="H98" s="9">
        <f t="shared" ref="H98" si="81">(IF(I98="$ Prima",G98,G98*F98/R98))*$U$9</f>
        <v>0</v>
      </c>
      <c r="I98" s="9" t="s">
        <v>1153</v>
      </c>
      <c r="J98" s="9">
        <f t="shared" si="74"/>
        <v>0</v>
      </c>
      <c r="K98" s="9">
        <f t="shared" si="75"/>
        <v>0</v>
      </c>
      <c r="L98" s="9">
        <f t="shared" si="76"/>
        <v>0</v>
      </c>
      <c r="M98" s="11">
        <f t="shared" si="80"/>
        <v>0.05</v>
      </c>
      <c r="N98" s="9">
        <f t="shared" si="77"/>
        <v>0</v>
      </c>
      <c r="O98" s="12">
        <f t="shared" si="78"/>
        <v>0</v>
      </c>
      <c r="P98" s="13" t="str">
        <f t="shared" si="69"/>
        <v>NO</v>
      </c>
      <c r="Q98">
        <f>IF(D98="INCLUIDO",IF(F98&lt;&gt;0,1,0),0)</f>
        <v>0</v>
      </c>
      <c r="R98">
        <f>IF(I98="%o Al Millar",1000,IF(I98="% Al Porciento",100,IF(I98="$ Prima",G98)))</f>
        <v>1000</v>
      </c>
      <c r="S98">
        <f t="shared" si="79"/>
        <v>0</v>
      </c>
    </row>
    <row r="99" spans="1:19" s="18" customFormat="1" ht="15" customHeight="1" x14ac:dyDescent="0.3">
      <c r="A99" s="24"/>
      <c r="B99" s="26"/>
      <c r="C99" s="15" t="s">
        <v>1177</v>
      </c>
      <c r="D99" s="38" t="str">
        <f>D98</f>
        <v>INCLUIDO</v>
      </c>
      <c r="E99" s="38"/>
      <c r="F99" s="16">
        <f>SUMIF(E79:E98,"Adicional",F79:F98)</f>
        <v>0</v>
      </c>
      <c r="G99" s="17"/>
      <c r="H99" s="16">
        <f>SUM(H79:H98)</f>
        <v>1027.5808227433015</v>
      </c>
      <c r="I99" s="16"/>
      <c r="J99" s="16">
        <f>SUM(J79:J98)</f>
        <v>21.681955359883663</v>
      </c>
      <c r="K99" s="16">
        <f>SUM(K79:K98)</f>
        <v>167.88204449650962</v>
      </c>
      <c r="L99" s="16">
        <f>SUM(L79:L98)</f>
        <v>1217.1600000000001</v>
      </c>
      <c r="M99" s="16" t="s">
        <v>1178</v>
      </c>
      <c r="N99" s="16">
        <f>SUM(N79:N98)</f>
        <v>74.922543634662603</v>
      </c>
      <c r="O99" s="84">
        <f>SUM(O79:O98)</f>
        <v>74.922543634662603</v>
      </c>
      <c r="P99" s="13" t="str">
        <f t="shared" si="69"/>
        <v>SI</v>
      </c>
      <c r="Q99">
        <f>IF(D99="INCLUIDO",IF(H99&lt;&gt;0,1,0),0)</f>
        <v>1</v>
      </c>
    </row>
    <row r="100" spans="1:19" ht="15" customHeight="1" x14ac:dyDescent="0.3">
      <c r="A100" s="82">
        <v>905</v>
      </c>
      <c r="B100" s="33">
        <v>1</v>
      </c>
      <c r="C100" s="19" t="s">
        <v>1232</v>
      </c>
      <c r="D100" s="23" t="str">
        <f>'Ramo Comercial'!C130</f>
        <v>INCLUIDO</v>
      </c>
      <c r="E100" s="91"/>
      <c r="F100" s="43">
        <f>'COTIZACIÓN M.N.'!D86</f>
        <v>13000</v>
      </c>
      <c r="G100" s="43">
        <f>'COTIZACIÓN M.N.'!E86/'Ubicaciones total (2)'!A366</f>
        <v>1.3736263736263736E-2</v>
      </c>
      <c r="H100" s="28"/>
      <c r="I100" s="28"/>
      <c r="J100" s="28"/>
      <c r="K100" s="28"/>
      <c r="L100" s="28"/>
      <c r="M100" s="68">
        <v>0.1</v>
      </c>
      <c r="N100" s="28"/>
      <c r="O100" s="83"/>
      <c r="P100" s="13" t="str">
        <f t="shared" si="69"/>
        <v>SI</v>
      </c>
      <c r="Q100" s="48">
        <f>IF(D100="INCLUIDO",IF(F100&lt;&gt;0,1,0),0)</f>
        <v>1</v>
      </c>
      <c r="S100">
        <f t="shared" ref="S100:S102" si="82">IF(E100="Excluido",0,IF(D100="NO APLICA",0,1))</f>
        <v>1</v>
      </c>
    </row>
    <row r="101" spans="1:19" ht="15" customHeight="1" x14ac:dyDescent="0.3">
      <c r="A101" s="34" t="s">
        <v>1233</v>
      </c>
      <c r="B101" s="36">
        <v>71</v>
      </c>
      <c r="C101" s="29" t="s">
        <v>1234</v>
      </c>
      <c r="D101" s="29" t="str">
        <f>$D$100</f>
        <v>INCLUIDO</v>
      </c>
      <c r="E101" s="27" t="s">
        <v>1137</v>
      </c>
      <c r="F101" s="20">
        <f>F100*S101</f>
        <v>13000</v>
      </c>
      <c r="G101" s="21">
        <f>G100</f>
        <v>1.3736263736263736E-2</v>
      </c>
      <c r="H101" s="9">
        <f t="shared" ref="H101" si="83">(((IF(I101="$ Prima",G101,G101*F101/R101))*$U$9)/365)*$J$15</f>
        <v>1.7906066536203522</v>
      </c>
      <c r="I101" s="9" t="s">
        <v>1235</v>
      </c>
      <c r="J101" s="9">
        <f t="shared" ref="J101:J102" si="84">H101*$U$7</f>
        <v>3.7781800391389432E-2</v>
      </c>
      <c r="K101" s="9">
        <f t="shared" ref="K101:K102" si="85">(H101+J101)*$K$15</f>
        <v>0.29254215264187866</v>
      </c>
      <c r="L101" s="9">
        <f t="shared" ref="L101:L102" si="86">ROUND(H101+J101+K101,2)</f>
        <v>2.12</v>
      </c>
      <c r="M101" s="11">
        <f>$M$100</f>
        <v>0.1</v>
      </c>
      <c r="N101" s="9">
        <f t="shared" ref="N101:N102" si="87">H101*M101</f>
        <v>0.17906066536203524</v>
      </c>
      <c r="O101" s="12">
        <f t="shared" ref="O101:O102" si="88">N101</f>
        <v>0.17906066536203524</v>
      </c>
      <c r="P101" s="13" t="str">
        <f t="shared" si="69"/>
        <v>SI</v>
      </c>
      <c r="Q101">
        <f>IF(D101="INCLUIDO",IF(F101&lt;&gt;0,1,0),0)</f>
        <v>1</v>
      </c>
      <c r="R101">
        <f>IF(I101="%o Al Millar",1000,IF(I101="% Al Porciento",100,IF(I101="$ Prima",G101)))</f>
        <v>100</v>
      </c>
      <c r="S101">
        <f t="shared" si="82"/>
        <v>1</v>
      </c>
    </row>
    <row r="102" spans="1:19" ht="15" hidden="1" customHeight="1" x14ac:dyDescent="0.3">
      <c r="A102" s="34" t="s">
        <v>1233</v>
      </c>
      <c r="B102" s="36"/>
      <c r="C102" s="81">
        <f>$O$12</f>
        <v>0</v>
      </c>
      <c r="D102" s="29" t="str">
        <f>$D$100</f>
        <v>INCLUIDO</v>
      </c>
      <c r="E102" s="27" t="s">
        <v>1186</v>
      </c>
      <c r="F102" s="9">
        <f>(F101*$O$12)*S102</f>
        <v>0</v>
      </c>
      <c r="G102" s="10">
        <f>G101*0.35</f>
        <v>4.8076923076923071E-3</v>
      </c>
      <c r="H102" s="9">
        <f t="shared" ref="H102" si="89">(IF(I102="$ Prima",G102,G102*F102/R102))*$U$9</f>
        <v>0</v>
      </c>
      <c r="I102" s="9" t="s">
        <v>1235</v>
      </c>
      <c r="J102" s="9">
        <f t="shared" si="84"/>
        <v>0</v>
      </c>
      <c r="K102" s="9">
        <f t="shared" si="85"/>
        <v>0</v>
      </c>
      <c r="L102" s="9">
        <f t="shared" si="86"/>
        <v>0</v>
      </c>
      <c r="M102" s="11">
        <f>$M$100</f>
        <v>0.1</v>
      </c>
      <c r="N102" s="9">
        <f t="shared" si="87"/>
        <v>0</v>
      </c>
      <c r="O102" s="12">
        <f t="shared" si="88"/>
        <v>0</v>
      </c>
      <c r="P102" s="13" t="str">
        <f t="shared" si="69"/>
        <v>NO</v>
      </c>
      <c r="Q102">
        <f>IF(D102="INCLUIDO",IF(F102&lt;&gt;0,1,0),0)</f>
        <v>0</v>
      </c>
      <c r="R102">
        <f>IF(I102="%o Al Millar",1000,IF(I102="% Al Porciento",100,IF(I102="$ Prima",G102)))</f>
        <v>100</v>
      </c>
      <c r="S102">
        <f t="shared" si="82"/>
        <v>0</v>
      </c>
    </row>
    <row r="103" spans="1:19" s="18" customFormat="1" ht="15" customHeight="1" x14ac:dyDescent="0.3">
      <c r="A103" s="24"/>
      <c r="B103" s="26"/>
      <c r="C103" s="15" t="s">
        <v>1177</v>
      </c>
      <c r="D103" s="38" t="str">
        <f>D102</f>
        <v>INCLUIDO</v>
      </c>
      <c r="E103" s="38"/>
      <c r="F103" s="16">
        <f>SUMIF(E101:E102,"Adicional",F101:F102)</f>
        <v>0</v>
      </c>
      <c r="G103" s="17"/>
      <c r="H103" s="16">
        <f>SUM(H101:H102)</f>
        <v>1.7906066536203522</v>
      </c>
      <c r="I103" s="16"/>
      <c r="J103" s="16">
        <f t="shared" ref="J103:L103" si="90">SUM(J101:J102)</f>
        <v>3.7781800391389432E-2</v>
      </c>
      <c r="K103" s="16">
        <f t="shared" si="90"/>
        <v>0.29254215264187866</v>
      </c>
      <c r="L103" s="16">
        <f t="shared" si="90"/>
        <v>2.12</v>
      </c>
      <c r="M103" s="16" t="s">
        <v>1178</v>
      </c>
      <c r="N103" s="16">
        <f t="shared" ref="N103:O103" si="91">SUM(N101:N102)</f>
        <v>0.17906066536203524</v>
      </c>
      <c r="O103" s="84">
        <f t="shared" si="91"/>
        <v>0.17906066536203524</v>
      </c>
      <c r="P103" s="13" t="str">
        <f t="shared" si="69"/>
        <v>SI</v>
      </c>
      <c r="Q103">
        <f>IF(D103="INCLUIDO",IF(H103&lt;&gt;0,1,0),0)</f>
        <v>1</v>
      </c>
    </row>
    <row r="104" spans="1:19" ht="15" hidden="1" customHeight="1" x14ac:dyDescent="0.3">
      <c r="A104" s="82">
        <v>905</v>
      </c>
      <c r="B104" s="33">
        <v>2</v>
      </c>
      <c r="C104" s="19" t="s">
        <v>1236</v>
      </c>
      <c r="D104" s="23" t="str">
        <f>$D$100</f>
        <v>INCLUIDO</v>
      </c>
      <c r="E104" s="91"/>
      <c r="F104" s="43">
        <v>0</v>
      </c>
      <c r="G104" s="43">
        <v>0</v>
      </c>
      <c r="H104" s="28"/>
      <c r="I104" s="28"/>
      <c r="J104" s="28"/>
      <c r="K104" s="28"/>
      <c r="L104" s="28"/>
      <c r="M104" s="68">
        <v>0</v>
      </c>
      <c r="N104" s="28"/>
      <c r="O104" s="83"/>
      <c r="P104" s="13" t="str">
        <f t="shared" si="69"/>
        <v>NO</v>
      </c>
      <c r="Q104" s="48">
        <f>IF(D104="INCLUIDO",IF(F104&lt;&gt;0,1,0),0)</f>
        <v>0</v>
      </c>
    </row>
    <row r="105" spans="1:19" ht="15" hidden="1" customHeight="1" x14ac:dyDescent="0.3">
      <c r="A105" s="34" t="s">
        <v>1233</v>
      </c>
      <c r="B105" s="36">
        <v>73</v>
      </c>
      <c r="C105" s="29" t="s">
        <v>1234</v>
      </c>
      <c r="D105" s="29" t="str">
        <f>$D$100</f>
        <v>INCLUIDO</v>
      </c>
      <c r="E105" s="27" t="s">
        <v>1186</v>
      </c>
      <c r="F105" s="20">
        <f>F104*S105</f>
        <v>0</v>
      </c>
      <c r="G105" s="21">
        <v>0</v>
      </c>
      <c r="H105" s="9">
        <f t="shared" ref="H105:H106" si="92">(IF(I105="$ Prima",G105,G105*F105/R105))*$U$9</f>
        <v>0</v>
      </c>
      <c r="I105" s="9" t="s">
        <v>1235</v>
      </c>
      <c r="J105" s="9">
        <f t="shared" ref="J105:J106" si="93">H105*$U$7</f>
        <v>0</v>
      </c>
      <c r="K105" s="9">
        <f t="shared" ref="K105:K106" si="94">(H105+J105)*$K$15</f>
        <v>0</v>
      </c>
      <c r="L105" s="9">
        <f t="shared" ref="L105:L106" si="95">ROUND(H105+J105+K105,2)</f>
        <v>0</v>
      </c>
      <c r="M105" s="11">
        <v>0</v>
      </c>
      <c r="N105" s="9">
        <f t="shared" ref="N105:N106" si="96">H105*M105</f>
        <v>0</v>
      </c>
      <c r="O105" s="12">
        <f t="shared" ref="O105:O106" si="97">N105</f>
        <v>0</v>
      </c>
      <c r="P105" s="13" t="str">
        <f t="shared" si="69"/>
        <v>NO</v>
      </c>
      <c r="Q105">
        <f>IF(D105="INCLUIDO",IF(F105&lt;&gt;0,1,0),0)</f>
        <v>0</v>
      </c>
      <c r="R105">
        <f>IF(I105="%o Al Millar",1000,IF(I105="% Al Porciento",100,IF(I105="$ Prima",G105)))</f>
        <v>100</v>
      </c>
      <c r="S105">
        <f t="shared" ref="S105:S106" si="98">IF(E105="Excluido",0,IF(D105="NO APLICA",0,1))</f>
        <v>0</v>
      </c>
    </row>
    <row r="106" spans="1:19" ht="15" hidden="1" customHeight="1" x14ac:dyDescent="0.3">
      <c r="A106" s="34" t="s">
        <v>1233</v>
      </c>
      <c r="B106" s="36"/>
      <c r="C106" s="81">
        <f>$O$12</f>
        <v>0</v>
      </c>
      <c r="D106" s="29" t="str">
        <f>$D$100</f>
        <v>INCLUIDO</v>
      </c>
      <c r="E106" s="27" t="str">
        <f>E105</f>
        <v>Excluido</v>
      </c>
      <c r="F106" s="9">
        <f>(F105*$O$12)*S106</f>
        <v>0</v>
      </c>
      <c r="G106" s="10">
        <f>G105*0.35</f>
        <v>0</v>
      </c>
      <c r="H106" s="9">
        <f t="shared" si="92"/>
        <v>0</v>
      </c>
      <c r="I106" s="9" t="s">
        <v>1235</v>
      </c>
      <c r="J106" s="9">
        <f t="shared" si="93"/>
        <v>0</v>
      </c>
      <c r="K106" s="9">
        <f t="shared" si="94"/>
        <v>0</v>
      </c>
      <c r="L106" s="9">
        <f t="shared" si="95"/>
        <v>0</v>
      </c>
      <c r="M106" s="11">
        <v>0</v>
      </c>
      <c r="N106" s="9">
        <f t="shared" si="96"/>
        <v>0</v>
      </c>
      <c r="O106" s="12">
        <f t="shared" si="97"/>
        <v>0</v>
      </c>
      <c r="P106" s="13" t="str">
        <f t="shared" si="69"/>
        <v>NO</v>
      </c>
      <c r="Q106">
        <f>IF(D106="INCLUIDO",IF(F106&lt;&gt;0,1,0),0)</f>
        <v>0</v>
      </c>
      <c r="R106">
        <f>IF(I106="%o Al Millar",1000,IF(I106="% Al Porciento",100,IF(I106="$ Prima",G106)))</f>
        <v>100</v>
      </c>
      <c r="S106">
        <f t="shared" si="98"/>
        <v>0</v>
      </c>
    </row>
    <row r="107" spans="1:19" s="18" customFormat="1" ht="15" hidden="1" customHeight="1" x14ac:dyDescent="0.3">
      <c r="A107" s="24"/>
      <c r="B107" s="26"/>
      <c r="C107" s="15" t="s">
        <v>1177</v>
      </c>
      <c r="D107" s="38" t="str">
        <f>D106</f>
        <v>INCLUIDO</v>
      </c>
      <c r="E107" s="38"/>
      <c r="F107" s="16">
        <f>SUMIF(E105:E106,"Adicional",F105:F106)</f>
        <v>0</v>
      </c>
      <c r="G107" s="17"/>
      <c r="H107" s="16">
        <f>SUM(H105:H106)</f>
        <v>0</v>
      </c>
      <c r="I107" s="16"/>
      <c r="J107" s="16">
        <f t="shared" ref="J107:L107" si="99">SUM(J105:J106)</f>
        <v>0</v>
      </c>
      <c r="K107" s="16">
        <f t="shared" si="99"/>
        <v>0</v>
      </c>
      <c r="L107" s="16">
        <f t="shared" si="99"/>
        <v>0</v>
      </c>
      <c r="M107" s="16" t="s">
        <v>1178</v>
      </c>
      <c r="N107" s="16">
        <f t="shared" ref="N107:O107" si="100">SUM(N105:N106)</f>
        <v>0</v>
      </c>
      <c r="O107" s="84">
        <f t="shared" si="100"/>
        <v>0</v>
      </c>
      <c r="P107" s="13" t="str">
        <f t="shared" si="69"/>
        <v>NO</v>
      </c>
      <c r="Q107">
        <f>IF(D107="INCLUIDO",IF(H107&lt;&gt;0,1,0),0)</f>
        <v>0</v>
      </c>
    </row>
    <row r="108" spans="1:19" ht="15" hidden="1" customHeight="1" x14ac:dyDescent="0.3">
      <c r="A108" s="82">
        <v>905</v>
      </c>
      <c r="B108" s="33">
        <v>3</v>
      </c>
      <c r="C108" s="19" t="s">
        <v>1237</v>
      </c>
      <c r="D108" s="23" t="str">
        <f>$D$100</f>
        <v>INCLUIDO</v>
      </c>
      <c r="E108" s="91"/>
      <c r="F108" s="43">
        <v>0</v>
      </c>
      <c r="G108" s="43">
        <v>0</v>
      </c>
      <c r="H108" s="28"/>
      <c r="I108" s="28"/>
      <c r="J108" s="28"/>
      <c r="K108" s="28"/>
      <c r="L108" s="28"/>
      <c r="M108" s="68">
        <v>0</v>
      </c>
      <c r="N108" s="28"/>
      <c r="O108" s="83"/>
      <c r="P108" s="13" t="str">
        <f t="shared" si="69"/>
        <v>NO</v>
      </c>
      <c r="Q108" s="48">
        <f>IF(D108="INCLUIDO",IF(F108&lt;&gt;0,1,0),0)</f>
        <v>0</v>
      </c>
    </row>
    <row r="109" spans="1:19" ht="15" hidden="1" customHeight="1" x14ac:dyDescent="0.3">
      <c r="A109" s="34" t="s">
        <v>1233</v>
      </c>
      <c r="B109" s="36">
        <v>74</v>
      </c>
      <c r="C109" s="29" t="s">
        <v>1237</v>
      </c>
      <c r="D109" s="29" t="str">
        <f>$D$100</f>
        <v>INCLUIDO</v>
      </c>
      <c r="E109" s="27" t="s">
        <v>1186</v>
      </c>
      <c r="F109" s="20">
        <f>F108*S109</f>
        <v>0</v>
      </c>
      <c r="G109" s="21">
        <v>0</v>
      </c>
      <c r="H109" s="9">
        <f t="shared" ref="H109:H110" si="101">(IF(I109="$ Prima",G109,G109*F109/R109))*$U$9</f>
        <v>0</v>
      </c>
      <c r="I109" s="9" t="s">
        <v>1235</v>
      </c>
      <c r="J109" s="9">
        <f t="shared" ref="J109:J110" si="102">H109*$U$7</f>
        <v>0</v>
      </c>
      <c r="K109" s="9">
        <f t="shared" ref="K109:K110" si="103">(H109+J109)*$K$15</f>
        <v>0</v>
      </c>
      <c r="L109" s="9">
        <f t="shared" ref="L109:L110" si="104">ROUND(H109+J109+K109,2)</f>
        <v>0</v>
      </c>
      <c r="M109" s="11">
        <f>$M$108</f>
        <v>0</v>
      </c>
      <c r="N109" s="9">
        <f t="shared" ref="N109:N110" si="105">H109*M109</f>
        <v>0</v>
      </c>
      <c r="O109" s="12">
        <f t="shared" ref="O109:O110" si="106">N109</f>
        <v>0</v>
      </c>
      <c r="P109" s="13" t="str">
        <f t="shared" si="69"/>
        <v>NO</v>
      </c>
      <c r="Q109">
        <f>IF(D109="INCLUIDO",IF(F109&lt;&gt;0,1,0),0)</f>
        <v>0</v>
      </c>
      <c r="R109">
        <f>IF(I109="%o Al Millar",1000,IF(I109="% Al Porciento",100,IF(I109="$ Prima",G109)))</f>
        <v>100</v>
      </c>
      <c r="S109">
        <f t="shared" ref="S109:S110" si="107">IF(E109="Excluido",0,IF(D109="NO APLICA",0,1))</f>
        <v>0</v>
      </c>
    </row>
    <row r="110" spans="1:19" ht="15" hidden="1" customHeight="1" x14ac:dyDescent="0.3">
      <c r="A110" s="34" t="s">
        <v>1233</v>
      </c>
      <c r="B110" s="36"/>
      <c r="C110" s="81">
        <f>$O$12</f>
        <v>0</v>
      </c>
      <c r="D110" s="29" t="str">
        <f>$D$100</f>
        <v>INCLUIDO</v>
      </c>
      <c r="E110" s="27" t="str">
        <f>E109</f>
        <v>Excluido</v>
      </c>
      <c r="F110" s="9">
        <f>(F109*$O$12)*S110</f>
        <v>0</v>
      </c>
      <c r="G110" s="10">
        <f>G109*0.35</f>
        <v>0</v>
      </c>
      <c r="H110" s="9">
        <f t="shared" si="101"/>
        <v>0</v>
      </c>
      <c r="I110" s="9" t="s">
        <v>1235</v>
      </c>
      <c r="J110" s="9">
        <f t="shared" si="102"/>
        <v>0</v>
      </c>
      <c r="K110" s="9">
        <f t="shared" si="103"/>
        <v>0</v>
      </c>
      <c r="L110" s="9">
        <f t="shared" si="104"/>
        <v>0</v>
      </c>
      <c r="M110" s="11">
        <f>$M$108</f>
        <v>0</v>
      </c>
      <c r="N110" s="9">
        <f t="shared" si="105"/>
        <v>0</v>
      </c>
      <c r="O110" s="12">
        <f t="shared" si="106"/>
        <v>0</v>
      </c>
      <c r="P110" s="13" t="str">
        <f t="shared" si="69"/>
        <v>NO</v>
      </c>
      <c r="Q110">
        <f>IF(D110="INCLUIDO",IF(F110&lt;&gt;0,1,0),0)</f>
        <v>0</v>
      </c>
      <c r="R110">
        <f>IF(I110="%o Al Millar",1000,IF(I110="% Al Porciento",100,IF(I110="$ Prima",G110)))</f>
        <v>100</v>
      </c>
      <c r="S110">
        <f t="shared" si="107"/>
        <v>0</v>
      </c>
    </row>
    <row r="111" spans="1:19" s="18" customFormat="1" ht="15" hidden="1" customHeight="1" x14ac:dyDescent="0.3">
      <c r="A111" s="24"/>
      <c r="B111" s="26"/>
      <c r="C111" s="15" t="s">
        <v>1177</v>
      </c>
      <c r="D111" s="38" t="str">
        <f>D110</f>
        <v>INCLUIDO</v>
      </c>
      <c r="E111" s="38"/>
      <c r="F111" s="16">
        <f>SUMIF(E109:E110,"Adicional",F109:F110)</f>
        <v>0</v>
      </c>
      <c r="G111" s="17"/>
      <c r="H111" s="16">
        <f>SUM(H109:H110)</f>
        <v>0</v>
      </c>
      <c r="I111" s="16"/>
      <c r="J111" s="16">
        <f t="shared" ref="J111:L111" si="108">SUM(J109:J110)</f>
        <v>0</v>
      </c>
      <c r="K111" s="16">
        <f t="shared" si="108"/>
        <v>0</v>
      </c>
      <c r="L111" s="16">
        <f t="shared" si="108"/>
        <v>0</v>
      </c>
      <c r="M111" s="16" t="s">
        <v>1178</v>
      </c>
      <c r="N111" s="16">
        <f t="shared" ref="N111:O111" si="109">SUM(N109:N110)</f>
        <v>0</v>
      </c>
      <c r="O111" s="84">
        <f t="shared" si="109"/>
        <v>0</v>
      </c>
      <c r="P111" s="13" t="str">
        <f t="shared" si="69"/>
        <v>NO</v>
      </c>
      <c r="Q111">
        <f>IF(D111="INCLUIDO",IF(H111&lt;&gt;0,1,0),0)</f>
        <v>0</v>
      </c>
    </row>
    <row r="112" spans="1:19" ht="15" customHeight="1" x14ac:dyDescent="0.3">
      <c r="A112" s="82">
        <v>905</v>
      </c>
      <c r="B112" s="33">
        <v>4</v>
      </c>
      <c r="C112" s="19" t="s">
        <v>1238</v>
      </c>
      <c r="D112" s="23" t="str">
        <f>$D$100</f>
        <v>INCLUIDO</v>
      </c>
      <c r="E112" s="91"/>
      <c r="F112" s="43">
        <f>'COTIZACIÓN M.N.'!D89</f>
        <v>13000</v>
      </c>
      <c r="G112" s="43">
        <f>'COTIZACIÓN M.N.'!E89/'Ubicaciones total (2)'!A366</f>
        <v>1.098901098901099E-2</v>
      </c>
      <c r="H112" s="28"/>
      <c r="I112" s="28"/>
      <c r="J112" s="28"/>
      <c r="K112" s="28"/>
      <c r="L112" s="28"/>
      <c r="M112" s="68">
        <f>M100</f>
        <v>0.1</v>
      </c>
      <c r="N112" s="28"/>
      <c r="O112" s="83"/>
      <c r="P112" s="13" t="str">
        <f t="shared" si="69"/>
        <v>SI</v>
      </c>
      <c r="Q112" s="48">
        <f>IF(D112="INCLUIDO",IF(F112&lt;&gt;0,1,0),0)</f>
        <v>1</v>
      </c>
    </row>
    <row r="113" spans="1:22" ht="15" customHeight="1" x14ac:dyDescent="0.3">
      <c r="A113" s="34" t="s">
        <v>1233</v>
      </c>
      <c r="B113" s="36">
        <v>76</v>
      </c>
      <c r="C113" s="29" t="s">
        <v>1237</v>
      </c>
      <c r="D113" s="29" t="str">
        <f>$D$100</f>
        <v>INCLUIDO</v>
      </c>
      <c r="E113" s="27" t="s">
        <v>1137</v>
      </c>
      <c r="F113" s="20">
        <f>F112*S113</f>
        <v>13000</v>
      </c>
      <c r="G113" s="21">
        <f>G112</f>
        <v>1.098901098901099E-2</v>
      </c>
      <c r="H113" s="9">
        <f t="shared" ref="H113:H114" si="110">(IF(I113="$ Prima",G113,G113*F113/R113))*$U$9</f>
        <v>1.4285714285714286</v>
      </c>
      <c r="I113" s="9" t="s">
        <v>1235</v>
      </c>
      <c r="J113" s="9">
        <f t="shared" ref="J113:J114" si="111">H113*$U$7</f>
        <v>3.0142857142857145E-2</v>
      </c>
      <c r="K113" s="9">
        <f t="shared" ref="K113:K114" si="112">(H113+J113)*$K$15</f>
        <v>0.23339428571428575</v>
      </c>
      <c r="L113" s="9">
        <f t="shared" ref="L113:L114" si="113">ROUND(H113+J113+K113,2)</f>
        <v>1.69</v>
      </c>
      <c r="M113" s="11">
        <f>$M$112</f>
        <v>0.1</v>
      </c>
      <c r="N113" s="9">
        <f t="shared" ref="N113:N114" si="114">H113*M113</f>
        <v>0.14285714285714288</v>
      </c>
      <c r="O113" s="12">
        <f t="shared" ref="O113:O114" si="115">N113</f>
        <v>0.14285714285714288</v>
      </c>
      <c r="P113" s="13" t="str">
        <f t="shared" si="69"/>
        <v>SI</v>
      </c>
      <c r="Q113">
        <f>IF(D113="INCLUIDO",IF(F113&lt;&gt;0,1,0),0)</f>
        <v>1</v>
      </c>
      <c r="R113">
        <f>IF(I113="%o Al Millar",1000,IF(I113="% Al Porciento",100,IF(I113="$ Prima",G113)))</f>
        <v>100</v>
      </c>
      <c r="S113">
        <f t="shared" ref="S113:S114" si="116">IF(E113="Excluido",0,IF(D113="NO APLICA",0,1))</f>
        <v>1</v>
      </c>
    </row>
    <row r="114" spans="1:22" ht="15" hidden="1" customHeight="1" x14ac:dyDescent="0.3">
      <c r="A114" s="34" t="s">
        <v>1233</v>
      </c>
      <c r="B114" s="36"/>
      <c r="C114" s="81">
        <f>$O$12</f>
        <v>0</v>
      </c>
      <c r="D114" s="29" t="str">
        <f>$D$100</f>
        <v>INCLUIDO</v>
      </c>
      <c r="E114" s="27" t="str">
        <f>E113</f>
        <v>Sublimite</v>
      </c>
      <c r="F114" s="9">
        <f>(F113*$O$12)*S114</f>
        <v>0</v>
      </c>
      <c r="G114" s="10">
        <f>G113*0.35</f>
        <v>3.8461538461538464E-3</v>
      </c>
      <c r="H114" s="9">
        <f t="shared" si="110"/>
        <v>0</v>
      </c>
      <c r="I114" s="9" t="s">
        <v>1235</v>
      </c>
      <c r="J114" s="9">
        <f t="shared" si="111"/>
        <v>0</v>
      </c>
      <c r="K114" s="9">
        <f t="shared" si="112"/>
        <v>0</v>
      </c>
      <c r="L114" s="9">
        <f t="shared" si="113"/>
        <v>0</v>
      </c>
      <c r="M114" s="11">
        <f>$M$112</f>
        <v>0.1</v>
      </c>
      <c r="N114" s="9">
        <f t="shared" si="114"/>
        <v>0</v>
      </c>
      <c r="O114" s="12">
        <f t="shared" si="115"/>
        <v>0</v>
      </c>
      <c r="P114" s="13" t="str">
        <f t="shared" si="69"/>
        <v>NO</v>
      </c>
      <c r="Q114">
        <f>IF(D114="INCLUIDO",IF(F114&lt;&gt;0,1,0),0)</f>
        <v>0</v>
      </c>
      <c r="R114">
        <f>IF(I114="%o Al Millar",1000,IF(I114="% Al Porciento",100,IF(I114="$ Prima",G114)))</f>
        <v>100</v>
      </c>
      <c r="S114">
        <f t="shared" si="116"/>
        <v>1</v>
      </c>
    </row>
    <row r="115" spans="1:22" s="18" customFormat="1" ht="15" customHeight="1" thickBot="1" x14ac:dyDescent="0.35">
      <c r="A115" s="24"/>
      <c r="B115" s="26"/>
      <c r="C115" s="15" t="s">
        <v>1177</v>
      </c>
      <c r="D115" s="38" t="str">
        <f>D114</f>
        <v>INCLUIDO</v>
      </c>
      <c r="E115" s="38"/>
      <c r="F115" s="16">
        <f>SUMIF(E113:E114,"Adicional",F113:F114)</f>
        <v>0</v>
      </c>
      <c r="G115" s="17"/>
      <c r="H115" s="16">
        <f>SUM(H113:H114)</f>
        <v>1.4285714285714286</v>
      </c>
      <c r="I115" s="16"/>
      <c r="J115" s="16">
        <f t="shared" ref="J115:L115" si="117">SUM(J113:J114)</f>
        <v>3.0142857142857145E-2</v>
      </c>
      <c r="K115" s="16">
        <f t="shared" si="117"/>
        <v>0.23339428571428575</v>
      </c>
      <c r="L115" s="16">
        <f t="shared" si="117"/>
        <v>1.69</v>
      </c>
      <c r="M115" s="16" t="s">
        <v>1178</v>
      </c>
      <c r="N115" s="16">
        <f t="shared" ref="N115:O115" si="118">SUM(N113:N114)</f>
        <v>0.14285714285714288</v>
      </c>
      <c r="O115" s="84">
        <f t="shared" si="118"/>
        <v>0.14285714285714288</v>
      </c>
      <c r="P115" s="13" t="str">
        <f t="shared" si="69"/>
        <v>SI</v>
      </c>
      <c r="Q115">
        <f>IF(D115="INCLUIDO",IF(H115&lt;&gt;0,1,0),0)</f>
        <v>1</v>
      </c>
    </row>
    <row r="116" spans="1:22" ht="15" thickBot="1" x14ac:dyDescent="0.35">
      <c r="A116" s="82">
        <v>905</v>
      </c>
      <c r="B116" s="33">
        <v>5</v>
      </c>
      <c r="C116" s="19" t="s">
        <v>1239</v>
      </c>
      <c r="D116" s="23" t="str">
        <f>$D$100</f>
        <v>INCLUIDO</v>
      </c>
      <c r="E116" s="91"/>
      <c r="F116" s="132">
        <f>'COTIZACIÓN M.N.'!D85</f>
        <v>270000</v>
      </c>
      <c r="G116" s="132">
        <f>'COTIZACIÓN M.N.'!E85/'Ubicaciones total (2)'!A366</f>
        <v>6.3945054945054938E-3</v>
      </c>
      <c r="H116" s="28"/>
      <c r="I116" s="28"/>
      <c r="J116" s="28"/>
      <c r="K116" s="28"/>
      <c r="L116" s="28"/>
      <c r="M116" s="68">
        <f>M100</f>
        <v>0.1</v>
      </c>
      <c r="N116" s="28"/>
      <c r="O116" s="83"/>
      <c r="P116" s="13" t="str">
        <f t="shared" si="69"/>
        <v>SI</v>
      </c>
      <c r="Q116" s="48">
        <f t="shared" ref="Q116:Q121" si="119">IF(D116="INCLUIDO",IF(F116&lt;&gt;0,1,0),0)</f>
        <v>1</v>
      </c>
      <c r="T116" s="142">
        <f>G116</f>
        <v>6.3945054945054938E-3</v>
      </c>
    </row>
    <row r="117" spans="1:22" x14ac:dyDescent="0.3">
      <c r="A117" s="34" t="s">
        <v>1233</v>
      </c>
      <c r="B117" s="36">
        <v>82</v>
      </c>
      <c r="C117" s="29" t="s">
        <v>1240</v>
      </c>
      <c r="D117" s="29" t="str">
        <f>$D$100</f>
        <v>INCLUIDO</v>
      </c>
      <c r="E117" s="27" t="s">
        <v>1137</v>
      </c>
      <c r="F117" s="20">
        <f>$F$116*S117</f>
        <v>270000</v>
      </c>
      <c r="G117" s="21">
        <f>V117</f>
        <v>2.557802197802197E-3</v>
      </c>
      <c r="H117" s="9">
        <f t="shared" ref="H117:H119" si="120">(((IF(I117="$ Prima",G117,G117*F117/R117))*$U$9)/365)*$J$15</f>
        <v>6.9249866626524144</v>
      </c>
      <c r="I117" s="9" t="s">
        <v>1235</v>
      </c>
      <c r="J117" s="9">
        <f t="shared" ref="J117:J121" si="121">H117*$U$7</f>
        <v>0.14611721858196594</v>
      </c>
      <c r="K117" s="9">
        <f t="shared" ref="K117:K121" si="122">(H117+J117)*$K$15</f>
        <v>1.1313766209975009</v>
      </c>
      <c r="L117" s="9">
        <f t="shared" ref="L117:L121" si="123">ROUND(H117+J117+K117,2)</f>
        <v>8.1999999999999993</v>
      </c>
      <c r="M117" s="11">
        <f>$M$116</f>
        <v>0.1</v>
      </c>
      <c r="N117" s="9">
        <f t="shared" ref="N117:N121" si="124">H117*M117</f>
        <v>0.69249866626524148</v>
      </c>
      <c r="O117" s="12">
        <f t="shared" ref="O117:O121" si="125">N117</f>
        <v>0.69249866626524148</v>
      </c>
      <c r="P117" s="13" t="str">
        <f t="shared" si="69"/>
        <v>SI</v>
      </c>
      <c r="Q117">
        <f t="shared" si="119"/>
        <v>1</v>
      </c>
      <c r="R117">
        <f>IF(I117="%o Al Millar",1000,IF(I117="% Al Porciento",100,IF(I117="$ Prima",G117)))</f>
        <v>100</v>
      </c>
      <c r="S117">
        <f t="shared" ref="S117:S121" si="126">IF(E117="Excluido",0,IF(D117="NO APLICA",0,1))</f>
        <v>1</v>
      </c>
      <c r="T117" s="110">
        <v>0.4</v>
      </c>
      <c r="U117" s="111">
        <f>IF(E117="Excluido",0,$T$116*T117)</f>
        <v>2.5578021978021979E-3</v>
      </c>
      <c r="V117" s="111">
        <f>IF(F116=0,0,(U120-U118-U119)+(T116-U120))</f>
        <v>2.557802197802197E-3</v>
      </c>
    </row>
    <row r="118" spans="1:22" x14ac:dyDescent="0.3">
      <c r="A118" s="34" t="s">
        <v>1233</v>
      </c>
      <c r="B118" s="36">
        <v>83</v>
      </c>
      <c r="C118" s="29" t="s">
        <v>1241</v>
      </c>
      <c r="D118" s="29" t="str">
        <f>$D$100</f>
        <v>INCLUIDO</v>
      </c>
      <c r="E118" s="27" t="s">
        <v>1137</v>
      </c>
      <c r="F118" s="20">
        <f>$F$117*S118</f>
        <v>270000</v>
      </c>
      <c r="G118" s="21">
        <f t="shared" ref="G118:G119" si="127">V118</f>
        <v>2.5578021978021979E-3</v>
      </c>
      <c r="H118" s="9">
        <f t="shared" si="120"/>
        <v>6.924986662652417</v>
      </c>
      <c r="I118" s="9" t="str">
        <f>I117</f>
        <v>% Al Porciento</v>
      </c>
      <c r="J118" s="9">
        <f t="shared" si="121"/>
        <v>0.146117218581966</v>
      </c>
      <c r="K118" s="9">
        <f t="shared" si="122"/>
        <v>1.1313766209975014</v>
      </c>
      <c r="L118" s="9">
        <f t="shared" si="123"/>
        <v>8.1999999999999993</v>
      </c>
      <c r="M118" s="11">
        <f t="shared" ref="M118:M121" si="128">$M$116</f>
        <v>0.1</v>
      </c>
      <c r="N118" s="9">
        <f t="shared" si="124"/>
        <v>0.6924986662652417</v>
      </c>
      <c r="O118" s="12">
        <f t="shared" si="125"/>
        <v>0.6924986662652417</v>
      </c>
      <c r="P118" s="13" t="str">
        <f t="shared" si="69"/>
        <v>SI</v>
      </c>
      <c r="Q118">
        <f t="shared" si="119"/>
        <v>1</v>
      </c>
      <c r="R118">
        <f>IF(I118="%o Al Millar",1000,IF(I118="% Al Porciento",100,IF(I118="$ Prima",G118)))</f>
        <v>100</v>
      </c>
      <c r="S118">
        <f t="shared" si="126"/>
        <v>1</v>
      </c>
      <c r="T118" s="110">
        <v>0.4</v>
      </c>
      <c r="U118" s="111">
        <f t="shared" ref="U118:U119" si="129">IF(E118="Excluido",0,$T$116*T118)</f>
        <v>2.5578021978021979E-3</v>
      </c>
      <c r="V118" s="111">
        <f>IF($F$116=0,0,U118)</f>
        <v>2.5578021978021979E-3</v>
      </c>
    </row>
    <row r="119" spans="1:22" x14ac:dyDescent="0.3">
      <c r="A119" s="34" t="s">
        <v>1233</v>
      </c>
      <c r="B119" s="36">
        <v>79</v>
      </c>
      <c r="C119" s="29" t="s">
        <v>1242</v>
      </c>
      <c r="D119" s="29" t="str">
        <f t="shared" ref="D119:D121" si="130">$D$100</f>
        <v>INCLUIDO</v>
      </c>
      <c r="E119" s="27" t="s">
        <v>1137</v>
      </c>
      <c r="F119" s="20">
        <f>$F$117*S119</f>
        <v>270000</v>
      </c>
      <c r="G119" s="21">
        <f t="shared" si="127"/>
        <v>1.2789010989010989E-3</v>
      </c>
      <c r="H119" s="9">
        <f t="shared" si="120"/>
        <v>3.4624933313262085</v>
      </c>
      <c r="I119" s="9" t="str">
        <f>I117</f>
        <v>% Al Porciento</v>
      </c>
      <c r="J119" s="9">
        <f t="shared" si="121"/>
        <v>7.3058609290982998E-2</v>
      </c>
      <c r="K119" s="9">
        <f t="shared" si="122"/>
        <v>0.56568831049875068</v>
      </c>
      <c r="L119" s="9">
        <f t="shared" si="123"/>
        <v>4.0999999999999996</v>
      </c>
      <c r="M119" s="11">
        <f t="shared" si="128"/>
        <v>0.1</v>
      </c>
      <c r="N119" s="9">
        <f t="shared" si="124"/>
        <v>0.34624933313262085</v>
      </c>
      <c r="O119" s="12">
        <f t="shared" si="125"/>
        <v>0.34624933313262085</v>
      </c>
      <c r="P119" s="13" t="str">
        <f t="shared" si="69"/>
        <v>SI</v>
      </c>
      <c r="Q119">
        <f t="shared" si="119"/>
        <v>1</v>
      </c>
      <c r="R119">
        <f>IF(I119="%o Al Millar",1000,IF(I119="% Al Porciento",100,IF(I119="$ Prima",G119)))</f>
        <v>100</v>
      </c>
      <c r="S119">
        <f t="shared" si="126"/>
        <v>1</v>
      </c>
      <c r="T119" s="110">
        <v>0.2</v>
      </c>
      <c r="U119" s="111">
        <f t="shared" si="129"/>
        <v>1.2789010989010989E-3</v>
      </c>
      <c r="V119" s="111">
        <f>IF($F$116=0,0,U119)</f>
        <v>1.2789010989010989E-3</v>
      </c>
    </row>
    <row r="120" spans="1:22" ht="15" hidden="1" customHeight="1" thickBot="1" x14ac:dyDescent="0.35">
      <c r="A120" s="34" t="s">
        <v>1233</v>
      </c>
      <c r="B120" s="36">
        <v>80</v>
      </c>
      <c r="C120" s="29" t="s">
        <v>1243</v>
      </c>
      <c r="D120" s="29" t="str">
        <f t="shared" si="130"/>
        <v>INCLUIDO</v>
      </c>
      <c r="E120" s="27" t="s">
        <v>1186</v>
      </c>
      <c r="F120" s="43">
        <v>0</v>
      </c>
      <c r="G120" s="42">
        <v>0</v>
      </c>
      <c r="H120" s="9">
        <f t="shared" ref="H120:H121" si="131">(IF(I120="$ Prima",G120,G120*F120/R120))*$U$9</f>
        <v>0</v>
      </c>
      <c r="I120" s="9" t="s">
        <v>1235</v>
      </c>
      <c r="J120" s="9">
        <f t="shared" si="121"/>
        <v>0</v>
      </c>
      <c r="K120" s="9">
        <f t="shared" si="122"/>
        <v>0</v>
      </c>
      <c r="L120" s="9">
        <f t="shared" si="123"/>
        <v>0</v>
      </c>
      <c r="M120" s="11">
        <f t="shared" si="128"/>
        <v>0.1</v>
      </c>
      <c r="N120" s="9">
        <f t="shared" si="124"/>
        <v>0</v>
      </c>
      <c r="O120" s="12">
        <f t="shared" si="125"/>
        <v>0</v>
      </c>
      <c r="P120" s="13" t="str">
        <f t="shared" si="69"/>
        <v>NO</v>
      </c>
      <c r="Q120" s="48">
        <f t="shared" si="119"/>
        <v>0</v>
      </c>
      <c r="R120">
        <f>IF(I120="%o Al Millar",1000,IF(I120="% Al Porciento",100,IF(I120="$ Prima",G120)))</f>
        <v>100</v>
      </c>
      <c r="S120">
        <f t="shared" si="126"/>
        <v>0</v>
      </c>
      <c r="T120" s="143">
        <f>SUM(T117:T119)</f>
        <v>1</v>
      </c>
      <c r="U120" s="144">
        <f>SUM(U117:U119)</f>
        <v>6.3945054945054947E-3</v>
      </c>
      <c r="V120" s="145">
        <f>SUM(V117:V119)</f>
        <v>6.3945054945054938E-3</v>
      </c>
    </row>
    <row r="121" spans="1:22" ht="15" hidden="1" customHeight="1" x14ac:dyDescent="0.3">
      <c r="A121" s="34" t="s">
        <v>1233</v>
      </c>
      <c r="B121" s="36">
        <v>78</v>
      </c>
      <c r="C121" s="29" t="s">
        <v>1244</v>
      </c>
      <c r="D121" s="29" t="str">
        <f t="shared" si="130"/>
        <v>INCLUIDO</v>
      </c>
      <c r="E121" s="27" t="s">
        <v>1186</v>
      </c>
      <c r="F121" s="43">
        <v>0</v>
      </c>
      <c r="G121" s="42">
        <v>0</v>
      </c>
      <c r="H121" s="9">
        <f t="shared" si="131"/>
        <v>0</v>
      </c>
      <c r="I121" s="9" t="s">
        <v>1235</v>
      </c>
      <c r="J121" s="9">
        <f t="shared" si="121"/>
        <v>0</v>
      </c>
      <c r="K121" s="9">
        <f t="shared" si="122"/>
        <v>0</v>
      </c>
      <c r="L121" s="9">
        <f t="shared" si="123"/>
        <v>0</v>
      </c>
      <c r="M121" s="11">
        <f t="shared" si="128"/>
        <v>0.1</v>
      </c>
      <c r="N121" s="9">
        <f t="shared" si="124"/>
        <v>0</v>
      </c>
      <c r="O121" s="12">
        <f t="shared" si="125"/>
        <v>0</v>
      </c>
      <c r="P121" s="13" t="str">
        <f t="shared" si="69"/>
        <v>NO</v>
      </c>
      <c r="Q121" s="48">
        <f t="shared" si="119"/>
        <v>0</v>
      </c>
      <c r="R121">
        <f>IF(I121="%o Al Millar",1000,IF(I121="% Al Porciento",100,IF(I121="$ Prima",G121)))</f>
        <v>100</v>
      </c>
      <c r="S121">
        <f t="shared" si="126"/>
        <v>0</v>
      </c>
    </row>
    <row r="122" spans="1:22" s="18" customFormat="1" x14ac:dyDescent="0.3">
      <c r="A122" s="24"/>
      <c r="B122" s="26"/>
      <c r="C122" s="15" t="s">
        <v>1177</v>
      </c>
      <c r="D122" s="38" t="str">
        <f>D121</f>
        <v>INCLUIDO</v>
      </c>
      <c r="E122" s="38"/>
      <c r="F122" s="16">
        <f>SUMIF(E117:E121,"Adicional",F117:F121)</f>
        <v>0</v>
      </c>
      <c r="G122" s="17"/>
      <c r="H122" s="16">
        <f>SUM(H117:H121)</f>
        <v>17.312466656631038</v>
      </c>
      <c r="I122" s="16"/>
      <c r="J122" s="16">
        <f t="shared" ref="J122:L122" si="132">SUM(J117:J121)</f>
        <v>0.36529304645491495</v>
      </c>
      <c r="K122" s="16">
        <f t="shared" si="132"/>
        <v>2.8284415524937527</v>
      </c>
      <c r="L122" s="16">
        <f t="shared" si="132"/>
        <v>20.5</v>
      </c>
      <c r="M122" s="16" t="s">
        <v>1178</v>
      </c>
      <c r="N122" s="16">
        <f t="shared" ref="N122:O122" si="133">SUM(N117:N121)</f>
        <v>1.731246665663104</v>
      </c>
      <c r="O122" s="84">
        <f t="shared" si="133"/>
        <v>1.731246665663104</v>
      </c>
      <c r="P122" s="13" t="str">
        <f t="shared" si="69"/>
        <v>SI</v>
      </c>
      <c r="Q122">
        <f>IF(D122="INCLUIDO",IF(H122&lt;&gt;0,1,0),0)</f>
        <v>1</v>
      </c>
    </row>
    <row r="123" spans="1:22" ht="15" hidden="1" thickBot="1" x14ac:dyDescent="0.35">
      <c r="A123" s="82">
        <v>905</v>
      </c>
      <c r="B123" s="33">
        <v>6</v>
      </c>
      <c r="C123" s="19" t="s">
        <v>1245</v>
      </c>
      <c r="D123" s="23" t="str">
        <f>$D$100</f>
        <v>INCLUIDO</v>
      </c>
      <c r="E123" s="91"/>
      <c r="F123" s="132">
        <v>0</v>
      </c>
      <c r="G123" s="132">
        <v>0</v>
      </c>
      <c r="H123" s="28"/>
      <c r="I123" s="28"/>
      <c r="J123" s="28"/>
      <c r="K123" s="28"/>
      <c r="L123" s="28"/>
      <c r="M123" s="68">
        <v>0</v>
      </c>
      <c r="N123" s="28"/>
      <c r="O123" s="83"/>
      <c r="P123" s="13" t="str">
        <f t="shared" si="69"/>
        <v>NO</v>
      </c>
      <c r="Q123" s="48">
        <f t="shared" ref="Q123:Q128" si="134">IF(D123="INCLUIDO",IF(F123&lt;&gt;0,1,0),0)</f>
        <v>0</v>
      </c>
      <c r="S123">
        <f t="shared" ref="S123:S128" si="135">IF(E123="Excluido",0,IF(D123="NO APLICA",0,1))</f>
        <v>1</v>
      </c>
      <c r="T123" s="142">
        <f>G123</f>
        <v>0</v>
      </c>
    </row>
    <row r="124" spans="1:22" ht="15" hidden="1" customHeight="1" x14ac:dyDescent="0.3">
      <c r="A124" s="34" t="s">
        <v>1233</v>
      </c>
      <c r="B124" s="36">
        <v>88</v>
      </c>
      <c r="C124" s="29" t="s">
        <v>1240</v>
      </c>
      <c r="D124" s="29" t="str">
        <f>$D$100</f>
        <v>INCLUIDO</v>
      </c>
      <c r="E124" s="27" t="s">
        <v>1186</v>
      </c>
      <c r="F124" s="20">
        <f>$F$123*S124</f>
        <v>0</v>
      </c>
      <c r="G124" s="21">
        <f>V124</f>
        <v>0</v>
      </c>
      <c r="H124" s="9">
        <f t="shared" ref="H124:H128" si="136">(IF(I124="$ Prima",G124,G124*F124/R124))*$U$9</f>
        <v>0</v>
      </c>
      <c r="I124" s="9" t="s">
        <v>1235</v>
      </c>
      <c r="J124" s="9">
        <f t="shared" ref="J124:J128" si="137">H124*$U$7</f>
        <v>0</v>
      </c>
      <c r="K124" s="9">
        <f t="shared" ref="K124:K128" si="138">(H124+J124)*$K$15</f>
        <v>0</v>
      </c>
      <c r="L124" s="9">
        <f t="shared" ref="L124:L128" si="139">ROUND(H124+J124+K124,2)</f>
        <v>0</v>
      </c>
      <c r="M124" s="11">
        <f>$M$123</f>
        <v>0</v>
      </c>
      <c r="N124" s="9">
        <f t="shared" ref="N124:N128" si="140">H124*M124</f>
        <v>0</v>
      </c>
      <c r="O124" s="12">
        <f t="shared" ref="O124:O128" si="141">N124</f>
        <v>0</v>
      </c>
      <c r="P124" s="13" t="str">
        <f t="shared" si="69"/>
        <v>NO</v>
      </c>
      <c r="Q124">
        <f t="shared" si="134"/>
        <v>0</v>
      </c>
      <c r="R124">
        <f>IF(I124="%o Al Millar",1000,IF(I124="% Al Porciento",100,IF(I124="$ Prima",G124)))</f>
        <v>100</v>
      </c>
      <c r="S124">
        <f t="shared" si="135"/>
        <v>0</v>
      </c>
      <c r="T124" s="110">
        <v>0.9</v>
      </c>
      <c r="U124" s="111">
        <f>IF(E124="Excluido",0,$T$123*T124)</f>
        <v>0</v>
      </c>
      <c r="V124" s="111">
        <f>IF(F123=0,0,(U127-U125-U126)+(T123-U127))</f>
        <v>0</v>
      </c>
    </row>
    <row r="125" spans="1:22" ht="15" hidden="1" customHeight="1" x14ac:dyDescent="0.3">
      <c r="A125" s="34" t="s">
        <v>1233</v>
      </c>
      <c r="B125" s="36">
        <v>89</v>
      </c>
      <c r="C125" s="29" t="s">
        <v>1241</v>
      </c>
      <c r="D125" s="29" t="str">
        <f>$D$100</f>
        <v>INCLUIDO</v>
      </c>
      <c r="E125" s="27" t="s">
        <v>1186</v>
      </c>
      <c r="F125" s="20">
        <f>$F$124*S125</f>
        <v>0</v>
      </c>
      <c r="G125" s="21">
        <f t="shared" ref="G125:G126" si="142">V125</f>
        <v>0</v>
      </c>
      <c r="H125" s="9">
        <f t="shared" si="136"/>
        <v>0</v>
      </c>
      <c r="I125" s="9" t="s">
        <v>1235</v>
      </c>
      <c r="J125" s="9">
        <f t="shared" si="137"/>
        <v>0</v>
      </c>
      <c r="K125" s="9">
        <f t="shared" si="138"/>
        <v>0</v>
      </c>
      <c r="L125" s="9">
        <f t="shared" si="139"/>
        <v>0</v>
      </c>
      <c r="M125" s="11">
        <f t="shared" ref="M125:M128" si="143">$M$123</f>
        <v>0</v>
      </c>
      <c r="N125" s="9">
        <f t="shared" si="140"/>
        <v>0</v>
      </c>
      <c r="O125" s="12">
        <f t="shared" si="141"/>
        <v>0</v>
      </c>
      <c r="P125" s="13" t="str">
        <f t="shared" si="69"/>
        <v>NO</v>
      </c>
      <c r="Q125">
        <f t="shared" si="134"/>
        <v>0</v>
      </c>
      <c r="R125">
        <f>IF(I125="%o Al Millar",1000,IF(I125="% Al Porciento",100,IF(I125="$ Prima",G125)))</f>
        <v>100</v>
      </c>
      <c r="S125">
        <f t="shared" si="135"/>
        <v>0</v>
      </c>
      <c r="T125" s="110">
        <v>0.05</v>
      </c>
      <c r="U125" s="111">
        <f t="shared" ref="U125:U126" si="144">IF(E125="Excluido",0,$T$123*T125)</f>
        <v>0</v>
      </c>
      <c r="V125" s="111">
        <f>IF($F$123=0,0,U125)</f>
        <v>0</v>
      </c>
    </row>
    <row r="126" spans="1:22" ht="15" hidden="1" customHeight="1" thickBot="1" x14ac:dyDescent="0.35">
      <c r="A126" s="34" t="s">
        <v>1233</v>
      </c>
      <c r="B126" s="36">
        <v>85</v>
      </c>
      <c r="C126" s="29" t="s">
        <v>1242</v>
      </c>
      <c r="D126" s="29" t="str">
        <f t="shared" ref="D126:D128" si="145">$D$100</f>
        <v>INCLUIDO</v>
      </c>
      <c r="E126" s="27" t="s">
        <v>1186</v>
      </c>
      <c r="F126" s="20">
        <f>$F$124*S126</f>
        <v>0</v>
      </c>
      <c r="G126" s="21">
        <f t="shared" si="142"/>
        <v>0</v>
      </c>
      <c r="H126" s="9">
        <f t="shared" si="136"/>
        <v>0</v>
      </c>
      <c r="I126" s="9" t="s">
        <v>1235</v>
      </c>
      <c r="J126" s="9">
        <f t="shared" si="137"/>
        <v>0</v>
      </c>
      <c r="K126" s="9">
        <f t="shared" si="138"/>
        <v>0</v>
      </c>
      <c r="L126" s="9">
        <f t="shared" si="139"/>
        <v>0</v>
      </c>
      <c r="M126" s="11">
        <f t="shared" si="143"/>
        <v>0</v>
      </c>
      <c r="N126" s="9">
        <f t="shared" si="140"/>
        <v>0</v>
      </c>
      <c r="O126" s="12">
        <f t="shared" si="141"/>
        <v>0</v>
      </c>
      <c r="P126" s="13" t="str">
        <f t="shared" si="69"/>
        <v>NO</v>
      </c>
      <c r="Q126">
        <f t="shared" si="134"/>
        <v>0</v>
      </c>
      <c r="R126">
        <f>IF(I126="%o Al Millar",1000,IF(I126="% Al Porciento",100,IF(I126="$ Prima",G126)))</f>
        <v>100</v>
      </c>
      <c r="S126">
        <f t="shared" si="135"/>
        <v>0</v>
      </c>
      <c r="T126" s="110">
        <v>0.05</v>
      </c>
      <c r="U126" s="111">
        <f t="shared" si="144"/>
        <v>0</v>
      </c>
      <c r="V126" s="111">
        <f>IF($F$123=0,0,U126)</f>
        <v>0</v>
      </c>
    </row>
    <row r="127" spans="1:22" ht="15" hidden="1" customHeight="1" thickBot="1" x14ac:dyDescent="0.35">
      <c r="A127" s="34" t="s">
        <v>1233</v>
      </c>
      <c r="B127" s="36">
        <v>86</v>
      </c>
      <c r="C127" s="29" t="s">
        <v>1243</v>
      </c>
      <c r="D127" s="29" t="str">
        <f t="shared" si="145"/>
        <v>INCLUIDO</v>
      </c>
      <c r="E127" s="27" t="s">
        <v>1186</v>
      </c>
      <c r="F127" s="43">
        <v>0</v>
      </c>
      <c r="G127" s="113">
        <v>0</v>
      </c>
      <c r="H127" s="9">
        <f t="shared" si="136"/>
        <v>0</v>
      </c>
      <c r="I127" s="9" t="s">
        <v>1235</v>
      </c>
      <c r="J127" s="9">
        <f t="shared" si="137"/>
        <v>0</v>
      </c>
      <c r="K127" s="9">
        <f t="shared" si="138"/>
        <v>0</v>
      </c>
      <c r="L127" s="9">
        <f t="shared" si="139"/>
        <v>0</v>
      </c>
      <c r="M127" s="11">
        <f t="shared" si="143"/>
        <v>0</v>
      </c>
      <c r="N127" s="9">
        <f t="shared" si="140"/>
        <v>0</v>
      </c>
      <c r="O127" s="12">
        <f t="shared" si="141"/>
        <v>0</v>
      </c>
      <c r="P127" s="13" t="str">
        <f t="shared" si="69"/>
        <v>NO</v>
      </c>
      <c r="Q127" s="48">
        <f t="shared" si="134"/>
        <v>0</v>
      </c>
      <c r="R127">
        <f>IF(I127="%o Al Millar",1000,IF(I127="% Al Porciento",100,IF(I127="$ Prima",G127)))</f>
        <v>100</v>
      </c>
      <c r="S127">
        <f t="shared" si="135"/>
        <v>0</v>
      </c>
      <c r="T127" s="143">
        <f>SUM(T124:T126)</f>
        <v>1</v>
      </c>
      <c r="U127" s="144">
        <f>SUM(U124:U126)</f>
        <v>0</v>
      </c>
      <c r="V127" s="145">
        <f>SUM(V124:V126)</f>
        <v>0</v>
      </c>
    </row>
    <row r="128" spans="1:22" ht="15" hidden="1" customHeight="1" x14ac:dyDescent="0.3">
      <c r="A128" s="34" t="s">
        <v>1233</v>
      </c>
      <c r="B128" s="36">
        <v>84</v>
      </c>
      <c r="C128" s="29" t="s">
        <v>1244</v>
      </c>
      <c r="D128" s="29" t="str">
        <f t="shared" si="145"/>
        <v>INCLUIDO</v>
      </c>
      <c r="E128" s="27" t="s">
        <v>1186</v>
      </c>
      <c r="F128" s="43">
        <v>0</v>
      </c>
      <c r="G128" s="113">
        <v>0</v>
      </c>
      <c r="H128" s="9">
        <f t="shared" si="136"/>
        <v>0</v>
      </c>
      <c r="I128" s="9" t="s">
        <v>1235</v>
      </c>
      <c r="J128" s="9">
        <f t="shared" si="137"/>
        <v>0</v>
      </c>
      <c r="K128" s="9">
        <f t="shared" si="138"/>
        <v>0</v>
      </c>
      <c r="L128" s="9">
        <f t="shared" si="139"/>
        <v>0</v>
      </c>
      <c r="M128" s="11">
        <f t="shared" si="143"/>
        <v>0</v>
      </c>
      <c r="N128" s="9">
        <f t="shared" si="140"/>
        <v>0</v>
      </c>
      <c r="O128" s="12">
        <f t="shared" si="141"/>
        <v>0</v>
      </c>
      <c r="P128" s="13" t="str">
        <f t="shared" si="69"/>
        <v>NO</v>
      </c>
      <c r="Q128" s="48">
        <f t="shared" si="134"/>
        <v>0</v>
      </c>
      <c r="R128">
        <f>IF(I128="%o Al Millar",1000,IF(I128="% Al Porciento",100,IF(I128="$ Prima",G128)))</f>
        <v>100</v>
      </c>
      <c r="S128">
        <f t="shared" si="135"/>
        <v>0</v>
      </c>
    </row>
    <row r="129" spans="1:19" s="18" customFormat="1" ht="15" hidden="1" customHeight="1" x14ac:dyDescent="0.3">
      <c r="A129" s="24"/>
      <c r="B129" s="26"/>
      <c r="C129" s="15" t="s">
        <v>1177</v>
      </c>
      <c r="D129" s="38" t="str">
        <f>D128</f>
        <v>INCLUIDO</v>
      </c>
      <c r="E129" s="38"/>
      <c r="F129" s="16">
        <f>SUMIF(E124:E128,"Adicional",F124:F128)</f>
        <v>0</v>
      </c>
      <c r="G129" s="17"/>
      <c r="H129" s="16">
        <f>SUM(H124:H128)</f>
        <v>0</v>
      </c>
      <c r="I129" s="16"/>
      <c r="J129" s="16">
        <f t="shared" ref="J129:L129" si="146">SUM(J124:J128)</f>
        <v>0</v>
      </c>
      <c r="K129" s="16">
        <f t="shared" si="146"/>
        <v>0</v>
      </c>
      <c r="L129" s="16">
        <f t="shared" si="146"/>
        <v>0</v>
      </c>
      <c r="M129" s="16" t="s">
        <v>1178</v>
      </c>
      <c r="N129" s="16">
        <f t="shared" ref="N129:O129" si="147">SUM(N124:N128)</f>
        <v>0</v>
      </c>
      <c r="O129" s="84">
        <f t="shared" si="147"/>
        <v>0</v>
      </c>
      <c r="P129" s="13" t="str">
        <f t="shared" si="69"/>
        <v>NO</v>
      </c>
      <c r="Q129">
        <f>IF(D129="INCLUIDO",IF(H129&lt;&gt;0,1,0),0)</f>
        <v>0</v>
      </c>
    </row>
    <row r="130" spans="1:19" x14ac:dyDescent="0.3">
      <c r="A130" s="82">
        <v>905</v>
      </c>
      <c r="B130" s="33">
        <v>7</v>
      </c>
      <c r="C130" s="19" t="s">
        <v>1246</v>
      </c>
      <c r="D130" s="23" t="str">
        <f>$D$100</f>
        <v>INCLUIDO</v>
      </c>
      <c r="E130" s="91"/>
      <c r="F130" s="208">
        <f>'COTIZACIÓN M.N.'!D88</f>
        <v>54000</v>
      </c>
      <c r="G130" s="28">
        <f>'COTIZACIÓN M.N.'!E88/'Ubicaciones total (2)'!A366</f>
        <v>3.2967032967032968E-2</v>
      </c>
      <c r="H130" s="28"/>
      <c r="I130" s="28"/>
      <c r="J130" s="28"/>
      <c r="K130" s="28"/>
      <c r="L130" s="28"/>
      <c r="M130" s="68">
        <f>M100</f>
        <v>0.1</v>
      </c>
      <c r="N130" s="28"/>
      <c r="O130" s="83"/>
      <c r="P130" s="13" t="str">
        <f t="shared" si="69"/>
        <v>SI</v>
      </c>
      <c r="Q130" s="47">
        <f>IF(D130="INCLUIDO",IF(F131&lt;&gt;0,1,0),0)</f>
        <v>1</v>
      </c>
    </row>
    <row r="131" spans="1:19" x14ac:dyDescent="0.3">
      <c r="A131" s="34" t="s">
        <v>1233</v>
      </c>
      <c r="B131" s="36">
        <v>92</v>
      </c>
      <c r="C131" s="29" t="s">
        <v>1247</v>
      </c>
      <c r="D131" s="29" t="str">
        <f>$D$100</f>
        <v>INCLUIDO</v>
      </c>
      <c r="E131" s="27" t="s">
        <v>1137</v>
      </c>
      <c r="F131" s="43">
        <f>F130</f>
        <v>54000</v>
      </c>
      <c r="G131" s="43">
        <f>G130</f>
        <v>3.2967032967032968E-2</v>
      </c>
      <c r="H131" s="9">
        <f>(((IF(I131="$ Prima",G131,G131*F131/R131))*$U$9)/365)*$J$15</f>
        <v>17.850970946861359</v>
      </c>
      <c r="I131" s="9" t="s">
        <v>1235</v>
      </c>
      <c r="J131" s="9">
        <f t="shared" ref="J131:J136" si="148">H131*$U$7</f>
        <v>0.37665548697877471</v>
      </c>
      <c r="K131" s="9">
        <f t="shared" ref="K131:K136" si="149">(H131+J131)*$K$15</f>
        <v>2.9164202294144213</v>
      </c>
      <c r="L131" s="9">
        <f t="shared" ref="L131:L136" si="150">ROUND(H131+J131+K131,2)</f>
        <v>21.14</v>
      </c>
      <c r="M131" s="11">
        <f>$M$130</f>
        <v>0.1</v>
      </c>
      <c r="N131" s="9">
        <f t="shared" ref="N131:N136" si="151">H131*M131</f>
        <v>1.785097094686136</v>
      </c>
      <c r="O131" s="12">
        <f t="shared" ref="O131:O136" si="152">N131</f>
        <v>1.785097094686136</v>
      </c>
      <c r="P131" s="13" t="str">
        <f t="shared" si="69"/>
        <v>SI</v>
      </c>
      <c r="Q131" s="48">
        <f t="shared" ref="Q131:Q136" si="153">IF(D131="INCLUIDO",IF(F131&lt;&gt;0,1,0),0)</f>
        <v>1</v>
      </c>
      <c r="R131">
        <f t="shared" ref="R131:R136" si="154">IF(I131="%o Al Millar",1000,IF(I131="% Al Porciento",100,IF(I131="$ Prima",G131)))</f>
        <v>100</v>
      </c>
      <c r="S131">
        <f t="shared" ref="S131:S136" si="155">IF(E131="Excluido",0,IF(D131="NO APLICA",0,1))</f>
        <v>1</v>
      </c>
    </row>
    <row r="132" spans="1:19" ht="15" hidden="1" customHeight="1" x14ac:dyDescent="0.3">
      <c r="A132" s="34" t="s">
        <v>1233</v>
      </c>
      <c r="B132" s="36">
        <v>91</v>
      </c>
      <c r="C132" s="29" t="s">
        <v>1248</v>
      </c>
      <c r="D132" s="29" t="str">
        <f>$D$100</f>
        <v>INCLUIDO</v>
      </c>
      <c r="E132" s="27" t="s">
        <v>1186</v>
      </c>
      <c r="F132" s="43">
        <v>0</v>
      </c>
      <c r="G132" s="42">
        <v>0</v>
      </c>
      <c r="H132" s="9">
        <f t="shared" ref="H132:H136" si="156">(IF(I132="$ Prima",G132,G132*F132/R132))*$U$9</f>
        <v>0</v>
      </c>
      <c r="I132" s="9" t="s">
        <v>1235</v>
      </c>
      <c r="J132" s="9">
        <f t="shared" si="148"/>
        <v>0</v>
      </c>
      <c r="K132" s="9">
        <f t="shared" si="149"/>
        <v>0</v>
      </c>
      <c r="L132" s="9">
        <f t="shared" si="150"/>
        <v>0</v>
      </c>
      <c r="M132" s="11">
        <f t="shared" ref="M132:M136" si="157">$M$130</f>
        <v>0.1</v>
      </c>
      <c r="N132" s="9">
        <f t="shared" si="151"/>
        <v>0</v>
      </c>
      <c r="O132" s="12">
        <f t="shared" si="152"/>
        <v>0</v>
      </c>
      <c r="P132" s="13" t="str">
        <f t="shared" si="69"/>
        <v>NO</v>
      </c>
      <c r="Q132" s="48">
        <f t="shared" si="153"/>
        <v>0</v>
      </c>
      <c r="R132">
        <f t="shared" si="154"/>
        <v>100</v>
      </c>
      <c r="S132">
        <f t="shared" si="155"/>
        <v>0</v>
      </c>
    </row>
    <row r="133" spans="1:19" ht="15" hidden="1" customHeight="1" x14ac:dyDescent="0.3">
      <c r="A133" s="34" t="s">
        <v>1233</v>
      </c>
      <c r="B133" s="36">
        <v>96</v>
      </c>
      <c r="C133" s="29" t="s">
        <v>1249</v>
      </c>
      <c r="D133" s="29" t="str">
        <f t="shared" ref="D133:D136" si="158">$D$100</f>
        <v>INCLUIDO</v>
      </c>
      <c r="E133" s="27" t="s">
        <v>1186</v>
      </c>
      <c r="F133" s="43">
        <v>0</v>
      </c>
      <c r="G133" s="42">
        <v>0</v>
      </c>
      <c r="H133" s="9">
        <f t="shared" si="156"/>
        <v>0</v>
      </c>
      <c r="I133" s="9" t="s">
        <v>1235</v>
      </c>
      <c r="J133" s="9">
        <f t="shared" si="148"/>
        <v>0</v>
      </c>
      <c r="K133" s="9">
        <f t="shared" si="149"/>
        <v>0</v>
      </c>
      <c r="L133" s="9">
        <f t="shared" si="150"/>
        <v>0</v>
      </c>
      <c r="M133" s="11">
        <f t="shared" si="157"/>
        <v>0.1</v>
      </c>
      <c r="N133" s="9">
        <f t="shared" si="151"/>
        <v>0</v>
      </c>
      <c r="O133" s="12">
        <f t="shared" si="152"/>
        <v>0</v>
      </c>
      <c r="P133" s="13" t="str">
        <f t="shared" si="69"/>
        <v>NO</v>
      </c>
      <c r="Q133" s="48">
        <f t="shared" si="153"/>
        <v>0</v>
      </c>
      <c r="R133">
        <f t="shared" si="154"/>
        <v>100</v>
      </c>
      <c r="S133">
        <f t="shared" si="155"/>
        <v>0</v>
      </c>
    </row>
    <row r="134" spans="1:19" ht="22.5" hidden="1" customHeight="1" x14ac:dyDescent="0.3">
      <c r="A134" s="34" t="s">
        <v>1233</v>
      </c>
      <c r="B134" s="36">
        <v>94</v>
      </c>
      <c r="C134" s="29" t="s">
        <v>1250</v>
      </c>
      <c r="D134" s="29" t="str">
        <f t="shared" si="158"/>
        <v>INCLUIDO</v>
      </c>
      <c r="E134" s="27" t="s">
        <v>1186</v>
      </c>
      <c r="F134" s="43">
        <v>0</v>
      </c>
      <c r="G134" s="42">
        <v>0</v>
      </c>
      <c r="H134" s="9">
        <f t="shared" si="156"/>
        <v>0</v>
      </c>
      <c r="I134" s="9" t="s">
        <v>1235</v>
      </c>
      <c r="J134" s="9">
        <f t="shared" si="148"/>
        <v>0</v>
      </c>
      <c r="K134" s="9">
        <f t="shared" si="149"/>
        <v>0</v>
      </c>
      <c r="L134" s="9">
        <f t="shared" si="150"/>
        <v>0</v>
      </c>
      <c r="M134" s="11">
        <f t="shared" si="157"/>
        <v>0.1</v>
      </c>
      <c r="N134" s="9">
        <f t="shared" si="151"/>
        <v>0</v>
      </c>
      <c r="O134" s="12">
        <f t="shared" si="152"/>
        <v>0</v>
      </c>
      <c r="P134" s="13" t="str">
        <f t="shared" si="69"/>
        <v>NO</v>
      </c>
      <c r="Q134" s="48">
        <f t="shared" si="153"/>
        <v>0</v>
      </c>
      <c r="R134">
        <f t="shared" si="154"/>
        <v>100</v>
      </c>
      <c r="S134">
        <f t="shared" si="155"/>
        <v>0</v>
      </c>
    </row>
    <row r="135" spans="1:19" ht="15" hidden="1" customHeight="1" x14ac:dyDescent="0.3">
      <c r="A135" s="34" t="s">
        <v>1233</v>
      </c>
      <c r="B135" s="36">
        <v>93</v>
      </c>
      <c r="C135" s="29" t="s">
        <v>1251</v>
      </c>
      <c r="D135" s="29" t="str">
        <f t="shared" si="158"/>
        <v>INCLUIDO</v>
      </c>
      <c r="E135" s="27" t="s">
        <v>1186</v>
      </c>
      <c r="F135" s="43">
        <v>0</v>
      </c>
      <c r="G135" s="42">
        <v>0</v>
      </c>
      <c r="H135" s="9">
        <f t="shared" si="156"/>
        <v>0</v>
      </c>
      <c r="I135" s="9" t="s">
        <v>1235</v>
      </c>
      <c r="J135" s="9">
        <f t="shared" si="148"/>
        <v>0</v>
      </c>
      <c r="K135" s="9">
        <f t="shared" si="149"/>
        <v>0</v>
      </c>
      <c r="L135" s="9">
        <f t="shared" si="150"/>
        <v>0</v>
      </c>
      <c r="M135" s="11">
        <f t="shared" si="157"/>
        <v>0.1</v>
      </c>
      <c r="N135" s="9">
        <f t="shared" si="151"/>
        <v>0</v>
      </c>
      <c r="O135" s="12">
        <f t="shared" si="152"/>
        <v>0</v>
      </c>
      <c r="P135" s="13" t="str">
        <f t="shared" si="69"/>
        <v>NO</v>
      </c>
      <c r="Q135" s="48">
        <f t="shared" si="153"/>
        <v>0</v>
      </c>
      <c r="R135">
        <f t="shared" si="154"/>
        <v>100</v>
      </c>
      <c r="S135">
        <f t="shared" si="155"/>
        <v>0</v>
      </c>
    </row>
    <row r="136" spans="1:19" ht="15" hidden="1" customHeight="1" x14ac:dyDescent="0.3">
      <c r="A136" s="34" t="s">
        <v>1233</v>
      </c>
      <c r="B136" s="36">
        <v>95</v>
      </c>
      <c r="C136" s="29" t="s">
        <v>1252</v>
      </c>
      <c r="D136" s="29" t="str">
        <f t="shared" si="158"/>
        <v>INCLUIDO</v>
      </c>
      <c r="E136" s="27" t="s">
        <v>1186</v>
      </c>
      <c r="F136" s="43">
        <v>0</v>
      </c>
      <c r="G136" s="42">
        <v>0</v>
      </c>
      <c r="H136" s="9">
        <f t="shared" si="156"/>
        <v>0</v>
      </c>
      <c r="I136" s="9" t="s">
        <v>1235</v>
      </c>
      <c r="J136" s="9">
        <f t="shared" si="148"/>
        <v>0</v>
      </c>
      <c r="K136" s="9">
        <f t="shared" si="149"/>
        <v>0</v>
      </c>
      <c r="L136" s="9">
        <f t="shared" si="150"/>
        <v>0</v>
      </c>
      <c r="M136" s="11">
        <f t="shared" si="157"/>
        <v>0.1</v>
      </c>
      <c r="N136" s="9">
        <f t="shared" si="151"/>
        <v>0</v>
      </c>
      <c r="O136" s="12">
        <f t="shared" si="152"/>
        <v>0</v>
      </c>
      <c r="P136" s="13" t="str">
        <f t="shared" si="69"/>
        <v>NO</v>
      </c>
      <c r="Q136" s="48">
        <f t="shared" si="153"/>
        <v>0</v>
      </c>
      <c r="R136">
        <f t="shared" si="154"/>
        <v>100</v>
      </c>
      <c r="S136">
        <f t="shared" si="155"/>
        <v>0</v>
      </c>
    </row>
    <row r="137" spans="1:19" s="18" customFormat="1" ht="15" thickBot="1" x14ac:dyDescent="0.35">
      <c r="A137" s="24"/>
      <c r="B137" s="26"/>
      <c r="C137" s="15" t="s">
        <v>1177</v>
      </c>
      <c r="D137" s="38" t="str">
        <f>D136</f>
        <v>INCLUIDO</v>
      </c>
      <c r="E137" s="38"/>
      <c r="F137" s="16">
        <f>SUMIF(E131:E136,"Adicional",F131:F136)</f>
        <v>0</v>
      </c>
      <c r="G137" s="17"/>
      <c r="H137" s="16">
        <f>SUM(H131:H136)</f>
        <v>17.850970946861359</v>
      </c>
      <c r="I137" s="16"/>
      <c r="J137" s="16">
        <f t="shared" ref="J137:L137" si="159">SUM(J131:J136)</f>
        <v>0.37665548697877471</v>
      </c>
      <c r="K137" s="16">
        <f t="shared" si="159"/>
        <v>2.9164202294144213</v>
      </c>
      <c r="L137" s="16">
        <f t="shared" si="159"/>
        <v>21.14</v>
      </c>
      <c r="M137" s="16" t="s">
        <v>1178</v>
      </c>
      <c r="N137" s="16">
        <f t="shared" ref="N137:O137" si="160">SUM(N131:N136)</f>
        <v>1.785097094686136</v>
      </c>
      <c r="O137" s="84">
        <f t="shared" si="160"/>
        <v>1.785097094686136</v>
      </c>
      <c r="P137" s="13" t="str">
        <f t="shared" si="69"/>
        <v>SI</v>
      </c>
      <c r="Q137">
        <f>IF(D137="INCLUIDO",IF(H137&lt;&gt;0,1,0),0)</f>
        <v>1</v>
      </c>
    </row>
    <row r="138" spans="1:19" ht="15" hidden="1" customHeight="1" x14ac:dyDescent="0.3">
      <c r="A138" s="82">
        <v>905</v>
      </c>
      <c r="B138" s="33">
        <v>8</v>
      </c>
      <c r="C138" s="19" t="s">
        <v>1253</v>
      </c>
      <c r="D138" s="23" t="str">
        <f>$D$100</f>
        <v>INCLUIDO</v>
      </c>
      <c r="E138" s="91"/>
      <c r="F138" s="28"/>
      <c r="G138" s="28"/>
      <c r="H138" s="28"/>
      <c r="I138" s="28"/>
      <c r="J138" s="28"/>
      <c r="K138" s="28"/>
      <c r="L138" s="28"/>
      <c r="M138" s="68">
        <v>0</v>
      </c>
      <c r="N138" s="28"/>
      <c r="O138" s="83"/>
      <c r="P138" s="13" t="str">
        <f t="shared" si="69"/>
        <v>NO</v>
      </c>
      <c r="Q138" s="47">
        <f>IF(D138="INCLUIDO",IF(F139&lt;&gt;0,1,0),0)</f>
        <v>0</v>
      </c>
    </row>
    <row r="139" spans="1:19" ht="15" hidden="1" customHeight="1" x14ac:dyDescent="0.3">
      <c r="A139" s="34" t="s">
        <v>1233</v>
      </c>
      <c r="B139" s="36">
        <v>99</v>
      </c>
      <c r="C139" s="29" t="s">
        <v>1247</v>
      </c>
      <c r="D139" s="29" t="str">
        <f>$D$100</f>
        <v>INCLUIDO</v>
      </c>
      <c r="E139" s="27" t="s">
        <v>1186</v>
      </c>
      <c r="F139" s="43">
        <v>0</v>
      </c>
      <c r="G139" s="43">
        <v>0</v>
      </c>
      <c r="H139" s="9">
        <f t="shared" ref="H139:H144" si="161">(IF(I139="$ Prima",G139,G139*F139/R139))*$U$9</f>
        <v>0</v>
      </c>
      <c r="I139" s="9" t="s">
        <v>1235</v>
      </c>
      <c r="J139" s="9">
        <f t="shared" ref="J139:J144" si="162">H139*$U$7</f>
        <v>0</v>
      </c>
      <c r="K139" s="9">
        <f t="shared" ref="K139:K144" si="163">(H139+J139)*$K$15</f>
        <v>0</v>
      </c>
      <c r="L139" s="9">
        <f t="shared" ref="L139:L144" si="164">ROUND(H139+J139+K139,2)</f>
        <v>0</v>
      </c>
      <c r="M139" s="11">
        <f>$M$138</f>
        <v>0</v>
      </c>
      <c r="N139" s="9">
        <f t="shared" ref="N139:N144" si="165">H139*M139</f>
        <v>0</v>
      </c>
      <c r="O139" s="12">
        <f t="shared" ref="O139:O144" si="166">N139</f>
        <v>0</v>
      </c>
      <c r="P139" s="13" t="str">
        <f t="shared" si="69"/>
        <v>NO</v>
      </c>
      <c r="Q139" s="48">
        <f t="shared" ref="Q139:Q144" si="167">IF(D139="INCLUIDO",IF(F139&lt;&gt;0,1,0),0)</f>
        <v>0</v>
      </c>
      <c r="R139">
        <f t="shared" ref="R139:R144" si="168">IF(I139="%o Al Millar",1000,IF(I139="% Al Porciento",100,IF(I139="$ Prima",G139)))</f>
        <v>100</v>
      </c>
      <c r="S139">
        <f t="shared" ref="S139:S144" si="169">IF(E139="Excluido",0,IF(D139="NO APLICA",0,1))</f>
        <v>0</v>
      </c>
    </row>
    <row r="140" spans="1:19" ht="15" hidden="1" customHeight="1" x14ac:dyDescent="0.3">
      <c r="A140" s="34" t="s">
        <v>1233</v>
      </c>
      <c r="B140" s="36">
        <v>98</v>
      </c>
      <c r="C140" s="29" t="s">
        <v>1248</v>
      </c>
      <c r="D140" s="29" t="str">
        <f>$D$100</f>
        <v>INCLUIDO</v>
      </c>
      <c r="E140" s="27" t="s">
        <v>1186</v>
      </c>
      <c r="F140" s="43">
        <v>0</v>
      </c>
      <c r="G140" s="42">
        <v>0</v>
      </c>
      <c r="H140" s="9">
        <f t="shared" si="161"/>
        <v>0</v>
      </c>
      <c r="I140" s="9" t="s">
        <v>1235</v>
      </c>
      <c r="J140" s="9">
        <f t="shared" si="162"/>
        <v>0</v>
      </c>
      <c r="K140" s="9">
        <f t="shared" si="163"/>
        <v>0</v>
      </c>
      <c r="L140" s="9">
        <f t="shared" si="164"/>
        <v>0</v>
      </c>
      <c r="M140" s="11">
        <f t="shared" ref="M140:M144" si="170">$M$138</f>
        <v>0</v>
      </c>
      <c r="N140" s="9">
        <f t="shared" si="165"/>
        <v>0</v>
      </c>
      <c r="O140" s="12">
        <f t="shared" si="166"/>
        <v>0</v>
      </c>
      <c r="P140" s="13" t="str">
        <f t="shared" si="69"/>
        <v>NO</v>
      </c>
      <c r="Q140" s="48">
        <f t="shared" si="167"/>
        <v>0</v>
      </c>
      <c r="R140">
        <f t="shared" si="168"/>
        <v>100</v>
      </c>
      <c r="S140">
        <f t="shared" si="169"/>
        <v>0</v>
      </c>
    </row>
    <row r="141" spans="1:19" ht="15" hidden="1" customHeight="1" x14ac:dyDescent="0.3">
      <c r="A141" s="34" t="s">
        <v>1233</v>
      </c>
      <c r="B141" s="36">
        <v>103</v>
      </c>
      <c r="C141" s="29" t="s">
        <v>1249</v>
      </c>
      <c r="D141" s="29" t="str">
        <f t="shared" ref="D141:D144" si="171">$D$100</f>
        <v>INCLUIDO</v>
      </c>
      <c r="E141" s="27" t="s">
        <v>1186</v>
      </c>
      <c r="F141" s="43">
        <v>0</v>
      </c>
      <c r="G141" s="42">
        <v>0</v>
      </c>
      <c r="H141" s="9">
        <f t="shared" si="161"/>
        <v>0</v>
      </c>
      <c r="I141" s="9" t="s">
        <v>1235</v>
      </c>
      <c r="J141" s="9">
        <f t="shared" si="162"/>
        <v>0</v>
      </c>
      <c r="K141" s="9">
        <f t="shared" si="163"/>
        <v>0</v>
      </c>
      <c r="L141" s="9">
        <f t="shared" si="164"/>
        <v>0</v>
      </c>
      <c r="M141" s="11">
        <f t="shared" si="170"/>
        <v>0</v>
      </c>
      <c r="N141" s="9">
        <f t="shared" si="165"/>
        <v>0</v>
      </c>
      <c r="O141" s="12">
        <f t="shared" si="166"/>
        <v>0</v>
      </c>
      <c r="P141" s="13" t="str">
        <f t="shared" si="69"/>
        <v>NO</v>
      </c>
      <c r="Q141" s="48">
        <f t="shared" si="167"/>
        <v>0</v>
      </c>
      <c r="R141">
        <f t="shared" si="168"/>
        <v>100</v>
      </c>
      <c r="S141">
        <f t="shared" si="169"/>
        <v>0</v>
      </c>
    </row>
    <row r="142" spans="1:19" ht="22.5" hidden="1" customHeight="1" x14ac:dyDescent="0.3">
      <c r="A142" s="34" t="s">
        <v>1233</v>
      </c>
      <c r="B142" s="36">
        <v>101</v>
      </c>
      <c r="C142" s="29" t="s">
        <v>1250</v>
      </c>
      <c r="D142" s="29" t="str">
        <f t="shared" si="171"/>
        <v>INCLUIDO</v>
      </c>
      <c r="E142" s="27" t="s">
        <v>1186</v>
      </c>
      <c r="F142" s="43">
        <v>0</v>
      </c>
      <c r="G142" s="42">
        <v>0</v>
      </c>
      <c r="H142" s="9">
        <f t="shared" si="161"/>
        <v>0</v>
      </c>
      <c r="I142" s="9" t="s">
        <v>1235</v>
      </c>
      <c r="J142" s="9">
        <f t="shared" si="162"/>
        <v>0</v>
      </c>
      <c r="K142" s="9">
        <f t="shared" si="163"/>
        <v>0</v>
      </c>
      <c r="L142" s="9">
        <f t="shared" si="164"/>
        <v>0</v>
      </c>
      <c r="M142" s="11">
        <f t="shared" si="170"/>
        <v>0</v>
      </c>
      <c r="N142" s="9">
        <f t="shared" si="165"/>
        <v>0</v>
      </c>
      <c r="O142" s="12">
        <f t="shared" si="166"/>
        <v>0</v>
      </c>
      <c r="P142" s="13" t="str">
        <f t="shared" si="69"/>
        <v>NO</v>
      </c>
      <c r="Q142" s="48">
        <f t="shared" si="167"/>
        <v>0</v>
      </c>
      <c r="R142">
        <f t="shared" si="168"/>
        <v>100</v>
      </c>
      <c r="S142">
        <f t="shared" si="169"/>
        <v>0</v>
      </c>
    </row>
    <row r="143" spans="1:19" ht="15" hidden="1" customHeight="1" x14ac:dyDescent="0.3">
      <c r="A143" s="34" t="s">
        <v>1233</v>
      </c>
      <c r="B143" s="36">
        <v>102</v>
      </c>
      <c r="C143" s="29" t="s">
        <v>1252</v>
      </c>
      <c r="D143" s="29" t="str">
        <f t="shared" si="171"/>
        <v>INCLUIDO</v>
      </c>
      <c r="E143" s="27" t="s">
        <v>1186</v>
      </c>
      <c r="F143" s="43">
        <v>0</v>
      </c>
      <c r="G143" s="42">
        <v>0</v>
      </c>
      <c r="H143" s="9">
        <f t="shared" si="161"/>
        <v>0</v>
      </c>
      <c r="I143" s="9" t="s">
        <v>1235</v>
      </c>
      <c r="J143" s="9">
        <f t="shared" si="162"/>
        <v>0</v>
      </c>
      <c r="K143" s="9">
        <f t="shared" si="163"/>
        <v>0</v>
      </c>
      <c r="L143" s="9">
        <f t="shared" si="164"/>
        <v>0</v>
      </c>
      <c r="M143" s="11">
        <f t="shared" si="170"/>
        <v>0</v>
      </c>
      <c r="N143" s="9">
        <f t="shared" si="165"/>
        <v>0</v>
      </c>
      <c r="O143" s="12">
        <f t="shared" si="166"/>
        <v>0</v>
      </c>
      <c r="P143" s="13" t="str">
        <f t="shared" si="69"/>
        <v>NO</v>
      </c>
      <c r="Q143" s="48">
        <f t="shared" si="167"/>
        <v>0</v>
      </c>
      <c r="R143">
        <f t="shared" si="168"/>
        <v>100</v>
      </c>
      <c r="S143">
        <f t="shared" si="169"/>
        <v>0</v>
      </c>
    </row>
    <row r="144" spans="1:19" ht="15" hidden="1" customHeight="1" x14ac:dyDescent="0.3">
      <c r="A144" s="34" t="s">
        <v>1233</v>
      </c>
      <c r="B144" s="36">
        <v>100</v>
      </c>
      <c r="C144" s="29" t="s">
        <v>1251</v>
      </c>
      <c r="D144" s="29" t="str">
        <f t="shared" si="171"/>
        <v>INCLUIDO</v>
      </c>
      <c r="E144" s="27" t="s">
        <v>1186</v>
      </c>
      <c r="F144" s="43">
        <v>0</v>
      </c>
      <c r="G144" s="42">
        <v>0</v>
      </c>
      <c r="H144" s="9">
        <f t="shared" si="161"/>
        <v>0</v>
      </c>
      <c r="I144" s="9" t="s">
        <v>1235</v>
      </c>
      <c r="J144" s="9">
        <f t="shared" si="162"/>
        <v>0</v>
      </c>
      <c r="K144" s="9">
        <f t="shared" si="163"/>
        <v>0</v>
      </c>
      <c r="L144" s="9">
        <f t="shared" si="164"/>
        <v>0</v>
      </c>
      <c r="M144" s="11">
        <f t="shared" si="170"/>
        <v>0</v>
      </c>
      <c r="N144" s="9">
        <f t="shared" si="165"/>
        <v>0</v>
      </c>
      <c r="O144" s="12">
        <f t="shared" si="166"/>
        <v>0</v>
      </c>
      <c r="P144" s="13" t="str">
        <f t="shared" si="69"/>
        <v>NO</v>
      </c>
      <c r="Q144" s="48">
        <f t="shared" si="167"/>
        <v>0</v>
      </c>
      <c r="R144">
        <f t="shared" si="168"/>
        <v>100</v>
      </c>
      <c r="S144">
        <f t="shared" si="169"/>
        <v>0</v>
      </c>
    </row>
    <row r="145" spans="1:19" s="18" customFormat="1" ht="15" hidden="1" customHeight="1" x14ac:dyDescent="0.3">
      <c r="A145" s="24"/>
      <c r="B145" s="26"/>
      <c r="C145" s="15" t="s">
        <v>1177</v>
      </c>
      <c r="D145" s="38" t="str">
        <f>'Ramo Comercial'!C174</f>
        <v>INCLUIDO</v>
      </c>
      <c r="E145" s="38"/>
      <c r="F145" s="16">
        <f>SUMIF(E139:E144,"Adicional",F139:F144)</f>
        <v>0</v>
      </c>
      <c r="G145" s="17"/>
      <c r="H145" s="16">
        <f>SUM(H139:H144)</f>
        <v>0</v>
      </c>
      <c r="I145" s="16"/>
      <c r="J145" s="16">
        <f t="shared" ref="J145:L145" si="172">SUM(J139:J144)</f>
        <v>0</v>
      </c>
      <c r="K145" s="16">
        <f t="shared" si="172"/>
        <v>0</v>
      </c>
      <c r="L145" s="16">
        <f t="shared" si="172"/>
        <v>0</v>
      </c>
      <c r="M145" s="16" t="s">
        <v>1178</v>
      </c>
      <c r="N145" s="16">
        <f t="shared" ref="N145:O145" si="173">SUM(N139:N144)</f>
        <v>0</v>
      </c>
      <c r="O145" s="84">
        <f t="shared" si="173"/>
        <v>0</v>
      </c>
      <c r="P145" s="13" t="str">
        <f t="shared" si="69"/>
        <v>NO</v>
      </c>
      <c r="Q145">
        <f>IF(D145="INCLUIDO",IF(H145&lt;&gt;0,1,0),0)</f>
        <v>0</v>
      </c>
    </row>
    <row r="146" spans="1:19" ht="15" hidden="1" customHeight="1" x14ac:dyDescent="0.3">
      <c r="A146" s="82">
        <v>905</v>
      </c>
      <c r="B146" s="33">
        <v>9</v>
      </c>
      <c r="C146" s="19" t="s">
        <v>1254</v>
      </c>
      <c r="D146" s="23" t="str">
        <f>$D$100</f>
        <v>INCLUIDO</v>
      </c>
      <c r="E146" s="91"/>
      <c r="F146" s="42">
        <v>0</v>
      </c>
      <c r="G146" s="28"/>
      <c r="H146" s="28"/>
      <c r="I146" s="28"/>
      <c r="J146" s="28"/>
      <c r="K146" s="28"/>
      <c r="L146" s="28"/>
      <c r="M146" s="68">
        <v>0</v>
      </c>
      <c r="N146" s="28"/>
      <c r="O146" s="83"/>
      <c r="P146" s="13" t="str">
        <f t="shared" si="69"/>
        <v>NO</v>
      </c>
      <c r="Q146" s="48">
        <f>IF(D146="INCLUIDO",IF(F146&lt;&gt;0,1,0),0)</f>
        <v>0</v>
      </c>
    </row>
    <row r="147" spans="1:19" ht="15" hidden="1" customHeight="1" x14ac:dyDescent="0.3">
      <c r="A147" s="34" t="s">
        <v>1233</v>
      </c>
      <c r="B147" s="36">
        <v>104</v>
      </c>
      <c r="C147" s="29" t="s">
        <v>1255</v>
      </c>
      <c r="D147" s="29" t="str">
        <f>D146</f>
        <v>INCLUIDO</v>
      </c>
      <c r="E147" s="27" t="s">
        <v>1186</v>
      </c>
      <c r="F147" s="20">
        <v>0</v>
      </c>
      <c r="G147" s="21">
        <v>0</v>
      </c>
      <c r="H147" s="9">
        <f>(IF(I147="$ Prima",G147,G147*F147/R147))*$U$9</f>
        <v>0</v>
      </c>
      <c r="I147" s="9" t="s">
        <v>1235</v>
      </c>
      <c r="J147" s="9">
        <f>H147*$U$7</f>
        <v>0</v>
      </c>
      <c r="K147" s="9">
        <f>(H147+J147)*$K$15</f>
        <v>0</v>
      </c>
      <c r="L147" s="9">
        <f>ROUND(H147+J147+K147,2)</f>
        <v>0</v>
      </c>
      <c r="M147" s="11">
        <f>M146</f>
        <v>0</v>
      </c>
      <c r="N147" s="9">
        <f>H147*M147</f>
        <v>0</v>
      </c>
      <c r="O147" s="12">
        <f>N147</f>
        <v>0</v>
      </c>
      <c r="P147" s="13" t="str">
        <f t="shared" si="69"/>
        <v>NO</v>
      </c>
      <c r="Q147">
        <f>IF(D147="INCLUIDO",IF(F147&lt;&gt;0,1,0),0)</f>
        <v>0</v>
      </c>
      <c r="R147">
        <f>IF(I147="%o Al Millar",1000,IF(I147="% Al Porciento",100,IF(I147="$ Prima",G147)))</f>
        <v>100</v>
      </c>
      <c r="S147">
        <f t="shared" ref="S147" si="174">IF(E147="Excluido",0,IF(D147="NO APLICA",0,1))</f>
        <v>0</v>
      </c>
    </row>
    <row r="148" spans="1:19" s="18" customFormat="1" ht="15" hidden="1" customHeight="1" x14ac:dyDescent="0.3">
      <c r="A148" s="24"/>
      <c r="B148" s="26"/>
      <c r="C148" s="15" t="s">
        <v>1177</v>
      </c>
      <c r="D148" s="38" t="str">
        <f>D147</f>
        <v>INCLUIDO</v>
      </c>
      <c r="E148" s="38"/>
      <c r="F148" s="16">
        <f>F147</f>
        <v>0</v>
      </c>
      <c r="G148" s="17"/>
      <c r="H148" s="16">
        <f>SUM(H147)</f>
        <v>0</v>
      </c>
      <c r="I148" s="16"/>
      <c r="J148" s="16">
        <f t="shared" ref="J148:L148" si="175">SUM(J147)</f>
        <v>0</v>
      </c>
      <c r="K148" s="16">
        <f t="shared" si="175"/>
        <v>0</v>
      </c>
      <c r="L148" s="16">
        <f t="shared" si="175"/>
        <v>0</v>
      </c>
      <c r="M148" s="16" t="s">
        <v>1178</v>
      </c>
      <c r="N148" s="16">
        <f t="shared" ref="N148:O148" si="176">SUM(N147)</f>
        <v>0</v>
      </c>
      <c r="O148" s="84">
        <f t="shared" si="176"/>
        <v>0</v>
      </c>
      <c r="P148" s="13" t="str">
        <f t="shared" si="69"/>
        <v>NO</v>
      </c>
      <c r="Q148">
        <f>IF(D148="INCLUIDO",IF(H148&lt;&gt;0,1,0),0)</f>
        <v>0</v>
      </c>
    </row>
    <row r="149" spans="1:19" ht="22.5" hidden="1" customHeight="1" x14ac:dyDescent="0.3">
      <c r="A149" s="82">
        <v>905</v>
      </c>
      <c r="B149" s="33">
        <v>10</v>
      </c>
      <c r="C149" s="19" t="s">
        <v>1256</v>
      </c>
      <c r="D149" s="23" t="str">
        <f>'Ramo Comercial'!C176</f>
        <v>NO APLICA</v>
      </c>
      <c r="E149" s="91"/>
      <c r="F149" s="28"/>
      <c r="G149" s="28"/>
      <c r="H149" s="28"/>
      <c r="I149" s="28"/>
      <c r="J149" s="28"/>
      <c r="K149" s="28"/>
      <c r="L149" s="28"/>
      <c r="M149" s="68">
        <v>0</v>
      </c>
      <c r="N149" s="28"/>
      <c r="O149" s="83"/>
      <c r="P149" s="13" t="str">
        <f t="shared" si="69"/>
        <v>NO</v>
      </c>
      <c r="Q149" s="47">
        <f>IF(D149="INCLUIDO",IF(F150&lt;&gt;0,1,0),0)</f>
        <v>0</v>
      </c>
    </row>
    <row r="150" spans="1:19" ht="15" hidden="1" customHeight="1" x14ac:dyDescent="0.3">
      <c r="A150" s="34" t="s">
        <v>1233</v>
      </c>
      <c r="B150" s="36">
        <v>105</v>
      </c>
      <c r="C150" s="29" t="s">
        <v>1256</v>
      </c>
      <c r="D150" s="29" t="str">
        <f>D149</f>
        <v>NO APLICA</v>
      </c>
      <c r="E150" s="27" t="s">
        <v>1152</v>
      </c>
      <c r="F150" s="20">
        <v>0</v>
      </c>
      <c r="G150" s="21">
        <v>0</v>
      </c>
      <c r="H150" s="9">
        <f>(IF(I150="$ Prima",G150,G150*F150/R150))*$U$9</f>
        <v>0</v>
      </c>
      <c r="I150" s="9" t="s">
        <v>1153</v>
      </c>
      <c r="J150" s="9">
        <f>H150*$U$7</f>
        <v>0</v>
      </c>
      <c r="K150" s="9">
        <f>(H150+J150)*$K$15</f>
        <v>0</v>
      </c>
      <c r="L150" s="9">
        <f>ROUND(H150+J150+K150,2)</f>
        <v>0</v>
      </c>
      <c r="M150" s="11">
        <f>M149</f>
        <v>0</v>
      </c>
      <c r="N150" s="9">
        <f>H150*M150</f>
        <v>0</v>
      </c>
      <c r="O150" s="12">
        <f>N150</f>
        <v>0</v>
      </c>
      <c r="P150" s="13" t="str">
        <f t="shared" si="69"/>
        <v>NO</v>
      </c>
      <c r="Q150">
        <f>IF(D150="INCLUIDO",IF(F150&lt;&gt;0,1,0),0)</f>
        <v>0</v>
      </c>
      <c r="R150">
        <f>IF(I150="%o Al Millar",1000,IF(I150="% Al Porciento",100,IF(I150="$ Prima",G150)))</f>
        <v>1000</v>
      </c>
      <c r="S150">
        <f t="shared" ref="S150" si="177">IF(E150="Excluido",0,IF(D150="NO APLICA",0,1))</f>
        <v>0</v>
      </c>
    </row>
    <row r="151" spans="1:19" s="18" customFormat="1" ht="15" hidden="1" customHeight="1" x14ac:dyDescent="0.3">
      <c r="A151" s="24"/>
      <c r="B151" s="26"/>
      <c r="C151" s="15" t="s">
        <v>1177</v>
      </c>
      <c r="D151" s="38" t="str">
        <f>D150</f>
        <v>NO APLICA</v>
      </c>
      <c r="E151" s="38"/>
      <c r="F151" s="16">
        <f>F150</f>
        <v>0</v>
      </c>
      <c r="G151" s="17"/>
      <c r="H151" s="16">
        <f>SUM(H150)</f>
        <v>0</v>
      </c>
      <c r="I151" s="16"/>
      <c r="J151" s="16">
        <f t="shared" ref="J151:L151" si="178">SUM(J150)</f>
        <v>0</v>
      </c>
      <c r="K151" s="16">
        <f t="shared" si="178"/>
        <v>0</v>
      </c>
      <c r="L151" s="16">
        <f t="shared" si="178"/>
        <v>0</v>
      </c>
      <c r="M151" s="16" t="s">
        <v>1178</v>
      </c>
      <c r="N151" s="16">
        <f t="shared" ref="N151:O151" si="179">SUM(N150)</f>
        <v>0</v>
      </c>
      <c r="O151" s="84">
        <f t="shared" si="179"/>
        <v>0</v>
      </c>
      <c r="P151" s="13" t="str">
        <f t="shared" si="69"/>
        <v>NO</v>
      </c>
      <c r="Q151">
        <f>IF(D151="INCLUIDO",IF(H151&lt;&gt;0,1,0),0)</f>
        <v>0</v>
      </c>
    </row>
    <row r="152" spans="1:19" ht="15" hidden="1" customHeight="1" x14ac:dyDescent="0.3">
      <c r="A152" s="82">
        <v>905</v>
      </c>
      <c r="B152" s="33">
        <v>11</v>
      </c>
      <c r="C152" s="19" t="s">
        <v>1257</v>
      </c>
      <c r="D152" s="23" t="str">
        <f>'Ramo Comercial'!C177</f>
        <v>NO APLICA</v>
      </c>
      <c r="E152" s="91"/>
      <c r="F152" s="42">
        <v>0</v>
      </c>
      <c r="G152" s="28"/>
      <c r="H152" s="28"/>
      <c r="I152" s="28"/>
      <c r="J152" s="28"/>
      <c r="K152" s="28"/>
      <c r="L152" s="28"/>
      <c r="M152" s="68">
        <v>0</v>
      </c>
      <c r="N152" s="28"/>
      <c r="O152" s="83"/>
      <c r="P152" s="13" t="str">
        <f t="shared" si="69"/>
        <v>NO</v>
      </c>
      <c r="Q152" s="48">
        <f>IF(D152="INCLUIDO",IF(F152&lt;&gt;0,1,0),0)</f>
        <v>0</v>
      </c>
    </row>
    <row r="153" spans="1:19" ht="15" hidden="1" customHeight="1" x14ac:dyDescent="0.3">
      <c r="A153" s="34" t="s">
        <v>1233</v>
      </c>
      <c r="B153" s="36">
        <v>224</v>
      </c>
      <c r="C153" s="29" t="s">
        <v>1257</v>
      </c>
      <c r="D153" s="29" t="str">
        <f>D152</f>
        <v>NO APLICA</v>
      </c>
      <c r="E153" s="27" t="s">
        <v>1152</v>
      </c>
      <c r="F153" s="20">
        <f>F152</f>
        <v>0</v>
      </c>
      <c r="G153" s="21">
        <v>0</v>
      </c>
      <c r="H153" s="9">
        <f>(IF(I153="$ Prima",G153,G153*F153/R153))*$U$9</f>
        <v>0</v>
      </c>
      <c r="I153" s="9" t="s">
        <v>1235</v>
      </c>
      <c r="J153" s="9">
        <f>H153*$U$7</f>
        <v>0</v>
      </c>
      <c r="K153" s="9">
        <f>(H153+J153)*$K$15</f>
        <v>0</v>
      </c>
      <c r="L153" s="9">
        <f>ROUND(H153+J153+K153,2)</f>
        <v>0</v>
      </c>
      <c r="M153" s="11">
        <f>M152</f>
        <v>0</v>
      </c>
      <c r="N153" s="9">
        <f>H153*M153</f>
        <v>0</v>
      </c>
      <c r="O153" s="12">
        <f>N153</f>
        <v>0</v>
      </c>
      <c r="P153" s="13" t="str">
        <f t="shared" si="69"/>
        <v>NO</v>
      </c>
      <c r="Q153">
        <f>IF(D153="INCLUIDO",IF(F153&lt;&gt;0,1,0),0)</f>
        <v>0</v>
      </c>
      <c r="R153">
        <f>IF(I153="%o Al Millar",1000,IF(I153="% Al Porciento",100,IF(I153="$ Prima",G153)))</f>
        <v>100</v>
      </c>
      <c r="S153">
        <f t="shared" ref="S153" si="180">IF(E153="Excluido",0,IF(D153="NO APLICA",0,1))</f>
        <v>0</v>
      </c>
    </row>
    <row r="154" spans="1:19" s="18" customFormat="1" ht="15" hidden="1" customHeight="1" x14ac:dyDescent="0.3">
      <c r="A154" s="24"/>
      <c r="B154" s="26"/>
      <c r="C154" s="15" t="s">
        <v>1177</v>
      </c>
      <c r="D154" s="38" t="str">
        <f>D153</f>
        <v>NO APLICA</v>
      </c>
      <c r="E154" s="38"/>
      <c r="F154" s="16">
        <f>F153</f>
        <v>0</v>
      </c>
      <c r="G154" s="17"/>
      <c r="H154" s="16">
        <f>SUM(H153)</f>
        <v>0</v>
      </c>
      <c r="I154" s="16"/>
      <c r="J154" s="16">
        <f t="shared" ref="J154:L154" si="181">SUM(J153)</f>
        <v>0</v>
      </c>
      <c r="K154" s="16">
        <f t="shared" si="181"/>
        <v>0</v>
      </c>
      <c r="L154" s="16">
        <f t="shared" si="181"/>
        <v>0</v>
      </c>
      <c r="M154" s="16" t="s">
        <v>1178</v>
      </c>
      <c r="N154" s="16">
        <f t="shared" ref="N154:O154" si="182">SUM(N153)</f>
        <v>0</v>
      </c>
      <c r="O154" s="84">
        <f t="shared" si="182"/>
        <v>0</v>
      </c>
      <c r="P154" s="13" t="str">
        <f t="shared" si="69"/>
        <v>NO</v>
      </c>
      <c r="Q154">
        <f>IF(D154="INCLUIDO",IF(H154&lt;&gt;0,1,0),0)</f>
        <v>0</v>
      </c>
    </row>
    <row r="155" spans="1:19" ht="15" hidden="1" customHeight="1" x14ac:dyDescent="0.3">
      <c r="A155" s="82">
        <v>905</v>
      </c>
      <c r="B155" s="33">
        <v>12</v>
      </c>
      <c r="C155" s="19" t="s">
        <v>1258</v>
      </c>
      <c r="D155" s="23" t="str">
        <f>'Ramo Comercial'!C181</f>
        <v>NO APLICA</v>
      </c>
      <c r="E155" s="91"/>
      <c r="F155" s="97">
        <f>F154</f>
        <v>0</v>
      </c>
      <c r="G155" s="28"/>
      <c r="H155" s="28"/>
      <c r="I155" s="28"/>
      <c r="J155" s="28"/>
      <c r="K155" s="28"/>
      <c r="L155" s="28"/>
      <c r="M155" s="68">
        <v>0</v>
      </c>
      <c r="N155" s="28"/>
      <c r="O155" s="83"/>
      <c r="P155" s="13" t="str">
        <f t="shared" ref="P155:P218" si="183">IF(Q155=1,"SI","NO")</f>
        <v>NO</v>
      </c>
      <c r="Q155" s="47">
        <f>IF(D155="INCLUIDO",IF(F156&lt;&gt;0,1,0),0)</f>
        <v>0</v>
      </c>
    </row>
    <row r="156" spans="1:19" ht="15" hidden="1" customHeight="1" x14ac:dyDescent="0.3">
      <c r="A156" s="34" t="s">
        <v>1233</v>
      </c>
      <c r="B156" s="36">
        <v>259</v>
      </c>
      <c r="C156" s="29" t="s">
        <v>1258</v>
      </c>
      <c r="D156" s="29" t="str">
        <f>D155</f>
        <v>NO APLICA</v>
      </c>
      <c r="E156" s="27" t="s">
        <v>1152</v>
      </c>
      <c r="F156" s="20">
        <v>0</v>
      </c>
      <c r="G156" s="21">
        <v>0</v>
      </c>
      <c r="H156" s="9">
        <f>(IF(I156="$ Prima",G156,G156*F156/R156))*$U$9</f>
        <v>0</v>
      </c>
      <c r="I156" s="9" t="s">
        <v>1235</v>
      </c>
      <c r="J156" s="9">
        <f>H156*$U$7</f>
        <v>0</v>
      </c>
      <c r="K156" s="9">
        <f>(H156+J156)*$K$15</f>
        <v>0</v>
      </c>
      <c r="L156" s="9">
        <f>ROUND(H156+J156+K156,2)</f>
        <v>0</v>
      </c>
      <c r="M156" s="11">
        <f>M155</f>
        <v>0</v>
      </c>
      <c r="N156" s="9">
        <f>H156*M156</f>
        <v>0</v>
      </c>
      <c r="O156" s="12">
        <f>N156</f>
        <v>0</v>
      </c>
      <c r="P156" s="13" t="str">
        <f t="shared" si="183"/>
        <v>NO</v>
      </c>
      <c r="Q156">
        <f>IF(D156="INCLUIDO",IF(F156&lt;&gt;0,1,0),0)</f>
        <v>0</v>
      </c>
      <c r="R156">
        <f>IF(I156="%o Al Millar",1000,IF(I156="% Al Porciento",100,IF(I156="$ Prima",G156)))</f>
        <v>100</v>
      </c>
      <c r="S156">
        <f t="shared" ref="S156" si="184">IF(E156="Excluido",0,IF(D156="NO APLICA",0,1))</f>
        <v>0</v>
      </c>
    </row>
    <row r="157" spans="1:19" s="18" customFormat="1" ht="15" hidden="1" customHeight="1" x14ac:dyDescent="0.3">
      <c r="A157" s="24"/>
      <c r="B157" s="26"/>
      <c r="C157" s="15" t="s">
        <v>1177</v>
      </c>
      <c r="D157" s="38" t="str">
        <f>D156</f>
        <v>NO APLICA</v>
      </c>
      <c r="E157" s="38"/>
      <c r="F157" s="16">
        <f>F156</f>
        <v>0</v>
      </c>
      <c r="G157" s="17"/>
      <c r="H157" s="16">
        <f>SUM(H156)</f>
        <v>0</v>
      </c>
      <c r="I157" s="16"/>
      <c r="J157" s="16">
        <f t="shared" ref="J157:L157" si="185">SUM(J156)</f>
        <v>0</v>
      </c>
      <c r="K157" s="16">
        <f t="shared" si="185"/>
        <v>0</v>
      </c>
      <c r="L157" s="16">
        <f t="shared" si="185"/>
        <v>0</v>
      </c>
      <c r="M157" s="16" t="s">
        <v>1178</v>
      </c>
      <c r="N157" s="16">
        <f t="shared" ref="N157:O157" si="186">SUM(N156)</f>
        <v>0</v>
      </c>
      <c r="O157" s="84">
        <f t="shared" si="186"/>
        <v>0</v>
      </c>
      <c r="P157" s="13" t="str">
        <f t="shared" si="183"/>
        <v>NO</v>
      </c>
      <c r="Q157">
        <f>IF(D157="INCLUIDO",IF(H157&lt;&gt;0,1,0),0)</f>
        <v>0</v>
      </c>
    </row>
    <row r="158" spans="1:19" ht="15" hidden="1" customHeight="1" x14ac:dyDescent="0.3">
      <c r="A158" s="82">
        <v>905</v>
      </c>
      <c r="B158" s="33">
        <v>13</v>
      </c>
      <c r="C158" s="19" t="s">
        <v>1259</v>
      </c>
      <c r="D158" s="23" t="str">
        <f>'Ramo Comercial'!C180</f>
        <v>INCLUIDO</v>
      </c>
      <c r="E158" s="91"/>
      <c r="F158" s="42">
        <v>0</v>
      </c>
      <c r="G158" s="28"/>
      <c r="H158" s="28"/>
      <c r="I158" s="28"/>
      <c r="J158" s="28"/>
      <c r="K158" s="28"/>
      <c r="L158" s="28"/>
      <c r="M158" s="68">
        <v>0</v>
      </c>
      <c r="N158" s="28"/>
      <c r="O158" s="83"/>
      <c r="P158" s="13" t="str">
        <f t="shared" si="183"/>
        <v>NO</v>
      </c>
      <c r="Q158" s="48">
        <f>IF(D158="INCLUIDO",IF(F158&lt;&gt;0,1,0),0)</f>
        <v>0</v>
      </c>
    </row>
    <row r="159" spans="1:19" ht="15" hidden="1" customHeight="1" x14ac:dyDescent="0.3">
      <c r="A159" s="34" t="s">
        <v>1233</v>
      </c>
      <c r="B159" s="36">
        <v>260</v>
      </c>
      <c r="C159" s="29" t="s">
        <v>1259</v>
      </c>
      <c r="D159" s="29" t="str">
        <f>D158</f>
        <v>INCLUIDO</v>
      </c>
      <c r="E159" s="27" t="s">
        <v>1186</v>
      </c>
      <c r="F159" s="20">
        <f>F158</f>
        <v>0</v>
      </c>
      <c r="G159" s="21">
        <v>0</v>
      </c>
      <c r="H159" s="9">
        <f>(IF(I159="$ Prima",G159,G159*F159/R159))*$U$9</f>
        <v>0</v>
      </c>
      <c r="I159" s="9" t="s">
        <v>1235</v>
      </c>
      <c r="J159" s="9">
        <f>H159*$U$7</f>
        <v>0</v>
      </c>
      <c r="K159" s="9">
        <f>(H159+J159)*$K$15</f>
        <v>0</v>
      </c>
      <c r="L159" s="9">
        <f>ROUND(H159+J159+K159,2)</f>
        <v>0</v>
      </c>
      <c r="M159" s="11">
        <f>M158</f>
        <v>0</v>
      </c>
      <c r="N159" s="9">
        <f>H159*M159</f>
        <v>0</v>
      </c>
      <c r="O159" s="12">
        <f>N159</f>
        <v>0</v>
      </c>
      <c r="P159" s="13" t="str">
        <f t="shared" si="183"/>
        <v>NO</v>
      </c>
      <c r="Q159">
        <f>IF(D159="INCLUIDO",IF(F159&lt;&gt;0,1,0),0)</f>
        <v>0</v>
      </c>
      <c r="R159">
        <f>IF(I159="%o Al Millar",1000,IF(I159="% Al Porciento",100,IF(I159="$ Prima",G159)))</f>
        <v>100</v>
      </c>
      <c r="S159">
        <f t="shared" ref="S159" si="187">IF(E159="Excluido",0,IF(D159="NO APLICA",0,1))</f>
        <v>0</v>
      </c>
    </row>
    <row r="160" spans="1:19" s="18" customFormat="1" ht="15" hidden="1" customHeight="1" thickBot="1" x14ac:dyDescent="0.35">
      <c r="A160" s="24"/>
      <c r="B160" s="26"/>
      <c r="C160" s="15" t="s">
        <v>1177</v>
      </c>
      <c r="D160" s="38" t="str">
        <f>D159</f>
        <v>INCLUIDO</v>
      </c>
      <c r="E160" s="38"/>
      <c r="F160" s="16">
        <f>F159</f>
        <v>0</v>
      </c>
      <c r="G160" s="17"/>
      <c r="H160" s="16">
        <f>SUM(H159)</f>
        <v>0</v>
      </c>
      <c r="I160" s="16"/>
      <c r="J160" s="16">
        <f t="shared" ref="J160:L160" si="188">SUM(J159)</f>
        <v>0</v>
      </c>
      <c r="K160" s="16">
        <f t="shared" si="188"/>
        <v>0</v>
      </c>
      <c r="L160" s="16">
        <f t="shared" si="188"/>
        <v>0</v>
      </c>
      <c r="M160" s="16" t="s">
        <v>1178</v>
      </c>
      <c r="N160" s="16">
        <f t="shared" ref="N160:O160" si="189">SUM(N159)</f>
        <v>0</v>
      </c>
      <c r="O160" s="84">
        <f t="shared" si="189"/>
        <v>0</v>
      </c>
      <c r="P160" s="13" t="str">
        <f t="shared" si="183"/>
        <v>NO</v>
      </c>
      <c r="Q160">
        <f>IF(D160="INCLUIDO",IF(H160&lt;&gt;0,1,0),0)</f>
        <v>0</v>
      </c>
    </row>
    <row r="161" spans="1:22" ht="21" hidden="1" customHeight="1" thickBot="1" x14ac:dyDescent="0.35">
      <c r="A161" s="82">
        <v>906</v>
      </c>
      <c r="B161" s="33">
        <v>1</v>
      </c>
      <c r="C161" s="19" t="s">
        <v>1260</v>
      </c>
      <c r="D161" s="23" t="str">
        <f>'Ramo Comercial'!C138</f>
        <v>INCLUIDO</v>
      </c>
      <c r="E161" s="91"/>
      <c r="F161" s="132">
        <f>'COTIZACIÓN M.N.'!D75</f>
        <v>0</v>
      </c>
      <c r="G161" s="132">
        <f>'COTIZACIÓN M.N.'!E75</f>
        <v>1.6</v>
      </c>
      <c r="H161" s="28"/>
      <c r="I161" s="28"/>
      <c r="J161" s="28"/>
      <c r="K161" s="28"/>
      <c r="L161" s="28"/>
      <c r="M161" s="68">
        <v>5.8000000000000003E-2</v>
      </c>
      <c r="N161" s="28"/>
      <c r="O161" s="83"/>
      <c r="P161" s="13" t="str">
        <f t="shared" si="183"/>
        <v>NO</v>
      </c>
      <c r="Q161" s="48">
        <f>IF(D161="INCLUIDO",IF(F161&lt;&gt;0,1,0),0)</f>
        <v>0</v>
      </c>
      <c r="T161" s="155">
        <f>G161</f>
        <v>1.6</v>
      </c>
    </row>
    <row r="162" spans="1:22" ht="15" hidden="1" customHeight="1" x14ac:dyDescent="0.3">
      <c r="A162" s="34" t="s">
        <v>1261</v>
      </c>
      <c r="B162" s="36">
        <v>107</v>
      </c>
      <c r="C162" s="29" t="s">
        <v>1151</v>
      </c>
      <c r="D162" s="29" t="str">
        <f>D161</f>
        <v>INCLUIDO</v>
      </c>
      <c r="E162" s="27" t="s">
        <v>1152</v>
      </c>
      <c r="F162" s="20">
        <f>$F$161*S162</f>
        <v>0</v>
      </c>
      <c r="G162" s="21">
        <f>V162</f>
        <v>1.1200000000000001</v>
      </c>
      <c r="H162" s="9">
        <f t="shared" ref="H162:H165" si="190">(IF(I162="$ Prima",G162,G162*F162/R162))*$U$9</f>
        <v>0</v>
      </c>
      <c r="I162" s="9" t="s">
        <v>1153</v>
      </c>
      <c r="J162" s="9">
        <f t="shared" ref="J162:J165" si="191">H162*$U$7</f>
        <v>0</v>
      </c>
      <c r="K162" s="9">
        <f t="shared" ref="K162:K165" si="192">(H162+J162)*$K$15</f>
        <v>0</v>
      </c>
      <c r="L162" s="9">
        <f t="shared" ref="L162:L165" si="193">ROUND(H162+J162+K162,2)</f>
        <v>0</v>
      </c>
      <c r="M162" s="11">
        <f>$M$161</f>
        <v>5.8000000000000003E-2</v>
      </c>
      <c r="N162" s="9">
        <f t="shared" ref="N162:N165" si="194">H162*M162</f>
        <v>0</v>
      </c>
      <c r="O162" s="12">
        <f t="shared" ref="O162:O165" si="195">N162</f>
        <v>0</v>
      </c>
      <c r="P162" s="13" t="str">
        <f t="shared" si="183"/>
        <v>NO</v>
      </c>
      <c r="Q162">
        <f>IF(D162="INCLUIDO",IF(F162&lt;&gt;0,1,0),0)</f>
        <v>0</v>
      </c>
      <c r="R162">
        <f>IF(I162="%o Al Millar",1000,IF(I162="% Al Porciento",100,IF(I162="$ Prima",G162)))</f>
        <v>1000</v>
      </c>
      <c r="S162">
        <f t="shared" ref="S162:S165" si="196">IF(E162="Excluido",0,IF(D162="NO APLICA",0,1))</f>
        <v>1</v>
      </c>
      <c r="T162" s="156">
        <v>0.7</v>
      </c>
      <c r="U162" s="157">
        <f>IF(E162="Excluido",0,T161*T162)</f>
        <v>1.1199999999999999</v>
      </c>
      <c r="V162" s="158">
        <f>IF(D161="NO APLICA",0,(U166-U164)+(T161-U166))</f>
        <v>1.1200000000000001</v>
      </c>
    </row>
    <row r="163" spans="1:22" ht="15" hidden="1" customHeight="1" x14ac:dyDescent="0.3">
      <c r="A163" s="34" t="s">
        <v>1261</v>
      </c>
      <c r="B163" s="36"/>
      <c r="C163" s="81">
        <f>$O$12</f>
        <v>0</v>
      </c>
      <c r="D163" s="29" t="str">
        <f t="shared" ref="D163:D175" si="197">$D$161</f>
        <v>INCLUIDO</v>
      </c>
      <c r="E163" s="27" t="s">
        <v>1186</v>
      </c>
      <c r="F163" s="9">
        <f>(F162*$O$12)*S163</f>
        <v>0</v>
      </c>
      <c r="G163" s="10">
        <f>G162*0.35</f>
        <v>0.39200000000000002</v>
      </c>
      <c r="H163" s="9">
        <f t="shared" si="190"/>
        <v>0</v>
      </c>
      <c r="I163" s="9" t="s">
        <v>1153</v>
      </c>
      <c r="J163" s="9">
        <f t="shared" si="191"/>
        <v>0</v>
      </c>
      <c r="K163" s="9">
        <f t="shared" si="192"/>
        <v>0</v>
      </c>
      <c r="L163" s="9">
        <f t="shared" si="193"/>
        <v>0</v>
      </c>
      <c r="M163" s="11">
        <f t="shared" ref="M163:M165" si="198">$M$161</f>
        <v>5.8000000000000003E-2</v>
      </c>
      <c r="N163" s="9">
        <f t="shared" si="194"/>
        <v>0</v>
      </c>
      <c r="O163" s="12">
        <f t="shared" si="195"/>
        <v>0</v>
      </c>
      <c r="P163" s="13" t="str">
        <f t="shared" si="183"/>
        <v>NO</v>
      </c>
      <c r="Q163">
        <f>IF(D163="INCLUIDO",IF(F163&lt;&gt;0,1,0),0)</f>
        <v>0</v>
      </c>
      <c r="R163">
        <f>IF(I163="%o Al Millar",1000,IF(I163="% Al Porciento",100,IF(I163="$ Prima",G163)))</f>
        <v>1000</v>
      </c>
      <c r="S163">
        <f t="shared" si="196"/>
        <v>0</v>
      </c>
      <c r="T163" s="152"/>
      <c r="U163" s="159"/>
      <c r="V163" s="160"/>
    </row>
    <row r="164" spans="1:22" ht="15" hidden="1" customHeight="1" x14ac:dyDescent="0.3">
      <c r="A164" s="34" t="s">
        <v>1261</v>
      </c>
      <c r="B164" s="36">
        <v>106</v>
      </c>
      <c r="C164" s="29" t="s">
        <v>1262</v>
      </c>
      <c r="D164" s="29" t="str">
        <f t="shared" si="197"/>
        <v>INCLUIDO</v>
      </c>
      <c r="E164" s="27" t="s">
        <v>1137</v>
      </c>
      <c r="F164" s="20">
        <f>$F$161*S164</f>
        <v>0</v>
      </c>
      <c r="G164" s="21">
        <f>V164</f>
        <v>0</v>
      </c>
      <c r="H164" s="9">
        <f t="shared" si="190"/>
        <v>0</v>
      </c>
      <c r="I164" s="9" t="s">
        <v>1153</v>
      </c>
      <c r="J164" s="9">
        <f t="shared" si="191"/>
        <v>0</v>
      </c>
      <c r="K164" s="9">
        <f t="shared" si="192"/>
        <v>0</v>
      </c>
      <c r="L164" s="9">
        <f t="shared" si="193"/>
        <v>0</v>
      </c>
      <c r="M164" s="11">
        <f t="shared" si="198"/>
        <v>5.8000000000000003E-2</v>
      </c>
      <c r="N164" s="9">
        <f t="shared" si="194"/>
        <v>0</v>
      </c>
      <c r="O164" s="12">
        <f t="shared" si="195"/>
        <v>0</v>
      </c>
      <c r="P164" s="13" t="str">
        <f t="shared" si="183"/>
        <v>NO</v>
      </c>
      <c r="Q164">
        <f>IF(D164="INCLUIDO",IF(F164&lt;&gt;0,1,0),0)</f>
        <v>0</v>
      </c>
      <c r="R164">
        <f>IF(I164="%o Al Millar",1000,IF(I164="% Al Porciento",100,IF(I164="$ Prima",G164)))</f>
        <v>1000</v>
      </c>
      <c r="S164">
        <f t="shared" si="196"/>
        <v>1</v>
      </c>
      <c r="T164" s="152">
        <v>0.3</v>
      </c>
      <c r="U164" s="159">
        <f>IF(E164="Excluido",0,$T$161*T164)</f>
        <v>0.48</v>
      </c>
      <c r="V164" s="160">
        <f>IF($F164=0,0,U164)</f>
        <v>0</v>
      </c>
    </row>
    <row r="165" spans="1:22" ht="15" hidden="1" customHeight="1" thickBot="1" x14ac:dyDescent="0.35">
      <c r="A165" s="34" t="s">
        <v>1261</v>
      </c>
      <c r="B165" s="36"/>
      <c r="C165" s="81">
        <f>$O$12</f>
        <v>0</v>
      </c>
      <c r="D165" s="29" t="str">
        <f t="shared" si="197"/>
        <v>INCLUIDO</v>
      </c>
      <c r="E165" s="27" t="s">
        <v>1186</v>
      </c>
      <c r="F165" s="9">
        <f>(F164*$O$12)*S165</f>
        <v>0</v>
      </c>
      <c r="G165" s="10">
        <f>G164*0.35</f>
        <v>0</v>
      </c>
      <c r="H165" s="9">
        <f t="shared" si="190"/>
        <v>0</v>
      </c>
      <c r="I165" s="9" t="s">
        <v>1153</v>
      </c>
      <c r="J165" s="9">
        <f t="shared" si="191"/>
        <v>0</v>
      </c>
      <c r="K165" s="9">
        <f t="shared" si="192"/>
        <v>0</v>
      </c>
      <c r="L165" s="9">
        <f t="shared" si="193"/>
        <v>0</v>
      </c>
      <c r="M165" s="11">
        <f t="shared" si="198"/>
        <v>5.8000000000000003E-2</v>
      </c>
      <c r="N165" s="9">
        <f t="shared" si="194"/>
        <v>0</v>
      </c>
      <c r="O165" s="12">
        <f t="shared" si="195"/>
        <v>0</v>
      </c>
      <c r="P165" s="13" t="str">
        <f t="shared" si="183"/>
        <v>NO</v>
      </c>
      <c r="Q165">
        <f>IF(D165="INCLUIDO",IF(F165&lt;&gt;0,1,0),0)</f>
        <v>0</v>
      </c>
      <c r="R165">
        <f>IF(I165="%o Al Millar",1000,IF(I165="% Al Porciento",100,IF(I165="$ Prima",G165)))</f>
        <v>1000</v>
      </c>
      <c r="S165">
        <f t="shared" si="196"/>
        <v>0</v>
      </c>
      <c r="T165" s="154"/>
      <c r="V165" s="153"/>
    </row>
    <row r="166" spans="1:22" s="18" customFormat="1" ht="15" hidden="1" customHeight="1" thickBot="1" x14ac:dyDescent="0.35">
      <c r="A166" s="24"/>
      <c r="B166" s="26"/>
      <c r="C166" s="15" t="s">
        <v>1177</v>
      </c>
      <c r="D166" s="38" t="str">
        <f>D165</f>
        <v>INCLUIDO</v>
      </c>
      <c r="E166" s="38"/>
      <c r="F166" s="16">
        <f>SUMIF(E162:E165,"Adicional",F162:F165)</f>
        <v>0</v>
      </c>
      <c r="G166" s="17"/>
      <c r="H166" s="16">
        <f>SUM(H162:H165)</f>
        <v>0</v>
      </c>
      <c r="I166" s="16"/>
      <c r="J166" s="16">
        <f t="shared" ref="J166:L166" si="199">SUM(J162:J165)</f>
        <v>0</v>
      </c>
      <c r="K166" s="16">
        <f t="shared" si="199"/>
        <v>0</v>
      </c>
      <c r="L166" s="16">
        <f t="shared" si="199"/>
        <v>0</v>
      </c>
      <c r="M166" s="16" t="s">
        <v>1178</v>
      </c>
      <c r="N166" s="16">
        <f t="shared" ref="N166:O166" si="200">SUM(N162:N165)</f>
        <v>0</v>
      </c>
      <c r="O166" s="84">
        <f t="shared" si="200"/>
        <v>0</v>
      </c>
      <c r="P166" s="13" t="str">
        <f t="shared" si="183"/>
        <v>NO</v>
      </c>
      <c r="Q166">
        <f>IF(D166="INCLUIDO",IF(H166&lt;&gt;0,1,0),0)</f>
        <v>0</v>
      </c>
      <c r="T166" s="161">
        <f>SUM(T162:T165)</f>
        <v>1</v>
      </c>
      <c r="U166" s="162">
        <f>SUM(U162:U164)</f>
        <v>1.5999999999999999</v>
      </c>
      <c r="V166" s="163">
        <f>SUM(V162:V164)</f>
        <v>1.1200000000000001</v>
      </c>
    </row>
    <row r="167" spans="1:22" ht="15" thickBot="1" x14ac:dyDescent="0.35">
      <c r="A167" s="82">
        <v>906</v>
      </c>
      <c r="B167" s="33">
        <v>2</v>
      </c>
      <c r="C167" s="19" t="s">
        <v>1263</v>
      </c>
      <c r="D167" s="23" t="str">
        <f>'Ramo Comercial'!C139</f>
        <v>INCLUIDO</v>
      </c>
      <c r="E167" s="91"/>
      <c r="F167" s="132">
        <f>'COTIZACIÓN M.N.'!D73</f>
        <v>250000</v>
      </c>
      <c r="G167" s="132">
        <f>'COTIZACIÓN M.N.'!E73/'Ubicaciones total (2)'!A366</f>
        <v>1.3736263736263736E-2</v>
      </c>
      <c r="H167" s="28"/>
      <c r="I167" s="28"/>
      <c r="J167" s="28"/>
      <c r="K167" s="28"/>
      <c r="L167" s="28"/>
      <c r="M167" s="68">
        <v>0.1</v>
      </c>
      <c r="N167" s="28"/>
      <c r="O167" s="83"/>
      <c r="P167" s="13" t="str">
        <f t="shared" si="183"/>
        <v>SI</v>
      </c>
      <c r="Q167" s="48">
        <f>IF(D167="INCLUIDO",IF(F167&lt;&gt;0,1,0),0)</f>
        <v>1</v>
      </c>
      <c r="T167" s="142">
        <f>G167</f>
        <v>1.3736263736263736E-2</v>
      </c>
      <c r="U167" s="150"/>
      <c r="V167" s="151"/>
    </row>
    <row r="168" spans="1:22" x14ac:dyDescent="0.3">
      <c r="A168" s="34" t="s">
        <v>1261</v>
      </c>
      <c r="B168" s="36">
        <v>110</v>
      </c>
      <c r="C168" s="29" t="s">
        <v>1151</v>
      </c>
      <c r="D168" s="29" t="str">
        <f>D167</f>
        <v>INCLUIDO</v>
      </c>
      <c r="E168" s="27" t="s">
        <v>1137</v>
      </c>
      <c r="F168" s="20">
        <f>$F$167*S168</f>
        <v>250000</v>
      </c>
      <c r="G168" s="21">
        <f>V168</f>
        <v>9.6153846153846159E-3</v>
      </c>
      <c r="H168" s="9">
        <f t="shared" ref="H168:H171" si="201">(IF(I168="$ Prima",G168,G168*F168/R168))*$U$9</f>
        <v>2.4038461538461537</v>
      </c>
      <c r="I168" s="9" t="s">
        <v>1153</v>
      </c>
      <c r="J168" s="9">
        <f t="shared" ref="J168:J171" si="202">H168*$U$7</f>
        <v>5.0721153846153846E-2</v>
      </c>
      <c r="K168" s="9">
        <f t="shared" ref="K168:K171" si="203">(H168+J168)*$K$15</f>
        <v>0.39273076923076922</v>
      </c>
      <c r="L168" s="9">
        <f t="shared" ref="L168:L171" si="204">ROUND(H168+J168+K168,2)</f>
        <v>2.85</v>
      </c>
      <c r="M168" s="11">
        <f>$M$167</f>
        <v>0.1</v>
      </c>
      <c r="N168" s="9">
        <f t="shared" ref="N168:N171" si="205">H168*M168</f>
        <v>0.24038461538461539</v>
      </c>
      <c r="O168" s="12">
        <f t="shared" ref="O168:O171" si="206">N168</f>
        <v>0.24038461538461539</v>
      </c>
      <c r="P168" s="13" t="str">
        <f t="shared" si="183"/>
        <v>SI</v>
      </c>
      <c r="Q168">
        <f>IF(D168="INCLUIDO",IF(F168&lt;&gt;0,1,0),0)</f>
        <v>1</v>
      </c>
      <c r="R168">
        <f>IF(I168="%o Al Millar",1000,IF(I168="% Al Porciento",100,IF(I168="$ Prima",G168)))</f>
        <v>1000</v>
      </c>
      <c r="S168">
        <f t="shared" ref="S168:S171" si="207">IF(E168="Excluido",0,IF(D168="NO APLICA",0,1))</f>
        <v>1</v>
      </c>
      <c r="T168" s="152">
        <v>0.7</v>
      </c>
      <c r="U168" s="159">
        <f>IF(E168="Excluido",0,T167*T168)</f>
        <v>9.6153846153846142E-3</v>
      </c>
      <c r="V168" s="160">
        <f>IF(D167="NO APLICA",0,(U172-U170)+(T167-U172))</f>
        <v>9.6153846153846159E-3</v>
      </c>
    </row>
    <row r="169" spans="1:22" hidden="1" x14ac:dyDescent="0.3">
      <c r="A169" s="34" t="s">
        <v>1261</v>
      </c>
      <c r="B169" s="36"/>
      <c r="C169" s="81">
        <f>$O$12</f>
        <v>0</v>
      </c>
      <c r="D169" s="29" t="str">
        <f t="shared" si="197"/>
        <v>INCLUIDO</v>
      </c>
      <c r="E169" s="27" t="s">
        <v>1186</v>
      </c>
      <c r="F169" s="9">
        <f>(F168*$O$12)*S169</f>
        <v>0</v>
      </c>
      <c r="G169" s="10">
        <f>G168*0.35</f>
        <v>3.3653846153846156E-3</v>
      </c>
      <c r="H169" s="9">
        <f t="shared" si="201"/>
        <v>0</v>
      </c>
      <c r="I169" s="9" t="s">
        <v>1153</v>
      </c>
      <c r="J169" s="9">
        <f t="shared" si="202"/>
        <v>0</v>
      </c>
      <c r="K169" s="9">
        <f t="shared" si="203"/>
        <v>0</v>
      </c>
      <c r="L169" s="9">
        <f t="shared" si="204"/>
        <v>0</v>
      </c>
      <c r="M169" s="11">
        <f>M168</f>
        <v>0.1</v>
      </c>
      <c r="N169" s="9">
        <f t="shared" si="205"/>
        <v>0</v>
      </c>
      <c r="O169" s="12">
        <f t="shared" si="206"/>
        <v>0</v>
      </c>
      <c r="P169" s="13" t="str">
        <f t="shared" si="183"/>
        <v>NO</v>
      </c>
      <c r="Q169">
        <f>IF(D169="INCLUIDO",IF(F169&lt;&gt;0,1,0),0)</f>
        <v>0</v>
      </c>
      <c r="R169">
        <f>IF(I169="%o Al Millar",1000,IF(I169="% Al Porciento",100,IF(I169="$ Prima",G169)))</f>
        <v>1000</v>
      </c>
      <c r="S169">
        <f t="shared" si="207"/>
        <v>0</v>
      </c>
      <c r="T169" s="152"/>
      <c r="U169" s="159"/>
      <c r="V169" s="160"/>
    </row>
    <row r="170" spans="1:22" ht="15" customHeight="1" thickBot="1" x14ac:dyDescent="0.35">
      <c r="A170" s="34" t="s">
        <v>1261</v>
      </c>
      <c r="B170" s="36">
        <v>109</v>
      </c>
      <c r="C170" s="29" t="s">
        <v>1262</v>
      </c>
      <c r="D170" s="29" t="str">
        <f>D167</f>
        <v>INCLUIDO</v>
      </c>
      <c r="E170" s="27" t="s">
        <v>1137</v>
      </c>
      <c r="F170" s="20">
        <f>$F$167*S170</f>
        <v>250000</v>
      </c>
      <c r="G170" s="21">
        <f>V170</f>
        <v>4.120879120879121E-3</v>
      </c>
      <c r="H170" s="9">
        <f t="shared" si="201"/>
        <v>1.0302197802197801</v>
      </c>
      <c r="I170" s="9" t="s">
        <v>1153</v>
      </c>
      <c r="J170" s="9">
        <f t="shared" si="202"/>
        <v>2.1737637362637362E-2</v>
      </c>
      <c r="K170" s="9">
        <f t="shared" si="203"/>
        <v>0.16831318681318683</v>
      </c>
      <c r="L170" s="9">
        <f t="shared" si="204"/>
        <v>1.22</v>
      </c>
      <c r="M170" s="11">
        <f t="shared" ref="M170:M171" si="208">$M$167</f>
        <v>0.1</v>
      </c>
      <c r="N170" s="9">
        <f t="shared" si="205"/>
        <v>0.10302197802197802</v>
      </c>
      <c r="O170" s="12">
        <f t="shared" si="206"/>
        <v>0.10302197802197802</v>
      </c>
      <c r="P170" s="13" t="str">
        <f t="shared" si="183"/>
        <v>SI</v>
      </c>
      <c r="Q170">
        <f>IF(D170="INCLUIDO",IF(F170&lt;&gt;0,1,0),0)</f>
        <v>1</v>
      </c>
      <c r="R170">
        <f>IF(I170="%o Al Millar",1000,IF(I170="% Al Porciento",100,IF(I170="$ Prima",G170)))</f>
        <v>1000</v>
      </c>
      <c r="S170">
        <f t="shared" si="207"/>
        <v>1</v>
      </c>
      <c r="T170" s="152">
        <v>0.3</v>
      </c>
      <c r="U170" s="159">
        <f>IF(E170="Excluido",0,$T$167*T170)</f>
        <v>4.120879120879121E-3</v>
      </c>
      <c r="V170" s="160">
        <f>IF($F170=0,0,U170)</f>
        <v>4.120879120879121E-3</v>
      </c>
    </row>
    <row r="171" spans="1:22" ht="15" hidden="1" customHeight="1" thickBot="1" x14ac:dyDescent="0.35">
      <c r="A171" s="34" t="s">
        <v>1261</v>
      </c>
      <c r="B171" s="36"/>
      <c r="C171" s="81">
        <f>$O$12</f>
        <v>0</v>
      </c>
      <c r="D171" s="29" t="str">
        <f>D167</f>
        <v>INCLUIDO</v>
      </c>
      <c r="E171" s="27" t="s">
        <v>1186</v>
      </c>
      <c r="F171" s="9">
        <f>(F170*$O$12)*S171</f>
        <v>0</v>
      </c>
      <c r="G171" s="10">
        <f>G170*0.35</f>
        <v>1.4423076923076922E-3</v>
      </c>
      <c r="H171" s="9">
        <f t="shared" si="201"/>
        <v>0</v>
      </c>
      <c r="I171" s="9" t="s">
        <v>1153</v>
      </c>
      <c r="J171" s="9">
        <f t="shared" si="202"/>
        <v>0</v>
      </c>
      <c r="K171" s="9">
        <f t="shared" si="203"/>
        <v>0</v>
      </c>
      <c r="L171" s="9">
        <f t="shared" si="204"/>
        <v>0</v>
      </c>
      <c r="M171" s="11">
        <f t="shared" si="208"/>
        <v>0.1</v>
      </c>
      <c r="N171" s="9">
        <f t="shared" si="205"/>
        <v>0</v>
      </c>
      <c r="O171" s="12">
        <f t="shared" si="206"/>
        <v>0</v>
      </c>
      <c r="P171" s="13" t="str">
        <f t="shared" si="183"/>
        <v>NO</v>
      </c>
      <c r="Q171">
        <f>IF(D171="INCLUIDO",IF(F171&lt;&gt;0,1,0),0)</f>
        <v>0</v>
      </c>
      <c r="R171">
        <f>IF(I171="%o Al Millar",1000,IF(I171="% Al Porciento",100,IF(I171="$ Prima",G171)))</f>
        <v>1000</v>
      </c>
      <c r="S171">
        <f t="shared" si="207"/>
        <v>0</v>
      </c>
      <c r="T171" s="164"/>
      <c r="U171" s="165"/>
      <c r="V171" s="166"/>
    </row>
    <row r="172" spans="1:22" s="18" customFormat="1" ht="15" thickBot="1" x14ac:dyDescent="0.35">
      <c r="A172" s="24"/>
      <c r="B172" s="26"/>
      <c r="C172" s="15" t="s">
        <v>1177</v>
      </c>
      <c r="D172" s="38" t="str">
        <f>D171</f>
        <v>INCLUIDO</v>
      </c>
      <c r="E172" s="38"/>
      <c r="F172" s="16">
        <f>SUMIF(E168:E171,"Adicional",F168:F171)</f>
        <v>0</v>
      </c>
      <c r="G172" s="17"/>
      <c r="H172" s="16">
        <f>SUM(H168:H171)</f>
        <v>3.4340659340659339</v>
      </c>
      <c r="I172" s="16"/>
      <c r="J172" s="16">
        <f t="shared" ref="J172:L172" si="209">SUM(J168:J171)</f>
        <v>7.2458791208791201E-2</v>
      </c>
      <c r="K172" s="16">
        <f t="shared" si="209"/>
        <v>0.56104395604395607</v>
      </c>
      <c r="L172" s="16">
        <f t="shared" si="209"/>
        <v>4.07</v>
      </c>
      <c r="M172" s="16" t="s">
        <v>1178</v>
      </c>
      <c r="N172" s="16">
        <f t="shared" ref="N172:O172" si="210">SUM(N168:N171)</f>
        <v>0.34340659340659341</v>
      </c>
      <c r="O172" s="84">
        <f t="shared" si="210"/>
        <v>0.34340659340659341</v>
      </c>
      <c r="P172" s="13" t="str">
        <f t="shared" si="183"/>
        <v>SI</v>
      </c>
      <c r="Q172">
        <f>IF(D172="INCLUIDO",IF(H172&lt;&gt;0,1,0),0)</f>
        <v>1</v>
      </c>
      <c r="T172" s="143">
        <f>SUM(T168:T171)</f>
        <v>1</v>
      </c>
      <c r="U172" s="144">
        <f>SUM(U168:U170)</f>
        <v>1.3736263736263736E-2</v>
      </c>
      <c r="V172" s="145">
        <f>SUM(V168:V170)</f>
        <v>1.3736263736263736E-2</v>
      </c>
    </row>
    <row r="173" spans="1:22" ht="15" hidden="1" customHeight="1" thickBot="1" x14ac:dyDescent="0.35">
      <c r="A173" s="82">
        <v>906</v>
      </c>
      <c r="B173" s="33">
        <v>3</v>
      </c>
      <c r="C173" s="19" t="s">
        <v>1264</v>
      </c>
      <c r="D173" s="23" t="str">
        <f>'Ramo Comercial'!C140</f>
        <v>INCLUIDO</v>
      </c>
      <c r="E173" s="91"/>
      <c r="F173" s="132">
        <v>0</v>
      </c>
      <c r="G173" s="132">
        <v>1</v>
      </c>
      <c r="H173" s="28"/>
      <c r="I173" s="28"/>
      <c r="J173" s="28"/>
      <c r="K173" s="28"/>
      <c r="L173" s="28"/>
      <c r="M173" s="68">
        <v>0</v>
      </c>
      <c r="N173" s="28"/>
      <c r="O173" s="83"/>
      <c r="P173" s="13" t="str">
        <f t="shared" si="183"/>
        <v>NO</v>
      </c>
      <c r="Q173" s="48">
        <f>IF(D173="INCLUIDO",IF(F173&lt;&gt;0,1,0),0)</f>
        <v>0</v>
      </c>
      <c r="T173" s="142">
        <f>G173</f>
        <v>1</v>
      </c>
      <c r="V173" s="153"/>
    </row>
    <row r="174" spans="1:22" ht="15" hidden="1" customHeight="1" x14ac:dyDescent="0.3">
      <c r="A174" s="34" t="s">
        <v>1261</v>
      </c>
      <c r="B174" s="36">
        <v>114</v>
      </c>
      <c r="C174" s="29" t="s">
        <v>1151</v>
      </c>
      <c r="D174" s="29" t="str">
        <f>D173</f>
        <v>INCLUIDO</v>
      </c>
      <c r="E174" s="27" t="s">
        <v>1186</v>
      </c>
      <c r="F174" s="20">
        <f>$F$173*S174</f>
        <v>0</v>
      </c>
      <c r="G174" s="21">
        <f>V174</f>
        <v>1</v>
      </c>
      <c r="H174" s="9">
        <f t="shared" ref="H174:H177" si="211">(IF(I174="$ Prima",G174,G174*F174/R174))*$U$9</f>
        <v>0</v>
      </c>
      <c r="I174" s="9" t="s">
        <v>1235</v>
      </c>
      <c r="J174" s="9">
        <f t="shared" ref="J174:J177" si="212">H174*$U$7</f>
        <v>0</v>
      </c>
      <c r="K174" s="9">
        <f t="shared" ref="K174:K177" si="213">(H174+J174)*$K$15</f>
        <v>0</v>
      </c>
      <c r="L174" s="9">
        <f t="shared" ref="L174:L177" si="214">ROUND(H174+J174+K174,2)</f>
        <v>0</v>
      </c>
      <c r="M174" s="11">
        <f>$M$173</f>
        <v>0</v>
      </c>
      <c r="N174" s="9">
        <f t="shared" ref="N174:N177" si="215">H174*M174</f>
        <v>0</v>
      </c>
      <c r="O174" s="12">
        <f t="shared" ref="O174:O177" si="216">N174</f>
        <v>0</v>
      </c>
      <c r="P174" s="13" t="str">
        <f t="shared" si="183"/>
        <v>NO</v>
      </c>
      <c r="Q174">
        <f>IF(D174="INCLUIDO",IF(F174&lt;&gt;0,1,0),0)</f>
        <v>0</v>
      </c>
      <c r="R174">
        <f>IF(I174="%o Al Millar",1000,IF(I174="% Al Porciento",100,IF(I174="$ Prima",G174)))</f>
        <v>100</v>
      </c>
      <c r="S174">
        <f t="shared" ref="S174:S177" si="217">IF(E174="Excluido",0,IF(D174="NO APLICA",0,1))</f>
        <v>0</v>
      </c>
      <c r="T174" s="152">
        <v>0.4</v>
      </c>
      <c r="U174" s="159">
        <f>IF(E174="Excluido",0,T173*T174)</f>
        <v>0</v>
      </c>
      <c r="V174" s="160">
        <f>IF(D173="NO APLICA",0,(U186-U176-U180-U184)+(T173-U186))</f>
        <v>1</v>
      </c>
    </row>
    <row r="175" spans="1:22" ht="15" hidden="1" customHeight="1" x14ac:dyDescent="0.3">
      <c r="A175" s="34" t="s">
        <v>1261</v>
      </c>
      <c r="B175" s="36"/>
      <c r="C175" s="81">
        <f>$O$12</f>
        <v>0</v>
      </c>
      <c r="D175" s="29" t="str">
        <f t="shared" si="197"/>
        <v>INCLUIDO</v>
      </c>
      <c r="E175" s="27" t="str">
        <f>E174</f>
        <v>Excluido</v>
      </c>
      <c r="F175" s="9">
        <f>(F174*$O$12)*S175</f>
        <v>0</v>
      </c>
      <c r="G175" s="10">
        <f>G174*0.35</f>
        <v>0.35</v>
      </c>
      <c r="H175" s="9">
        <f t="shared" si="211"/>
        <v>0</v>
      </c>
      <c r="I175" s="9" t="s">
        <v>1235</v>
      </c>
      <c r="J175" s="9">
        <f t="shared" si="212"/>
        <v>0</v>
      </c>
      <c r="K175" s="9">
        <f t="shared" si="213"/>
        <v>0</v>
      </c>
      <c r="L175" s="9">
        <f t="shared" si="214"/>
        <v>0</v>
      </c>
      <c r="M175" s="11">
        <f t="shared" ref="M175" si="218">$M$161</f>
        <v>5.8000000000000003E-2</v>
      </c>
      <c r="N175" s="9">
        <f t="shared" si="215"/>
        <v>0</v>
      </c>
      <c r="O175" s="12">
        <f t="shared" si="216"/>
        <v>0</v>
      </c>
      <c r="P175" s="13" t="str">
        <f t="shared" si="183"/>
        <v>NO</v>
      </c>
      <c r="Q175">
        <f>IF(D175="INCLUIDO",IF(F175&lt;&gt;0,1,0),0)</f>
        <v>0</v>
      </c>
      <c r="R175">
        <f>IF(I175="%o Al Millar",1000,IF(I175="% Al Porciento",100,IF(I175="$ Prima",G175)))</f>
        <v>100</v>
      </c>
      <c r="S175">
        <f t="shared" si="217"/>
        <v>0</v>
      </c>
      <c r="T175" s="152"/>
      <c r="U175" s="159"/>
      <c r="V175" s="160"/>
    </row>
    <row r="176" spans="1:22" ht="15" hidden="1" customHeight="1" x14ac:dyDescent="0.3">
      <c r="A176" s="34" t="s">
        <v>1261</v>
      </c>
      <c r="B176" s="36">
        <v>113</v>
      </c>
      <c r="C176" s="29" t="s">
        <v>1262</v>
      </c>
      <c r="D176" s="29" t="str">
        <f>D173</f>
        <v>INCLUIDO</v>
      </c>
      <c r="E176" s="27" t="s">
        <v>1186</v>
      </c>
      <c r="F176" s="20">
        <f>$F$173*S176</f>
        <v>0</v>
      </c>
      <c r="G176" s="21">
        <f>V176</f>
        <v>0</v>
      </c>
      <c r="H176" s="9">
        <f t="shared" si="211"/>
        <v>0</v>
      </c>
      <c r="I176" s="9" t="s">
        <v>1235</v>
      </c>
      <c r="J176" s="9">
        <f t="shared" si="212"/>
        <v>0</v>
      </c>
      <c r="K176" s="9">
        <f t="shared" si="213"/>
        <v>0</v>
      </c>
      <c r="L176" s="9">
        <f t="shared" si="214"/>
        <v>0</v>
      </c>
      <c r="M176" s="11">
        <f t="shared" ref="M176:M177" si="219">$M$173</f>
        <v>0</v>
      </c>
      <c r="N176" s="9">
        <f t="shared" si="215"/>
        <v>0</v>
      </c>
      <c r="O176" s="12">
        <f t="shared" si="216"/>
        <v>0</v>
      </c>
      <c r="P176" s="13" t="str">
        <f t="shared" si="183"/>
        <v>NO</v>
      </c>
      <c r="Q176">
        <f>IF(D176="INCLUIDO",IF(F176&lt;&gt;0,1,0),0)</f>
        <v>0</v>
      </c>
      <c r="R176">
        <f>IF(I176="%o Al Millar",1000,IF(I176="% Al Porciento",100,IF(I176="$ Prima",G176)))</f>
        <v>100</v>
      </c>
      <c r="S176">
        <f t="shared" si="217"/>
        <v>0</v>
      </c>
      <c r="T176" s="152">
        <v>0.1</v>
      </c>
      <c r="U176" s="159">
        <f>IF(E176="Excluido",0,$T$173*T176)</f>
        <v>0</v>
      </c>
      <c r="V176" s="160">
        <f>IF($F176=0,0,U176)</f>
        <v>0</v>
      </c>
    </row>
    <row r="177" spans="1:22" ht="15" hidden="1" customHeight="1" x14ac:dyDescent="0.3">
      <c r="A177" s="34" t="s">
        <v>1261</v>
      </c>
      <c r="B177" s="36"/>
      <c r="C177" s="81">
        <f>$O$12</f>
        <v>0</v>
      </c>
      <c r="D177" s="29" t="str">
        <f>D173</f>
        <v>INCLUIDO</v>
      </c>
      <c r="E177" s="27" t="str">
        <f>E176</f>
        <v>Excluido</v>
      </c>
      <c r="F177" s="9">
        <f>(F176*$O$12)*S177</f>
        <v>0</v>
      </c>
      <c r="G177" s="21">
        <v>0</v>
      </c>
      <c r="H177" s="9">
        <f t="shared" si="211"/>
        <v>0</v>
      </c>
      <c r="I177" s="9" t="s">
        <v>1235</v>
      </c>
      <c r="J177" s="9">
        <f t="shared" si="212"/>
        <v>0</v>
      </c>
      <c r="K177" s="9">
        <f t="shared" si="213"/>
        <v>0</v>
      </c>
      <c r="L177" s="9">
        <f t="shared" si="214"/>
        <v>0</v>
      </c>
      <c r="M177" s="11">
        <f t="shared" si="219"/>
        <v>0</v>
      </c>
      <c r="N177" s="9">
        <f t="shared" si="215"/>
        <v>0</v>
      </c>
      <c r="O177" s="12">
        <f t="shared" si="216"/>
        <v>0</v>
      </c>
      <c r="P177" s="13" t="str">
        <f t="shared" si="183"/>
        <v>NO</v>
      </c>
      <c r="Q177">
        <f>IF(D177="INCLUIDO",IF(F177&lt;&gt;0,1,0),0)</f>
        <v>0</v>
      </c>
      <c r="R177">
        <f>IF(I177="%o Al Millar",1000,IF(I177="% Al Porciento",100,IF(I177="$ Prima",G177)))</f>
        <v>100</v>
      </c>
      <c r="S177">
        <f t="shared" si="217"/>
        <v>0</v>
      </c>
      <c r="T177" s="154"/>
      <c r="V177" s="153"/>
    </row>
    <row r="178" spans="1:22" s="18" customFormat="1" ht="15" hidden="1" customHeight="1" x14ac:dyDescent="0.3">
      <c r="A178" s="24"/>
      <c r="B178" s="26"/>
      <c r="C178" s="15" t="s">
        <v>1177</v>
      </c>
      <c r="D178" s="38" t="str">
        <f>D177</f>
        <v>INCLUIDO</v>
      </c>
      <c r="E178" s="38"/>
      <c r="F178" s="16"/>
      <c r="G178" s="17"/>
      <c r="H178" s="16">
        <f>SUM(H174:H177)</f>
        <v>0</v>
      </c>
      <c r="I178" s="16"/>
      <c r="J178" s="16">
        <f t="shared" ref="J178:L178" si="220">SUM(J174:J177)</f>
        <v>0</v>
      </c>
      <c r="K178" s="16">
        <f t="shared" si="220"/>
        <v>0</v>
      </c>
      <c r="L178" s="16">
        <f t="shared" si="220"/>
        <v>0</v>
      </c>
      <c r="M178" s="16" t="s">
        <v>1178</v>
      </c>
      <c r="N178" s="16">
        <f t="shared" ref="N178:O178" si="221">SUM(N174:N177)</f>
        <v>0</v>
      </c>
      <c r="O178" s="84">
        <f t="shared" si="221"/>
        <v>0</v>
      </c>
      <c r="P178" s="13" t="str">
        <f t="shared" si="183"/>
        <v>NO</v>
      </c>
      <c r="Q178">
        <f>IF(D178="INCLUIDO",IF(H178&lt;&gt;0,1,0),0)</f>
        <v>0</v>
      </c>
      <c r="T178" s="167"/>
      <c r="V178" s="168"/>
    </row>
    <row r="179" spans="1:22" ht="15" hidden="1" customHeight="1" x14ac:dyDescent="0.3">
      <c r="A179" s="82">
        <v>906</v>
      </c>
      <c r="B179" s="33">
        <v>4</v>
      </c>
      <c r="C179" s="19" t="s">
        <v>1265</v>
      </c>
      <c r="D179" s="23" t="str">
        <f>D173</f>
        <v>INCLUIDO</v>
      </c>
      <c r="E179" s="91"/>
      <c r="F179" s="113">
        <v>0</v>
      </c>
      <c r="G179" s="132"/>
      <c r="H179" s="28"/>
      <c r="I179" s="28"/>
      <c r="J179" s="28"/>
      <c r="K179" s="28"/>
      <c r="L179" s="28"/>
      <c r="M179" s="68">
        <v>0</v>
      </c>
      <c r="N179" s="28"/>
      <c r="O179" s="83"/>
      <c r="P179" s="13" t="str">
        <f t="shared" si="183"/>
        <v>NO</v>
      </c>
      <c r="Q179" s="48">
        <f>IF(D179="INCLUIDO",IF(F179&lt;&gt;0,1,0),0)</f>
        <v>0</v>
      </c>
      <c r="T179" s="154"/>
      <c r="V179" s="153"/>
    </row>
    <row r="180" spans="1:22" ht="15" hidden="1" customHeight="1" x14ac:dyDescent="0.3">
      <c r="A180" s="34" t="s">
        <v>1261</v>
      </c>
      <c r="B180" s="36">
        <v>115</v>
      </c>
      <c r="C180" s="29" t="s">
        <v>1170</v>
      </c>
      <c r="D180" s="29" t="str">
        <f>D173</f>
        <v>INCLUIDO</v>
      </c>
      <c r="E180" s="27" t="s">
        <v>1186</v>
      </c>
      <c r="F180" s="20">
        <f>F179*S180</f>
        <v>0</v>
      </c>
      <c r="G180" s="21">
        <f>V180</f>
        <v>0</v>
      </c>
      <c r="H180" s="9">
        <f t="shared" ref="H180:H181" si="222">(IF(I180="$ Prima",G180,G180*F180/R180))*$U$9</f>
        <v>0</v>
      </c>
      <c r="I180" s="9" t="s">
        <v>1235</v>
      </c>
      <c r="J180" s="9">
        <f t="shared" ref="J180:J181" si="223">H180*$U$7</f>
        <v>0</v>
      </c>
      <c r="K180" s="9">
        <f t="shared" ref="K180:K181" si="224">(H180+J180)*$K$15</f>
        <v>0</v>
      </c>
      <c r="L180" s="9">
        <f t="shared" ref="L180:L181" si="225">ROUND(H180+J180+K180,2)</f>
        <v>0</v>
      </c>
      <c r="M180" s="11">
        <f>$M$179</f>
        <v>0</v>
      </c>
      <c r="N180" s="9">
        <f t="shared" ref="N180:N181" si="226">H180*M180</f>
        <v>0</v>
      </c>
      <c r="O180" s="12">
        <f t="shared" ref="O180:O181" si="227">N180</f>
        <v>0</v>
      </c>
      <c r="P180" s="13" t="str">
        <f t="shared" si="183"/>
        <v>NO</v>
      </c>
      <c r="Q180">
        <f>IF(D180="INCLUIDO",IF(F180&lt;&gt;0,1,0),0)</f>
        <v>0</v>
      </c>
      <c r="R180">
        <f>IF(I180="%o Al Millar",1000,IF(I180="% Al Porciento",100,IF(I180="$ Prima",G180)))</f>
        <v>100</v>
      </c>
      <c r="S180">
        <f t="shared" ref="S180:S181" si="228">IF(E180="Excluido",0,IF(D180="NO APLICA",0,1))</f>
        <v>0</v>
      </c>
      <c r="T180" s="152">
        <v>0.25</v>
      </c>
      <c r="U180" s="159">
        <f>IF(E180="Excluido",0,$T$173*T180)</f>
        <v>0</v>
      </c>
      <c r="V180" s="160">
        <f>IF($F180=0,0,U180)</f>
        <v>0</v>
      </c>
    </row>
    <row r="181" spans="1:22" ht="15" hidden="1" customHeight="1" x14ac:dyDescent="0.3">
      <c r="A181" s="34" t="s">
        <v>1261</v>
      </c>
      <c r="B181" s="36"/>
      <c r="C181" s="81">
        <f>$O$12</f>
        <v>0</v>
      </c>
      <c r="D181" s="29" t="str">
        <f>D173</f>
        <v>INCLUIDO</v>
      </c>
      <c r="E181" s="27" t="str">
        <f>E180</f>
        <v>Excluido</v>
      </c>
      <c r="F181" s="9">
        <f>(F180*$O$12)*S181</f>
        <v>0</v>
      </c>
      <c r="G181" s="21">
        <v>0</v>
      </c>
      <c r="H181" s="9">
        <f t="shared" si="222"/>
        <v>0</v>
      </c>
      <c r="I181" s="9" t="s">
        <v>1235</v>
      </c>
      <c r="J181" s="9">
        <f t="shared" si="223"/>
        <v>0</v>
      </c>
      <c r="K181" s="9">
        <f t="shared" si="224"/>
        <v>0</v>
      </c>
      <c r="L181" s="9">
        <f t="shared" si="225"/>
        <v>0</v>
      </c>
      <c r="M181" s="11">
        <f>$M$179</f>
        <v>0</v>
      </c>
      <c r="N181" s="9">
        <f t="shared" si="226"/>
        <v>0</v>
      </c>
      <c r="O181" s="12">
        <f t="shared" si="227"/>
        <v>0</v>
      </c>
      <c r="P181" s="13" t="str">
        <f t="shared" si="183"/>
        <v>NO</v>
      </c>
      <c r="Q181">
        <f>IF(D181="INCLUIDO",IF(F181&lt;&gt;0,1,0),0)</f>
        <v>0</v>
      </c>
      <c r="R181">
        <f>IF(I181="%o Al Millar",1000,IF(I181="% Al Porciento",100,IF(I181="$ Prima",G181)))</f>
        <v>100</v>
      </c>
      <c r="S181">
        <f t="shared" si="228"/>
        <v>0</v>
      </c>
      <c r="T181" s="154"/>
      <c r="V181" s="153"/>
    </row>
    <row r="182" spans="1:22" s="18" customFormat="1" ht="15" hidden="1" customHeight="1" x14ac:dyDescent="0.3">
      <c r="A182" s="24"/>
      <c r="B182" s="26"/>
      <c r="C182" s="15" t="s">
        <v>1177</v>
      </c>
      <c r="D182" s="38" t="str">
        <f>D181</f>
        <v>INCLUIDO</v>
      </c>
      <c r="E182" s="38"/>
      <c r="F182" s="16"/>
      <c r="G182" s="17"/>
      <c r="H182" s="16">
        <f>SUM(H180:H181)</f>
        <v>0</v>
      </c>
      <c r="I182" s="16"/>
      <c r="J182" s="16">
        <f t="shared" ref="J182:L182" si="229">SUM(J180:J181)</f>
        <v>0</v>
      </c>
      <c r="K182" s="16">
        <f t="shared" si="229"/>
        <v>0</v>
      </c>
      <c r="L182" s="16">
        <f t="shared" si="229"/>
        <v>0</v>
      </c>
      <c r="M182" s="16" t="s">
        <v>1178</v>
      </c>
      <c r="N182" s="16">
        <f t="shared" ref="N182:O182" si="230">SUM(N180:N181)</f>
        <v>0</v>
      </c>
      <c r="O182" s="84">
        <f t="shared" si="230"/>
        <v>0</v>
      </c>
      <c r="P182" s="13" t="str">
        <f t="shared" si="183"/>
        <v>NO</v>
      </c>
      <c r="Q182">
        <f>IF(D182="INCLUIDO",IF(H182&lt;&gt;0,1,0),0)</f>
        <v>0</v>
      </c>
      <c r="T182" s="167"/>
      <c r="V182" s="168"/>
    </row>
    <row r="183" spans="1:22" ht="15" hidden="1" customHeight="1" x14ac:dyDescent="0.3">
      <c r="A183" s="82">
        <v>906</v>
      </c>
      <c r="B183" s="33">
        <v>5</v>
      </c>
      <c r="C183" s="19" t="s">
        <v>1266</v>
      </c>
      <c r="D183" s="23" t="str">
        <f>D173</f>
        <v>INCLUIDO</v>
      </c>
      <c r="E183" s="91"/>
      <c r="F183" s="42">
        <v>0</v>
      </c>
      <c r="G183" s="43"/>
      <c r="H183" s="28"/>
      <c r="I183" s="28"/>
      <c r="J183" s="28"/>
      <c r="K183" s="28"/>
      <c r="L183" s="28"/>
      <c r="M183" s="68">
        <v>0</v>
      </c>
      <c r="N183" s="28"/>
      <c r="O183" s="83"/>
      <c r="P183" s="13" t="str">
        <f t="shared" si="183"/>
        <v>NO</v>
      </c>
      <c r="Q183" s="48">
        <f>IF(D183="INCLUIDO",IF(F183&lt;&gt;0,1,0),0)</f>
        <v>0</v>
      </c>
      <c r="T183" s="154"/>
      <c r="V183" s="153"/>
    </row>
    <row r="184" spans="1:22" ht="15" hidden="1" customHeight="1" x14ac:dyDescent="0.3">
      <c r="A184" s="34" t="s">
        <v>1261</v>
      </c>
      <c r="B184" s="36">
        <v>116</v>
      </c>
      <c r="C184" s="29" t="s">
        <v>1267</v>
      </c>
      <c r="D184" s="29" t="str">
        <f>D173</f>
        <v>INCLUIDO</v>
      </c>
      <c r="E184" s="27" t="s">
        <v>1186</v>
      </c>
      <c r="F184" s="20">
        <f>F183*S184</f>
        <v>0</v>
      </c>
      <c r="G184" s="21">
        <f>V184</f>
        <v>0</v>
      </c>
      <c r="H184" s="9">
        <f t="shared" ref="H184:H185" si="231">(IF(I184="$ Prima",G184,G184*F184/R184))*$U$9</f>
        <v>0</v>
      </c>
      <c r="I184" s="9" t="s">
        <v>1235</v>
      </c>
      <c r="J184" s="9">
        <f t="shared" ref="J184:J185" si="232">H184*$U$7</f>
        <v>0</v>
      </c>
      <c r="K184" s="9">
        <f t="shared" ref="K184:K185" si="233">(H184+J184)*$K$15</f>
        <v>0</v>
      </c>
      <c r="L184" s="9">
        <f t="shared" ref="L184:L185" si="234">ROUND(H184+J184+K184,2)</f>
        <v>0</v>
      </c>
      <c r="M184" s="11">
        <f>$M$183</f>
        <v>0</v>
      </c>
      <c r="N184" s="9">
        <f t="shared" ref="N184:N185" si="235">H184*M184</f>
        <v>0</v>
      </c>
      <c r="O184" s="12">
        <f t="shared" ref="O184:O185" si="236">N184</f>
        <v>0</v>
      </c>
      <c r="P184" s="13" t="str">
        <f t="shared" si="183"/>
        <v>NO</v>
      </c>
      <c r="Q184">
        <f>IF(D184="INCLUIDO",IF(F184&lt;&gt;0,1,0),0)</f>
        <v>0</v>
      </c>
      <c r="R184">
        <f>IF(I184="%o Al Millar",1000,IF(I184="% Al Porciento",100,IF(I184="$ Prima",G184)))</f>
        <v>100</v>
      </c>
      <c r="S184">
        <f t="shared" ref="S184:S185" si="237">IF(E184="Excluido",0,IF(D184="NO APLICA",0,1))</f>
        <v>0</v>
      </c>
      <c r="T184" s="152">
        <v>0.25</v>
      </c>
      <c r="U184" s="159">
        <f>IF(E184="Excluido",0,$T$173*T184)</f>
        <v>0</v>
      </c>
      <c r="V184" s="160">
        <f>IF($F184=0,0,U184)</f>
        <v>0</v>
      </c>
    </row>
    <row r="185" spans="1:22" ht="15" hidden="1" customHeight="1" thickBot="1" x14ac:dyDescent="0.35">
      <c r="A185" s="34" t="s">
        <v>1261</v>
      </c>
      <c r="B185" s="36"/>
      <c r="C185" s="81">
        <f>$O$12</f>
        <v>0</v>
      </c>
      <c r="D185" s="29" t="str">
        <f>D173</f>
        <v>INCLUIDO</v>
      </c>
      <c r="E185" s="27" t="str">
        <f>E184</f>
        <v>Excluido</v>
      </c>
      <c r="F185" s="9">
        <f>(F184*$O$12)*S185</f>
        <v>0</v>
      </c>
      <c r="G185" s="21">
        <v>0</v>
      </c>
      <c r="H185" s="9">
        <f t="shared" si="231"/>
        <v>0</v>
      </c>
      <c r="I185" s="9" t="s">
        <v>1235</v>
      </c>
      <c r="J185" s="9">
        <f t="shared" si="232"/>
        <v>0</v>
      </c>
      <c r="K185" s="9">
        <f t="shared" si="233"/>
        <v>0</v>
      </c>
      <c r="L185" s="9">
        <f t="shared" si="234"/>
        <v>0</v>
      </c>
      <c r="M185" s="11">
        <f>$M$183</f>
        <v>0</v>
      </c>
      <c r="N185" s="9">
        <f t="shared" si="235"/>
        <v>0</v>
      </c>
      <c r="O185" s="12">
        <f t="shared" si="236"/>
        <v>0</v>
      </c>
      <c r="P185" s="13" t="str">
        <f t="shared" si="183"/>
        <v>NO</v>
      </c>
      <c r="Q185">
        <f>IF(D185="INCLUIDO",IF(F185&lt;&gt;0,1,0),0)</f>
        <v>0</v>
      </c>
      <c r="R185">
        <f>IF(I185="%o Al Millar",1000,IF(I185="% Al Porciento",100,IF(I185="$ Prima",G185)))</f>
        <v>100</v>
      </c>
      <c r="S185">
        <f t="shared" si="237"/>
        <v>0</v>
      </c>
      <c r="T185" s="154"/>
      <c r="V185" s="153"/>
    </row>
    <row r="186" spans="1:22" s="18" customFormat="1" ht="15" hidden="1" customHeight="1" thickBot="1" x14ac:dyDescent="0.35">
      <c r="A186" s="24"/>
      <c r="B186" s="26"/>
      <c r="C186" s="15" t="s">
        <v>1177</v>
      </c>
      <c r="D186" s="38" t="str">
        <f>D185</f>
        <v>INCLUIDO</v>
      </c>
      <c r="E186" s="38"/>
      <c r="F186" s="16">
        <f>SUMIF(E174:E185,"Adicional",F174:F185)</f>
        <v>0</v>
      </c>
      <c r="G186" s="17"/>
      <c r="H186" s="16">
        <f>SUM(H184:H185)</f>
        <v>0</v>
      </c>
      <c r="I186" s="16"/>
      <c r="J186" s="16">
        <f t="shared" ref="J186:L186" si="238">SUM(J184:J185)</f>
        <v>0</v>
      </c>
      <c r="K186" s="16">
        <f t="shared" si="238"/>
        <v>0</v>
      </c>
      <c r="L186" s="16">
        <f t="shared" si="238"/>
        <v>0</v>
      </c>
      <c r="M186" s="16" t="s">
        <v>1178</v>
      </c>
      <c r="N186" s="16">
        <f t="shared" ref="N186:O186" si="239">SUM(N184:N185)</f>
        <v>0</v>
      </c>
      <c r="O186" s="84">
        <f t="shared" si="239"/>
        <v>0</v>
      </c>
      <c r="P186" s="13" t="str">
        <f t="shared" si="183"/>
        <v>NO</v>
      </c>
      <c r="Q186">
        <f>IF(D186="INCLUIDO",IF(H186&lt;&gt;0,1,0),0)</f>
        <v>0</v>
      </c>
      <c r="T186" s="143">
        <f>SUM(T174:T185)</f>
        <v>1</v>
      </c>
      <c r="U186" s="144">
        <f t="shared" ref="U186:V186" si="240">SUM(U174:U185)</f>
        <v>0</v>
      </c>
      <c r="V186" s="145">
        <f t="shared" si="240"/>
        <v>1</v>
      </c>
    </row>
    <row r="187" spans="1:22" ht="15" thickBot="1" x14ac:dyDescent="0.35">
      <c r="A187" s="82">
        <v>906</v>
      </c>
      <c r="B187" s="33">
        <v>6</v>
      </c>
      <c r="C187" s="19" t="s">
        <v>1268</v>
      </c>
      <c r="D187" s="23" t="str">
        <f>'Ramo Comercial'!C145</f>
        <v>INCLUIDO</v>
      </c>
      <c r="E187" s="91"/>
      <c r="F187" s="43">
        <f>'COTIZACIÓN M.N.'!D80</f>
        <v>6500000</v>
      </c>
      <c r="G187" s="211">
        <f>'COTIZACIÓN M.N.'!E80/'Ubicaciones total (2)'!A366</f>
        <v>4.9450549450549448E-2</v>
      </c>
      <c r="H187" s="28"/>
      <c r="I187" s="28"/>
      <c r="J187" s="28"/>
      <c r="K187" s="28"/>
      <c r="L187" s="28"/>
      <c r="M187" s="68">
        <f>M167</f>
        <v>0.1</v>
      </c>
      <c r="N187" s="28"/>
      <c r="O187" s="83"/>
      <c r="P187" s="13" t="str">
        <f t="shared" si="183"/>
        <v>SI</v>
      </c>
      <c r="Q187" s="47">
        <f>IF(D187="INCLUIDO",IF(F188&lt;&gt;0,1,0),0)</f>
        <v>1</v>
      </c>
      <c r="T187" s="142">
        <f>G187</f>
        <v>4.9450549450549448E-2</v>
      </c>
      <c r="U187" s="150"/>
      <c r="V187" s="151"/>
    </row>
    <row r="188" spans="1:22" x14ac:dyDescent="0.3">
      <c r="A188" s="34" t="s">
        <v>1261</v>
      </c>
      <c r="B188" s="36">
        <v>256</v>
      </c>
      <c r="C188" s="29" t="s">
        <v>1269</v>
      </c>
      <c r="D188" s="29" t="str">
        <f>$D$187</f>
        <v>INCLUIDO</v>
      </c>
      <c r="E188" s="27" t="s">
        <v>1137</v>
      </c>
      <c r="F188" s="9">
        <f>F187*S188</f>
        <v>6500000</v>
      </c>
      <c r="G188" s="21">
        <f>V188</f>
        <v>3.6098901098901105E-2</v>
      </c>
      <c r="H188" s="479">
        <f>(((IF(I188="$ Prima",G188,G188*F188/R188))*$U$9)/365)*$J$15</f>
        <v>235.28571428571433</v>
      </c>
      <c r="I188" s="9" t="s">
        <v>1153</v>
      </c>
      <c r="J188" s="9">
        <f t="shared" ref="J188:J201" si="241">H188*$U$7</f>
        <v>4.9645285714285725</v>
      </c>
      <c r="K188" s="9">
        <f t="shared" ref="K188:K201" si="242">(H188+J188)*$K$15</f>
        <v>38.440038857142866</v>
      </c>
      <c r="L188" s="9">
        <f t="shared" ref="L188:L201" si="243">ROUND(H188+J188+K188,2)</f>
        <v>278.69</v>
      </c>
      <c r="M188" s="11">
        <f>$M$187</f>
        <v>0.1</v>
      </c>
      <c r="N188" s="9">
        <f t="shared" ref="N188:N201" si="244">H188*M188</f>
        <v>23.528571428571436</v>
      </c>
      <c r="O188" s="12">
        <f t="shared" ref="O188:O201" si="245">N188</f>
        <v>23.528571428571436</v>
      </c>
      <c r="P188" s="13" t="str">
        <f t="shared" si="183"/>
        <v>SI</v>
      </c>
      <c r="Q188">
        <f t="shared" ref="Q188:Q201" si="246">IF(D188="INCLUIDO",IF(F188&lt;&gt;0,1,0),0)</f>
        <v>1</v>
      </c>
      <c r="R188">
        <f t="shared" ref="R188:R201" si="247">IF(I188="%o Al Millar",1000,IF(I188="% Al Porciento",100,IF(I188="$ Prima",G188)))</f>
        <v>1000</v>
      </c>
      <c r="S188">
        <f t="shared" ref="S188:S201" si="248">IF(E188="Excluido",0,IF(D188="NO APLICA",0,1))</f>
        <v>1</v>
      </c>
      <c r="T188" s="152">
        <v>0.73</v>
      </c>
      <c r="U188" s="159">
        <f>IF(E188="Excluido",0,$T$187*T188)</f>
        <v>3.6098901098901098E-2</v>
      </c>
      <c r="V188" s="160">
        <f>IF(D187="NO APLICA",0,(U210-U192-U194-U196-U198-U204-U208)+(T187-U210))</f>
        <v>3.6098901098901105E-2</v>
      </c>
    </row>
    <row r="189" spans="1:22" hidden="1" x14ac:dyDescent="0.3">
      <c r="A189" s="34" t="s">
        <v>1261</v>
      </c>
      <c r="B189" s="36"/>
      <c r="C189" s="81">
        <f>$O$12</f>
        <v>0</v>
      </c>
      <c r="D189" s="29" t="str">
        <f t="shared" ref="D189:D201" si="249">$D$187</f>
        <v>INCLUIDO</v>
      </c>
      <c r="E189" s="27" t="s">
        <v>1186</v>
      </c>
      <c r="F189" s="9">
        <f>(F188*$O$12)*S189</f>
        <v>0</v>
      </c>
      <c r="G189" s="21">
        <f>(G188*0.35)*S189</f>
        <v>0</v>
      </c>
      <c r="H189" s="9">
        <f t="shared" ref="H189:H201" si="250">(IF(I189="$ Prima",G189,G189*F189/R189))*$U$9</f>
        <v>0</v>
      </c>
      <c r="I189" s="9" t="s">
        <v>1153</v>
      </c>
      <c r="J189" s="9">
        <f t="shared" si="241"/>
        <v>0</v>
      </c>
      <c r="K189" s="9">
        <f t="shared" si="242"/>
        <v>0</v>
      </c>
      <c r="L189" s="9">
        <f t="shared" si="243"/>
        <v>0</v>
      </c>
      <c r="M189" s="11">
        <f>M188</f>
        <v>0.1</v>
      </c>
      <c r="N189" s="9">
        <f t="shared" si="244"/>
        <v>0</v>
      </c>
      <c r="O189" s="12">
        <f t="shared" si="245"/>
        <v>0</v>
      </c>
      <c r="P189" s="13" t="str">
        <f t="shared" si="183"/>
        <v>NO</v>
      </c>
      <c r="Q189">
        <f>IF(D189="INCLUIDO",IF(F189&lt;&gt;0,1,0),0)</f>
        <v>0</v>
      </c>
      <c r="R189">
        <f>IF(I189="%o Al Millar",1000,IF(I189="% Al Porciento",100,IF(I189="$ Prima",G189)))</f>
        <v>1000</v>
      </c>
      <c r="S189">
        <f t="shared" si="248"/>
        <v>0</v>
      </c>
      <c r="T189" s="152"/>
      <c r="U189" s="159"/>
      <c r="V189" s="160"/>
    </row>
    <row r="190" spans="1:22" ht="15" customHeight="1" x14ac:dyDescent="0.3">
      <c r="A190" s="34" t="s">
        <v>1261</v>
      </c>
      <c r="B190" s="36">
        <v>257</v>
      </c>
      <c r="C190" s="29" t="s">
        <v>1270</v>
      </c>
      <c r="D190" s="29" t="str">
        <f t="shared" si="249"/>
        <v>INCLUIDO</v>
      </c>
      <c r="E190" s="27" t="s">
        <v>1137</v>
      </c>
      <c r="F190" s="43">
        <f>'COTIZACIÓN M.N.'!D81</f>
        <v>785000</v>
      </c>
      <c r="G190" s="132">
        <f>'COTIZACIÓN M.N.'!E81/'Ubicaciones total (2)'!A366</f>
        <v>2.7472527472527472E-2</v>
      </c>
      <c r="H190" s="479">
        <f>(IF(I190="$ Prima",G190,G190*F190/R190))*$U$9</f>
        <v>21.565934065934066</v>
      </c>
      <c r="I190" s="9" t="s">
        <v>1153</v>
      </c>
      <c r="J190" s="9">
        <f t="shared" si="241"/>
        <v>0.4550412087912088</v>
      </c>
      <c r="K190" s="9">
        <f t="shared" si="242"/>
        <v>3.5233560439560438</v>
      </c>
      <c r="L190" s="9">
        <f t="shared" si="243"/>
        <v>25.54</v>
      </c>
      <c r="M190" s="11">
        <f>$M$187</f>
        <v>0.1</v>
      </c>
      <c r="N190" s="9">
        <f t="shared" si="244"/>
        <v>2.1565934065934065</v>
      </c>
      <c r="O190" s="12">
        <f t="shared" si="245"/>
        <v>2.1565934065934065</v>
      </c>
      <c r="P190" s="13" t="str">
        <f t="shared" si="183"/>
        <v>SI</v>
      </c>
      <c r="Q190">
        <f t="shared" si="246"/>
        <v>1</v>
      </c>
      <c r="R190">
        <f t="shared" si="247"/>
        <v>1000</v>
      </c>
      <c r="S190">
        <f t="shared" si="248"/>
        <v>1</v>
      </c>
      <c r="T190" s="152"/>
      <c r="U190" s="159"/>
      <c r="V190" s="160"/>
    </row>
    <row r="191" spans="1:22" ht="15" hidden="1" customHeight="1" x14ac:dyDescent="0.3">
      <c r="A191" s="34" t="s">
        <v>1261</v>
      </c>
      <c r="B191" s="36"/>
      <c r="C191" s="81">
        <f>$O$12</f>
        <v>0</v>
      </c>
      <c r="D191" s="29" t="str">
        <f t="shared" si="249"/>
        <v>INCLUIDO</v>
      </c>
      <c r="E191" s="27" t="s">
        <v>1186</v>
      </c>
      <c r="F191" s="9">
        <f>(F190*$O$12)*S191</f>
        <v>0</v>
      </c>
      <c r="G191" s="21">
        <f>G190*0.35</f>
        <v>9.6153846153846142E-3</v>
      </c>
      <c r="H191" s="9">
        <f t="shared" ref="H191" si="251">(IF(I191="$ Prima",G191,G191*F191/R191))*$U$9</f>
        <v>0</v>
      </c>
      <c r="I191" s="9" t="s">
        <v>1153</v>
      </c>
      <c r="J191" s="9">
        <f t="shared" si="241"/>
        <v>0</v>
      </c>
      <c r="K191" s="9">
        <f t="shared" si="242"/>
        <v>0</v>
      </c>
      <c r="L191" s="9">
        <f t="shared" si="243"/>
        <v>0</v>
      </c>
      <c r="M191" s="11">
        <f>$M$179</f>
        <v>0</v>
      </c>
      <c r="N191" s="9">
        <f t="shared" si="244"/>
        <v>0</v>
      </c>
      <c r="O191" s="12">
        <f t="shared" si="245"/>
        <v>0</v>
      </c>
      <c r="P191" s="13" t="str">
        <f t="shared" si="183"/>
        <v>NO</v>
      </c>
      <c r="Q191">
        <f>IF(D191="INCLUIDO",IF(F191&lt;&gt;0,1,0),0)</f>
        <v>0</v>
      </c>
      <c r="R191">
        <f>IF(I191="%o Al Millar",1000,IF(I191="% Al Porciento",100,IF(I191="$ Prima",G191)))</f>
        <v>1000</v>
      </c>
      <c r="S191">
        <f t="shared" si="248"/>
        <v>0</v>
      </c>
      <c r="T191" s="154"/>
      <c r="V191" s="153"/>
    </row>
    <row r="192" spans="1:22" x14ac:dyDescent="0.3">
      <c r="A192" s="34" t="s">
        <v>1261</v>
      </c>
      <c r="B192" s="36">
        <v>120</v>
      </c>
      <c r="C192" s="29" t="s">
        <v>1271</v>
      </c>
      <c r="D192" s="29" t="str">
        <f t="shared" si="249"/>
        <v>INCLUIDO</v>
      </c>
      <c r="E192" s="27" t="s">
        <v>1137</v>
      </c>
      <c r="F192" s="20">
        <f>(IF($E$190="Sublimite",$F$188,$F$188+$F$190))*S192</f>
        <v>6500000</v>
      </c>
      <c r="G192" s="21">
        <f>V192</f>
        <v>4.9450549450549448E-3</v>
      </c>
      <c r="H192" s="9">
        <f t="shared" si="250"/>
        <v>32.142857142857139</v>
      </c>
      <c r="I192" s="9" t="s">
        <v>1153</v>
      </c>
      <c r="J192" s="9">
        <f t="shared" si="241"/>
        <v>0.67821428571428566</v>
      </c>
      <c r="K192" s="9">
        <f t="shared" si="242"/>
        <v>5.2513714285714279</v>
      </c>
      <c r="L192" s="9">
        <f t="shared" si="243"/>
        <v>38.07</v>
      </c>
      <c r="M192" s="11">
        <f>$M$187</f>
        <v>0.1</v>
      </c>
      <c r="N192" s="9">
        <f t="shared" si="244"/>
        <v>3.214285714285714</v>
      </c>
      <c r="O192" s="12">
        <f t="shared" si="245"/>
        <v>3.214285714285714</v>
      </c>
      <c r="P192" s="13" t="str">
        <f t="shared" si="183"/>
        <v>SI</v>
      </c>
      <c r="Q192">
        <f t="shared" si="246"/>
        <v>1</v>
      </c>
      <c r="R192">
        <f t="shared" si="247"/>
        <v>1000</v>
      </c>
      <c r="S192">
        <f t="shared" si="248"/>
        <v>1</v>
      </c>
      <c r="T192" s="152">
        <v>0.1</v>
      </c>
      <c r="U192" s="159">
        <f>IF(E192="Excluido",0,$T$187*T192)</f>
        <v>4.9450549450549448E-3</v>
      </c>
      <c r="V192" s="160">
        <f>IF($F$187=0,0,U192)</f>
        <v>4.9450549450549448E-3</v>
      </c>
    </row>
    <row r="193" spans="1:22" hidden="1" x14ac:dyDescent="0.3">
      <c r="A193" s="34" t="s">
        <v>1261</v>
      </c>
      <c r="B193" s="36"/>
      <c r="C193" s="81">
        <f>$O$12</f>
        <v>0</v>
      </c>
      <c r="D193" s="29" t="str">
        <f t="shared" si="249"/>
        <v>INCLUIDO</v>
      </c>
      <c r="E193" s="27" t="s">
        <v>1186</v>
      </c>
      <c r="F193" s="9">
        <f>(F192*$O$12)*S193</f>
        <v>0</v>
      </c>
      <c r="G193" s="21">
        <f>G192*0.35</f>
        <v>1.7307692307692306E-3</v>
      </c>
      <c r="H193" s="9">
        <f t="shared" si="250"/>
        <v>0</v>
      </c>
      <c r="I193" s="9" t="s">
        <v>1153</v>
      </c>
      <c r="J193" s="9">
        <f t="shared" si="241"/>
        <v>0</v>
      </c>
      <c r="K193" s="9">
        <f t="shared" si="242"/>
        <v>0</v>
      </c>
      <c r="L193" s="9">
        <f t="shared" si="243"/>
        <v>0</v>
      </c>
      <c r="M193" s="11">
        <f>M192</f>
        <v>0.1</v>
      </c>
      <c r="N193" s="9">
        <f t="shared" si="244"/>
        <v>0</v>
      </c>
      <c r="O193" s="12">
        <f t="shared" si="245"/>
        <v>0</v>
      </c>
      <c r="P193" s="13" t="str">
        <f>IF(Q193=1,"SI","NO")</f>
        <v>NO</v>
      </c>
      <c r="Q193">
        <f>IF(D193="INCLUIDO",IF(F193&lt;&gt;0,1,0),0)</f>
        <v>0</v>
      </c>
      <c r="R193">
        <f>IF(I193="%o Al Millar",1000,IF(I193="% Al Porciento",100,IF(I193="$ Prima",G193)))</f>
        <v>1000</v>
      </c>
      <c r="S193">
        <f t="shared" si="248"/>
        <v>0</v>
      </c>
      <c r="T193" s="154"/>
      <c r="V193" s="153"/>
    </row>
    <row r="194" spans="1:22" x14ac:dyDescent="0.3">
      <c r="A194" s="34" t="s">
        <v>1261</v>
      </c>
      <c r="B194" s="36">
        <v>121</v>
      </c>
      <c r="C194" s="29" t="s">
        <v>1272</v>
      </c>
      <c r="D194" s="29" t="str">
        <f t="shared" si="249"/>
        <v>INCLUIDO</v>
      </c>
      <c r="E194" s="27" t="s">
        <v>1137</v>
      </c>
      <c r="F194" s="20">
        <f>(IF($E$190="Sublimite",$F$188,$F$188+$F$190))*S194</f>
        <v>6500000</v>
      </c>
      <c r="G194" s="21">
        <f>V194</f>
        <v>2.4725274725274724E-3</v>
      </c>
      <c r="H194" s="9">
        <f t="shared" si="250"/>
        <v>16.071428571428569</v>
      </c>
      <c r="I194" s="9" t="s">
        <v>1153</v>
      </c>
      <c r="J194" s="9">
        <f t="shared" si="241"/>
        <v>0.33910714285714283</v>
      </c>
      <c r="K194" s="9">
        <f t="shared" si="242"/>
        <v>2.625685714285714</v>
      </c>
      <c r="L194" s="9">
        <f t="shared" si="243"/>
        <v>19.04</v>
      </c>
      <c r="M194" s="11">
        <f>$M$187</f>
        <v>0.1</v>
      </c>
      <c r="N194" s="9">
        <f t="shared" si="244"/>
        <v>1.607142857142857</v>
      </c>
      <c r="O194" s="12">
        <f t="shared" si="245"/>
        <v>1.607142857142857</v>
      </c>
      <c r="P194" s="13" t="str">
        <f t="shared" si="183"/>
        <v>SI</v>
      </c>
      <c r="Q194">
        <f t="shared" si="246"/>
        <v>1</v>
      </c>
      <c r="R194">
        <f t="shared" si="247"/>
        <v>1000</v>
      </c>
      <c r="S194">
        <f t="shared" si="248"/>
        <v>1</v>
      </c>
      <c r="T194" s="152">
        <v>0.05</v>
      </c>
      <c r="U194" s="159">
        <f>IF(E194="Excluido",0,$T$187*T194)</f>
        <v>2.4725274725274724E-3</v>
      </c>
      <c r="V194" s="160">
        <f>IF($F$187=0,0,U194)</f>
        <v>2.4725274725274724E-3</v>
      </c>
    </row>
    <row r="195" spans="1:22" hidden="1" x14ac:dyDescent="0.3">
      <c r="A195" s="34" t="s">
        <v>1261</v>
      </c>
      <c r="B195" s="36"/>
      <c r="C195" s="81">
        <f>$O$12</f>
        <v>0</v>
      </c>
      <c r="D195" s="29" t="str">
        <f t="shared" si="249"/>
        <v>INCLUIDO</v>
      </c>
      <c r="E195" s="27" t="s">
        <v>1186</v>
      </c>
      <c r="F195" s="9">
        <f>(F194*$O$12)*S195</f>
        <v>0</v>
      </c>
      <c r="G195" s="21">
        <f>G194*0.35</f>
        <v>8.653846153846153E-4</v>
      </c>
      <c r="H195" s="9">
        <f t="shared" si="250"/>
        <v>0</v>
      </c>
      <c r="I195" s="9" t="s">
        <v>1153</v>
      </c>
      <c r="J195" s="9">
        <f t="shared" si="241"/>
        <v>0</v>
      </c>
      <c r="K195" s="9">
        <f t="shared" si="242"/>
        <v>0</v>
      </c>
      <c r="L195" s="9">
        <f t="shared" si="243"/>
        <v>0</v>
      </c>
      <c r="M195" s="11">
        <f>M194</f>
        <v>0.1</v>
      </c>
      <c r="N195" s="9">
        <f t="shared" si="244"/>
        <v>0</v>
      </c>
      <c r="O195" s="12">
        <f t="shared" si="245"/>
        <v>0</v>
      </c>
      <c r="P195" s="13" t="str">
        <f>IF(Q195=1,"SI","NO")</f>
        <v>NO</v>
      </c>
      <c r="Q195">
        <f>IF(D195="INCLUIDO",IF(F195&lt;&gt;0,1,0),0)</f>
        <v>0</v>
      </c>
      <c r="R195">
        <f>IF(I195="%o Al Millar",1000,IF(I195="% Al Porciento",100,IF(I195="$ Prima",G195)))</f>
        <v>1000</v>
      </c>
      <c r="S195">
        <f t="shared" si="248"/>
        <v>0</v>
      </c>
      <c r="T195" s="154"/>
      <c r="V195" s="153"/>
    </row>
    <row r="196" spans="1:22" x14ac:dyDescent="0.3">
      <c r="A196" s="34" t="s">
        <v>1261</v>
      </c>
      <c r="B196" s="36">
        <v>122</v>
      </c>
      <c r="C196" s="29" t="s">
        <v>1273</v>
      </c>
      <c r="D196" s="29" t="str">
        <f t="shared" si="249"/>
        <v>INCLUIDO</v>
      </c>
      <c r="E196" s="27" t="s">
        <v>1137</v>
      </c>
      <c r="F196" s="20">
        <f>(IF($E$190="Sublimite",$F$188,$F$188+$F$190))*S196</f>
        <v>6500000</v>
      </c>
      <c r="G196" s="21">
        <f>V196</f>
        <v>2.4725274725274724E-3</v>
      </c>
      <c r="H196" s="9">
        <f t="shared" si="250"/>
        <v>16.071428571428569</v>
      </c>
      <c r="I196" s="9" t="s">
        <v>1153</v>
      </c>
      <c r="J196" s="9">
        <f t="shared" si="241"/>
        <v>0.33910714285714283</v>
      </c>
      <c r="K196" s="9">
        <f t="shared" si="242"/>
        <v>2.625685714285714</v>
      </c>
      <c r="L196" s="9">
        <f t="shared" si="243"/>
        <v>19.04</v>
      </c>
      <c r="M196" s="11">
        <f>$M$187</f>
        <v>0.1</v>
      </c>
      <c r="N196" s="9">
        <f t="shared" si="244"/>
        <v>1.607142857142857</v>
      </c>
      <c r="O196" s="12">
        <f t="shared" si="245"/>
        <v>1.607142857142857</v>
      </c>
      <c r="P196" s="13" t="str">
        <f t="shared" si="183"/>
        <v>SI</v>
      </c>
      <c r="Q196">
        <f t="shared" si="246"/>
        <v>1</v>
      </c>
      <c r="R196">
        <f t="shared" si="247"/>
        <v>1000</v>
      </c>
      <c r="S196">
        <f t="shared" si="248"/>
        <v>1</v>
      </c>
      <c r="T196" s="152">
        <v>0.05</v>
      </c>
      <c r="U196" s="159">
        <f>IF(E196="Excluido",0,$T$187*T196)</f>
        <v>2.4725274725274724E-3</v>
      </c>
      <c r="V196" s="160">
        <f>IF($F$187=0,0,U196)</f>
        <v>2.4725274725274724E-3</v>
      </c>
    </row>
    <row r="197" spans="1:22" hidden="1" x14ac:dyDescent="0.3">
      <c r="A197" s="34" t="s">
        <v>1261</v>
      </c>
      <c r="B197" s="36"/>
      <c r="C197" s="81">
        <f>$O$12</f>
        <v>0</v>
      </c>
      <c r="D197" s="29" t="str">
        <f t="shared" si="249"/>
        <v>INCLUIDO</v>
      </c>
      <c r="E197" s="27" t="s">
        <v>1186</v>
      </c>
      <c r="F197" s="9">
        <f>(F196*$O$12)*S197</f>
        <v>0</v>
      </c>
      <c r="G197" s="21">
        <f>G196*0.35</f>
        <v>8.653846153846153E-4</v>
      </c>
      <c r="H197" s="9">
        <f t="shared" si="250"/>
        <v>0</v>
      </c>
      <c r="I197" s="9" t="s">
        <v>1153</v>
      </c>
      <c r="J197" s="9">
        <f t="shared" si="241"/>
        <v>0</v>
      </c>
      <c r="K197" s="9">
        <f t="shared" si="242"/>
        <v>0</v>
      </c>
      <c r="L197" s="9">
        <f t="shared" si="243"/>
        <v>0</v>
      </c>
      <c r="M197" s="11">
        <f>M196</f>
        <v>0.1</v>
      </c>
      <c r="N197" s="9">
        <f t="shared" si="244"/>
        <v>0</v>
      </c>
      <c r="O197" s="12">
        <f t="shared" si="245"/>
        <v>0</v>
      </c>
      <c r="P197" s="13" t="str">
        <f>IF(Q197=1,"SI","NO")</f>
        <v>NO</v>
      </c>
      <c r="Q197">
        <f>IF(D197="INCLUIDO",IF(F197&lt;&gt;0,1,0),0)</f>
        <v>0</v>
      </c>
      <c r="R197">
        <f>IF(I197="%o Al Millar",1000,IF(I197="% Al Porciento",100,IF(I197="$ Prima",G197)))</f>
        <v>1000</v>
      </c>
      <c r="S197">
        <f t="shared" si="248"/>
        <v>0</v>
      </c>
      <c r="T197" s="154"/>
      <c r="V197" s="153"/>
    </row>
    <row r="198" spans="1:22" ht="20.399999999999999" x14ac:dyDescent="0.3">
      <c r="A198" s="34" t="s">
        <v>1261</v>
      </c>
      <c r="B198" s="36">
        <v>119</v>
      </c>
      <c r="C198" s="29" t="s">
        <v>1274</v>
      </c>
      <c r="D198" s="29" t="str">
        <f t="shared" si="249"/>
        <v>INCLUIDO</v>
      </c>
      <c r="E198" s="27" t="s">
        <v>1137</v>
      </c>
      <c r="F198" s="20">
        <f>(IF($E$190="Sublimite",$F$188,$F$188+$F$190))*S198</f>
        <v>6500000</v>
      </c>
      <c r="G198" s="21">
        <f>V198</f>
        <v>2.4725274725274724E-3</v>
      </c>
      <c r="H198" s="9">
        <f t="shared" si="250"/>
        <v>16.071428571428569</v>
      </c>
      <c r="I198" s="9" t="s">
        <v>1153</v>
      </c>
      <c r="J198" s="9">
        <f t="shared" si="241"/>
        <v>0.33910714285714283</v>
      </c>
      <c r="K198" s="9">
        <f t="shared" si="242"/>
        <v>2.625685714285714</v>
      </c>
      <c r="L198" s="9">
        <f t="shared" si="243"/>
        <v>19.04</v>
      </c>
      <c r="M198" s="11">
        <f>$M$187</f>
        <v>0.1</v>
      </c>
      <c r="N198" s="9">
        <f t="shared" si="244"/>
        <v>1.607142857142857</v>
      </c>
      <c r="O198" s="12">
        <f t="shared" si="245"/>
        <v>1.607142857142857</v>
      </c>
      <c r="P198" s="13" t="str">
        <f t="shared" si="183"/>
        <v>SI</v>
      </c>
      <c r="Q198">
        <f t="shared" si="246"/>
        <v>1</v>
      </c>
      <c r="R198">
        <f t="shared" si="247"/>
        <v>1000</v>
      </c>
      <c r="S198">
        <f t="shared" si="248"/>
        <v>1</v>
      </c>
      <c r="T198" s="152">
        <v>0.05</v>
      </c>
      <c r="U198" s="159">
        <f>IF(E198="Excluido",0,$T$187*T198)</f>
        <v>2.4725274725274724E-3</v>
      </c>
      <c r="V198" s="160">
        <f>IF($F$187=0,0,U198)</f>
        <v>2.4725274725274724E-3</v>
      </c>
    </row>
    <row r="199" spans="1:22" hidden="1" x14ac:dyDescent="0.3">
      <c r="A199" s="34" t="s">
        <v>1261</v>
      </c>
      <c r="B199" s="36"/>
      <c r="C199" s="81">
        <f>$O$12</f>
        <v>0</v>
      </c>
      <c r="D199" s="29" t="str">
        <f t="shared" si="249"/>
        <v>INCLUIDO</v>
      </c>
      <c r="E199" s="27" t="s">
        <v>1186</v>
      </c>
      <c r="F199" s="9">
        <f>(F198*$O$12)*S199</f>
        <v>0</v>
      </c>
      <c r="G199" s="21">
        <f>G198*0.35</f>
        <v>8.653846153846153E-4</v>
      </c>
      <c r="H199" s="9">
        <f t="shared" si="250"/>
        <v>0</v>
      </c>
      <c r="I199" s="9" t="s">
        <v>1153</v>
      </c>
      <c r="J199" s="9">
        <f t="shared" si="241"/>
        <v>0</v>
      </c>
      <c r="K199" s="9">
        <f t="shared" si="242"/>
        <v>0</v>
      </c>
      <c r="L199" s="9">
        <f t="shared" si="243"/>
        <v>0</v>
      </c>
      <c r="M199" s="11">
        <f>M198</f>
        <v>0.1</v>
      </c>
      <c r="N199" s="9">
        <f t="shared" si="244"/>
        <v>0</v>
      </c>
      <c r="O199" s="12">
        <f t="shared" si="245"/>
        <v>0</v>
      </c>
      <c r="P199" s="13" t="str">
        <f>IF(Q199=1,"SI","NO")</f>
        <v>NO</v>
      </c>
      <c r="Q199">
        <f>IF(D199="INCLUIDO",IF(F199&lt;&gt;0,1,0),0)</f>
        <v>0</v>
      </c>
      <c r="R199">
        <f>IF(I199="%o Al Millar",1000,IF(I199="% Al Porciento",100,IF(I199="$ Prima",G199)))</f>
        <v>1000</v>
      </c>
      <c r="S199">
        <f t="shared" si="248"/>
        <v>0</v>
      </c>
      <c r="T199" s="154"/>
      <c r="V199" s="153"/>
    </row>
    <row r="200" spans="1:22" ht="15" hidden="1" customHeight="1" x14ac:dyDescent="0.3">
      <c r="A200" s="34" t="s">
        <v>1261</v>
      </c>
      <c r="B200" s="36">
        <v>258</v>
      </c>
      <c r="C200" s="29" t="s">
        <v>1275</v>
      </c>
      <c r="D200" s="29" t="str">
        <f t="shared" si="249"/>
        <v>INCLUIDO</v>
      </c>
      <c r="E200" s="27" t="s">
        <v>1186</v>
      </c>
      <c r="F200" s="20">
        <v>0</v>
      </c>
      <c r="G200" s="43">
        <v>0</v>
      </c>
      <c r="H200" s="9">
        <f t="shared" si="250"/>
        <v>0</v>
      </c>
      <c r="I200" s="9" t="s">
        <v>1153</v>
      </c>
      <c r="J200" s="9">
        <f t="shared" si="241"/>
        <v>0</v>
      </c>
      <c r="K200" s="9">
        <f t="shared" si="242"/>
        <v>0</v>
      </c>
      <c r="L200" s="9">
        <f t="shared" si="243"/>
        <v>0</v>
      </c>
      <c r="M200" s="11">
        <f>$M$187</f>
        <v>0.1</v>
      </c>
      <c r="N200" s="9">
        <f t="shared" si="244"/>
        <v>0</v>
      </c>
      <c r="O200" s="12">
        <f t="shared" si="245"/>
        <v>0</v>
      </c>
      <c r="P200" s="13" t="str">
        <f t="shared" si="183"/>
        <v>NO</v>
      </c>
      <c r="Q200">
        <f t="shared" si="246"/>
        <v>0</v>
      </c>
      <c r="R200">
        <f t="shared" si="247"/>
        <v>1000</v>
      </c>
      <c r="S200">
        <f t="shared" si="248"/>
        <v>0</v>
      </c>
      <c r="T200" s="152"/>
      <c r="U200" s="159"/>
      <c r="V200" s="160"/>
    </row>
    <row r="201" spans="1:22" ht="15" hidden="1" customHeight="1" x14ac:dyDescent="0.3">
      <c r="A201" s="34" t="s">
        <v>1261</v>
      </c>
      <c r="B201" s="36"/>
      <c r="C201" s="81">
        <f>$O$12</f>
        <v>0</v>
      </c>
      <c r="D201" s="29" t="str">
        <f t="shared" si="249"/>
        <v>INCLUIDO</v>
      </c>
      <c r="E201" s="27" t="s">
        <v>1186</v>
      </c>
      <c r="F201" s="9">
        <f>(F200*$O$12)*S201</f>
        <v>0</v>
      </c>
      <c r="G201" s="21">
        <f>G200*0.35</f>
        <v>0</v>
      </c>
      <c r="H201" s="9">
        <f t="shared" si="250"/>
        <v>0</v>
      </c>
      <c r="I201" s="9" t="s">
        <v>1153</v>
      </c>
      <c r="J201" s="9">
        <f t="shared" si="241"/>
        <v>0</v>
      </c>
      <c r="K201" s="9">
        <f t="shared" si="242"/>
        <v>0</v>
      </c>
      <c r="L201" s="9">
        <f t="shared" si="243"/>
        <v>0</v>
      </c>
      <c r="M201" s="11">
        <f>$M$187</f>
        <v>0.1</v>
      </c>
      <c r="N201" s="9">
        <f t="shared" si="244"/>
        <v>0</v>
      </c>
      <c r="O201" s="12">
        <f t="shared" si="245"/>
        <v>0</v>
      </c>
      <c r="P201" s="13" t="str">
        <f t="shared" si="183"/>
        <v>NO</v>
      </c>
      <c r="Q201">
        <f t="shared" si="246"/>
        <v>0</v>
      </c>
      <c r="R201">
        <f t="shared" si="247"/>
        <v>1000</v>
      </c>
      <c r="S201">
        <f t="shared" si="248"/>
        <v>0</v>
      </c>
      <c r="T201" s="154"/>
      <c r="V201" s="153"/>
    </row>
    <row r="202" spans="1:22" s="18" customFormat="1" x14ac:dyDescent="0.3">
      <c r="A202" s="24"/>
      <c r="B202" s="26"/>
      <c r="C202" s="15" t="s">
        <v>1177</v>
      </c>
      <c r="D202" s="38" t="str">
        <f>D201</f>
        <v>INCLUIDO</v>
      </c>
      <c r="E202" s="38"/>
      <c r="F202" s="16">
        <v>0</v>
      </c>
      <c r="G202" s="17"/>
      <c r="H202" s="16">
        <f>SUM(H188:H201)</f>
        <v>337.20879120879124</v>
      </c>
      <c r="I202" s="16"/>
      <c r="J202" s="16">
        <f>SUM(J188:J201)</f>
        <v>7.1151054945054959</v>
      </c>
      <c r="K202" s="16">
        <f>SUM(K188:K201)</f>
        <v>55.091823472527487</v>
      </c>
      <c r="L202" s="16">
        <f>SUM(L188:L201)</f>
        <v>399.42000000000007</v>
      </c>
      <c r="M202" s="16" t="s">
        <v>1178</v>
      </c>
      <c r="N202" s="16">
        <f>SUM(N188:N201)</f>
        <v>33.720879120879125</v>
      </c>
      <c r="O202" s="84">
        <f>SUM(O188:O201)</f>
        <v>33.720879120879125</v>
      </c>
      <c r="P202" s="13" t="str">
        <f t="shared" si="183"/>
        <v>SI</v>
      </c>
      <c r="Q202">
        <f>IF(D202="INCLUIDO",IF(H202&lt;&gt;0,1,0),0)</f>
        <v>1</v>
      </c>
      <c r="T202" s="167"/>
      <c r="V202" s="168"/>
    </row>
    <row r="203" spans="1:22" x14ac:dyDescent="0.3">
      <c r="A203" s="82">
        <v>906</v>
      </c>
      <c r="B203" s="33">
        <v>7</v>
      </c>
      <c r="C203" s="19" t="s">
        <v>1276</v>
      </c>
      <c r="D203" s="23" t="str">
        <f>D187</f>
        <v>INCLUIDO</v>
      </c>
      <c r="E203" s="91"/>
      <c r="F203" s="28"/>
      <c r="G203" s="28"/>
      <c r="H203" s="28"/>
      <c r="I203" s="28"/>
      <c r="J203" s="28"/>
      <c r="K203" s="28"/>
      <c r="L203" s="28"/>
      <c r="M203" s="68">
        <v>0.1</v>
      </c>
      <c r="N203" s="28"/>
      <c r="O203" s="83"/>
      <c r="P203" s="13" t="str">
        <f t="shared" si="183"/>
        <v>SI</v>
      </c>
      <c r="Q203" s="47">
        <f>IF(D203="INCLUIDO",IF(F204&lt;&gt;0,1,0),0)</f>
        <v>1</v>
      </c>
      <c r="T203" s="154"/>
      <c r="V203" s="153"/>
    </row>
    <row r="204" spans="1:22" x14ac:dyDescent="0.3">
      <c r="A204" s="34" t="s">
        <v>1261</v>
      </c>
      <c r="B204" s="36">
        <v>126</v>
      </c>
      <c r="C204" s="29" t="s">
        <v>1170</v>
      </c>
      <c r="D204" s="29" t="str">
        <f t="shared" ref="D204:D205" si="252">$D$187</f>
        <v>INCLUIDO</v>
      </c>
      <c r="E204" s="27" t="s">
        <v>1137</v>
      </c>
      <c r="F204" s="20">
        <f>(IF($E$190="Sublimite",$F$188,$F$188+$F$190))*S204</f>
        <v>6500000</v>
      </c>
      <c r="G204" s="49">
        <f>G187*T204</f>
        <v>4.9450549450549451E-4</v>
      </c>
      <c r="H204" s="9">
        <f>(((IF(I204="$ Prima",G204,G204*F204/R204))*$U$9)/365)*$J$15</f>
        <v>3.2230919765166339</v>
      </c>
      <c r="I204" s="9" t="s">
        <v>1153</v>
      </c>
      <c r="J204" s="9">
        <f t="shared" ref="J204:J205" si="253">H204*$U$7</f>
        <v>6.8007240704500982E-2</v>
      </c>
      <c r="K204" s="9">
        <f t="shared" ref="K204:K205" si="254">(H204+J204)*$K$15</f>
        <v>0.52657587475538159</v>
      </c>
      <c r="L204" s="9">
        <f t="shared" ref="L204:L205" si="255">ROUND(H204+J204+K204,2)</f>
        <v>3.82</v>
      </c>
      <c r="M204" s="11">
        <f>$M$203</f>
        <v>0.1</v>
      </c>
      <c r="N204" s="9">
        <f t="shared" ref="N204:N205" si="256">H204*M204</f>
        <v>0.32230919765166344</v>
      </c>
      <c r="O204" s="12">
        <f t="shared" ref="O204:O205" si="257">N204</f>
        <v>0.32230919765166344</v>
      </c>
      <c r="P204" s="13" t="str">
        <f t="shared" si="183"/>
        <v>SI</v>
      </c>
      <c r="Q204">
        <f>IF(D204="INCLUIDO",IF(F204&lt;&gt;0,1,0),0)</f>
        <v>1</v>
      </c>
      <c r="R204">
        <f>IF(I204="%o Al Millar",1000,IF(I204="% Al Porciento",100,IF(I204="$ Prima",G204)))</f>
        <v>1000</v>
      </c>
      <c r="S204">
        <f t="shared" ref="S204:S205" si="258">IF(E204="Excluido",0,IF(D204="NO APLICA",0,1))</f>
        <v>1</v>
      </c>
      <c r="T204" s="152">
        <v>0.01</v>
      </c>
      <c r="U204" s="159">
        <f>IF(E204="Excluido",0,$T$187*T204)</f>
        <v>4.9450549450549451E-4</v>
      </c>
      <c r="V204" s="160">
        <f>IF($F$187=0,0,U204)</f>
        <v>4.9450549450549451E-4</v>
      </c>
    </row>
    <row r="205" spans="1:22" hidden="1" x14ac:dyDescent="0.3">
      <c r="A205" s="34" t="s">
        <v>1261</v>
      </c>
      <c r="B205" s="36"/>
      <c r="C205" s="81">
        <f>$O$12</f>
        <v>0</v>
      </c>
      <c r="D205" s="29" t="str">
        <f t="shared" si="252"/>
        <v>INCLUIDO</v>
      </c>
      <c r="E205" s="27" t="s">
        <v>1186</v>
      </c>
      <c r="F205" s="9">
        <f>(F204*$O$12)*S205</f>
        <v>0</v>
      </c>
      <c r="G205" s="21">
        <f>G204*0.35</f>
        <v>1.7307692307692307E-4</v>
      </c>
      <c r="H205" s="9">
        <f t="shared" ref="H205" si="259">(IF(I205="$ Prima",G205,G205*F205/R205))*$U$9</f>
        <v>0</v>
      </c>
      <c r="I205" s="9" t="s">
        <v>1153</v>
      </c>
      <c r="J205" s="9">
        <f t="shared" si="253"/>
        <v>0</v>
      </c>
      <c r="K205" s="9">
        <f t="shared" si="254"/>
        <v>0</v>
      </c>
      <c r="L205" s="9">
        <f t="shared" si="255"/>
        <v>0</v>
      </c>
      <c r="M205" s="11">
        <f>$M$203</f>
        <v>0.1</v>
      </c>
      <c r="N205" s="9">
        <f t="shared" si="256"/>
        <v>0</v>
      </c>
      <c r="O205" s="12">
        <f t="shared" si="257"/>
        <v>0</v>
      </c>
      <c r="P205" s="13" t="str">
        <f t="shared" si="183"/>
        <v>NO</v>
      </c>
      <c r="Q205">
        <f>IF(D205="INCLUIDO",IF(F205&lt;&gt;0,1,0),0)</f>
        <v>0</v>
      </c>
      <c r="R205">
        <f>IF(I205="%o Al Millar",1000,IF(I205="% Al Porciento",100,IF(I205="$ Prima",G205)))</f>
        <v>1000</v>
      </c>
      <c r="S205">
        <f t="shared" si="258"/>
        <v>0</v>
      </c>
      <c r="T205" s="154"/>
      <c r="V205" s="153"/>
    </row>
    <row r="206" spans="1:22" s="18" customFormat="1" x14ac:dyDescent="0.3">
      <c r="A206" s="24"/>
      <c r="B206" s="26"/>
      <c r="C206" s="15" t="s">
        <v>1177</v>
      </c>
      <c r="D206" s="38" t="str">
        <f>D187</f>
        <v>INCLUIDO</v>
      </c>
      <c r="E206" s="38"/>
      <c r="F206" s="16">
        <f>SUMIF(E204:E205,"Adicional",F204:F205)</f>
        <v>0</v>
      </c>
      <c r="G206" s="17"/>
      <c r="H206" s="16">
        <f>SUM(H204:H205)</f>
        <v>3.2230919765166339</v>
      </c>
      <c r="I206" s="16"/>
      <c r="J206" s="16">
        <f t="shared" ref="J206:L206" si="260">SUM(J204:J205)</f>
        <v>6.8007240704500982E-2</v>
      </c>
      <c r="K206" s="16">
        <f t="shared" si="260"/>
        <v>0.52657587475538159</v>
      </c>
      <c r="L206" s="16">
        <f t="shared" si="260"/>
        <v>3.82</v>
      </c>
      <c r="M206" s="16" t="s">
        <v>1178</v>
      </c>
      <c r="N206" s="16">
        <f t="shared" ref="N206:O206" si="261">SUM(N204:N205)</f>
        <v>0.32230919765166344</v>
      </c>
      <c r="O206" s="84">
        <f t="shared" si="261"/>
        <v>0.32230919765166344</v>
      </c>
      <c r="P206" s="13" t="str">
        <f t="shared" si="183"/>
        <v>SI</v>
      </c>
      <c r="Q206">
        <f>IF(D206="INCLUIDO",IF(H206&lt;&gt;0,1,0),0)</f>
        <v>1</v>
      </c>
      <c r="T206" s="167"/>
      <c r="V206" s="168"/>
    </row>
    <row r="207" spans="1:22" x14ac:dyDescent="0.3">
      <c r="A207" s="82">
        <v>906</v>
      </c>
      <c r="B207" s="33">
        <v>8</v>
      </c>
      <c r="C207" s="19" t="s">
        <v>1277</v>
      </c>
      <c r="D207" s="23" t="str">
        <f>$D$187</f>
        <v>INCLUIDO</v>
      </c>
      <c r="E207" s="91"/>
      <c r="F207" s="28"/>
      <c r="G207" s="28"/>
      <c r="H207" s="28"/>
      <c r="I207" s="28"/>
      <c r="J207" s="28"/>
      <c r="K207" s="28"/>
      <c r="L207" s="28"/>
      <c r="M207" s="68">
        <v>0.1</v>
      </c>
      <c r="N207" s="28"/>
      <c r="O207" s="83"/>
      <c r="P207" s="13" t="str">
        <f t="shared" si="183"/>
        <v>SI</v>
      </c>
      <c r="Q207" s="47">
        <f>IF(D207="INCLUIDO",IF(F208&lt;&gt;0,1,0),0)</f>
        <v>1</v>
      </c>
      <c r="T207" s="154"/>
      <c r="V207" s="153"/>
    </row>
    <row r="208" spans="1:22" ht="15" thickBot="1" x14ac:dyDescent="0.35">
      <c r="A208" s="34" t="s">
        <v>1261</v>
      </c>
      <c r="B208" s="36">
        <v>127</v>
      </c>
      <c r="C208" s="29" t="s">
        <v>1267</v>
      </c>
      <c r="D208" s="29" t="str">
        <f t="shared" ref="D208:D209" si="262">$D$187</f>
        <v>INCLUIDO</v>
      </c>
      <c r="E208" s="27" t="s">
        <v>1137</v>
      </c>
      <c r="F208" s="20">
        <f>(IF($E$190="Sublimite",$F$188,$F$188+$F$190))*S208</f>
        <v>6500000</v>
      </c>
      <c r="G208" s="49">
        <f>G187*T208</f>
        <v>4.9450549450549451E-4</v>
      </c>
      <c r="H208" s="9">
        <f>(((IF(I208="$ Prima",G208,G208*F208/R208))*$U$9)/365)*$J$15</f>
        <v>3.2230919765166339</v>
      </c>
      <c r="I208" s="9" t="s">
        <v>1153</v>
      </c>
      <c r="J208" s="9">
        <f t="shared" ref="J208:J209" si="263">H208*$U$7</f>
        <v>6.8007240704500982E-2</v>
      </c>
      <c r="K208" s="9">
        <f t="shared" ref="K208:K209" si="264">(H208+J208)*$K$15</f>
        <v>0.52657587475538159</v>
      </c>
      <c r="L208" s="9">
        <f t="shared" ref="L208:L209" si="265">ROUND(H208+J208+K208,2)</f>
        <v>3.82</v>
      </c>
      <c r="M208" s="11">
        <f>$M$207</f>
        <v>0.1</v>
      </c>
      <c r="N208" s="9">
        <f t="shared" ref="N208:N209" si="266">H208*M208</f>
        <v>0.32230919765166344</v>
      </c>
      <c r="O208" s="12">
        <f t="shared" ref="O208:O209" si="267">N208</f>
        <v>0.32230919765166344</v>
      </c>
      <c r="P208" s="13" t="str">
        <f t="shared" si="183"/>
        <v>SI</v>
      </c>
      <c r="Q208">
        <f>IF(D208="INCLUIDO",IF(F208&lt;&gt;0,1,0),0)</f>
        <v>1</v>
      </c>
      <c r="R208">
        <f>IF(I208="%o Al Millar",1000,IF(I208="% Al Porciento",100,IF(I208="$ Prima",G208)))</f>
        <v>1000</v>
      </c>
      <c r="S208">
        <f t="shared" ref="S208:S209" si="268">IF(E208="Excluido",0,IF(D208="NO APLICA",0,1))</f>
        <v>1</v>
      </c>
      <c r="T208" s="152">
        <v>0.01</v>
      </c>
      <c r="U208" s="159">
        <f>IF(E208="Excluido",0,$T$187*T208)</f>
        <v>4.9450549450549451E-4</v>
      </c>
      <c r="V208" s="160">
        <f>IF($F$187=0,0,U208)</f>
        <v>4.9450549450549451E-4</v>
      </c>
    </row>
    <row r="209" spans="1:22" ht="15" hidden="1" thickBot="1" x14ac:dyDescent="0.35">
      <c r="A209" s="34" t="s">
        <v>1261</v>
      </c>
      <c r="B209" s="36"/>
      <c r="C209" s="81">
        <f>$O$12</f>
        <v>0</v>
      </c>
      <c r="D209" s="29" t="str">
        <f t="shared" si="262"/>
        <v>INCLUIDO</v>
      </c>
      <c r="E209" s="27" t="s">
        <v>1186</v>
      </c>
      <c r="F209" s="9">
        <f>(F208*$O$12)*S209</f>
        <v>0</v>
      </c>
      <c r="G209" s="21">
        <f>G208*0.35</f>
        <v>1.7307692307692307E-4</v>
      </c>
      <c r="H209" s="9">
        <f t="shared" ref="H209" si="269">(IF(I209="$ Prima",G209,G209*F209/R209))*$U$9</f>
        <v>0</v>
      </c>
      <c r="I209" s="9" t="s">
        <v>1153</v>
      </c>
      <c r="J209" s="9">
        <f t="shared" si="263"/>
        <v>0</v>
      </c>
      <c r="K209" s="9">
        <f t="shared" si="264"/>
        <v>0</v>
      </c>
      <c r="L209" s="9">
        <f t="shared" si="265"/>
        <v>0</v>
      </c>
      <c r="M209" s="11">
        <f>$M$207</f>
        <v>0.1</v>
      </c>
      <c r="N209" s="9">
        <f t="shared" si="266"/>
        <v>0</v>
      </c>
      <c r="O209" s="12">
        <f t="shared" si="267"/>
        <v>0</v>
      </c>
      <c r="P209" s="13" t="str">
        <f t="shared" si="183"/>
        <v>NO</v>
      </c>
      <c r="Q209">
        <f>IF(D209="INCLUIDO",IF(F209&lt;&gt;0,1,0),0)</f>
        <v>0</v>
      </c>
      <c r="R209">
        <f>IF(I209="%o Al Millar",1000,IF(I209="% Al Porciento",100,IF(I209="$ Prima",G209)))</f>
        <v>1000</v>
      </c>
      <c r="S209">
        <f t="shared" si="268"/>
        <v>0</v>
      </c>
      <c r="T209" s="164"/>
      <c r="U209" s="165"/>
      <c r="V209" s="166"/>
    </row>
    <row r="210" spans="1:22" s="18" customFormat="1" ht="15" thickBot="1" x14ac:dyDescent="0.35">
      <c r="A210" s="24"/>
      <c r="B210" s="26"/>
      <c r="C210" s="15" t="s">
        <v>1177</v>
      </c>
      <c r="D210" s="38" t="str">
        <f>D209</f>
        <v>INCLUIDO</v>
      </c>
      <c r="E210" s="38"/>
      <c r="F210" s="16">
        <f>SUMIF(E208:E209,"Adicional",F208:F209)</f>
        <v>0</v>
      </c>
      <c r="G210" s="17"/>
      <c r="H210" s="16">
        <f>SUM(H208:H209)</f>
        <v>3.2230919765166339</v>
      </c>
      <c r="I210" s="16"/>
      <c r="J210" s="16">
        <f t="shared" ref="J210:L210" si="270">SUM(J208:J209)</f>
        <v>6.8007240704500982E-2</v>
      </c>
      <c r="K210" s="16">
        <f t="shared" si="270"/>
        <v>0.52657587475538159</v>
      </c>
      <c r="L210" s="16">
        <f t="shared" si="270"/>
        <v>3.82</v>
      </c>
      <c r="M210" s="16" t="s">
        <v>1178</v>
      </c>
      <c r="N210" s="16">
        <f t="shared" ref="N210:O210" si="271">SUM(N208:N209)</f>
        <v>0.32230919765166344</v>
      </c>
      <c r="O210" s="84">
        <f t="shared" si="271"/>
        <v>0.32230919765166344</v>
      </c>
      <c r="P210" s="13" t="str">
        <f t="shared" si="183"/>
        <v>SI</v>
      </c>
      <c r="Q210">
        <f>IF(D210="INCLUIDO",IF(H210&lt;&gt;0,1,0),0)</f>
        <v>1</v>
      </c>
      <c r="T210" s="143">
        <f>SUM(T188:T209)</f>
        <v>1</v>
      </c>
      <c r="U210" s="144">
        <f>SUM(U188:U209)</f>
        <v>4.9450549450549434E-2</v>
      </c>
      <c r="V210" s="145">
        <f>SUM(V188:V209)</f>
        <v>4.9450549450549448E-2</v>
      </c>
    </row>
    <row r="211" spans="1:22" ht="15" hidden="1" customHeight="1" x14ac:dyDescent="0.3">
      <c r="A211" s="82">
        <v>906</v>
      </c>
      <c r="B211" s="33">
        <v>9</v>
      </c>
      <c r="C211" s="19" t="s">
        <v>1278</v>
      </c>
      <c r="D211" s="23" t="str">
        <f>$D$187</f>
        <v>INCLUIDO</v>
      </c>
      <c r="E211" s="91"/>
      <c r="F211" s="43">
        <v>0</v>
      </c>
      <c r="G211" s="43">
        <v>0</v>
      </c>
      <c r="H211" s="28"/>
      <c r="I211" s="28"/>
      <c r="J211" s="28"/>
      <c r="K211" s="28"/>
      <c r="L211" s="28"/>
      <c r="M211" s="68">
        <v>0</v>
      </c>
      <c r="N211" s="28"/>
      <c r="O211" s="83"/>
      <c r="P211" s="13" t="str">
        <f t="shared" si="183"/>
        <v>NO</v>
      </c>
      <c r="Q211" s="48">
        <f>IF(D211="INCLUIDO",IF(F211&lt;&gt;0,1,0),0)</f>
        <v>0</v>
      </c>
    </row>
    <row r="212" spans="1:22" ht="15" hidden="1" customHeight="1" x14ac:dyDescent="0.3">
      <c r="A212" s="34" t="s">
        <v>1261</v>
      </c>
      <c r="B212" s="36">
        <v>128</v>
      </c>
      <c r="C212" s="29" t="s">
        <v>1279</v>
      </c>
      <c r="D212" s="29" t="str">
        <f>$D$187</f>
        <v>INCLUIDO</v>
      </c>
      <c r="E212" s="27" t="s">
        <v>1186</v>
      </c>
      <c r="F212" s="20">
        <f>F211*S212</f>
        <v>0</v>
      </c>
      <c r="G212" s="21">
        <v>0</v>
      </c>
      <c r="H212" s="9">
        <f>(IF(I212="$ Prima",G212,G212*F212/R212))*$U$9</f>
        <v>0</v>
      </c>
      <c r="I212" s="9" t="s">
        <v>1153</v>
      </c>
      <c r="J212" s="9">
        <f>H212*$U$7</f>
        <v>0</v>
      </c>
      <c r="K212" s="9">
        <f>(H212+J212)*$K$15</f>
        <v>0</v>
      </c>
      <c r="L212" s="9">
        <f>ROUND(H212+J212+K212,2)</f>
        <v>0</v>
      </c>
      <c r="M212" s="11">
        <f>M211</f>
        <v>0</v>
      </c>
      <c r="N212" s="9">
        <f>H212*M212</f>
        <v>0</v>
      </c>
      <c r="O212" s="12">
        <f>N212</f>
        <v>0</v>
      </c>
      <c r="P212" s="13" t="str">
        <f t="shared" si="183"/>
        <v>NO</v>
      </c>
      <c r="Q212">
        <f>IF(D212="INCLUIDO",IF(F212&lt;&gt;0,1,0),0)</f>
        <v>0</v>
      </c>
      <c r="R212">
        <f>IF(I212="%o Al Millar",1000,IF(I212="% Al Porciento",100,IF(I212="$ Prima",G212)))</f>
        <v>1000</v>
      </c>
      <c r="S212">
        <f t="shared" ref="S212" si="272">IF(E212="Excluido",0,IF(D212="NO APLICA",0,1))</f>
        <v>0</v>
      </c>
    </row>
    <row r="213" spans="1:22" s="18" customFormat="1" ht="15" hidden="1" customHeight="1" x14ac:dyDescent="0.3">
      <c r="A213" s="24"/>
      <c r="B213" s="26"/>
      <c r="C213" s="15" t="s">
        <v>1177</v>
      </c>
      <c r="D213" s="38" t="str">
        <f>D212</f>
        <v>INCLUIDO</v>
      </c>
      <c r="E213" s="38"/>
      <c r="F213" s="16">
        <f>SUMIF(E212,"Adicional",F212)</f>
        <v>0</v>
      </c>
      <c r="G213" s="17"/>
      <c r="H213" s="16">
        <f>SUM(H212)</f>
        <v>0</v>
      </c>
      <c r="I213" s="16"/>
      <c r="J213" s="16">
        <f t="shared" ref="J213:L213" si="273">SUM(J212)</f>
        <v>0</v>
      </c>
      <c r="K213" s="16">
        <f t="shared" si="273"/>
        <v>0</v>
      </c>
      <c r="L213" s="16">
        <f t="shared" si="273"/>
        <v>0</v>
      </c>
      <c r="M213" s="16" t="s">
        <v>1178</v>
      </c>
      <c r="N213" s="16">
        <f t="shared" ref="N213:O213" si="274">SUM(N212)</f>
        <v>0</v>
      </c>
      <c r="O213" s="84">
        <f t="shared" si="274"/>
        <v>0</v>
      </c>
      <c r="P213" s="13" t="str">
        <f t="shared" si="183"/>
        <v>NO</v>
      </c>
      <c r="Q213">
        <f>IF(D213="INCLUIDO",IF(H213&lt;&gt;0,1,0),0)</f>
        <v>0</v>
      </c>
    </row>
    <row r="214" spans="1:22" ht="15" hidden="1" customHeight="1" x14ac:dyDescent="0.3">
      <c r="A214" s="82">
        <v>906</v>
      </c>
      <c r="B214" s="33">
        <v>10</v>
      </c>
      <c r="C214" s="19" t="s">
        <v>1280</v>
      </c>
      <c r="D214" s="23" t="str">
        <f>$D$187</f>
        <v>INCLUIDO</v>
      </c>
      <c r="E214" s="91"/>
      <c r="F214" s="43">
        <v>0</v>
      </c>
      <c r="G214" s="43">
        <v>0</v>
      </c>
      <c r="H214" s="28"/>
      <c r="I214" s="28"/>
      <c r="J214" s="28"/>
      <c r="K214" s="28"/>
      <c r="L214" s="28"/>
      <c r="M214" s="68">
        <v>0</v>
      </c>
      <c r="N214" s="28"/>
      <c r="O214" s="83"/>
      <c r="P214" s="13" t="str">
        <f t="shared" si="183"/>
        <v>NO</v>
      </c>
      <c r="Q214" s="48">
        <f>IF(D214="INCLUIDO",IF(F214&lt;&gt;0,1,0),0)</f>
        <v>0</v>
      </c>
    </row>
    <row r="215" spans="1:22" ht="15" hidden="1" customHeight="1" x14ac:dyDescent="0.3">
      <c r="A215" s="34" t="s">
        <v>1281</v>
      </c>
      <c r="B215" s="36">
        <v>129</v>
      </c>
      <c r="C215" s="29" t="s">
        <v>1282</v>
      </c>
      <c r="D215" s="29" t="str">
        <f t="shared" ref="D215" si="275">$D$187</f>
        <v>INCLUIDO</v>
      </c>
      <c r="E215" s="27" t="s">
        <v>1186</v>
      </c>
      <c r="F215" s="20">
        <f>F214*S215</f>
        <v>0</v>
      </c>
      <c r="G215" s="21">
        <v>0</v>
      </c>
      <c r="H215" s="9">
        <f>(IF(I215="$ Prima",G215,G215*F215/R215))*$U$9</f>
        <v>0</v>
      </c>
      <c r="I215" s="9" t="s">
        <v>1153</v>
      </c>
      <c r="J215" s="9">
        <f>H215*$U$7</f>
        <v>0</v>
      </c>
      <c r="K215" s="9">
        <f>(H215+J215)*$K$15</f>
        <v>0</v>
      </c>
      <c r="L215" s="9">
        <f>ROUND(H215+J215+K215,2)</f>
        <v>0</v>
      </c>
      <c r="M215" s="11">
        <f>M214</f>
        <v>0</v>
      </c>
      <c r="N215" s="9">
        <f>H215*M215</f>
        <v>0</v>
      </c>
      <c r="O215" s="12">
        <f>N215</f>
        <v>0</v>
      </c>
      <c r="P215" s="13" t="str">
        <f t="shared" si="183"/>
        <v>NO</v>
      </c>
      <c r="Q215">
        <f>IF(D215="INCLUIDO",IF(F215&lt;&gt;0,1,0),0)</f>
        <v>0</v>
      </c>
      <c r="R215">
        <f>IF(I215="%o Al Millar",1000,IF(I215="% Al Porciento",100,IF(I215="$ Prima",G215)))</f>
        <v>1000</v>
      </c>
      <c r="S215">
        <f t="shared" ref="S215" si="276">IF(E215="Excluido",0,IF(D215="NO APLICA",0,1))</f>
        <v>0</v>
      </c>
    </row>
    <row r="216" spans="1:22" s="18" customFormat="1" ht="15" hidden="1" customHeight="1" x14ac:dyDescent="0.3">
      <c r="A216" s="24"/>
      <c r="B216" s="26"/>
      <c r="C216" s="15" t="s">
        <v>1177</v>
      </c>
      <c r="D216" s="38" t="str">
        <f>D215</f>
        <v>INCLUIDO</v>
      </c>
      <c r="E216" s="38"/>
      <c r="F216" s="16">
        <f>SUMIF(E188:E215,"Adicional",F188:F215)</f>
        <v>0</v>
      </c>
      <c r="G216" s="17"/>
      <c r="H216" s="16">
        <f>SUM(H215)</f>
        <v>0</v>
      </c>
      <c r="I216" s="16"/>
      <c r="J216" s="16">
        <f t="shared" ref="J216:L216" si="277">SUM(J215)</f>
        <v>0</v>
      </c>
      <c r="K216" s="16">
        <f t="shared" si="277"/>
        <v>0</v>
      </c>
      <c r="L216" s="16">
        <f t="shared" si="277"/>
        <v>0</v>
      </c>
      <c r="M216" s="16" t="s">
        <v>1178</v>
      </c>
      <c r="N216" s="16">
        <f t="shared" ref="N216:O216" si="278">SUM(N215)</f>
        <v>0</v>
      </c>
      <c r="O216" s="84">
        <f t="shared" si="278"/>
        <v>0</v>
      </c>
      <c r="P216" s="13" t="str">
        <f t="shared" si="183"/>
        <v>NO</v>
      </c>
      <c r="Q216">
        <f>IF(D216="INCLUIDO",IF(H216&lt;&gt;0,1,0),0)</f>
        <v>0</v>
      </c>
    </row>
    <row r="217" spans="1:22" ht="15" hidden="1" customHeight="1" thickBot="1" x14ac:dyDescent="0.35">
      <c r="A217" s="82">
        <v>906</v>
      </c>
      <c r="B217" s="33">
        <v>11</v>
      </c>
      <c r="C217" s="19" t="s">
        <v>1283</v>
      </c>
      <c r="D217" s="23" t="str">
        <f>'Ramo Comercial'!C152</f>
        <v>NO APLICA</v>
      </c>
      <c r="E217" s="91"/>
      <c r="F217" s="113">
        <v>0</v>
      </c>
      <c r="G217" s="113">
        <v>1.2</v>
      </c>
      <c r="H217" s="28"/>
      <c r="I217" s="28"/>
      <c r="J217" s="28"/>
      <c r="K217" s="28"/>
      <c r="L217" s="28"/>
      <c r="M217" s="68">
        <v>0</v>
      </c>
      <c r="N217" s="28"/>
      <c r="O217" s="83"/>
      <c r="P217" s="13" t="str">
        <f t="shared" si="183"/>
        <v>NO</v>
      </c>
      <c r="Q217">
        <f>IF(D217="INCLUIDO",IF(F217&lt;&gt;0,1,0),0)</f>
        <v>0</v>
      </c>
      <c r="T217" s="142">
        <f>G217</f>
        <v>1.2</v>
      </c>
      <c r="U217" s="150"/>
      <c r="V217" s="151"/>
    </row>
    <row r="218" spans="1:22" ht="15" hidden="1" customHeight="1" x14ac:dyDescent="0.3">
      <c r="A218" s="34" t="s">
        <v>1261</v>
      </c>
      <c r="B218" s="36">
        <v>131</v>
      </c>
      <c r="C218" s="29" t="s">
        <v>1151</v>
      </c>
      <c r="D218" s="29" t="str">
        <f>$D$217</f>
        <v>NO APLICA</v>
      </c>
      <c r="E218" s="27" t="s">
        <v>1152</v>
      </c>
      <c r="F218" s="20">
        <f>F217*S218</f>
        <v>0</v>
      </c>
      <c r="G218" s="21">
        <f>V218</f>
        <v>0</v>
      </c>
      <c r="H218" s="9">
        <f t="shared" ref="H218:H219" si="279">(IF(I218="$ Prima",G218,G218*F218/R218))*$U$9</f>
        <v>0</v>
      </c>
      <c r="I218" s="9" t="s">
        <v>1153</v>
      </c>
      <c r="J218" s="9">
        <f t="shared" ref="J218:J219" si="280">H218*$U$7</f>
        <v>0</v>
      </c>
      <c r="K218" s="9">
        <f t="shared" ref="K218:K219" si="281">(H218+J218)*$K$15</f>
        <v>0</v>
      </c>
      <c r="L218" s="9">
        <f t="shared" ref="L218:L219" si="282">ROUND(H218+J218+K218,2)</f>
        <v>0</v>
      </c>
      <c r="M218" s="11">
        <f>$M$217</f>
        <v>0</v>
      </c>
      <c r="N218" s="9">
        <f t="shared" ref="N218:N219" si="283">H218*M218</f>
        <v>0</v>
      </c>
      <c r="O218" s="12">
        <f t="shared" ref="O218:O219" si="284">N218</f>
        <v>0</v>
      </c>
      <c r="P218" s="13" t="str">
        <f t="shared" si="183"/>
        <v>NO</v>
      </c>
      <c r="Q218" s="48">
        <f>IF(D218="INCLUIDO",IF(F218&lt;&gt;0,1,0),0)</f>
        <v>0</v>
      </c>
      <c r="R218">
        <f>IF(I218="%o Al Millar",1000,IF(I218="% Al Porciento",100,IF(I218="$ Prima",G218)))</f>
        <v>1000</v>
      </c>
      <c r="S218">
        <f t="shared" ref="S218:S219" si="285">IF(E218="Excluido",0,IF(D218="NO APLICA",0,1))</f>
        <v>0</v>
      </c>
      <c r="T218" s="152">
        <v>0.7</v>
      </c>
      <c r="U218" s="159">
        <f>IF(E218="Excluido",0,T217*T218)</f>
        <v>0.84</v>
      </c>
      <c r="V218" s="160">
        <f>IF(D217="NO APLICA",0,(U220-U219)+(T217-U220))</f>
        <v>0</v>
      </c>
    </row>
    <row r="219" spans="1:22" ht="15" hidden="1" customHeight="1" thickBot="1" x14ac:dyDescent="0.35">
      <c r="A219" s="34" t="s">
        <v>1261</v>
      </c>
      <c r="B219" s="36">
        <v>130</v>
      </c>
      <c r="C219" s="29" t="s">
        <v>1262</v>
      </c>
      <c r="D219" s="29" t="str">
        <f>$D$217</f>
        <v>NO APLICA</v>
      </c>
      <c r="E219" s="27" t="s">
        <v>1137</v>
      </c>
      <c r="F219" s="20">
        <f>F218*S219</f>
        <v>0</v>
      </c>
      <c r="G219" s="21">
        <f>V219</f>
        <v>0</v>
      </c>
      <c r="H219" s="9">
        <f t="shared" si="279"/>
        <v>0</v>
      </c>
      <c r="I219" s="9" t="s">
        <v>1153</v>
      </c>
      <c r="J219" s="9">
        <f t="shared" si="280"/>
        <v>0</v>
      </c>
      <c r="K219" s="9">
        <f t="shared" si="281"/>
        <v>0</v>
      </c>
      <c r="L219" s="9">
        <f t="shared" si="282"/>
        <v>0</v>
      </c>
      <c r="M219" s="11">
        <f>$M$217</f>
        <v>0</v>
      </c>
      <c r="N219" s="9">
        <f t="shared" si="283"/>
        <v>0</v>
      </c>
      <c r="O219" s="12">
        <f t="shared" si="284"/>
        <v>0</v>
      </c>
      <c r="P219" s="13" t="str">
        <f t="shared" ref="P219:P289" si="286">IF(Q219=1,"SI","NO")</f>
        <v>NO</v>
      </c>
      <c r="Q219">
        <f>IF(D219="INCLUIDO",IF(F219&lt;&gt;0,1,0),0)</f>
        <v>0</v>
      </c>
      <c r="R219">
        <f>IF(I219="%o Al Millar",1000,IF(I219="% Al Porciento",100,IF(I219="$ Prima",G219)))</f>
        <v>1000</v>
      </c>
      <c r="S219">
        <f t="shared" si="285"/>
        <v>0</v>
      </c>
      <c r="T219" s="152">
        <v>0.3</v>
      </c>
      <c r="U219" s="159">
        <f>IF(E219="Excluido",0,T217*T219)</f>
        <v>0.36</v>
      </c>
      <c r="V219" s="160">
        <f>IF($F219=0,0,U219)</f>
        <v>0</v>
      </c>
    </row>
    <row r="220" spans="1:22" s="18" customFormat="1" ht="15" hidden="1" customHeight="1" thickBot="1" x14ac:dyDescent="0.35">
      <c r="A220" s="24"/>
      <c r="B220" s="26"/>
      <c r="C220" s="15" t="s">
        <v>1177</v>
      </c>
      <c r="D220" s="38" t="str">
        <f>D219</f>
        <v>NO APLICA</v>
      </c>
      <c r="E220" s="38"/>
      <c r="F220" s="16">
        <v>0</v>
      </c>
      <c r="G220" s="17"/>
      <c r="H220" s="16">
        <f>SUM(H218:H219)</f>
        <v>0</v>
      </c>
      <c r="I220" s="16"/>
      <c r="J220" s="16">
        <f t="shared" ref="J220:L220" si="287">SUM(J218:J219)</f>
        <v>0</v>
      </c>
      <c r="K220" s="16">
        <f t="shared" si="287"/>
        <v>0</v>
      </c>
      <c r="L220" s="16">
        <f t="shared" si="287"/>
        <v>0</v>
      </c>
      <c r="M220" s="16" t="s">
        <v>1178</v>
      </c>
      <c r="N220" s="16">
        <f t="shared" ref="N220:O220" si="288">SUM(N218:N219)</f>
        <v>0</v>
      </c>
      <c r="O220" s="84">
        <f t="shared" si="288"/>
        <v>0</v>
      </c>
      <c r="P220" s="13" t="str">
        <f t="shared" si="286"/>
        <v>NO</v>
      </c>
      <c r="Q220">
        <f>IF(D220="INCLUIDO",IF(H220&lt;&gt;0,1,0),0)</f>
        <v>0</v>
      </c>
      <c r="T220" s="143">
        <f>SUM(T218:T219)</f>
        <v>1</v>
      </c>
      <c r="U220" s="144">
        <f>SUM(U218:U219)</f>
        <v>1.2</v>
      </c>
      <c r="V220" s="145">
        <f>SUM(V218:V219)</f>
        <v>0</v>
      </c>
    </row>
    <row r="221" spans="1:22" ht="15" hidden="1" customHeight="1" x14ac:dyDescent="0.3">
      <c r="A221" s="82">
        <v>906</v>
      </c>
      <c r="B221" s="33">
        <v>12</v>
      </c>
      <c r="C221" s="19" t="s">
        <v>1284</v>
      </c>
      <c r="D221" s="23" t="str">
        <f>D217</f>
        <v>NO APLICA</v>
      </c>
      <c r="E221" s="91"/>
      <c r="F221" s="28"/>
      <c r="G221" s="28"/>
      <c r="H221" s="28"/>
      <c r="I221" s="28"/>
      <c r="J221" s="28"/>
      <c r="K221" s="28"/>
      <c r="L221" s="28"/>
      <c r="M221" s="68">
        <v>0</v>
      </c>
      <c r="N221" s="28"/>
      <c r="O221" s="83"/>
      <c r="P221" s="13" t="str">
        <f t="shared" si="286"/>
        <v>NO</v>
      </c>
      <c r="Q221" s="47">
        <f>IF(D221="INCLUIDO",IF(F222&lt;&gt;0,1,0),0)</f>
        <v>0</v>
      </c>
    </row>
    <row r="222" spans="1:22" ht="15" hidden="1" customHeight="1" x14ac:dyDescent="0.3">
      <c r="A222" s="34" t="s">
        <v>1261</v>
      </c>
      <c r="B222" s="36">
        <v>132</v>
      </c>
      <c r="C222" s="29" t="s">
        <v>1170</v>
      </c>
      <c r="D222" s="29" t="str">
        <f>$D$217</f>
        <v>NO APLICA</v>
      </c>
      <c r="E222" s="27" t="s">
        <v>1186</v>
      </c>
      <c r="F222" s="20">
        <f>F218*S222</f>
        <v>0</v>
      </c>
      <c r="G222" s="21">
        <v>0</v>
      </c>
      <c r="H222" s="9">
        <f>(IF(I222="$ Prima",G222,G222*F222/R222))*$U$9</f>
        <v>0</v>
      </c>
      <c r="I222" s="9" t="s">
        <v>1153</v>
      </c>
      <c r="J222" s="9">
        <f>H222*$U$7</f>
        <v>0</v>
      </c>
      <c r="K222" s="9">
        <f>(H222+J222)*$K$15</f>
        <v>0</v>
      </c>
      <c r="L222" s="9">
        <f>ROUND(H222+J222+K222,2)</f>
        <v>0</v>
      </c>
      <c r="M222" s="11">
        <f>M221</f>
        <v>0</v>
      </c>
      <c r="N222" s="9">
        <f>H222*M222</f>
        <v>0</v>
      </c>
      <c r="O222" s="12">
        <f>N222</f>
        <v>0</v>
      </c>
      <c r="P222" s="13" t="str">
        <f t="shared" si="286"/>
        <v>NO</v>
      </c>
      <c r="Q222">
        <f>IF(D222="INCLUIDO",IF(F222&lt;&gt;0,1,0),0)</f>
        <v>0</v>
      </c>
      <c r="R222">
        <f>IF(I222="%o Al Millar",1000,IF(I222="% Al Porciento",100,IF(I222="$ Prima",G222)))</f>
        <v>1000</v>
      </c>
      <c r="S222">
        <f t="shared" ref="S222" si="289">IF(E222="Excluido",0,IF(D222="NO APLICA",0,1))</f>
        <v>0</v>
      </c>
    </row>
    <row r="223" spans="1:22" s="18" customFormat="1" ht="15" hidden="1" customHeight="1" x14ac:dyDescent="0.3">
      <c r="A223" s="24"/>
      <c r="B223" s="26"/>
      <c r="C223" s="15" t="s">
        <v>1177</v>
      </c>
      <c r="D223" s="38" t="str">
        <f>D222</f>
        <v>NO APLICA</v>
      </c>
      <c r="E223" s="38"/>
      <c r="F223" s="16">
        <f>SUMIF(E222,"Adicional",F222)</f>
        <v>0</v>
      </c>
      <c r="G223" s="17"/>
      <c r="H223" s="16">
        <f>SUM(H222)</f>
        <v>0</v>
      </c>
      <c r="I223" s="16"/>
      <c r="J223" s="16">
        <f t="shared" ref="J223:L223" si="290">SUM(J222)</f>
        <v>0</v>
      </c>
      <c r="K223" s="16">
        <f t="shared" si="290"/>
        <v>0</v>
      </c>
      <c r="L223" s="16">
        <f t="shared" si="290"/>
        <v>0</v>
      </c>
      <c r="M223" s="16" t="s">
        <v>1178</v>
      </c>
      <c r="N223" s="16">
        <f t="shared" ref="N223:O223" si="291">SUM(N222)</f>
        <v>0</v>
      </c>
      <c r="O223" s="84">
        <f t="shared" si="291"/>
        <v>0</v>
      </c>
      <c r="P223" s="13" t="str">
        <f t="shared" si="286"/>
        <v>NO</v>
      </c>
      <c r="Q223">
        <f>IF(D223="INCLUIDO",IF(H223&lt;&gt;0,1,0),0)</f>
        <v>0</v>
      </c>
    </row>
    <row r="224" spans="1:22" ht="15" hidden="1" customHeight="1" x14ac:dyDescent="0.3">
      <c r="A224" s="82">
        <v>906</v>
      </c>
      <c r="B224" s="33">
        <v>13</v>
      </c>
      <c r="C224" s="19" t="s">
        <v>1285</v>
      </c>
      <c r="D224" s="23" t="str">
        <f>D217</f>
        <v>NO APLICA</v>
      </c>
      <c r="E224" s="91"/>
      <c r="F224" s="28"/>
      <c r="G224" s="28"/>
      <c r="H224" s="28"/>
      <c r="I224" s="28"/>
      <c r="J224" s="28"/>
      <c r="K224" s="28"/>
      <c r="L224" s="28"/>
      <c r="M224" s="68">
        <v>0</v>
      </c>
      <c r="N224" s="28"/>
      <c r="O224" s="83"/>
      <c r="P224" s="13" t="str">
        <f t="shared" si="286"/>
        <v>NO</v>
      </c>
      <c r="Q224" s="47">
        <f>IF(D224="INCLUIDO",IF(F225&lt;&gt;0,1,0),0)</f>
        <v>0</v>
      </c>
    </row>
    <row r="225" spans="1:22" ht="15" hidden="1" customHeight="1" x14ac:dyDescent="0.3">
      <c r="A225" s="34" t="s">
        <v>1261</v>
      </c>
      <c r="B225" s="36">
        <v>133</v>
      </c>
      <c r="C225" s="29" t="s">
        <v>1267</v>
      </c>
      <c r="D225" s="29" t="str">
        <f>$D$217</f>
        <v>NO APLICA</v>
      </c>
      <c r="E225" s="27" t="s">
        <v>1186</v>
      </c>
      <c r="F225" s="20">
        <f>F218*S225</f>
        <v>0</v>
      </c>
      <c r="G225" s="21">
        <v>0</v>
      </c>
      <c r="H225" s="9">
        <f>(IF(I225="$ Prima",G225,G225*F225/R225))*$U$9</f>
        <v>0</v>
      </c>
      <c r="I225" s="9" t="s">
        <v>1153</v>
      </c>
      <c r="J225" s="9">
        <f>H225*$U$7</f>
        <v>0</v>
      </c>
      <c r="K225" s="9">
        <f>(H225+J225)*$K$15</f>
        <v>0</v>
      </c>
      <c r="L225" s="9">
        <f>ROUND(H225+J225+K225,2)</f>
        <v>0</v>
      </c>
      <c r="M225" s="11">
        <f>M224</f>
        <v>0</v>
      </c>
      <c r="N225" s="9">
        <f>H225*M225</f>
        <v>0</v>
      </c>
      <c r="O225" s="12">
        <f>N225</f>
        <v>0</v>
      </c>
      <c r="P225" s="13" t="str">
        <f t="shared" si="286"/>
        <v>NO</v>
      </c>
      <c r="Q225">
        <f>IF(D225="INCLUIDO",IF(F225&lt;&gt;0,1,0),0)</f>
        <v>0</v>
      </c>
      <c r="R225">
        <f>IF(I225="%o Al Millar",1000,IF(I225="% Al Porciento",100,IF(I225="$ Prima",G225)))</f>
        <v>1000</v>
      </c>
      <c r="S225">
        <f t="shared" ref="S225" si="292">IF(E225="Excluido",0,IF(D225="NO APLICA",0,1))</f>
        <v>0</v>
      </c>
    </row>
    <row r="226" spans="1:22" s="18" customFormat="1" ht="15" hidden="1" customHeight="1" thickBot="1" x14ac:dyDescent="0.35">
      <c r="A226" s="24"/>
      <c r="B226" s="26"/>
      <c r="C226" s="15" t="s">
        <v>1177</v>
      </c>
      <c r="D226" s="38" t="str">
        <f>D225</f>
        <v>NO APLICA</v>
      </c>
      <c r="E226" s="38"/>
      <c r="F226" s="16">
        <f>SUMIF(E218:E225,"Adicional",F218:F225)</f>
        <v>0</v>
      </c>
      <c r="G226" s="17"/>
      <c r="H226" s="16">
        <f>SUM(H225)</f>
        <v>0</v>
      </c>
      <c r="I226" s="16"/>
      <c r="J226" s="16">
        <f t="shared" ref="J226:L226" si="293">SUM(J225)</f>
        <v>0</v>
      </c>
      <c r="K226" s="16">
        <f t="shared" si="293"/>
        <v>0</v>
      </c>
      <c r="L226" s="16">
        <f t="shared" si="293"/>
        <v>0</v>
      </c>
      <c r="M226" s="16" t="s">
        <v>1178</v>
      </c>
      <c r="N226" s="16">
        <f t="shared" ref="N226:O226" si="294">SUM(N225)</f>
        <v>0</v>
      </c>
      <c r="O226" s="84">
        <f t="shared" si="294"/>
        <v>0</v>
      </c>
      <c r="P226" s="13" t="str">
        <f t="shared" si="286"/>
        <v>NO</v>
      </c>
      <c r="Q226">
        <f>IF(D226="INCLUIDO",IF(H226&lt;&gt;0,1,0),0)</f>
        <v>0</v>
      </c>
    </row>
    <row r="227" spans="1:22" ht="15" hidden="1" customHeight="1" thickBot="1" x14ac:dyDescent="0.35">
      <c r="A227" s="82">
        <v>906</v>
      </c>
      <c r="B227" s="33">
        <v>14</v>
      </c>
      <c r="C227" s="19" t="s">
        <v>1286</v>
      </c>
      <c r="D227" s="23" t="str">
        <f>'Ramo Comercial'!C157</f>
        <v>NO APLICA</v>
      </c>
      <c r="E227" s="91"/>
      <c r="F227" s="113">
        <v>0</v>
      </c>
      <c r="G227" s="113">
        <v>1.2</v>
      </c>
      <c r="H227" s="28"/>
      <c r="I227" s="28"/>
      <c r="J227" s="28"/>
      <c r="K227" s="28"/>
      <c r="L227" s="28"/>
      <c r="M227" s="68">
        <v>0.15</v>
      </c>
      <c r="N227" s="28"/>
      <c r="O227" s="83"/>
      <c r="P227" s="13" t="str">
        <f t="shared" si="286"/>
        <v>NO</v>
      </c>
      <c r="Q227" s="48">
        <f>IF(D227="INCLUIDO",IF(F227&lt;&gt;0,1,0),0)</f>
        <v>0</v>
      </c>
      <c r="T227" s="142">
        <f>G227</f>
        <v>1.2</v>
      </c>
      <c r="U227" s="150"/>
      <c r="V227" s="151"/>
    </row>
    <row r="228" spans="1:22" ht="15" hidden="1" customHeight="1" x14ac:dyDescent="0.3">
      <c r="A228" s="34" t="s">
        <v>1261</v>
      </c>
      <c r="B228" s="36">
        <v>134</v>
      </c>
      <c r="C228" s="29" t="s">
        <v>1151</v>
      </c>
      <c r="D228" s="29" t="str">
        <f>$D$227</f>
        <v>NO APLICA</v>
      </c>
      <c r="E228" s="27" t="s">
        <v>1152</v>
      </c>
      <c r="F228" s="20">
        <f>F227*S228</f>
        <v>0</v>
      </c>
      <c r="G228" s="21">
        <f>V228</f>
        <v>0</v>
      </c>
      <c r="H228" s="9">
        <f>(IF(I228="$ Prima",G228,G228*F228/R228))*$U$9</f>
        <v>0</v>
      </c>
      <c r="I228" s="9" t="s">
        <v>1287</v>
      </c>
      <c r="J228" s="9">
        <f t="shared" ref="J228:J229" si="295">H228*$U$7</f>
        <v>0</v>
      </c>
      <c r="K228" s="9">
        <f t="shared" ref="K228:K229" si="296">(H228+J228)*$K$15</f>
        <v>0</v>
      </c>
      <c r="L228" s="9">
        <f t="shared" ref="L228:L229" si="297">ROUND(H228+J228+K228,2)</f>
        <v>0</v>
      </c>
      <c r="M228" s="11">
        <f>$M$227</f>
        <v>0.15</v>
      </c>
      <c r="N228" s="9">
        <f t="shared" ref="N228:N229" si="298">H228*M228</f>
        <v>0</v>
      </c>
      <c r="O228" s="12">
        <f t="shared" ref="O228:O229" si="299">N228</f>
        <v>0</v>
      </c>
      <c r="P228" s="13" t="str">
        <f t="shared" si="286"/>
        <v>NO</v>
      </c>
      <c r="Q228">
        <f>IF(D228="INCLUIDO",IF(F228&lt;&gt;0,1,0),0)</f>
        <v>0</v>
      </c>
      <c r="R228">
        <f>IF(I228="%o Al Millar",1000,IF(I228="% Al Porciento",100,IF(I228="$ Prima",G228)))</f>
        <v>0</v>
      </c>
      <c r="S228">
        <f t="shared" ref="S228:S229" si="300">IF(E228="Excluido",0,IF(D228="NO APLICA",0,1))</f>
        <v>0</v>
      </c>
      <c r="T228" s="152">
        <v>0.7</v>
      </c>
      <c r="U228" s="159">
        <f>IF(E228="Excluido",0,T227*T228)</f>
        <v>0.84</v>
      </c>
      <c r="V228" s="160">
        <f>IF(D227="NO APLICA",0,(U230-U229)+(T227-U230))</f>
        <v>0</v>
      </c>
    </row>
    <row r="229" spans="1:22" ht="15" hidden="1" customHeight="1" thickBot="1" x14ac:dyDescent="0.35">
      <c r="A229" s="34" t="s">
        <v>1261</v>
      </c>
      <c r="B229" s="36">
        <v>135</v>
      </c>
      <c r="C229" s="29" t="s">
        <v>1262</v>
      </c>
      <c r="D229" s="29" t="str">
        <f>$D$227</f>
        <v>NO APLICA</v>
      </c>
      <c r="E229" s="27" t="s">
        <v>1137</v>
      </c>
      <c r="F229" s="20">
        <f>F228*S229</f>
        <v>0</v>
      </c>
      <c r="G229" s="21">
        <f>V229</f>
        <v>0</v>
      </c>
      <c r="H229" s="9">
        <f>(IF(I229="$ Prima",G229,G229*F229/R229))*$U$9</f>
        <v>0</v>
      </c>
      <c r="I229" s="9" t="s">
        <v>1153</v>
      </c>
      <c r="J229" s="9">
        <f t="shared" si="295"/>
        <v>0</v>
      </c>
      <c r="K229" s="9">
        <f t="shared" si="296"/>
        <v>0</v>
      </c>
      <c r="L229" s="9">
        <f t="shared" si="297"/>
        <v>0</v>
      </c>
      <c r="M229" s="11">
        <f>$M$227</f>
        <v>0.15</v>
      </c>
      <c r="N229" s="9">
        <f t="shared" si="298"/>
        <v>0</v>
      </c>
      <c r="O229" s="12">
        <f t="shared" si="299"/>
        <v>0</v>
      </c>
      <c r="P229" s="13" t="str">
        <f t="shared" si="286"/>
        <v>NO</v>
      </c>
      <c r="Q229">
        <f>IF(D229="INCLUIDO",IF(F229&lt;&gt;0,1,0),0)</f>
        <v>0</v>
      </c>
      <c r="R229">
        <f>IF(I229="%o Al Millar",1000,IF(I229="% Al Porciento",100,IF(I229="$ Prima",G229)))</f>
        <v>1000</v>
      </c>
      <c r="S229">
        <f t="shared" si="300"/>
        <v>0</v>
      </c>
      <c r="T229" s="152">
        <v>0.3</v>
      </c>
      <c r="U229" s="159">
        <f>IF(E229="Excluido",0,T227*T229)</f>
        <v>0.36</v>
      </c>
      <c r="V229" s="160">
        <f>IF($F229=0,0,U229)</f>
        <v>0</v>
      </c>
    </row>
    <row r="230" spans="1:22" s="18" customFormat="1" ht="15" hidden="1" customHeight="1" thickBot="1" x14ac:dyDescent="0.35">
      <c r="A230" s="24"/>
      <c r="B230" s="26"/>
      <c r="C230" s="15" t="s">
        <v>1177</v>
      </c>
      <c r="D230" s="38" t="str">
        <f>D229</f>
        <v>NO APLICA</v>
      </c>
      <c r="E230" s="38"/>
      <c r="F230" s="16">
        <v>0</v>
      </c>
      <c r="G230" s="17"/>
      <c r="H230" s="16">
        <f>SUM(H228:H229)</f>
        <v>0</v>
      </c>
      <c r="I230" s="16"/>
      <c r="J230" s="16">
        <f t="shared" ref="J230:L230" si="301">SUM(J228:J229)</f>
        <v>0</v>
      </c>
      <c r="K230" s="16">
        <f t="shared" si="301"/>
        <v>0</v>
      </c>
      <c r="L230" s="16">
        <f t="shared" si="301"/>
        <v>0</v>
      </c>
      <c r="M230" s="16" t="s">
        <v>1178</v>
      </c>
      <c r="N230" s="16">
        <f t="shared" ref="N230:O230" si="302">SUM(N228:N229)</f>
        <v>0</v>
      </c>
      <c r="O230" s="84">
        <f t="shared" si="302"/>
        <v>0</v>
      </c>
      <c r="P230" s="13" t="str">
        <f t="shared" si="286"/>
        <v>NO</v>
      </c>
      <c r="Q230">
        <f>IF(D230="INCLUIDO",IF(H230&lt;&gt;0,1,0),0)</f>
        <v>0</v>
      </c>
      <c r="T230" s="143">
        <f>SUM(T228:T229)</f>
        <v>1</v>
      </c>
      <c r="U230" s="144">
        <f>SUM(U228:U229)</f>
        <v>1.2</v>
      </c>
      <c r="V230" s="145">
        <f>SUM(V228:V229)</f>
        <v>0</v>
      </c>
    </row>
    <row r="231" spans="1:22" ht="15" hidden="1" customHeight="1" x14ac:dyDescent="0.3">
      <c r="A231" s="82">
        <v>906</v>
      </c>
      <c r="B231" s="33">
        <v>15</v>
      </c>
      <c r="C231" s="19" t="s">
        <v>1288</v>
      </c>
      <c r="D231" s="23" t="str">
        <f>D227</f>
        <v>NO APLICA</v>
      </c>
      <c r="E231" s="91"/>
      <c r="F231" s="28"/>
      <c r="G231" s="28"/>
      <c r="H231" s="28"/>
      <c r="I231" s="28"/>
      <c r="J231" s="28"/>
      <c r="K231" s="28"/>
      <c r="L231" s="28"/>
      <c r="M231" s="68">
        <v>0.05</v>
      </c>
      <c r="N231" s="28"/>
      <c r="O231" s="83"/>
      <c r="P231" s="13" t="str">
        <f t="shared" si="286"/>
        <v>NO</v>
      </c>
      <c r="Q231" s="47">
        <f>IF(D231="INCLUIDO",IF(F232&lt;&gt;0,1,0),0)</f>
        <v>0</v>
      </c>
    </row>
    <row r="232" spans="1:22" ht="15" hidden="1" customHeight="1" x14ac:dyDescent="0.3">
      <c r="A232" s="34" t="s">
        <v>1261</v>
      </c>
      <c r="B232" s="36">
        <v>136</v>
      </c>
      <c r="C232" s="29" t="s">
        <v>1170</v>
      </c>
      <c r="D232" s="29" t="str">
        <f>$D$227</f>
        <v>NO APLICA</v>
      </c>
      <c r="E232" s="27" t="s">
        <v>1137</v>
      </c>
      <c r="F232" s="20">
        <f>F228*S232</f>
        <v>0</v>
      </c>
      <c r="G232" s="21">
        <v>0</v>
      </c>
      <c r="H232" s="9">
        <f>(IF(I232="$ Prima",G232,G232*F232/R232))*$U$9</f>
        <v>0</v>
      </c>
      <c r="I232" s="9" t="s">
        <v>1287</v>
      </c>
      <c r="J232" s="9">
        <f>H232*$U$7</f>
        <v>0</v>
      </c>
      <c r="K232" s="9">
        <f>(H232+J232)*$K$15</f>
        <v>0</v>
      </c>
      <c r="L232" s="9">
        <f>ROUND(H232+J232+K232,2)</f>
        <v>0</v>
      </c>
      <c r="M232" s="11">
        <f>M231</f>
        <v>0.05</v>
      </c>
      <c r="N232" s="9">
        <f>H232*M232</f>
        <v>0</v>
      </c>
      <c r="O232" s="12">
        <f>N232</f>
        <v>0</v>
      </c>
      <c r="P232" s="13" t="str">
        <f t="shared" si="286"/>
        <v>NO</v>
      </c>
      <c r="Q232">
        <f>IF(D232="INCLUIDO",IF(F232&lt;&gt;0,1,0),0)</f>
        <v>0</v>
      </c>
      <c r="R232">
        <f>IF(I232="%o Al Millar",1000,IF(I232="% Al Porciento",100,IF(I232="$ Prima",G232)))</f>
        <v>0</v>
      </c>
      <c r="S232">
        <f t="shared" ref="S232" si="303">IF(E232="Excluido",0,IF(D232="NO APLICA",0,1))</f>
        <v>0</v>
      </c>
    </row>
    <row r="233" spans="1:22" s="18" customFormat="1" ht="15" hidden="1" customHeight="1" x14ac:dyDescent="0.3">
      <c r="A233" s="24"/>
      <c r="B233" s="26"/>
      <c r="C233" s="15" t="s">
        <v>1177</v>
      </c>
      <c r="D233" s="38" t="str">
        <f>D232</f>
        <v>NO APLICA</v>
      </c>
      <c r="E233" s="38"/>
      <c r="F233" s="16">
        <f>SUMIF(E232,"Adicional",F232)</f>
        <v>0</v>
      </c>
      <c r="G233" s="17"/>
      <c r="H233" s="16">
        <f>SUM(H232)</f>
        <v>0</v>
      </c>
      <c r="I233" s="16"/>
      <c r="J233" s="16">
        <f t="shared" ref="J233:L233" si="304">SUM(J232)</f>
        <v>0</v>
      </c>
      <c r="K233" s="16">
        <f t="shared" si="304"/>
        <v>0</v>
      </c>
      <c r="L233" s="16">
        <f t="shared" si="304"/>
        <v>0</v>
      </c>
      <c r="M233" s="16" t="s">
        <v>1178</v>
      </c>
      <c r="N233" s="16">
        <f t="shared" ref="N233:O233" si="305">SUM(N232)</f>
        <v>0</v>
      </c>
      <c r="O233" s="84">
        <f t="shared" si="305"/>
        <v>0</v>
      </c>
      <c r="P233" s="13" t="str">
        <f t="shared" si="286"/>
        <v>NO</v>
      </c>
      <c r="Q233">
        <f>IF(D233="INCLUIDO",IF(H233&lt;&gt;0,1,0),0)</f>
        <v>0</v>
      </c>
    </row>
    <row r="234" spans="1:22" ht="15" hidden="1" customHeight="1" x14ac:dyDescent="0.3">
      <c r="A234" s="82">
        <v>906</v>
      </c>
      <c r="B234" s="33">
        <v>16</v>
      </c>
      <c r="C234" s="19" t="s">
        <v>1289</v>
      </c>
      <c r="D234" s="23" t="str">
        <f>D227</f>
        <v>NO APLICA</v>
      </c>
      <c r="E234" s="91"/>
      <c r="F234" s="28"/>
      <c r="G234" s="28"/>
      <c r="H234" s="28"/>
      <c r="I234" s="28"/>
      <c r="J234" s="28"/>
      <c r="K234" s="28"/>
      <c r="L234" s="28"/>
      <c r="M234" s="68">
        <v>0.05</v>
      </c>
      <c r="N234" s="28"/>
      <c r="O234" s="83"/>
      <c r="P234" s="13" t="str">
        <f t="shared" si="286"/>
        <v>NO</v>
      </c>
      <c r="Q234" s="47" t="b">
        <f>IF(D234="INCLUIDO",IF(F235&lt;&gt;0,1,0))</f>
        <v>0</v>
      </c>
    </row>
    <row r="235" spans="1:22" ht="15" hidden="1" customHeight="1" x14ac:dyDescent="0.3">
      <c r="A235" s="34" t="s">
        <v>1261</v>
      </c>
      <c r="B235" s="36">
        <v>137</v>
      </c>
      <c r="C235" s="29" t="s">
        <v>1267</v>
      </c>
      <c r="D235" s="29" t="str">
        <f>$D$227</f>
        <v>NO APLICA</v>
      </c>
      <c r="E235" s="27" t="s">
        <v>1137</v>
      </c>
      <c r="F235" s="20">
        <f>F228*S235</f>
        <v>0</v>
      </c>
      <c r="G235" s="21">
        <v>0</v>
      </c>
      <c r="H235" s="9">
        <f>(IF(I235="$ Prima",G235,G235*F235/R235))*$U$9</f>
        <v>0</v>
      </c>
      <c r="I235" s="9" t="s">
        <v>1287</v>
      </c>
      <c r="J235" s="9">
        <f>H235*$U$7</f>
        <v>0</v>
      </c>
      <c r="K235" s="9">
        <f>(H235+J235)*$K$15</f>
        <v>0</v>
      </c>
      <c r="L235" s="9">
        <f>ROUND(H235+J235+K235,2)</f>
        <v>0</v>
      </c>
      <c r="M235" s="11">
        <f>M234</f>
        <v>0.05</v>
      </c>
      <c r="N235" s="9">
        <f>H235*M235</f>
        <v>0</v>
      </c>
      <c r="O235" s="12">
        <f>N235</f>
        <v>0</v>
      </c>
      <c r="P235" s="13" t="str">
        <f t="shared" si="286"/>
        <v>NO</v>
      </c>
      <c r="Q235">
        <f>IF(D235="INCLUIDO",IF(F235&lt;&gt;0,1,0),0)</f>
        <v>0</v>
      </c>
      <c r="R235">
        <f>IF(I235="%o Al Millar",1000,IF(I235="% Al Porciento",100,IF(I235="$ Prima",G235)))</f>
        <v>0</v>
      </c>
      <c r="S235">
        <f t="shared" ref="S235" si="306">IF(E235="Excluido",0,IF(D235="NO APLICA",0,1))</f>
        <v>0</v>
      </c>
    </row>
    <row r="236" spans="1:22" s="18" customFormat="1" ht="15" hidden="1" customHeight="1" thickBot="1" x14ac:dyDescent="0.35">
      <c r="A236" s="24"/>
      <c r="B236" s="26"/>
      <c r="C236" s="15" t="s">
        <v>1177</v>
      </c>
      <c r="D236" s="38" t="str">
        <f>D235</f>
        <v>NO APLICA</v>
      </c>
      <c r="E236" s="38"/>
      <c r="F236" s="16">
        <f>SUMIF(E228:E235,"Adicional",F228:F235)</f>
        <v>0</v>
      </c>
      <c r="G236" s="17"/>
      <c r="H236" s="16">
        <f>SUM(H235)</f>
        <v>0</v>
      </c>
      <c r="I236" s="16"/>
      <c r="J236" s="16">
        <f t="shared" ref="J236:L236" si="307">SUM(J235)</f>
        <v>0</v>
      </c>
      <c r="K236" s="16">
        <f t="shared" si="307"/>
        <v>0</v>
      </c>
      <c r="L236" s="16">
        <f t="shared" si="307"/>
        <v>0</v>
      </c>
      <c r="M236" s="16" t="s">
        <v>1178</v>
      </c>
      <c r="N236" s="16">
        <f t="shared" ref="N236:O236" si="308">SUM(N235)</f>
        <v>0</v>
      </c>
      <c r="O236" s="84">
        <f t="shared" si="308"/>
        <v>0</v>
      </c>
      <c r="P236" s="13" t="str">
        <f t="shared" si="286"/>
        <v>NO</v>
      </c>
      <c r="Q236">
        <f>IF(D236="INCLUIDO",IF(H236&lt;&gt;0,1,0),0)</f>
        <v>0</v>
      </c>
    </row>
    <row r="237" spans="1:22" ht="15" hidden="1" customHeight="1" thickBot="1" x14ac:dyDescent="0.35">
      <c r="A237" s="82">
        <v>908</v>
      </c>
      <c r="B237" s="33">
        <v>1</v>
      </c>
      <c r="C237" s="19" t="s">
        <v>1290</v>
      </c>
      <c r="D237" s="23" t="str">
        <f>'Ramo Comercial'!C168</f>
        <v>NO APLICA</v>
      </c>
      <c r="E237" s="91"/>
      <c r="F237" s="113">
        <v>0</v>
      </c>
      <c r="G237" s="113">
        <v>1.2</v>
      </c>
      <c r="H237" s="28"/>
      <c r="I237" s="28"/>
      <c r="J237" s="28"/>
      <c r="K237" s="28"/>
      <c r="L237" s="28"/>
      <c r="M237" s="68">
        <v>0</v>
      </c>
      <c r="N237" s="28"/>
      <c r="O237" s="83"/>
      <c r="P237" s="13" t="str">
        <f t="shared" si="286"/>
        <v>NO</v>
      </c>
      <c r="Q237" s="48">
        <f>IF(D237="INCLUIDO",IF(F237&lt;&gt;0,1,0),0)</f>
        <v>0</v>
      </c>
      <c r="T237" s="142">
        <f>G237</f>
        <v>1.2</v>
      </c>
      <c r="U237" s="150"/>
      <c r="V237" s="151"/>
    </row>
    <row r="238" spans="1:22" ht="15" hidden="1" customHeight="1" x14ac:dyDescent="0.3">
      <c r="A238" s="34" t="s">
        <v>1291</v>
      </c>
      <c r="B238" s="36">
        <v>138</v>
      </c>
      <c r="C238" s="29" t="s">
        <v>1292</v>
      </c>
      <c r="D238" s="29" t="str">
        <f>D237</f>
        <v>NO APLICA</v>
      </c>
      <c r="E238" s="27" t="s">
        <v>1152</v>
      </c>
      <c r="F238" s="20">
        <f>F237*S238</f>
        <v>0</v>
      </c>
      <c r="G238" s="21">
        <f>V238</f>
        <v>0</v>
      </c>
      <c r="H238" s="9">
        <f t="shared" ref="H238:H239" si="309">(IF(I238="$ Prima",G238,G238*F238/R238))*$U$9</f>
        <v>0</v>
      </c>
      <c r="I238" s="9" t="s">
        <v>1287</v>
      </c>
      <c r="J238" s="9">
        <f t="shared" ref="J238:J239" si="310">H238*$U$7</f>
        <v>0</v>
      </c>
      <c r="K238" s="9">
        <f t="shared" ref="K238:K239" si="311">(H238+J238)*$K$15</f>
        <v>0</v>
      </c>
      <c r="L238" s="9">
        <f t="shared" ref="L238:L239" si="312">ROUND(H238+J238+K238,2)</f>
        <v>0</v>
      </c>
      <c r="M238" s="11">
        <f>$M$237</f>
        <v>0</v>
      </c>
      <c r="N238" s="9">
        <f t="shared" ref="N238:N239" si="313">H238*M238</f>
        <v>0</v>
      </c>
      <c r="O238" s="12">
        <f t="shared" ref="O238:O239" si="314">N238</f>
        <v>0</v>
      </c>
      <c r="P238" s="13" t="str">
        <f t="shared" si="286"/>
        <v>NO</v>
      </c>
      <c r="Q238">
        <f>IF(D238="INCLUIDO",IF(F238&lt;&gt;0,1,0),0)</f>
        <v>0</v>
      </c>
      <c r="R238">
        <f>IF(I238="%o Al Millar",1000,IF(I238="% Al Porciento",100,IF(I238="$ Prima",G238)))</f>
        <v>0</v>
      </c>
      <c r="S238">
        <f t="shared" ref="S238:S239" si="315">IF(E238="Excluido",0,IF(D238="NO APLICA",0,1))</f>
        <v>0</v>
      </c>
      <c r="T238" s="152">
        <v>0.7</v>
      </c>
      <c r="U238" s="159">
        <f>IF(E238="Excluido",0,T237*T238)</f>
        <v>0.84</v>
      </c>
      <c r="V238" s="160">
        <f>IF(D237="NO APLICA",0,(U240-U239)+(T237-U240))</f>
        <v>0</v>
      </c>
    </row>
    <row r="239" spans="1:22" ht="15" hidden="1" customHeight="1" thickBot="1" x14ac:dyDescent="0.35">
      <c r="A239" s="34" t="s">
        <v>1291</v>
      </c>
      <c r="B239" s="36">
        <v>254</v>
      </c>
      <c r="C239" s="29" t="s">
        <v>1293</v>
      </c>
      <c r="D239" s="29" t="str">
        <f>D237</f>
        <v>NO APLICA</v>
      </c>
      <c r="E239" s="27" t="s">
        <v>1152</v>
      </c>
      <c r="F239" s="20">
        <f>F238*S239</f>
        <v>0</v>
      </c>
      <c r="G239" s="21">
        <f>V239</f>
        <v>0</v>
      </c>
      <c r="H239" s="9">
        <f t="shared" si="309"/>
        <v>0</v>
      </c>
      <c r="I239" s="9" t="s">
        <v>1287</v>
      </c>
      <c r="J239" s="9">
        <f t="shared" si="310"/>
        <v>0</v>
      </c>
      <c r="K239" s="9">
        <f t="shared" si="311"/>
        <v>0</v>
      </c>
      <c r="L239" s="9">
        <f t="shared" si="312"/>
        <v>0</v>
      </c>
      <c r="M239" s="11">
        <f>$M$237</f>
        <v>0</v>
      </c>
      <c r="N239" s="9">
        <f t="shared" si="313"/>
        <v>0</v>
      </c>
      <c r="O239" s="12">
        <f t="shared" si="314"/>
        <v>0</v>
      </c>
      <c r="P239" s="13" t="str">
        <f t="shared" si="286"/>
        <v>NO</v>
      </c>
      <c r="Q239">
        <f>IF(D239="INCLUIDO",IF(F239&lt;&gt;0,1,0),0)</f>
        <v>0</v>
      </c>
      <c r="R239">
        <f>IF(I239="%o Al Millar",1000,IF(I239="% Al Porciento",100,IF(I239="$ Prima",G239)))</f>
        <v>0</v>
      </c>
      <c r="S239">
        <f t="shared" si="315"/>
        <v>0</v>
      </c>
      <c r="T239" s="152">
        <v>0.3</v>
      </c>
      <c r="U239" s="159">
        <f>IF(E239="Excluido",0,T237*T239)</f>
        <v>0.36</v>
      </c>
      <c r="V239" s="160">
        <f>IF($F239=0,0,U239)</f>
        <v>0</v>
      </c>
    </row>
    <row r="240" spans="1:22" s="18" customFormat="1" ht="15" hidden="1" customHeight="1" thickBot="1" x14ac:dyDescent="0.35">
      <c r="A240" s="24"/>
      <c r="B240" s="26"/>
      <c r="C240" s="15" t="s">
        <v>1177</v>
      </c>
      <c r="D240" s="38" t="str">
        <f>D239</f>
        <v>NO APLICA</v>
      </c>
      <c r="E240" s="38"/>
      <c r="F240" s="16">
        <f>SUMIF(E238:E239,"Adicional",F238:F239)</f>
        <v>0</v>
      </c>
      <c r="G240" s="17"/>
      <c r="H240" s="16">
        <f>SUM(H238:H239)</f>
        <v>0</v>
      </c>
      <c r="I240" s="16"/>
      <c r="J240" s="16">
        <f t="shared" ref="J240:L240" si="316">SUM(J238:J239)</f>
        <v>0</v>
      </c>
      <c r="K240" s="16">
        <f t="shared" si="316"/>
        <v>0</v>
      </c>
      <c r="L240" s="16">
        <f t="shared" si="316"/>
        <v>0</v>
      </c>
      <c r="M240" s="16" t="s">
        <v>1178</v>
      </c>
      <c r="N240" s="16">
        <f t="shared" ref="N240:O240" si="317">SUM(N238:N239)</f>
        <v>0</v>
      </c>
      <c r="O240" s="84">
        <f t="shared" si="317"/>
        <v>0</v>
      </c>
      <c r="P240" s="13" t="str">
        <f t="shared" si="286"/>
        <v>NO</v>
      </c>
      <c r="Q240">
        <f>IF(D240="INCLUIDO",IF(H240&lt;&gt;0,1,0),0)</f>
        <v>0</v>
      </c>
      <c r="T240" s="143">
        <f>SUM(T238:T239)</f>
        <v>1</v>
      </c>
      <c r="U240" s="144">
        <f>SUM(U238:U239)</f>
        <v>1.2</v>
      </c>
      <c r="V240" s="145">
        <f>SUM(V238:V239)</f>
        <v>0</v>
      </c>
    </row>
    <row r="241" spans="1:29" hidden="1" x14ac:dyDescent="0.3">
      <c r="A241" s="82">
        <v>909</v>
      </c>
      <c r="B241" s="33">
        <v>1</v>
      </c>
      <c r="C241" s="19" t="s">
        <v>1294</v>
      </c>
      <c r="D241" s="23" t="str">
        <f>'Ramo Comercial'!E162</f>
        <v>INCLUIDO</v>
      </c>
      <c r="E241" s="91"/>
      <c r="F241" s="132">
        <f>'COTIZACIÓN M.N.'!D91</f>
        <v>0</v>
      </c>
      <c r="G241" s="132">
        <f>'COTIZACIÓN M.N.'!F91</f>
        <v>0</v>
      </c>
      <c r="H241" s="28"/>
      <c r="I241" s="28"/>
      <c r="J241" s="28"/>
      <c r="K241" s="28"/>
      <c r="L241" s="28"/>
      <c r="M241" s="68">
        <f>'COTIZACIÓN M.N.'!G91</f>
        <v>0.1</v>
      </c>
      <c r="N241" s="28"/>
      <c r="O241" s="83"/>
      <c r="P241" s="13" t="str">
        <f t="shared" si="286"/>
        <v>NO</v>
      </c>
      <c r="Q241" s="47">
        <f>IF(D241="INCLUIDO",IF(F242&lt;&gt;0,1,0),0)</f>
        <v>0</v>
      </c>
      <c r="T241" s="112">
        <f>G241*T272</f>
        <v>0</v>
      </c>
    </row>
    <row r="242" spans="1:29" hidden="1" x14ac:dyDescent="0.3">
      <c r="A242" s="34" t="s">
        <v>1295</v>
      </c>
      <c r="B242" s="36">
        <v>139</v>
      </c>
      <c r="C242" s="29" t="s">
        <v>1296</v>
      </c>
      <c r="D242" s="29" t="str">
        <f>'Ramo Comercial'!C162</f>
        <v>INCLUIDO</v>
      </c>
      <c r="E242" s="27" t="s">
        <v>1137</v>
      </c>
      <c r="F242" s="43">
        <f>F$241*S242</f>
        <v>0</v>
      </c>
      <c r="G242" s="114">
        <f>V242</f>
        <v>0</v>
      </c>
      <c r="H242" s="9">
        <f t="shared" ref="H242:H271" si="318">(IF(I242="$ Prima",G242,G242*F242/R242))*$U$9</f>
        <v>0</v>
      </c>
      <c r="I242" s="9" t="s">
        <v>1287</v>
      </c>
      <c r="J242" s="9">
        <f t="shared" ref="J242:J271" si="319">H242*$U$7</f>
        <v>0</v>
      </c>
      <c r="K242" s="9">
        <f t="shared" ref="K242:K271" si="320">(H242+J242)*$K$15</f>
        <v>0</v>
      </c>
      <c r="L242" s="9">
        <f t="shared" ref="L242:L271" si="321">ROUND(H242+J242+K242,2)</f>
        <v>0</v>
      </c>
      <c r="M242" s="11">
        <f>$M$241</f>
        <v>0.1</v>
      </c>
      <c r="N242" s="9">
        <f t="shared" ref="N242:N271" si="322">H242*M242</f>
        <v>0</v>
      </c>
      <c r="O242" s="12">
        <f t="shared" ref="O242:O271" si="323">N242</f>
        <v>0</v>
      </c>
      <c r="P242" s="13" t="str">
        <f t="shared" si="286"/>
        <v>NO</v>
      </c>
      <c r="Q242">
        <f t="shared" ref="Q242:Q271" si="324">IF(D242="INCLUIDO",IF(F242&lt;&gt;0,1,0),0)</f>
        <v>0</v>
      </c>
      <c r="R242">
        <f t="shared" ref="R242:R271" si="325">IF(I242="%o Al Millar",1000,IF(I242="% Al Porciento",100,IF(I242="$ Prima",G242)))</f>
        <v>0</v>
      </c>
      <c r="S242">
        <f t="shared" ref="S242:S271" si="326">IF(E242="Excluido",0,IF(D242="NO APLICA",0,1))</f>
        <v>1</v>
      </c>
      <c r="T242" s="110">
        <f>VLOOKUP(B242,DesgloseRC!$E$48:$F$88,2,FALSE)</f>
        <v>0.25</v>
      </c>
      <c r="U242" s="111">
        <f>IF(E242="Excluido",0,T241*T242)</f>
        <v>0</v>
      </c>
      <c r="V242" s="160">
        <f>IF(D241="NO APLICA",0,(U272-(SUM(U243:U271))+(T241-U272)))</f>
        <v>0</v>
      </c>
      <c r="W242" s="110"/>
      <c r="X242" s="110"/>
      <c r="Y242" s="110"/>
      <c r="Z242" s="110"/>
      <c r="AA242" s="110"/>
      <c r="AB242" s="110"/>
      <c r="AC242" s="110"/>
    </row>
    <row r="243" spans="1:29" ht="15" hidden="1" customHeight="1" x14ac:dyDescent="0.3">
      <c r="A243" s="34" t="s">
        <v>1295</v>
      </c>
      <c r="B243" s="36">
        <v>140</v>
      </c>
      <c r="C243" s="29" t="s">
        <v>1297</v>
      </c>
      <c r="D243" s="29" t="str">
        <f>$D$242</f>
        <v>INCLUIDO</v>
      </c>
      <c r="E243" s="27" t="s">
        <v>1186</v>
      </c>
      <c r="F243" s="43">
        <f t="shared" ref="F243:F271" si="327">F$241*S243</f>
        <v>0</v>
      </c>
      <c r="G243" s="114">
        <f t="shared" ref="G243:G271" si="328">V243</f>
        <v>0</v>
      </c>
      <c r="H243" s="9">
        <f t="shared" si="318"/>
        <v>0</v>
      </c>
      <c r="I243" s="9" t="s">
        <v>1287</v>
      </c>
      <c r="J243" s="9">
        <f t="shared" si="319"/>
        <v>0</v>
      </c>
      <c r="K243" s="9">
        <f t="shared" si="320"/>
        <v>0</v>
      </c>
      <c r="L243" s="9">
        <f t="shared" si="321"/>
        <v>0</v>
      </c>
      <c r="M243" s="11">
        <f t="shared" ref="M243:M271" si="329">$M$241</f>
        <v>0.1</v>
      </c>
      <c r="N243" s="9">
        <f t="shared" si="322"/>
        <v>0</v>
      </c>
      <c r="O243" s="12">
        <f t="shared" si="323"/>
        <v>0</v>
      </c>
      <c r="P243" s="13" t="str">
        <f t="shared" si="286"/>
        <v>NO</v>
      </c>
      <c r="Q243">
        <f t="shared" si="324"/>
        <v>0</v>
      </c>
      <c r="R243">
        <f t="shared" si="325"/>
        <v>0</v>
      </c>
      <c r="S243">
        <f t="shared" si="326"/>
        <v>0</v>
      </c>
      <c r="T243" s="110">
        <f>VLOOKUP(B243,DesgloseRC!$E$48:$F$88,2,FALSE)</f>
        <v>0.05</v>
      </c>
      <c r="U243" s="111">
        <f>IF(E243="Excluido",0,$T$241*T243)</f>
        <v>0</v>
      </c>
      <c r="V243" s="111">
        <f>IF(F243=0,0,U243)</f>
        <v>0</v>
      </c>
      <c r="W243" s="110"/>
      <c r="X243" s="110"/>
      <c r="Y243" s="110"/>
      <c r="Z243" s="110"/>
      <c r="AA243" s="110"/>
      <c r="AB243" s="110"/>
      <c r="AC243" s="110"/>
    </row>
    <row r="244" spans="1:29" ht="15" hidden="1" customHeight="1" x14ac:dyDescent="0.3">
      <c r="A244" s="34" t="s">
        <v>1295</v>
      </c>
      <c r="B244" s="36">
        <v>153</v>
      </c>
      <c r="C244" s="29" t="s">
        <v>1298</v>
      </c>
      <c r="D244" s="29" t="str">
        <f t="shared" ref="D244:D269" si="330">$D$242</f>
        <v>INCLUIDO</v>
      </c>
      <c r="E244" s="27" t="s">
        <v>1186</v>
      </c>
      <c r="F244" s="43">
        <f t="shared" si="327"/>
        <v>0</v>
      </c>
      <c r="G244" s="114">
        <f t="shared" si="328"/>
        <v>0</v>
      </c>
      <c r="H244" s="9">
        <f t="shared" si="318"/>
        <v>0</v>
      </c>
      <c r="I244" s="9" t="s">
        <v>1287</v>
      </c>
      <c r="J244" s="9">
        <f t="shared" si="319"/>
        <v>0</v>
      </c>
      <c r="K244" s="9">
        <f t="shared" si="320"/>
        <v>0</v>
      </c>
      <c r="L244" s="9">
        <f t="shared" si="321"/>
        <v>0</v>
      </c>
      <c r="M244" s="11">
        <f t="shared" si="329"/>
        <v>0.1</v>
      </c>
      <c r="N244" s="9">
        <f t="shared" si="322"/>
        <v>0</v>
      </c>
      <c r="O244" s="12">
        <f t="shared" si="323"/>
        <v>0</v>
      </c>
      <c r="P244" s="13" t="str">
        <f t="shared" si="286"/>
        <v>NO</v>
      </c>
      <c r="Q244">
        <f t="shared" si="324"/>
        <v>0</v>
      </c>
      <c r="R244">
        <f t="shared" si="325"/>
        <v>0</v>
      </c>
      <c r="S244">
        <f t="shared" si="326"/>
        <v>0</v>
      </c>
      <c r="T244" s="110">
        <f>VLOOKUP(B244,DesgloseRC!$E$48:$F$88,2,FALSE)</f>
        <v>0</v>
      </c>
      <c r="U244" s="111">
        <f t="shared" ref="U244:U271" si="331">IF(E244="Excluido",0,$T$241*T244)</f>
        <v>0</v>
      </c>
      <c r="V244" s="111">
        <f t="shared" ref="V244:V271" si="332">IF(F244=0,0,U244)</f>
        <v>0</v>
      </c>
      <c r="AA244" s="110"/>
      <c r="AC244" s="110"/>
    </row>
    <row r="245" spans="1:29" ht="15" hidden="1" customHeight="1" x14ac:dyDescent="0.3">
      <c r="A245" s="34" t="s">
        <v>1295</v>
      </c>
      <c r="B245" s="36">
        <v>154</v>
      </c>
      <c r="C245" s="29" t="s">
        <v>1299</v>
      </c>
      <c r="D245" s="29" t="str">
        <f t="shared" si="330"/>
        <v>INCLUIDO</v>
      </c>
      <c r="E245" s="27" t="s">
        <v>1186</v>
      </c>
      <c r="F245" s="43">
        <f t="shared" si="327"/>
        <v>0</v>
      </c>
      <c r="G245" s="114">
        <f t="shared" si="328"/>
        <v>0</v>
      </c>
      <c r="H245" s="9">
        <f t="shared" si="318"/>
        <v>0</v>
      </c>
      <c r="I245" s="9" t="s">
        <v>1287</v>
      </c>
      <c r="J245" s="9">
        <f t="shared" si="319"/>
        <v>0</v>
      </c>
      <c r="K245" s="9">
        <f t="shared" si="320"/>
        <v>0</v>
      </c>
      <c r="L245" s="9">
        <f t="shared" si="321"/>
        <v>0</v>
      </c>
      <c r="M245" s="11">
        <f t="shared" si="329"/>
        <v>0.1</v>
      </c>
      <c r="N245" s="9">
        <f t="shared" si="322"/>
        <v>0</v>
      </c>
      <c r="O245" s="12">
        <f t="shared" si="323"/>
        <v>0</v>
      </c>
      <c r="P245" s="13" t="str">
        <f t="shared" si="286"/>
        <v>NO</v>
      </c>
      <c r="Q245">
        <f t="shared" si="324"/>
        <v>0</v>
      </c>
      <c r="R245">
        <f t="shared" si="325"/>
        <v>0</v>
      </c>
      <c r="S245">
        <f t="shared" si="326"/>
        <v>0</v>
      </c>
      <c r="T245" s="110">
        <f>VLOOKUP(B245,DesgloseRC!$E$48:$F$88,2,FALSE)</f>
        <v>0</v>
      </c>
      <c r="U245" s="111">
        <f t="shared" si="331"/>
        <v>0</v>
      </c>
      <c r="V245" s="111">
        <f t="shared" si="332"/>
        <v>0</v>
      </c>
      <c r="AA245" s="110"/>
      <c r="AC245" s="110"/>
    </row>
    <row r="246" spans="1:29" ht="22.5" hidden="1" customHeight="1" x14ac:dyDescent="0.3">
      <c r="A246" s="34" t="s">
        <v>1295</v>
      </c>
      <c r="B246" s="36">
        <v>152</v>
      </c>
      <c r="C246" s="29" t="s">
        <v>1300</v>
      </c>
      <c r="D246" s="29" t="str">
        <f t="shared" si="330"/>
        <v>INCLUIDO</v>
      </c>
      <c r="E246" s="27" t="s">
        <v>1186</v>
      </c>
      <c r="F246" s="43">
        <f t="shared" si="327"/>
        <v>0</v>
      </c>
      <c r="G246" s="114">
        <f t="shared" si="328"/>
        <v>0</v>
      </c>
      <c r="H246" s="9">
        <f t="shared" si="318"/>
        <v>0</v>
      </c>
      <c r="I246" s="9" t="s">
        <v>1287</v>
      </c>
      <c r="J246" s="9">
        <f t="shared" si="319"/>
        <v>0</v>
      </c>
      <c r="K246" s="9">
        <f t="shared" si="320"/>
        <v>0</v>
      </c>
      <c r="L246" s="9">
        <f t="shared" si="321"/>
        <v>0</v>
      </c>
      <c r="M246" s="11">
        <f t="shared" si="329"/>
        <v>0.1</v>
      </c>
      <c r="N246" s="9">
        <f t="shared" si="322"/>
        <v>0</v>
      </c>
      <c r="O246" s="12">
        <f t="shared" si="323"/>
        <v>0</v>
      </c>
      <c r="P246" s="13" t="str">
        <f t="shared" si="286"/>
        <v>NO</v>
      </c>
      <c r="Q246">
        <f t="shared" si="324"/>
        <v>0</v>
      </c>
      <c r="R246">
        <f t="shared" si="325"/>
        <v>0</v>
      </c>
      <c r="S246">
        <f t="shared" si="326"/>
        <v>0</v>
      </c>
      <c r="T246" s="110">
        <f>VLOOKUP(B246,DesgloseRC!$E$48:$F$88,2,FALSE)</f>
        <v>0</v>
      </c>
      <c r="U246" s="111">
        <f t="shared" si="331"/>
        <v>0</v>
      </c>
      <c r="V246" s="111">
        <f t="shared" si="332"/>
        <v>0</v>
      </c>
      <c r="AA246" s="110"/>
      <c r="AC246" s="110"/>
    </row>
    <row r="247" spans="1:29" ht="15" hidden="1" customHeight="1" x14ac:dyDescent="0.3">
      <c r="A247" s="34" t="s">
        <v>1295</v>
      </c>
      <c r="B247" s="36">
        <v>151</v>
      </c>
      <c r="C247" s="29" t="s">
        <v>1301</v>
      </c>
      <c r="D247" s="29" t="str">
        <f t="shared" si="330"/>
        <v>INCLUIDO</v>
      </c>
      <c r="E247" s="27" t="s">
        <v>1186</v>
      </c>
      <c r="F247" s="43">
        <f t="shared" si="327"/>
        <v>0</v>
      </c>
      <c r="G247" s="114">
        <f t="shared" si="328"/>
        <v>0</v>
      </c>
      <c r="H247" s="9">
        <f t="shared" si="318"/>
        <v>0</v>
      </c>
      <c r="I247" s="9" t="s">
        <v>1287</v>
      </c>
      <c r="J247" s="9">
        <f t="shared" si="319"/>
        <v>0</v>
      </c>
      <c r="K247" s="9">
        <f t="shared" si="320"/>
        <v>0</v>
      </c>
      <c r="L247" s="9">
        <f t="shared" si="321"/>
        <v>0</v>
      </c>
      <c r="M247" s="11">
        <f t="shared" si="329"/>
        <v>0.1</v>
      </c>
      <c r="N247" s="9">
        <f t="shared" si="322"/>
        <v>0</v>
      </c>
      <c r="O247" s="12">
        <f t="shared" si="323"/>
        <v>0</v>
      </c>
      <c r="P247" s="13" t="str">
        <f t="shared" si="286"/>
        <v>NO</v>
      </c>
      <c r="Q247">
        <f t="shared" si="324"/>
        <v>0</v>
      </c>
      <c r="R247">
        <f t="shared" si="325"/>
        <v>0</v>
      </c>
      <c r="S247">
        <f t="shared" si="326"/>
        <v>0</v>
      </c>
      <c r="T247" s="110">
        <f>VLOOKUP(B247,DesgloseRC!$E$48:$F$88,2,FALSE)</f>
        <v>0.1</v>
      </c>
      <c r="U247" s="111">
        <f t="shared" si="331"/>
        <v>0</v>
      </c>
      <c r="V247" s="111">
        <f t="shared" si="332"/>
        <v>0</v>
      </c>
      <c r="AC247" s="110"/>
    </row>
    <row r="248" spans="1:29" ht="15" hidden="1" customHeight="1" x14ac:dyDescent="0.3">
      <c r="A248" s="34" t="s">
        <v>1295</v>
      </c>
      <c r="B248" s="36">
        <v>141</v>
      </c>
      <c r="C248" s="29" t="s">
        <v>1302</v>
      </c>
      <c r="D248" s="29" t="str">
        <f t="shared" si="330"/>
        <v>INCLUIDO</v>
      </c>
      <c r="E248" s="27" t="s">
        <v>1186</v>
      </c>
      <c r="F248" s="43">
        <f t="shared" si="327"/>
        <v>0</v>
      </c>
      <c r="G248" s="114">
        <f t="shared" si="328"/>
        <v>0</v>
      </c>
      <c r="H248" s="9">
        <f t="shared" si="318"/>
        <v>0</v>
      </c>
      <c r="I248" s="9" t="s">
        <v>1287</v>
      </c>
      <c r="J248" s="9">
        <f t="shared" si="319"/>
        <v>0</v>
      </c>
      <c r="K248" s="9">
        <f t="shared" si="320"/>
        <v>0</v>
      </c>
      <c r="L248" s="9">
        <f t="shared" si="321"/>
        <v>0</v>
      </c>
      <c r="M248" s="11">
        <f t="shared" si="329"/>
        <v>0.1</v>
      </c>
      <c r="N248" s="9">
        <f t="shared" si="322"/>
        <v>0</v>
      </c>
      <c r="O248" s="12">
        <f t="shared" si="323"/>
        <v>0</v>
      </c>
      <c r="P248" s="13" t="str">
        <f t="shared" si="286"/>
        <v>NO</v>
      </c>
      <c r="Q248">
        <f t="shared" si="324"/>
        <v>0</v>
      </c>
      <c r="R248">
        <f t="shared" si="325"/>
        <v>0</v>
      </c>
      <c r="S248">
        <f t="shared" si="326"/>
        <v>0</v>
      </c>
      <c r="T248" s="110">
        <f>VLOOKUP(B248,DesgloseRC!$E$48:$F$88,2,FALSE)</f>
        <v>0.03</v>
      </c>
      <c r="U248" s="111">
        <f t="shared" si="331"/>
        <v>0</v>
      </c>
      <c r="V248" s="111">
        <f t="shared" si="332"/>
        <v>0</v>
      </c>
      <c r="Z248" s="110"/>
      <c r="AC248" s="110"/>
    </row>
    <row r="249" spans="1:29" ht="22.5" hidden="1" customHeight="1" x14ac:dyDescent="0.3">
      <c r="A249" s="34" t="s">
        <v>1295</v>
      </c>
      <c r="B249" s="36">
        <v>142</v>
      </c>
      <c r="C249" s="29" t="s">
        <v>1303</v>
      </c>
      <c r="D249" s="29" t="str">
        <f t="shared" si="330"/>
        <v>INCLUIDO</v>
      </c>
      <c r="E249" s="27" t="s">
        <v>1186</v>
      </c>
      <c r="F249" s="43">
        <f t="shared" si="327"/>
        <v>0</v>
      </c>
      <c r="G249" s="114">
        <f t="shared" si="328"/>
        <v>0</v>
      </c>
      <c r="H249" s="9">
        <f t="shared" si="318"/>
        <v>0</v>
      </c>
      <c r="I249" s="9" t="s">
        <v>1287</v>
      </c>
      <c r="J249" s="9">
        <f t="shared" si="319"/>
        <v>0</v>
      </c>
      <c r="K249" s="9">
        <f t="shared" si="320"/>
        <v>0</v>
      </c>
      <c r="L249" s="9">
        <f t="shared" si="321"/>
        <v>0</v>
      </c>
      <c r="M249" s="11">
        <f t="shared" si="329"/>
        <v>0.1</v>
      </c>
      <c r="N249" s="9">
        <f t="shared" si="322"/>
        <v>0</v>
      </c>
      <c r="O249" s="12">
        <f t="shared" si="323"/>
        <v>0</v>
      </c>
      <c r="P249" s="13" t="str">
        <f t="shared" si="286"/>
        <v>NO</v>
      </c>
      <c r="Q249">
        <f t="shared" si="324"/>
        <v>0</v>
      </c>
      <c r="R249">
        <f t="shared" si="325"/>
        <v>0</v>
      </c>
      <c r="S249">
        <f t="shared" si="326"/>
        <v>0</v>
      </c>
      <c r="T249" s="110">
        <f>VLOOKUP(B249,DesgloseRC!$E$48:$F$88,2,FALSE)</f>
        <v>0.03</v>
      </c>
      <c r="U249" s="111">
        <f t="shared" si="331"/>
        <v>0</v>
      </c>
      <c r="V249" s="111">
        <f t="shared" si="332"/>
        <v>0</v>
      </c>
      <c r="AC249" s="110"/>
    </row>
    <row r="250" spans="1:29" ht="15" hidden="1" customHeight="1" x14ac:dyDescent="0.3">
      <c r="A250" s="34" t="s">
        <v>1295</v>
      </c>
      <c r="B250" s="36">
        <v>143</v>
      </c>
      <c r="C250" s="29" t="s">
        <v>1304</v>
      </c>
      <c r="D250" s="29" t="str">
        <f t="shared" si="330"/>
        <v>INCLUIDO</v>
      </c>
      <c r="E250" s="27" t="s">
        <v>1186</v>
      </c>
      <c r="F250" s="43">
        <v>0</v>
      </c>
      <c r="G250" s="114">
        <f t="shared" si="328"/>
        <v>0</v>
      </c>
      <c r="H250" s="9">
        <f t="shared" si="318"/>
        <v>0</v>
      </c>
      <c r="I250" s="9" t="s">
        <v>1287</v>
      </c>
      <c r="J250" s="9">
        <f t="shared" si="319"/>
        <v>0</v>
      </c>
      <c r="K250" s="9">
        <f t="shared" si="320"/>
        <v>0</v>
      </c>
      <c r="L250" s="9">
        <f t="shared" si="321"/>
        <v>0</v>
      </c>
      <c r="M250" s="11">
        <f t="shared" si="329"/>
        <v>0.1</v>
      </c>
      <c r="N250" s="9">
        <f t="shared" si="322"/>
        <v>0</v>
      </c>
      <c r="O250" s="12">
        <f t="shared" si="323"/>
        <v>0</v>
      </c>
      <c r="P250" s="13" t="str">
        <f t="shared" si="286"/>
        <v>NO</v>
      </c>
      <c r="Q250">
        <f t="shared" si="324"/>
        <v>0</v>
      </c>
      <c r="R250">
        <f t="shared" si="325"/>
        <v>0</v>
      </c>
      <c r="S250">
        <f t="shared" si="326"/>
        <v>0</v>
      </c>
      <c r="T250" s="110">
        <f>VLOOKUP(B250,DesgloseRC!$E$48:$F$88,2,FALSE)</f>
        <v>0.03</v>
      </c>
      <c r="U250" s="111">
        <f t="shared" si="331"/>
        <v>0</v>
      </c>
      <c r="V250" s="111">
        <f t="shared" si="332"/>
        <v>0</v>
      </c>
      <c r="Z250" s="110"/>
      <c r="AB250" s="110"/>
      <c r="AC250" s="110"/>
    </row>
    <row r="251" spans="1:29" ht="22.5" hidden="1" customHeight="1" x14ac:dyDescent="0.3">
      <c r="A251" s="34" t="s">
        <v>1295</v>
      </c>
      <c r="B251" s="36">
        <v>144</v>
      </c>
      <c r="C251" s="29" t="s">
        <v>1305</v>
      </c>
      <c r="D251" s="29" t="str">
        <f t="shared" si="330"/>
        <v>INCLUIDO</v>
      </c>
      <c r="E251" s="27" t="s">
        <v>1186</v>
      </c>
      <c r="F251" s="43">
        <f t="shared" si="327"/>
        <v>0</v>
      </c>
      <c r="G251" s="114">
        <f t="shared" si="328"/>
        <v>0</v>
      </c>
      <c r="H251" s="9">
        <f t="shared" si="318"/>
        <v>0</v>
      </c>
      <c r="I251" s="9" t="s">
        <v>1287</v>
      </c>
      <c r="J251" s="9">
        <f t="shared" si="319"/>
        <v>0</v>
      </c>
      <c r="K251" s="9">
        <f t="shared" si="320"/>
        <v>0</v>
      </c>
      <c r="L251" s="9">
        <f t="shared" si="321"/>
        <v>0</v>
      </c>
      <c r="M251" s="11">
        <f t="shared" si="329"/>
        <v>0.1</v>
      </c>
      <c r="N251" s="9">
        <f t="shared" si="322"/>
        <v>0</v>
      </c>
      <c r="O251" s="12">
        <f t="shared" si="323"/>
        <v>0</v>
      </c>
      <c r="P251" s="13" t="str">
        <f t="shared" si="286"/>
        <v>NO</v>
      </c>
      <c r="Q251">
        <f t="shared" si="324"/>
        <v>0</v>
      </c>
      <c r="R251">
        <f t="shared" si="325"/>
        <v>0</v>
      </c>
      <c r="S251">
        <f t="shared" si="326"/>
        <v>0</v>
      </c>
      <c r="T251" s="110">
        <f>VLOOKUP(B251,DesgloseRC!$E$48:$F$88,2,FALSE)</f>
        <v>0.03</v>
      </c>
      <c r="U251" s="111">
        <f t="shared" si="331"/>
        <v>0</v>
      </c>
      <c r="V251" s="111">
        <f t="shared" si="332"/>
        <v>0</v>
      </c>
      <c r="Z251" s="110"/>
      <c r="AC251" s="110"/>
    </row>
    <row r="252" spans="1:29" ht="15" hidden="1" customHeight="1" x14ac:dyDescent="0.3">
      <c r="A252" s="34" t="s">
        <v>1295</v>
      </c>
      <c r="B252" s="36">
        <v>145</v>
      </c>
      <c r="C252" s="29" t="s">
        <v>1306</v>
      </c>
      <c r="D252" s="29" t="str">
        <f t="shared" si="330"/>
        <v>INCLUIDO</v>
      </c>
      <c r="E252" s="27" t="s">
        <v>1186</v>
      </c>
      <c r="F252" s="43">
        <f t="shared" si="327"/>
        <v>0</v>
      </c>
      <c r="G252" s="114">
        <f t="shared" si="328"/>
        <v>0</v>
      </c>
      <c r="H252" s="9">
        <f t="shared" si="318"/>
        <v>0</v>
      </c>
      <c r="I252" s="9" t="s">
        <v>1287</v>
      </c>
      <c r="J252" s="9">
        <f t="shared" si="319"/>
        <v>0</v>
      </c>
      <c r="K252" s="9">
        <f t="shared" si="320"/>
        <v>0</v>
      </c>
      <c r="L252" s="9">
        <f t="shared" si="321"/>
        <v>0</v>
      </c>
      <c r="M252" s="11">
        <f t="shared" si="329"/>
        <v>0.1</v>
      </c>
      <c r="N252" s="9">
        <f t="shared" si="322"/>
        <v>0</v>
      </c>
      <c r="O252" s="12">
        <f t="shared" si="323"/>
        <v>0</v>
      </c>
      <c r="P252" s="13" t="str">
        <f t="shared" si="286"/>
        <v>NO</v>
      </c>
      <c r="Q252">
        <f t="shared" si="324"/>
        <v>0</v>
      </c>
      <c r="R252">
        <f t="shared" si="325"/>
        <v>0</v>
      </c>
      <c r="S252">
        <f t="shared" si="326"/>
        <v>0</v>
      </c>
      <c r="T252" s="110">
        <f>VLOOKUP(B252,DesgloseRC!$E$48:$F$88,2,FALSE)</f>
        <v>0.03</v>
      </c>
      <c r="U252" s="111">
        <f t="shared" si="331"/>
        <v>0</v>
      </c>
      <c r="V252" s="111">
        <f t="shared" si="332"/>
        <v>0</v>
      </c>
      <c r="Z252" s="110"/>
      <c r="AC252" s="110"/>
    </row>
    <row r="253" spans="1:29" ht="15" hidden="1" customHeight="1" x14ac:dyDescent="0.3">
      <c r="A253" s="34" t="s">
        <v>1295</v>
      </c>
      <c r="B253" s="36">
        <v>146</v>
      </c>
      <c r="C253" s="29" t="s">
        <v>1307</v>
      </c>
      <c r="D253" s="29" t="str">
        <f t="shared" si="330"/>
        <v>INCLUIDO</v>
      </c>
      <c r="E253" s="27" t="s">
        <v>1186</v>
      </c>
      <c r="F253" s="43">
        <f t="shared" si="327"/>
        <v>0</v>
      </c>
      <c r="G253" s="114">
        <f t="shared" si="328"/>
        <v>0</v>
      </c>
      <c r="H253" s="9">
        <f t="shared" si="318"/>
        <v>0</v>
      </c>
      <c r="I253" s="9" t="s">
        <v>1287</v>
      </c>
      <c r="J253" s="9">
        <f t="shared" si="319"/>
        <v>0</v>
      </c>
      <c r="K253" s="9">
        <f t="shared" si="320"/>
        <v>0</v>
      </c>
      <c r="L253" s="9">
        <f t="shared" si="321"/>
        <v>0</v>
      </c>
      <c r="M253" s="11">
        <f t="shared" si="329"/>
        <v>0.1</v>
      </c>
      <c r="N253" s="9">
        <f t="shared" si="322"/>
        <v>0</v>
      </c>
      <c r="O253" s="12">
        <f t="shared" si="323"/>
        <v>0</v>
      </c>
      <c r="P253" s="13" t="str">
        <f t="shared" si="286"/>
        <v>NO</v>
      </c>
      <c r="Q253">
        <f t="shared" si="324"/>
        <v>0</v>
      </c>
      <c r="R253">
        <f t="shared" si="325"/>
        <v>0</v>
      </c>
      <c r="S253">
        <f t="shared" si="326"/>
        <v>0</v>
      </c>
      <c r="T253" s="110">
        <f>VLOOKUP(B253,DesgloseRC!$E$48:$F$88,2,FALSE)</f>
        <v>0</v>
      </c>
      <c r="U253" s="111">
        <f t="shared" si="331"/>
        <v>0</v>
      </c>
      <c r="V253" s="111">
        <f t="shared" si="332"/>
        <v>0</v>
      </c>
    </row>
    <row r="254" spans="1:29" ht="15" hidden="1" customHeight="1" x14ac:dyDescent="0.3">
      <c r="A254" s="34" t="s">
        <v>1295</v>
      </c>
      <c r="B254" s="36">
        <v>147</v>
      </c>
      <c r="C254" s="29" t="s">
        <v>1308</v>
      </c>
      <c r="D254" s="29" t="str">
        <f t="shared" si="330"/>
        <v>INCLUIDO</v>
      </c>
      <c r="E254" s="27" t="s">
        <v>1186</v>
      </c>
      <c r="F254" s="43">
        <f t="shared" si="327"/>
        <v>0</v>
      </c>
      <c r="G254" s="114">
        <f t="shared" si="328"/>
        <v>0</v>
      </c>
      <c r="H254" s="9">
        <f t="shared" si="318"/>
        <v>0</v>
      </c>
      <c r="I254" s="9" t="s">
        <v>1287</v>
      </c>
      <c r="J254" s="9">
        <f t="shared" si="319"/>
        <v>0</v>
      </c>
      <c r="K254" s="9">
        <f t="shared" si="320"/>
        <v>0</v>
      </c>
      <c r="L254" s="9">
        <f t="shared" si="321"/>
        <v>0</v>
      </c>
      <c r="M254" s="11">
        <f t="shared" si="329"/>
        <v>0.1</v>
      </c>
      <c r="N254" s="9">
        <f t="shared" si="322"/>
        <v>0</v>
      </c>
      <c r="O254" s="12">
        <f t="shared" si="323"/>
        <v>0</v>
      </c>
      <c r="P254" s="13" t="str">
        <f t="shared" si="286"/>
        <v>NO</v>
      </c>
      <c r="Q254">
        <f t="shared" si="324"/>
        <v>0</v>
      </c>
      <c r="R254">
        <f t="shared" si="325"/>
        <v>0</v>
      </c>
      <c r="S254">
        <f t="shared" si="326"/>
        <v>0</v>
      </c>
      <c r="T254" s="110">
        <f>VLOOKUP(B254,DesgloseRC!$E$48:$F$88,2,FALSE)</f>
        <v>0</v>
      </c>
      <c r="U254" s="111">
        <f t="shared" si="331"/>
        <v>0</v>
      </c>
      <c r="V254" s="111">
        <f t="shared" si="332"/>
        <v>0</v>
      </c>
    </row>
    <row r="255" spans="1:29" ht="15" hidden="1" customHeight="1" x14ac:dyDescent="0.3">
      <c r="A255" s="34" t="s">
        <v>1295</v>
      </c>
      <c r="B255" s="36">
        <v>148</v>
      </c>
      <c r="C255" s="29" t="s">
        <v>1309</v>
      </c>
      <c r="D255" s="29" t="str">
        <f t="shared" si="330"/>
        <v>INCLUIDO</v>
      </c>
      <c r="E255" s="27" t="s">
        <v>1186</v>
      </c>
      <c r="F255" s="43">
        <f t="shared" si="327"/>
        <v>0</v>
      </c>
      <c r="G255" s="114">
        <f t="shared" si="328"/>
        <v>0</v>
      </c>
      <c r="H255" s="9">
        <f t="shared" si="318"/>
        <v>0</v>
      </c>
      <c r="I255" s="9" t="s">
        <v>1287</v>
      </c>
      <c r="J255" s="9">
        <f t="shared" si="319"/>
        <v>0</v>
      </c>
      <c r="K255" s="9">
        <f t="shared" si="320"/>
        <v>0</v>
      </c>
      <c r="L255" s="9">
        <f t="shared" si="321"/>
        <v>0</v>
      </c>
      <c r="M255" s="11">
        <f t="shared" si="329"/>
        <v>0.1</v>
      </c>
      <c r="N255" s="9">
        <f t="shared" si="322"/>
        <v>0</v>
      </c>
      <c r="O255" s="12">
        <f t="shared" si="323"/>
        <v>0</v>
      </c>
      <c r="P255" s="13" t="str">
        <f t="shared" si="286"/>
        <v>NO</v>
      </c>
      <c r="Q255">
        <f t="shared" si="324"/>
        <v>0</v>
      </c>
      <c r="R255">
        <f t="shared" si="325"/>
        <v>0</v>
      </c>
      <c r="S255">
        <f t="shared" si="326"/>
        <v>0</v>
      </c>
      <c r="T255" s="110">
        <f>VLOOKUP(B255,DesgloseRC!$E$48:$F$88,2,FALSE)</f>
        <v>0.1</v>
      </c>
      <c r="U255" s="111">
        <f t="shared" si="331"/>
        <v>0</v>
      </c>
      <c r="V255" s="111">
        <f t="shared" si="332"/>
        <v>0</v>
      </c>
      <c r="AC255" s="110"/>
    </row>
    <row r="256" spans="1:29" ht="15" hidden="1" customHeight="1" x14ac:dyDescent="0.3">
      <c r="A256" s="34" t="s">
        <v>1295</v>
      </c>
      <c r="B256" s="36">
        <v>156</v>
      </c>
      <c r="C256" s="29" t="s">
        <v>1310</v>
      </c>
      <c r="D256" s="29" t="str">
        <f t="shared" si="330"/>
        <v>INCLUIDO</v>
      </c>
      <c r="E256" s="27" t="s">
        <v>1186</v>
      </c>
      <c r="F256" s="43">
        <v>0</v>
      </c>
      <c r="G256" s="114">
        <f t="shared" si="328"/>
        <v>0</v>
      </c>
      <c r="H256" s="9">
        <f t="shared" si="318"/>
        <v>0</v>
      </c>
      <c r="I256" s="9" t="s">
        <v>1287</v>
      </c>
      <c r="J256" s="9">
        <f t="shared" si="319"/>
        <v>0</v>
      </c>
      <c r="K256" s="9">
        <f t="shared" si="320"/>
        <v>0</v>
      </c>
      <c r="L256" s="9">
        <f t="shared" si="321"/>
        <v>0</v>
      </c>
      <c r="M256" s="11">
        <f t="shared" si="329"/>
        <v>0.1</v>
      </c>
      <c r="N256" s="9">
        <f t="shared" si="322"/>
        <v>0</v>
      </c>
      <c r="O256" s="12">
        <f t="shared" si="323"/>
        <v>0</v>
      </c>
      <c r="P256" s="13" t="str">
        <f t="shared" si="286"/>
        <v>NO</v>
      </c>
      <c r="Q256">
        <f t="shared" si="324"/>
        <v>0</v>
      </c>
      <c r="R256">
        <f t="shared" si="325"/>
        <v>0</v>
      </c>
      <c r="S256">
        <f t="shared" si="326"/>
        <v>0</v>
      </c>
      <c r="T256" s="110">
        <f>VLOOKUP(B256,DesgloseRC!$E$48:$F$88,2,FALSE)</f>
        <v>0.05</v>
      </c>
      <c r="U256" s="111">
        <f t="shared" si="331"/>
        <v>0</v>
      </c>
      <c r="V256" s="111">
        <f t="shared" si="332"/>
        <v>0</v>
      </c>
    </row>
    <row r="257" spans="1:29" ht="22.5" hidden="1" customHeight="1" x14ac:dyDescent="0.3">
      <c r="A257" s="34" t="s">
        <v>1295</v>
      </c>
      <c r="B257" s="36">
        <v>225</v>
      </c>
      <c r="C257" s="29" t="s">
        <v>1311</v>
      </c>
      <c r="D257" s="29" t="str">
        <f t="shared" si="330"/>
        <v>INCLUIDO</v>
      </c>
      <c r="E257" s="27" t="s">
        <v>1186</v>
      </c>
      <c r="F257" s="43">
        <f t="shared" si="327"/>
        <v>0</v>
      </c>
      <c r="G257" s="114">
        <f t="shared" si="328"/>
        <v>0</v>
      </c>
      <c r="H257" s="9">
        <f t="shared" si="318"/>
        <v>0</v>
      </c>
      <c r="I257" s="9" t="s">
        <v>1287</v>
      </c>
      <c r="J257" s="9">
        <f t="shared" si="319"/>
        <v>0</v>
      </c>
      <c r="K257" s="9">
        <f t="shared" si="320"/>
        <v>0</v>
      </c>
      <c r="L257" s="9">
        <f t="shared" si="321"/>
        <v>0</v>
      </c>
      <c r="M257" s="11">
        <f t="shared" si="329"/>
        <v>0.1</v>
      </c>
      <c r="N257" s="9">
        <f t="shared" si="322"/>
        <v>0</v>
      </c>
      <c r="O257" s="12">
        <f t="shared" si="323"/>
        <v>0</v>
      </c>
      <c r="P257" s="13" t="str">
        <f t="shared" si="286"/>
        <v>NO</v>
      </c>
      <c r="Q257">
        <f t="shared" si="324"/>
        <v>0</v>
      </c>
      <c r="R257">
        <f t="shared" si="325"/>
        <v>0</v>
      </c>
      <c r="S257">
        <f t="shared" si="326"/>
        <v>0</v>
      </c>
      <c r="T257" s="110">
        <f>VLOOKUP(B257,DesgloseRC!$E$48:$F$88,2,FALSE)</f>
        <v>7.0000000000000007E-2</v>
      </c>
      <c r="U257" s="111">
        <f t="shared" si="331"/>
        <v>0</v>
      </c>
      <c r="V257" s="111">
        <f t="shared" si="332"/>
        <v>0</v>
      </c>
      <c r="AA257" s="110"/>
    </row>
    <row r="258" spans="1:29" ht="15" hidden="1" customHeight="1" x14ac:dyDescent="0.3">
      <c r="A258" s="34" t="s">
        <v>1295</v>
      </c>
      <c r="B258" s="36">
        <v>226</v>
      </c>
      <c r="C258" s="29" t="s">
        <v>1312</v>
      </c>
      <c r="D258" s="29" t="str">
        <f t="shared" si="330"/>
        <v>INCLUIDO</v>
      </c>
      <c r="E258" s="27" t="s">
        <v>1186</v>
      </c>
      <c r="F258" s="43">
        <f t="shared" si="327"/>
        <v>0</v>
      </c>
      <c r="G258" s="114">
        <f t="shared" si="328"/>
        <v>0</v>
      </c>
      <c r="H258" s="9">
        <f t="shared" si="318"/>
        <v>0</v>
      </c>
      <c r="I258" s="9" t="s">
        <v>1287</v>
      </c>
      <c r="J258" s="9">
        <f t="shared" si="319"/>
        <v>0</v>
      </c>
      <c r="K258" s="9">
        <f t="shared" si="320"/>
        <v>0</v>
      </c>
      <c r="L258" s="9">
        <f t="shared" si="321"/>
        <v>0</v>
      </c>
      <c r="M258" s="11">
        <f t="shared" si="329"/>
        <v>0.1</v>
      </c>
      <c r="N258" s="9">
        <f t="shared" si="322"/>
        <v>0</v>
      </c>
      <c r="O258" s="12">
        <f t="shared" si="323"/>
        <v>0</v>
      </c>
      <c r="P258" s="13" t="str">
        <f t="shared" si="286"/>
        <v>NO</v>
      </c>
      <c r="Q258">
        <f t="shared" si="324"/>
        <v>0</v>
      </c>
      <c r="R258">
        <f t="shared" si="325"/>
        <v>0</v>
      </c>
      <c r="S258">
        <f t="shared" si="326"/>
        <v>0</v>
      </c>
      <c r="T258" s="110">
        <f>VLOOKUP(B258,DesgloseRC!$E$48:$F$88,2,FALSE)</f>
        <v>0.1</v>
      </c>
      <c r="U258" s="111">
        <f t="shared" si="331"/>
        <v>0</v>
      </c>
      <c r="V258" s="111">
        <f t="shared" si="332"/>
        <v>0</v>
      </c>
      <c r="AA258" s="110"/>
    </row>
    <row r="259" spans="1:29" ht="15" hidden="1" customHeight="1" x14ac:dyDescent="0.3">
      <c r="A259" s="34" t="s">
        <v>1295</v>
      </c>
      <c r="B259" s="36">
        <v>228</v>
      </c>
      <c r="C259" s="29" t="s">
        <v>1313</v>
      </c>
      <c r="D259" s="29" t="str">
        <f t="shared" si="330"/>
        <v>INCLUIDO</v>
      </c>
      <c r="E259" s="27" t="s">
        <v>1186</v>
      </c>
      <c r="F259" s="43">
        <f t="shared" si="327"/>
        <v>0</v>
      </c>
      <c r="G259" s="114">
        <f t="shared" si="328"/>
        <v>0</v>
      </c>
      <c r="H259" s="9">
        <f t="shared" si="318"/>
        <v>0</v>
      </c>
      <c r="I259" s="9" t="s">
        <v>1287</v>
      </c>
      <c r="J259" s="9">
        <f t="shared" si="319"/>
        <v>0</v>
      </c>
      <c r="K259" s="9">
        <f t="shared" si="320"/>
        <v>0</v>
      </c>
      <c r="L259" s="9">
        <f t="shared" si="321"/>
        <v>0</v>
      </c>
      <c r="M259" s="11">
        <f t="shared" si="329"/>
        <v>0.1</v>
      </c>
      <c r="N259" s="9">
        <f t="shared" si="322"/>
        <v>0</v>
      </c>
      <c r="O259" s="12">
        <f t="shared" si="323"/>
        <v>0</v>
      </c>
      <c r="P259" s="13" t="str">
        <f t="shared" si="286"/>
        <v>NO</v>
      </c>
      <c r="Q259">
        <f t="shared" si="324"/>
        <v>0</v>
      </c>
      <c r="R259">
        <f t="shared" si="325"/>
        <v>0</v>
      </c>
      <c r="S259">
        <f t="shared" si="326"/>
        <v>0</v>
      </c>
      <c r="T259" s="110">
        <f>VLOOKUP(B259,DesgloseRC!$E$48:$F$88,2,FALSE)</f>
        <v>0.04</v>
      </c>
      <c r="U259" s="111">
        <f t="shared" si="331"/>
        <v>0</v>
      </c>
      <c r="V259" s="111">
        <f t="shared" si="332"/>
        <v>0</v>
      </c>
    </row>
    <row r="260" spans="1:29" ht="33.75" hidden="1" customHeight="1" x14ac:dyDescent="0.3">
      <c r="A260" s="34" t="s">
        <v>1295</v>
      </c>
      <c r="B260" s="36">
        <v>281</v>
      </c>
      <c r="C260" s="29" t="s">
        <v>1314</v>
      </c>
      <c r="D260" s="29" t="str">
        <f t="shared" si="330"/>
        <v>INCLUIDO</v>
      </c>
      <c r="E260" s="27" t="s">
        <v>1186</v>
      </c>
      <c r="F260" s="43">
        <f t="shared" si="327"/>
        <v>0</v>
      </c>
      <c r="G260" s="114">
        <f t="shared" si="328"/>
        <v>0</v>
      </c>
      <c r="H260" s="9">
        <f t="shared" si="318"/>
        <v>0</v>
      </c>
      <c r="I260" s="9" t="s">
        <v>1287</v>
      </c>
      <c r="J260" s="9">
        <f t="shared" si="319"/>
        <v>0</v>
      </c>
      <c r="K260" s="9">
        <f t="shared" si="320"/>
        <v>0</v>
      </c>
      <c r="L260" s="9">
        <f t="shared" si="321"/>
        <v>0</v>
      </c>
      <c r="M260" s="11">
        <f t="shared" si="329"/>
        <v>0.1</v>
      </c>
      <c r="N260" s="9">
        <f t="shared" si="322"/>
        <v>0</v>
      </c>
      <c r="O260" s="12">
        <f t="shared" si="323"/>
        <v>0</v>
      </c>
      <c r="P260" s="13" t="str">
        <f t="shared" si="286"/>
        <v>NO</v>
      </c>
      <c r="Q260">
        <f t="shared" si="324"/>
        <v>0</v>
      </c>
      <c r="R260">
        <f t="shared" si="325"/>
        <v>0</v>
      </c>
      <c r="S260">
        <f t="shared" si="326"/>
        <v>0</v>
      </c>
      <c r="T260" s="110">
        <f>VLOOKUP(B260,DesgloseRC!$E$48:$F$88,2,FALSE)</f>
        <v>0.04</v>
      </c>
      <c r="U260" s="111">
        <f t="shared" si="331"/>
        <v>0</v>
      </c>
      <c r="V260" s="111">
        <f t="shared" si="332"/>
        <v>0</v>
      </c>
      <c r="Z260" s="110"/>
      <c r="AC260" s="110"/>
    </row>
    <row r="261" spans="1:29" ht="33.75" hidden="1" customHeight="1" x14ac:dyDescent="0.3">
      <c r="A261" s="34" t="s">
        <v>1295</v>
      </c>
      <c r="B261" s="36">
        <v>282</v>
      </c>
      <c r="C261" s="29" t="s">
        <v>1315</v>
      </c>
      <c r="D261" s="29" t="str">
        <f t="shared" si="330"/>
        <v>INCLUIDO</v>
      </c>
      <c r="E261" s="27" t="s">
        <v>1186</v>
      </c>
      <c r="F261" s="43">
        <f t="shared" si="327"/>
        <v>0</v>
      </c>
      <c r="G261" s="114">
        <f t="shared" si="328"/>
        <v>0</v>
      </c>
      <c r="H261" s="9">
        <f t="shared" si="318"/>
        <v>0</v>
      </c>
      <c r="I261" s="9" t="s">
        <v>1287</v>
      </c>
      <c r="J261" s="9">
        <f t="shared" si="319"/>
        <v>0</v>
      </c>
      <c r="K261" s="9">
        <f t="shared" si="320"/>
        <v>0</v>
      </c>
      <c r="L261" s="9">
        <f t="shared" si="321"/>
        <v>0</v>
      </c>
      <c r="M261" s="11">
        <f t="shared" si="329"/>
        <v>0.1</v>
      </c>
      <c r="N261" s="9">
        <f t="shared" si="322"/>
        <v>0</v>
      </c>
      <c r="O261" s="12">
        <f t="shared" si="323"/>
        <v>0</v>
      </c>
      <c r="P261" s="13" t="str">
        <f t="shared" si="286"/>
        <v>NO</v>
      </c>
      <c r="Q261">
        <f t="shared" si="324"/>
        <v>0</v>
      </c>
      <c r="R261">
        <f t="shared" si="325"/>
        <v>0</v>
      </c>
      <c r="S261">
        <f t="shared" si="326"/>
        <v>0</v>
      </c>
      <c r="T261" s="110">
        <f>VLOOKUP(B261,DesgloseRC!$E$48:$F$88,2,FALSE)</f>
        <v>0</v>
      </c>
      <c r="U261" s="111">
        <f t="shared" si="331"/>
        <v>0</v>
      </c>
      <c r="V261" s="111">
        <f t="shared" si="332"/>
        <v>0</v>
      </c>
      <c r="AA261" s="110"/>
      <c r="AB261" s="110"/>
      <c r="AC261" s="110"/>
    </row>
    <row r="262" spans="1:29" ht="33.75" hidden="1" customHeight="1" x14ac:dyDescent="0.3">
      <c r="A262" s="34" t="s">
        <v>1295</v>
      </c>
      <c r="B262" s="36">
        <v>283</v>
      </c>
      <c r="C262" s="29" t="s">
        <v>1316</v>
      </c>
      <c r="D262" s="29" t="str">
        <f t="shared" si="330"/>
        <v>INCLUIDO</v>
      </c>
      <c r="E262" s="27" t="s">
        <v>1186</v>
      </c>
      <c r="F262" s="43">
        <f t="shared" si="327"/>
        <v>0</v>
      </c>
      <c r="G262" s="114">
        <f t="shared" si="328"/>
        <v>0</v>
      </c>
      <c r="H262" s="9">
        <f t="shared" si="318"/>
        <v>0</v>
      </c>
      <c r="I262" s="9" t="s">
        <v>1287</v>
      </c>
      <c r="J262" s="9">
        <f t="shared" si="319"/>
        <v>0</v>
      </c>
      <c r="K262" s="9">
        <f t="shared" si="320"/>
        <v>0</v>
      </c>
      <c r="L262" s="9">
        <f t="shared" si="321"/>
        <v>0</v>
      </c>
      <c r="M262" s="11">
        <f t="shared" si="329"/>
        <v>0.1</v>
      </c>
      <c r="N262" s="9">
        <f t="shared" si="322"/>
        <v>0</v>
      </c>
      <c r="O262" s="12">
        <f t="shared" si="323"/>
        <v>0</v>
      </c>
      <c r="P262" s="13" t="str">
        <f t="shared" si="286"/>
        <v>NO</v>
      </c>
      <c r="Q262">
        <f t="shared" si="324"/>
        <v>0</v>
      </c>
      <c r="R262">
        <f t="shared" si="325"/>
        <v>0</v>
      </c>
      <c r="S262">
        <f t="shared" si="326"/>
        <v>0</v>
      </c>
      <c r="T262" s="110">
        <f>VLOOKUP(B262,DesgloseRC!$E$48:$F$88,2,FALSE)</f>
        <v>0</v>
      </c>
      <c r="U262" s="111">
        <f t="shared" si="331"/>
        <v>0</v>
      </c>
      <c r="V262" s="111">
        <f t="shared" si="332"/>
        <v>0</v>
      </c>
    </row>
    <row r="263" spans="1:29" ht="15" hidden="1" customHeight="1" x14ac:dyDescent="0.3">
      <c r="A263" s="34" t="s">
        <v>1295</v>
      </c>
      <c r="B263" s="36">
        <v>284</v>
      </c>
      <c r="C263" s="29" t="s">
        <v>1317</v>
      </c>
      <c r="D263" s="29" t="str">
        <f t="shared" si="330"/>
        <v>INCLUIDO</v>
      </c>
      <c r="E263" s="27" t="s">
        <v>1186</v>
      </c>
      <c r="F263" s="43">
        <f t="shared" si="327"/>
        <v>0</v>
      </c>
      <c r="G263" s="114">
        <f t="shared" si="328"/>
        <v>0</v>
      </c>
      <c r="H263" s="9">
        <f t="shared" si="318"/>
        <v>0</v>
      </c>
      <c r="I263" s="9" t="s">
        <v>1287</v>
      </c>
      <c r="J263" s="9">
        <f t="shared" si="319"/>
        <v>0</v>
      </c>
      <c r="K263" s="9">
        <f t="shared" si="320"/>
        <v>0</v>
      </c>
      <c r="L263" s="9">
        <f t="shared" si="321"/>
        <v>0</v>
      </c>
      <c r="M263" s="11">
        <f t="shared" si="329"/>
        <v>0.1</v>
      </c>
      <c r="N263" s="9">
        <f t="shared" si="322"/>
        <v>0</v>
      </c>
      <c r="O263" s="12">
        <f t="shared" si="323"/>
        <v>0</v>
      </c>
      <c r="P263" s="13" t="str">
        <f t="shared" si="286"/>
        <v>NO</v>
      </c>
      <c r="Q263">
        <f t="shared" si="324"/>
        <v>0</v>
      </c>
      <c r="R263">
        <f t="shared" si="325"/>
        <v>0</v>
      </c>
      <c r="S263">
        <f t="shared" si="326"/>
        <v>0</v>
      </c>
      <c r="T263" s="110">
        <f>VLOOKUP(B263,DesgloseRC!$E$48:$F$88,2,FALSE)</f>
        <v>0</v>
      </c>
      <c r="U263" s="111">
        <f t="shared" si="331"/>
        <v>0</v>
      </c>
      <c r="V263" s="111">
        <f t="shared" si="332"/>
        <v>0</v>
      </c>
    </row>
    <row r="264" spans="1:29" ht="36.75" hidden="1" customHeight="1" x14ac:dyDescent="0.3">
      <c r="A264" s="34" t="s">
        <v>1295</v>
      </c>
      <c r="B264" s="36">
        <v>285</v>
      </c>
      <c r="C264" s="29" t="s">
        <v>1318</v>
      </c>
      <c r="D264" s="29" t="str">
        <f t="shared" si="330"/>
        <v>INCLUIDO</v>
      </c>
      <c r="E264" s="27" t="s">
        <v>1186</v>
      </c>
      <c r="F264" s="43">
        <f t="shared" si="327"/>
        <v>0</v>
      </c>
      <c r="G264" s="114">
        <f t="shared" si="328"/>
        <v>0</v>
      </c>
      <c r="H264" s="9">
        <f t="shared" si="318"/>
        <v>0</v>
      </c>
      <c r="I264" s="9" t="s">
        <v>1287</v>
      </c>
      <c r="J264" s="9">
        <f t="shared" si="319"/>
        <v>0</v>
      </c>
      <c r="K264" s="9">
        <f t="shared" si="320"/>
        <v>0</v>
      </c>
      <c r="L264" s="9">
        <f t="shared" si="321"/>
        <v>0</v>
      </c>
      <c r="M264" s="11">
        <f t="shared" si="329"/>
        <v>0.1</v>
      </c>
      <c r="N264" s="9">
        <f t="shared" si="322"/>
        <v>0</v>
      </c>
      <c r="O264" s="12">
        <f t="shared" si="323"/>
        <v>0</v>
      </c>
      <c r="P264" s="13" t="str">
        <f t="shared" si="286"/>
        <v>NO</v>
      </c>
      <c r="Q264">
        <f t="shared" si="324"/>
        <v>0</v>
      </c>
      <c r="R264">
        <f t="shared" si="325"/>
        <v>0</v>
      </c>
      <c r="S264">
        <f t="shared" si="326"/>
        <v>0</v>
      </c>
      <c r="T264" s="110">
        <f>VLOOKUP(B264,DesgloseRC!$E$48:$F$88,2,FALSE)</f>
        <v>0</v>
      </c>
      <c r="U264" s="111">
        <f t="shared" si="331"/>
        <v>0</v>
      </c>
      <c r="V264" s="111">
        <f t="shared" si="332"/>
        <v>0</v>
      </c>
      <c r="AB264" s="110"/>
      <c r="AC264" s="110"/>
    </row>
    <row r="265" spans="1:29" ht="33.75" hidden="1" customHeight="1" x14ac:dyDescent="0.3">
      <c r="A265" s="34" t="s">
        <v>1295</v>
      </c>
      <c r="B265" s="36">
        <v>286</v>
      </c>
      <c r="C265" s="29" t="s">
        <v>1319</v>
      </c>
      <c r="D265" s="29" t="str">
        <f t="shared" si="330"/>
        <v>INCLUIDO</v>
      </c>
      <c r="E265" s="27" t="s">
        <v>1186</v>
      </c>
      <c r="F265" s="43">
        <f t="shared" si="327"/>
        <v>0</v>
      </c>
      <c r="G265" s="114">
        <f t="shared" si="328"/>
        <v>0</v>
      </c>
      <c r="H265" s="9">
        <f t="shared" si="318"/>
        <v>0</v>
      </c>
      <c r="I265" s="9" t="s">
        <v>1287</v>
      </c>
      <c r="J265" s="9">
        <f t="shared" si="319"/>
        <v>0</v>
      </c>
      <c r="K265" s="9">
        <f t="shared" si="320"/>
        <v>0</v>
      </c>
      <c r="L265" s="9">
        <f t="shared" si="321"/>
        <v>0</v>
      </c>
      <c r="M265" s="11">
        <f t="shared" si="329"/>
        <v>0.1</v>
      </c>
      <c r="N265" s="9">
        <f t="shared" si="322"/>
        <v>0</v>
      </c>
      <c r="O265" s="12">
        <f t="shared" si="323"/>
        <v>0</v>
      </c>
      <c r="P265" s="13" t="str">
        <f t="shared" si="286"/>
        <v>NO</v>
      </c>
      <c r="Q265">
        <f t="shared" si="324"/>
        <v>0</v>
      </c>
      <c r="R265">
        <f t="shared" si="325"/>
        <v>0</v>
      </c>
      <c r="S265">
        <f t="shared" si="326"/>
        <v>0</v>
      </c>
      <c r="T265" s="110">
        <f>VLOOKUP(B265,DesgloseRC!$E$48:$F$88,2,FALSE)</f>
        <v>0</v>
      </c>
      <c r="U265" s="111">
        <f t="shared" si="331"/>
        <v>0</v>
      </c>
      <c r="V265" s="111">
        <f t="shared" si="332"/>
        <v>0</v>
      </c>
    </row>
    <row r="266" spans="1:29" ht="15" hidden="1" customHeight="1" x14ac:dyDescent="0.3">
      <c r="A266" s="34" t="s">
        <v>1295</v>
      </c>
      <c r="B266" s="36">
        <v>227</v>
      </c>
      <c r="C266" s="29" t="s">
        <v>1293</v>
      </c>
      <c r="D266" s="29" t="str">
        <f t="shared" si="330"/>
        <v>INCLUIDO</v>
      </c>
      <c r="E266" s="27" t="s">
        <v>1186</v>
      </c>
      <c r="F266" s="43">
        <f t="shared" si="327"/>
        <v>0</v>
      </c>
      <c r="G266" s="114">
        <f t="shared" si="328"/>
        <v>0</v>
      </c>
      <c r="H266" s="9">
        <f t="shared" si="318"/>
        <v>0</v>
      </c>
      <c r="I266" s="9" t="s">
        <v>1287</v>
      </c>
      <c r="J266" s="9">
        <f t="shared" si="319"/>
        <v>0</v>
      </c>
      <c r="K266" s="9">
        <f t="shared" si="320"/>
        <v>0</v>
      </c>
      <c r="L266" s="9">
        <f t="shared" si="321"/>
        <v>0</v>
      </c>
      <c r="M266" s="11">
        <f t="shared" si="329"/>
        <v>0.1</v>
      </c>
      <c r="N266" s="9">
        <f t="shared" si="322"/>
        <v>0</v>
      </c>
      <c r="O266" s="12">
        <f t="shared" si="323"/>
        <v>0</v>
      </c>
      <c r="P266" s="13" t="str">
        <f t="shared" si="286"/>
        <v>NO</v>
      </c>
      <c r="Q266">
        <f t="shared" si="324"/>
        <v>0</v>
      </c>
      <c r="R266">
        <f t="shared" si="325"/>
        <v>0</v>
      </c>
      <c r="S266">
        <f t="shared" si="326"/>
        <v>0</v>
      </c>
      <c r="T266" s="110">
        <f>VLOOKUP(B266,DesgloseRC!$E$48:$F$88,2,FALSE)</f>
        <v>0.05</v>
      </c>
      <c r="U266" s="111">
        <f t="shared" si="331"/>
        <v>0</v>
      </c>
      <c r="V266" s="111">
        <f t="shared" si="332"/>
        <v>0</v>
      </c>
      <c r="W266" s="110"/>
      <c r="X266" s="110"/>
      <c r="Y266" s="110"/>
      <c r="Z266" s="110"/>
      <c r="AA266" s="110"/>
      <c r="AB266" s="110"/>
    </row>
    <row r="267" spans="1:29" ht="21.75" hidden="1" customHeight="1" x14ac:dyDescent="0.3">
      <c r="A267" s="34" t="s">
        <v>1295</v>
      </c>
      <c r="B267" s="36">
        <v>303</v>
      </c>
      <c r="C267" s="29" t="s">
        <v>1320</v>
      </c>
      <c r="D267" s="29" t="str">
        <f t="shared" si="330"/>
        <v>INCLUIDO</v>
      </c>
      <c r="E267" s="27" t="s">
        <v>1186</v>
      </c>
      <c r="F267" s="43">
        <f t="shared" si="327"/>
        <v>0</v>
      </c>
      <c r="G267" s="21">
        <f t="shared" si="328"/>
        <v>0</v>
      </c>
      <c r="H267" s="9">
        <f t="shared" si="318"/>
        <v>0</v>
      </c>
      <c r="I267" s="9" t="s">
        <v>1287</v>
      </c>
      <c r="J267" s="9">
        <f t="shared" si="319"/>
        <v>0</v>
      </c>
      <c r="K267" s="9">
        <f t="shared" si="320"/>
        <v>0</v>
      </c>
      <c r="L267" s="9">
        <f t="shared" si="321"/>
        <v>0</v>
      </c>
      <c r="M267" s="11">
        <f t="shared" si="329"/>
        <v>0.1</v>
      </c>
      <c r="N267" s="9">
        <f t="shared" si="322"/>
        <v>0</v>
      </c>
      <c r="O267" s="12">
        <f t="shared" si="323"/>
        <v>0</v>
      </c>
      <c r="P267" s="13" t="str">
        <f t="shared" si="286"/>
        <v>NO</v>
      </c>
      <c r="Q267">
        <f t="shared" si="324"/>
        <v>0</v>
      </c>
      <c r="R267">
        <f t="shared" si="325"/>
        <v>0</v>
      </c>
      <c r="S267">
        <f t="shared" si="326"/>
        <v>0</v>
      </c>
      <c r="T267" s="110">
        <f>VLOOKUP(B267,DesgloseRC!$E$48:$F$88,2,FALSE)</f>
        <v>0</v>
      </c>
      <c r="U267" s="111">
        <f t="shared" si="331"/>
        <v>0</v>
      </c>
      <c r="V267" s="111">
        <f t="shared" si="332"/>
        <v>0</v>
      </c>
      <c r="W267" s="110"/>
      <c r="X267" s="110"/>
      <c r="Y267" s="110"/>
      <c r="Z267" s="110"/>
      <c r="AA267" s="110"/>
      <c r="AB267" s="110"/>
    </row>
    <row r="268" spans="1:29" ht="15" hidden="1" customHeight="1" x14ac:dyDescent="0.3">
      <c r="A268" s="34" t="s">
        <v>1295</v>
      </c>
      <c r="B268" s="36">
        <v>155</v>
      </c>
      <c r="C268" s="29" t="s">
        <v>1321</v>
      </c>
      <c r="D268" s="29" t="str">
        <f t="shared" si="330"/>
        <v>INCLUIDO</v>
      </c>
      <c r="E268" s="27" t="s">
        <v>1186</v>
      </c>
      <c r="F268" s="43">
        <f t="shared" si="327"/>
        <v>0</v>
      </c>
      <c r="G268" s="21">
        <f t="shared" si="328"/>
        <v>0</v>
      </c>
      <c r="H268" s="9">
        <f t="shared" si="318"/>
        <v>0</v>
      </c>
      <c r="I268" s="9" t="s">
        <v>1287</v>
      </c>
      <c r="J268" s="9">
        <f t="shared" si="319"/>
        <v>0</v>
      </c>
      <c r="K268" s="9">
        <f t="shared" si="320"/>
        <v>0</v>
      </c>
      <c r="L268" s="9">
        <f t="shared" si="321"/>
        <v>0</v>
      </c>
      <c r="M268" s="11">
        <f t="shared" si="329"/>
        <v>0.1</v>
      </c>
      <c r="N268" s="9">
        <f t="shared" si="322"/>
        <v>0</v>
      </c>
      <c r="O268" s="12">
        <f t="shared" si="323"/>
        <v>0</v>
      </c>
      <c r="P268" s="13" t="str">
        <f t="shared" si="286"/>
        <v>NO</v>
      </c>
      <c r="Q268">
        <f t="shared" si="324"/>
        <v>0</v>
      </c>
      <c r="R268">
        <f t="shared" si="325"/>
        <v>0</v>
      </c>
      <c r="S268">
        <f t="shared" si="326"/>
        <v>0</v>
      </c>
      <c r="T268" s="110">
        <f>VLOOKUP(B268,DesgloseRC!$E$48:$F$88,2,FALSE)</f>
        <v>0</v>
      </c>
      <c r="U268" s="111">
        <f t="shared" si="331"/>
        <v>0</v>
      </c>
      <c r="V268" s="111">
        <f t="shared" si="332"/>
        <v>0</v>
      </c>
    </row>
    <row r="269" spans="1:29" ht="15" hidden="1" customHeight="1" x14ac:dyDescent="0.3">
      <c r="A269" s="34" t="s">
        <v>1295</v>
      </c>
      <c r="B269" s="36">
        <v>149</v>
      </c>
      <c r="C269" s="29" t="s">
        <v>1322</v>
      </c>
      <c r="D269" s="29" t="str">
        <f t="shared" si="330"/>
        <v>INCLUIDO</v>
      </c>
      <c r="E269" s="27" t="s">
        <v>1186</v>
      </c>
      <c r="F269" s="43">
        <f t="shared" si="327"/>
        <v>0</v>
      </c>
      <c r="G269" s="21">
        <f t="shared" si="328"/>
        <v>0</v>
      </c>
      <c r="H269" s="9">
        <f t="shared" si="318"/>
        <v>0</v>
      </c>
      <c r="I269" s="9" t="s">
        <v>1287</v>
      </c>
      <c r="J269" s="9">
        <f t="shared" si="319"/>
        <v>0</v>
      </c>
      <c r="K269" s="9">
        <f t="shared" si="320"/>
        <v>0</v>
      </c>
      <c r="L269" s="9">
        <f t="shared" si="321"/>
        <v>0</v>
      </c>
      <c r="M269" s="11">
        <f t="shared" si="329"/>
        <v>0.1</v>
      </c>
      <c r="N269" s="9">
        <f t="shared" si="322"/>
        <v>0</v>
      </c>
      <c r="O269" s="12">
        <f t="shared" si="323"/>
        <v>0</v>
      </c>
      <c r="P269" s="13" t="str">
        <f t="shared" si="286"/>
        <v>NO</v>
      </c>
      <c r="Q269">
        <f t="shared" si="324"/>
        <v>0</v>
      </c>
      <c r="R269">
        <f t="shared" si="325"/>
        <v>0</v>
      </c>
      <c r="S269">
        <f t="shared" si="326"/>
        <v>0</v>
      </c>
      <c r="T269" s="110">
        <f>VLOOKUP(B269,DesgloseRC!$E$48:$F$88,2,FALSE)</f>
        <v>0</v>
      </c>
      <c r="U269" s="111">
        <f t="shared" si="331"/>
        <v>0</v>
      </c>
      <c r="V269" s="111">
        <f t="shared" si="332"/>
        <v>0</v>
      </c>
    </row>
    <row r="270" spans="1:29" ht="15" hidden="1" customHeight="1" x14ac:dyDescent="0.3">
      <c r="A270" s="34" t="s">
        <v>1295</v>
      </c>
      <c r="B270" s="36">
        <v>150</v>
      </c>
      <c r="C270" s="29" t="s">
        <v>1323</v>
      </c>
      <c r="D270" s="29" t="str">
        <f>D269</f>
        <v>INCLUIDO</v>
      </c>
      <c r="E270" s="27" t="str">
        <f>E269</f>
        <v>Excluido</v>
      </c>
      <c r="F270" s="43">
        <f t="shared" si="327"/>
        <v>0</v>
      </c>
      <c r="G270" s="21">
        <f t="shared" si="328"/>
        <v>0</v>
      </c>
      <c r="H270" s="9">
        <f t="shared" si="318"/>
        <v>0</v>
      </c>
      <c r="I270" s="9" t="s">
        <v>1287</v>
      </c>
      <c r="J270" s="9">
        <f t="shared" si="319"/>
        <v>0</v>
      </c>
      <c r="K270" s="9">
        <f t="shared" si="320"/>
        <v>0</v>
      </c>
      <c r="L270" s="9">
        <f t="shared" si="321"/>
        <v>0</v>
      </c>
      <c r="M270" s="11">
        <f t="shared" si="329"/>
        <v>0.1</v>
      </c>
      <c r="N270" s="9">
        <f t="shared" si="322"/>
        <v>0</v>
      </c>
      <c r="O270" s="12">
        <f t="shared" si="323"/>
        <v>0</v>
      </c>
      <c r="P270" s="13" t="str">
        <f t="shared" si="286"/>
        <v>NO</v>
      </c>
      <c r="Q270">
        <f t="shared" si="324"/>
        <v>0</v>
      </c>
      <c r="R270">
        <f t="shared" si="325"/>
        <v>0</v>
      </c>
      <c r="S270">
        <f t="shared" si="326"/>
        <v>0</v>
      </c>
      <c r="T270" s="110">
        <f>VLOOKUP(B270,DesgloseRC!$E$48:$F$88,2,FALSE)</f>
        <v>0</v>
      </c>
      <c r="U270" s="111">
        <f t="shared" si="331"/>
        <v>0</v>
      </c>
      <c r="V270" s="111">
        <f t="shared" si="332"/>
        <v>0</v>
      </c>
    </row>
    <row r="271" spans="1:29" ht="15" hidden="1" customHeight="1" x14ac:dyDescent="0.3">
      <c r="A271" s="34" t="s">
        <v>1295</v>
      </c>
      <c r="B271" s="36">
        <v>157</v>
      </c>
      <c r="C271" s="29" t="s">
        <v>1324</v>
      </c>
      <c r="D271" s="29" t="str">
        <f>D269</f>
        <v>INCLUIDO</v>
      </c>
      <c r="E271" s="27" t="str">
        <f>E269</f>
        <v>Excluido</v>
      </c>
      <c r="F271" s="43">
        <f t="shared" si="327"/>
        <v>0</v>
      </c>
      <c r="G271" s="21">
        <f t="shared" si="328"/>
        <v>0</v>
      </c>
      <c r="H271" s="9">
        <f t="shared" si="318"/>
        <v>0</v>
      </c>
      <c r="I271" s="9" t="s">
        <v>1287</v>
      </c>
      <c r="J271" s="9">
        <f t="shared" si="319"/>
        <v>0</v>
      </c>
      <c r="K271" s="9">
        <f t="shared" si="320"/>
        <v>0</v>
      </c>
      <c r="L271" s="9">
        <f t="shared" si="321"/>
        <v>0</v>
      </c>
      <c r="M271" s="11">
        <f t="shared" si="329"/>
        <v>0.1</v>
      </c>
      <c r="N271" s="9">
        <f t="shared" si="322"/>
        <v>0</v>
      </c>
      <c r="O271" s="12">
        <f t="shared" si="323"/>
        <v>0</v>
      </c>
      <c r="P271" s="13" t="str">
        <f t="shared" si="286"/>
        <v>NO</v>
      </c>
      <c r="Q271">
        <f t="shared" si="324"/>
        <v>0</v>
      </c>
      <c r="R271">
        <f t="shared" si="325"/>
        <v>0</v>
      </c>
      <c r="S271">
        <f t="shared" si="326"/>
        <v>0</v>
      </c>
      <c r="T271" s="110">
        <f>VLOOKUP(B271,DesgloseRC!$E$48:$F$88,2,FALSE)</f>
        <v>0</v>
      </c>
      <c r="U271" s="111">
        <f t="shared" si="331"/>
        <v>0</v>
      </c>
      <c r="V271" s="111">
        <f t="shared" si="332"/>
        <v>0</v>
      </c>
    </row>
    <row r="272" spans="1:29" s="18" customFormat="1" ht="15" hidden="1" customHeight="1" x14ac:dyDescent="0.3">
      <c r="A272" s="24"/>
      <c r="B272" s="26"/>
      <c r="C272" s="15" t="s">
        <v>1177</v>
      </c>
      <c r="D272" s="38" t="str">
        <f>D241</f>
        <v>INCLUIDO</v>
      </c>
      <c r="E272" s="38"/>
      <c r="F272" s="16">
        <f>SUMIF(E242:E271,"Adicional",F242:F271)</f>
        <v>0</v>
      </c>
      <c r="G272" s="17"/>
      <c r="H272" s="16">
        <f>SUM(H242:H271)</f>
        <v>0</v>
      </c>
      <c r="I272" s="16"/>
      <c r="J272" s="16">
        <f t="shared" ref="J272:L272" si="333">SUM(J242:J271)</f>
        <v>0</v>
      </c>
      <c r="K272" s="16">
        <f t="shared" si="333"/>
        <v>0</v>
      </c>
      <c r="L272" s="16">
        <f t="shared" si="333"/>
        <v>0</v>
      </c>
      <c r="M272" s="16" t="s">
        <v>1178</v>
      </c>
      <c r="N272" s="16">
        <f t="shared" ref="N272:O272" si="334">SUM(N242:N271)</f>
        <v>0</v>
      </c>
      <c r="O272" s="84">
        <f t="shared" si="334"/>
        <v>0</v>
      </c>
      <c r="P272" s="13" t="str">
        <f t="shared" si="286"/>
        <v>NO</v>
      </c>
      <c r="Q272">
        <f>IF(D272="INCLUIDO",IF(H272&lt;&gt;0,1,0),0)</f>
        <v>0</v>
      </c>
      <c r="T272" s="141">
        <f>SUM(T242:T271)</f>
        <v>1.0000000000000002</v>
      </c>
      <c r="U272" s="200">
        <f>SUM(U242:U271)</f>
        <v>0</v>
      </c>
      <c r="V272" s="112">
        <f>SUM(V242:V271)</f>
        <v>0</v>
      </c>
    </row>
    <row r="273" spans="1:23" ht="15" hidden="1" customHeight="1" thickBot="1" x14ac:dyDescent="0.35">
      <c r="A273" s="82">
        <v>911</v>
      </c>
      <c r="B273" s="33">
        <v>1</v>
      </c>
      <c r="C273" s="19" t="s">
        <v>1325</v>
      </c>
      <c r="D273" s="23" t="str">
        <f>'Ramo Comercial'!C163</f>
        <v>NO APLICA</v>
      </c>
      <c r="E273" s="91"/>
      <c r="F273" s="113">
        <f>F241</f>
        <v>0</v>
      </c>
      <c r="G273" s="28"/>
      <c r="H273" s="28"/>
      <c r="I273" s="28"/>
      <c r="J273" s="28"/>
      <c r="K273" s="28"/>
      <c r="L273" s="28"/>
      <c r="M273" s="68">
        <v>0</v>
      </c>
      <c r="N273" s="28"/>
      <c r="O273" s="83"/>
      <c r="P273" s="13" t="str">
        <f t="shared" si="286"/>
        <v>NO</v>
      </c>
      <c r="Q273" s="48">
        <f>IF(D273="INCLUIDO",IF(F273&lt;&gt;0,1,0),0)</f>
        <v>0</v>
      </c>
      <c r="T273" s="142">
        <f>G241*T276</f>
        <v>0</v>
      </c>
    </row>
    <row r="274" spans="1:23" ht="15" hidden="1" customHeight="1" x14ac:dyDescent="0.3">
      <c r="A274" s="34" t="s">
        <v>1326</v>
      </c>
      <c r="B274" s="36">
        <v>159</v>
      </c>
      <c r="C274" s="29" t="s">
        <v>1327</v>
      </c>
      <c r="D274" s="29" t="str">
        <f>$D$273</f>
        <v>NO APLICA</v>
      </c>
      <c r="E274" s="27" t="s">
        <v>1152</v>
      </c>
      <c r="F274" s="20">
        <f>F273*S274</f>
        <v>0</v>
      </c>
      <c r="G274" s="21">
        <f>V274</f>
        <v>0</v>
      </c>
      <c r="H274" s="9">
        <f t="shared" ref="H274:H275" si="335">(IF(I274="$ Prima",G274,G274*F274/R274))*$U$9</f>
        <v>0</v>
      </c>
      <c r="I274" s="9" t="s">
        <v>1287</v>
      </c>
      <c r="J274" s="9">
        <f t="shared" ref="J274:J275" si="336">H274*$U$7</f>
        <v>0</v>
      </c>
      <c r="K274" s="9">
        <f t="shared" ref="K274:K275" si="337">(H274+J274)*$K$15</f>
        <v>0</v>
      </c>
      <c r="L274" s="9">
        <f t="shared" ref="L274:L275" si="338">ROUND(H274+J274+K274,2)</f>
        <v>0</v>
      </c>
      <c r="M274" s="11">
        <f>$M$273</f>
        <v>0</v>
      </c>
      <c r="N274" s="9">
        <f t="shared" ref="N274:N275" si="339">H274*M274</f>
        <v>0</v>
      </c>
      <c r="O274" s="12">
        <f t="shared" ref="O274:O275" si="340">N274</f>
        <v>0</v>
      </c>
      <c r="P274" s="13" t="str">
        <f t="shared" si="286"/>
        <v>NO</v>
      </c>
      <c r="Q274">
        <f>IF(D274="INCLUIDO",IF(F274&lt;&gt;0,1,0),0)</f>
        <v>0</v>
      </c>
      <c r="R274">
        <f>IF(I274="%o Al Millar",1000,IF(I274="% Al Porciento",100,IF(I274="$ Prima",G274)))</f>
        <v>0</v>
      </c>
      <c r="S274">
        <f t="shared" ref="S274:S275" si="341">IF(E274="Excluido",0,IF(D274="NO APLICA",0,1))</f>
        <v>0</v>
      </c>
      <c r="T274" s="110">
        <f>VLOOKUP(B274,DesgloseRC!$E$48:$F$88,2,FALSE)</f>
        <v>0</v>
      </c>
      <c r="U274" s="159">
        <f t="shared" ref="U274:U275" si="342">IF(E274="Excluido",0,$T$241*T274)</f>
        <v>0</v>
      </c>
      <c r="V274" s="111">
        <f>IF(F274=0,0,(U276-U275)+T273-U276)</f>
        <v>0</v>
      </c>
      <c r="W274">
        <f>IF(T274=0%,0,1)</f>
        <v>0</v>
      </c>
    </row>
    <row r="275" spans="1:23" ht="22.5" hidden="1" customHeight="1" x14ac:dyDescent="0.3">
      <c r="A275" s="34" t="s">
        <v>1326</v>
      </c>
      <c r="B275" s="36">
        <v>158</v>
      </c>
      <c r="C275" s="29" t="s">
        <v>1328</v>
      </c>
      <c r="D275" s="29" t="str">
        <f>$D$273</f>
        <v>NO APLICA</v>
      </c>
      <c r="E275" s="27" t="s">
        <v>1137</v>
      </c>
      <c r="F275" s="20">
        <f>F274*S275</f>
        <v>0</v>
      </c>
      <c r="G275" s="21">
        <f>V275</f>
        <v>0</v>
      </c>
      <c r="H275" s="9">
        <f t="shared" si="335"/>
        <v>0</v>
      </c>
      <c r="I275" s="9" t="s">
        <v>1287</v>
      </c>
      <c r="J275" s="9">
        <f t="shared" si="336"/>
        <v>0</v>
      </c>
      <c r="K275" s="9">
        <f t="shared" si="337"/>
        <v>0</v>
      </c>
      <c r="L275" s="9">
        <f t="shared" si="338"/>
        <v>0</v>
      </c>
      <c r="M275" s="11">
        <f>$M$273</f>
        <v>0</v>
      </c>
      <c r="N275" s="9">
        <f t="shared" si="339"/>
        <v>0</v>
      </c>
      <c r="O275" s="12">
        <f t="shared" si="340"/>
        <v>0</v>
      </c>
      <c r="P275" s="13" t="str">
        <f t="shared" si="286"/>
        <v>NO</v>
      </c>
      <c r="Q275">
        <f>IF(D275="INCLUIDO",IF(F275&lt;&gt;0,1,0),0)</f>
        <v>0</v>
      </c>
      <c r="R275">
        <f>IF(I275="%o Al Millar",1000,IF(I275="% Al Porciento",100,IF(I275="$ Prima",G275)))</f>
        <v>0</v>
      </c>
      <c r="S275">
        <f t="shared" si="341"/>
        <v>0</v>
      </c>
      <c r="T275" s="110">
        <f>VLOOKUP(B275,DesgloseRC!$E$48:$F$88,2,FALSE)</f>
        <v>0</v>
      </c>
      <c r="U275" s="159">
        <f t="shared" si="342"/>
        <v>0</v>
      </c>
      <c r="V275" s="111">
        <f t="shared" ref="V275" si="343">IF(F275=0,0,U275)</f>
        <v>0</v>
      </c>
    </row>
    <row r="276" spans="1:23" s="18" customFormat="1" ht="15" hidden="1" customHeight="1" thickBot="1" x14ac:dyDescent="0.35">
      <c r="A276" s="24"/>
      <c r="B276" s="26"/>
      <c r="C276" s="15" t="s">
        <v>1177</v>
      </c>
      <c r="D276" s="38" t="str">
        <f>D275</f>
        <v>NO APLICA</v>
      </c>
      <c r="E276" s="38"/>
      <c r="F276" s="16">
        <f>SUMIF(E274:E275,"Adicional",F274:F275)</f>
        <v>0</v>
      </c>
      <c r="G276" s="17"/>
      <c r="H276" s="16">
        <f>SUM(H274:H275)</f>
        <v>0</v>
      </c>
      <c r="I276" s="16"/>
      <c r="J276" s="16">
        <f t="shared" ref="J276:L276" si="344">SUM(J274:J275)</f>
        <v>0</v>
      </c>
      <c r="K276" s="16">
        <f t="shared" si="344"/>
        <v>0</v>
      </c>
      <c r="L276" s="16">
        <f t="shared" si="344"/>
        <v>0</v>
      </c>
      <c r="M276" s="16" t="s">
        <v>1178</v>
      </c>
      <c r="N276" s="16">
        <f t="shared" ref="N276:O276" si="345">SUM(N274:N275)</f>
        <v>0</v>
      </c>
      <c r="O276" s="84">
        <f t="shared" si="345"/>
        <v>0</v>
      </c>
      <c r="P276" s="13" t="str">
        <f t="shared" si="286"/>
        <v>NO</v>
      </c>
      <c r="Q276">
        <f>IF(D276="INCLUIDO",IF(H276&lt;&gt;0,1,0),0)</f>
        <v>0</v>
      </c>
      <c r="T276" s="141">
        <f>SUM(T274:T275)</f>
        <v>0</v>
      </c>
      <c r="U276" s="200">
        <f>SUM(U274:U275)</f>
        <v>0</v>
      </c>
      <c r="V276" s="112">
        <f>SUM(V274:V275)</f>
        <v>0</v>
      </c>
    </row>
    <row r="277" spans="1:23" ht="22.5" hidden="1" customHeight="1" thickBot="1" x14ac:dyDescent="0.35">
      <c r="A277" s="82">
        <v>911</v>
      </c>
      <c r="B277" s="33">
        <v>2</v>
      </c>
      <c r="C277" s="19" t="s">
        <v>1329</v>
      </c>
      <c r="D277" s="23" t="str">
        <f>'Ramo Comercial'!C164</f>
        <v>NO APLICA</v>
      </c>
      <c r="E277" s="91"/>
      <c r="F277" s="113">
        <f>F241</f>
        <v>0</v>
      </c>
      <c r="G277" s="113">
        <v>1000</v>
      </c>
      <c r="H277" s="28"/>
      <c r="I277" s="28"/>
      <c r="J277" s="28"/>
      <c r="K277" s="28"/>
      <c r="L277" s="28"/>
      <c r="M277" s="68">
        <v>0</v>
      </c>
      <c r="N277" s="28"/>
      <c r="O277" s="83"/>
      <c r="P277" s="13" t="str">
        <f t="shared" si="286"/>
        <v>NO</v>
      </c>
      <c r="Q277" s="48">
        <f>IF(D277="INCLUIDO",IF(F277&lt;&gt;0,1,0),0)</f>
        <v>0</v>
      </c>
      <c r="T277" s="142">
        <f>G241*T282</f>
        <v>0</v>
      </c>
      <c r="V277" s="201"/>
    </row>
    <row r="278" spans="1:23" ht="15" hidden="1" customHeight="1" x14ac:dyDescent="0.3">
      <c r="A278" s="34" t="s">
        <v>1326</v>
      </c>
      <c r="B278" s="36">
        <v>162</v>
      </c>
      <c r="C278" s="29" t="s">
        <v>1330</v>
      </c>
      <c r="D278" s="29" t="str">
        <f>$D$277</f>
        <v>NO APLICA</v>
      </c>
      <c r="E278" s="27" t="s">
        <v>1152</v>
      </c>
      <c r="F278" s="20">
        <f>$F$277*S278</f>
        <v>0</v>
      </c>
      <c r="G278" s="114">
        <f>V278</f>
        <v>0</v>
      </c>
      <c r="H278" s="9">
        <f t="shared" ref="H278:H281" si="346">(IF(I278="$ Prima",G278,G278*F278/R278))*$U$9</f>
        <v>0</v>
      </c>
      <c r="I278" s="9" t="s">
        <v>1287</v>
      </c>
      <c r="J278" s="9">
        <f t="shared" ref="J278:J281" si="347">H278*$U$7</f>
        <v>0</v>
      </c>
      <c r="K278" s="9">
        <f t="shared" ref="K278:K281" si="348">(H278+J278)*$K$15</f>
        <v>0</v>
      </c>
      <c r="L278" s="9">
        <f t="shared" ref="L278:L281" si="349">ROUND(H278+J278+K278,2)</f>
        <v>0</v>
      </c>
      <c r="M278" s="11">
        <f>$M$277</f>
        <v>0</v>
      </c>
      <c r="N278" s="9">
        <f t="shared" ref="N278:N281" si="350">H278*M278</f>
        <v>0</v>
      </c>
      <c r="O278" s="12">
        <f t="shared" ref="O278:O281" si="351">N278</f>
        <v>0</v>
      </c>
      <c r="P278" s="13" t="str">
        <f t="shared" si="286"/>
        <v>NO</v>
      </c>
      <c r="Q278">
        <f>IF(D278="INCLUIDO",IF(F278&lt;&gt;0,1,0),0)</f>
        <v>0</v>
      </c>
      <c r="R278">
        <f>IF(I278="%o Al Millar",1000,IF(I278="% Al Porciento",100,IF(I278="$ Prima",G278)))</f>
        <v>0</v>
      </c>
      <c r="S278">
        <f t="shared" ref="S278:S281" si="352">IF(E278="Excluido",0,IF(D278="NO APLICA",0,1))</f>
        <v>0</v>
      </c>
      <c r="T278" s="110">
        <f>VLOOKUP(B278,DesgloseRC!$E$48:$F$85,2,FALSE)</f>
        <v>0</v>
      </c>
      <c r="U278" s="159">
        <f>IF(E278="Excluido",0,$T$241*T278)</f>
        <v>0</v>
      </c>
      <c r="V278" s="159">
        <f>IF(F278=0,0,(U282-U279-U280-U281)+(T277-U282))</f>
        <v>0</v>
      </c>
      <c r="W278">
        <f>IF(T278=0%,0,1)</f>
        <v>0</v>
      </c>
    </row>
    <row r="279" spans="1:23" ht="15" hidden="1" customHeight="1" x14ac:dyDescent="0.3">
      <c r="A279" s="34" t="s">
        <v>1326</v>
      </c>
      <c r="B279" s="36">
        <v>160</v>
      </c>
      <c r="C279" s="29" t="s">
        <v>1331</v>
      </c>
      <c r="D279" s="29" t="str">
        <f t="shared" ref="D279:D281" si="353">$D$277</f>
        <v>NO APLICA</v>
      </c>
      <c r="E279" s="27" t="s">
        <v>1137</v>
      </c>
      <c r="F279" s="20">
        <f>$F$278*S279</f>
        <v>0</v>
      </c>
      <c r="G279" s="114">
        <f t="shared" ref="G279:G281" si="354">V279</f>
        <v>0</v>
      </c>
      <c r="H279" s="9">
        <f t="shared" si="346"/>
        <v>0</v>
      </c>
      <c r="I279" s="9" t="s">
        <v>1287</v>
      </c>
      <c r="J279" s="9">
        <f t="shared" si="347"/>
        <v>0</v>
      </c>
      <c r="K279" s="9">
        <f t="shared" si="348"/>
        <v>0</v>
      </c>
      <c r="L279" s="9">
        <f t="shared" si="349"/>
        <v>0</v>
      </c>
      <c r="M279" s="11">
        <f t="shared" ref="M279:M281" si="355">$M$277</f>
        <v>0</v>
      </c>
      <c r="N279" s="9">
        <f t="shared" si="350"/>
        <v>0</v>
      </c>
      <c r="O279" s="12">
        <f t="shared" si="351"/>
        <v>0</v>
      </c>
      <c r="P279" s="13" t="str">
        <f t="shared" si="286"/>
        <v>NO</v>
      </c>
      <c r="Q279">
        <f>IF(D279="INCLUIDO",IF(F279&lt;&gt;0,1,0),0)</f>
        <v>0</v>
      </c>
      <c r="R279">
        <f>IF(I279="%o Al Millar",1000,IF(I279="% Al Porciento",100,IF(I279="$ Prima",G279)))</f>
        <v>0</v>
      </c>
      <c r="S279">
        <f t="shared" si="352"/>
        <v>0</v>
      </c>
      <c r="T279" s="110">
        <f>VLOOKUP(B279,DesgloseRC!$E$48:$F$85,2,FALSE)</f>
        <v>0</v>
      </c>
      <c r="U279" s="159">
        <f t="shared" ref="U279:U281" si="356">IF(E279="Excluido",0,$T$241*T279)</f>
        <v>0</v>
      </c>
      <c r="V279" s="159">
        <f>IF(F279=0,0,U279)</f>
        <v>0</v>
      </c>
    </row>
    <row r="280" spans="1:23" ht="15" hidden="1" customHeight="1" x14ac:dyDescent="0.3">
      <c r="A280" s="34" t="s">
        <v>1326</v>
      </c>
      <c r="B280" s="36">
        <v>161</v>
      </c>
      <c r="C280" s="29" t="s">
        <v>1332</v>
      </c>
      <c r="D280" s="29" t="str">
        <f t="shared" si="353"/>
        <v>NO APLICA</v>
      </c>
      <c r="E280" s="27" t="s">
        <v>1137</v>
      </c>
      <c r="F280" s="20">
        <f t="shared" ref="F280:F281" si="357">$F$278*S280</f>
        <v>0</v>
      </c>
      <c r="G280" s="114">
        <f t="shared" si="354"/>
        <v>0</v>
      </c>
      <c r="H280" s="9">
        <f t="shared" si="346"/>
        <v>0</v>
      </c>
      <c r="I280" s="9" t="s">
        <v>1287</v>
      </c>
      <c r="J280" s="9">
        <f t="shared" si="347"/>
        <v>0</v>
      </c>
      <c r="K280" s="9">
        <f t="shared" si="348"/>
        <v>0</v>
      </c>
      <c r="L280" s="9">
        <f t="shared" si="349"/>
        <v>0</v>
      </c>
      <c r="M280" s="11">
        <f t="shared" si="355"/>
        <v>0</v>
      </c>
      <c r="N280" s="9">
        <f t="shared" si="350"/>
        <v>0</v>
      </c>
      <c r="O280" s="12">
        <f t="shared" si="351"/>
        <v>0</v>
      </c>
      <c r="P280" s="13" t="str">
        <f t="shared" si="286"/>
        <v>NO</v>
      </c>
      <c r="Q280">
        <f>IF(D280="INCLUIDO",IF(F280&lt;&gt;0,1,0),0)</f>
        <v>0</v>
      </c>
      <c r="R280">
        <f>IF(I280="%o Al Millar",1000,IF(I280="% Al Porciento",100,IF(I280="$ Prima",G280)))</f>
        <v>0</v>
      </c>
      <c r="S280">
        <f t="shared" si="352"/>
        <v>0</v>
      </c>
      <c r="T280" s="110">
        <f>VLOOKUP(B280,DesgloseRC!$E$48:$F$85,2,FALSE)</f>
        <v>0</v>
      </c>
      <c r="U280" s="159">
        <f t="shared" si="356"/>
        <v>0</v>
      </c>
      <c r="V280" s="159">
        <f t="shared" ref="V280:V281" si="358">IF(F280=0,0,U280)</f>
        <v>0</v>
      </c>
    </row>
    <row r="281" spans="1:23" ht="15" hidden="1" customHeight="1" x14ac:dyDescent="0.3">
      <c r="A281" s="34" t="s">
        <v>1326</v>
      </c>
      <c r="B281" s="36">
        <v>243</v>
      </c>
      <c r="C281" s="29" t="s">
        <v>1293</v>
      </c>
      <c r="D281" s="29" t="str">
        <f t="shared" si="353"/>
        <v>NO APLICA</v>
      </c>
      <c r="E281" s="27" t="s">
        <v>1137</v>
      </c>
      <c r="F281" s="20">
        <f t="shared" si="357"/>
        <v>0</v>
      </c>
      <c r="G281" s="114">
        <f t="shared" si="354"/>
        <v>0</v>
      </c>
      <c r="H281" s="9">
        <f t="shared" si="346"/>
        <v>0</v>
      </c>
      <c r="I281" s="9" t="s">
        <v>1287</v>
      </c>
      <c r="J281" s="9">
        <f t="shared" si="347"/>
        <v>0</v>
      </c>
      <c r="K281" s="9">
        <f t="shared" si="348"/>
        <v>0</v>
      </c>
      <c r="L281" s="9">
        <f t="shared" si="349"/>
        <v>0</v>
      </c>
      <c r="M281" s="11">
        <f t="shared" si="355"/>
        <v>0</v>
      </c>
      <c r="N281" s="9">
        <f t="shared" si="350"/>
        <v>0</v>
      </c>
      <c r="O281" s="12">
        <f t="shared" si="351"/>
        <v>0</v>
      </c>
      <c r="P281" s="13" t="str">
        <f t="shared" si="286"/>
        <v>NO</v>
      </c>
      <c r="Q281">
        <f>IF(D281="INCLUIDO",IF(F281&lt;&gt;0,1,0),0)</f>
        <v>0</v>
      </c>
      <c r="R281">
        <f>IF(I281="%o Al Millar",1000,IF(I281="% Al Porciento",100,IF(I281="$ Prima",G281)))</f>
        <v>0</v>
      </c>
      <c r="S281">
        <f t="shared" si="352"/>
        <v>0</v>
      </c>
      <c r="T281" s="110">
        <f>VLOOKUP(B281,DesgloseRC!$E$48:$F$85,2,FALSE)</f>
        <v>0</v>
      </c>
      <c r="U281" s="159">
        <f t="shared" si="356"/>
        <v>0</v>
      </c>
      <c r="V281" s="159">
        <f t="shared" si="358"/>
        <v>0</v>
      </c>
    </row>
    <row r="282" spans="1:23" s="18" customFormat="1" ht="15" hidden="1" customHeight="1" thickBot="1" x14ac:dyDescent="0.35">
      <c r="A282" s="24"/>
      <c r="B282" s="26"/>
      <c r="C282" s="15" t="s">
        <v>1177</v>
      </c>
      <c r="D282" s="38" t="str">
        <f>D281</f>
        <v>NO APLICA</v>
      </c>
      <c r="E282" s="38"/>
      <c r="F282" s="16">
        <f>SUMIF(E278:E281,"Adicional",F278:F281)</f>
        <v>0</v>
      </c>
      <c r="G282" s="17"/>
      <c r="H282" s="16">
        <f>SUM(H278:H281)</f>
        <v>0</v>
      </c>
      <c r="I282" s="16"/>
      <c r="J282" s="16">
        <f t="shared" ref="J282:L282" si="359">SUM(J278:J281)</f>
        <v>0</v>
      </c>
      <c r="K282" s="16">
        <f t="shared" si="359"/>
        <v>0</v>
      </c>
      <c r="L282" s="16">
        <f t="shared" si="359"/>
        <v>0</v>
      </c>
      <c r="M282" s="16" t="s">
        <v>1178</v>
      </c>
      <c r="N282" s="16">
        <f t="shared" ref="N282:O282" si="360">SUM(N278:N281)</f>
        <v>0</v>
      </c>
      <c r="O282" s="84">
        <f t="shared" si="360"/>
        <v>0</v>
      </c>
      <c r="P282" s="13" t="str">
        <f t="shared" si="286"/>
        <v>NO</v>
      </c>
      <c r="Q282">
        <f>IF(D282="INCLUIDO",IF(H282&lt;&gt;0,1,0),0)</f>
        <v>0</v>
      </c>
      <c r="T282" s="141">
        <f>SUM(T278:T281)</f>
        <v>0</v>
      </c>
      <c r="U282" s="202">
        <f>SUM(U278:U281)</f>
        <v>0</v>
      </c>
      <c r="V282" s="112">
        <f>SUM(V278:V281)</f>
        <v>0</v>
      </c>
    </row>
    <row r="283" spans="1:23" ht="15" hidden="1" customHeight="1" thickBot="1" x14ac:dyDescent="0.35">
      <c r="A283" s="82">
        <v>911</v>
      </c>
      <c r="B283" s="33">
        <v>3</v>
      </c>
      <c r="C283" s="19" t="s">
        <v>1330</v>
      </c>
      <c r="D283" s="23" t="str">
        <f>'Ramo Comercial'!C165</f>
        <v>NO APLICA</v>
      </c>
      <c r="E283" s="91"/>
      <c r="F283" s="113">
        <f>F241</f>
        <v>0</v>
      </c>
      <c r="G283" s="113">
        <v>0</v>
      </c>
      <c r="H283" s="28"/>
      <c r="I283" s="28"/>
      <c r="J283" s="28"/>
      <c r="K283" s="28"/>
      <c r="L283" s="28"/>
      <c r="M283" s="68">
        <v>0</v>
      </c>
      <c r="N283" s="28"/>
      <c r="O283" s="83"/>
      <c r="P283" s="13" t="str">
        <f t="shared" si="286"/>
        <v>NO</v>
      </c>
      <c r="Q283" s="47">
        <f>IF(D283="INCLUIDO",IF(F284&lt;&gt;0,1,0),0)</f>
        <v>0</v>
      </c>
      <c r="T283" s="142">
        <f>G241*T328</f>
        <v>0</v>
      </c>
      <c r="U283" s="142">
        <f>G241</f>
        <v>0</v>
      </c>
    </row>
    <row r="284" spans="1:23" ht="15" hidden="1" customHeight="1" x14ac:dyDescent="0.3">
      <c r="A284" s="34" t="s">
        <v>1326</v>
      </c>
      <c r="B284" s="36">
        <v>163</v>
      </c>
      <c r="C284" s="29" t="s">
        <v>1333</v>
      </c>
      <c r="D284" s="29" t="str">
        <f>$D$283</f>
        <v>NO APLICA</v>
      </c>
      <c r="E284" s="27" t="s">
        <v>1137</v>
      </c>
      <c r="F284" s="43">
        <f>$F$283*S284</f>
        <v>0</v>
      </c>
      <c r="G284" s="21">
        <v>0</v>
      </c>
      <c r="H284" s="9">
        <f t="shared" ref="H284:H328" si="361">(IF(I284="$ Prima",G284,G284*F284/R284))*$U$9</f>
        <v>0</v>
      </c>
      <c r="I284" s="9" t="s">
        <v>1287</v>
      </c>
      <c r="J284" s="9">
        <f t="shared" ref="J284:J328" si="362">H284*$U$7</f>
        <v>0</v>
      </c>
      <c r="K284" s="9">
        <f t="shared" ref="K284:K328" si="363">(H284+J284)*$K$15</f>
        <v>0</v>
      </c>
      <c r="L284" s="9">
        <f t="shared" ref="L284:L328" si="364">ROUND(H284+J284+K284,2)</f>
        <v>0</v>
      </c>
      <c r="M284" s="11">
        <f>$M$283</f>
        <v>0</v>
      </c>
      <c r="N284" s="9">
        <f t="shared" ref="N284:N328" si="365">H284*M284</f>
        <v>0</v>
      </c>
      <c r="O284" s="12">
        <f t="shared" ref="O284:O328" si="366">N284</f>
        <v>0</v>
      </c>
      <c r="P284" s="13" t="str">
        <f t="shared" si="286"/>
        <v>NO</v>
      </c>
      <c r="Q284">
        <f t="shared" ref="Q284:Q328" si="367">IF(D284="INCLUIDO",IF(F284&lt;&gt;0,1,0),0)</f>
        <v>0</v>
      </c>
      <c r="R284">
        <f t="shared" ref="R284:R328" si="368">IF(I284="%o Al Millar",1000,IF(I284="% Al Porciento",100,IF(I284="$ Prima",G284)))</f>
        <v>0</v>
      </c>
      <c r="S284">
        <f t="shared" ref="S284:S328" si="369">IF(E284="Excluido",0,IF(D284="NO APLICA",0,1))</f>
        <v>0</v>
      </c>
    </row>
    <row r="285" spans="1:23" ht="15" hidden="1" customHeight="1" x14ac:dyDescent="0.3">
      <c r="A285" s="34" t="s">
        <v>1326</v>
      </c>
      <c r="B285" s="36">
        <v>164</v>
      </c>
      <c r="C285" s="29" t="s">
        <v>1334</v>
      </c>
      <c r="D285" s="29" t="str">
        <f t="shared" ref="D285:D328" si="370">$D$283</f>
        <v>NO APLICA</v>
      </c>
      <c r="E285" s="27" t="s">
        <v>1137</v>
      </c>
      <c r="F285" s="43">
        <f t="shared" ref="F285:F328" si="371">$F$283*S285</f>
        <v>0</v>
      </c>
      <c r="G285" s="21">
        <v>0</v>
      </c>
      <c r="H285" s="9">
        <f t="shared" si="361"/>
        <v>0</v>
      </c>
      <c r="I285" s="9" t="s">
        <v>1287</v>
      </c>
      <c r="J285" s="9">
        <f t="shared" si="362"/>
        <v>0</v>
      </c>
      <c r="K285" s="9">
        <f t="shared" si="363"/>
        <v>0</v>
      </c>
      <c r="L285" s="9">
        <f t="shared" si="364"/>
        <v>0</v>
      </c>
      <c r="M285" s="11">
        <f t="shared" ref="M285:M328" si="372">$M$283</f>
        <v>0</v>
      </c>
      <c r="N285" s="9">
        <f t="shared" si="365"/>
        <v>0</v>
      </c>
      <c r="O285" s="12">
        <f t="shared" si="366"/>
        <v>0</v>
      </c>
      <c r="P285" s="13" t="str">
        <f t="shared" si="286"/>
        <v>NO</v>
      </c>
      <c r="Q285">
        <f t="shared" si="367"/>
        <v>0</v>
      </c>
      <c r="R285">
        <f t="shared" si="368"/>
        <v>0</v>
      </c>
      <c r="S285">
        <f t="shared" si="369"/>
        <v>0</v>
      </c>
    </row>
    <row r="286" spans="1:23" ht="15" hidden="1" customHeight="1" x14ac:dyDescent="0.3">
      <c r="A286" s="34" t="s">
        <v>1326</v>
      </c>
      <c r="B286" s="36">
        <v>165</v>
      </c>
      <c r="C286" s="29" t="s">
        <v>1335</v>
      </c>
      <c r="D286" s="29" t="str">
        <f t="shared" si="370"/>
        <v>NO APLICA</v>
      </c>
      <c r="E286" s="27" t="s">
        <v>1137</v>
      </c>
      <c r="F286" s="43">
        <f t="shared" si="371"/>
        <v>0</v>
      </c>
      <c r="G286" s="21">
        <v>0</v>
      </c>
      <c r="H286" s="9">
        <f t="shared" si="361"/>
        <v>0</v>
      </c>
      <c r="I286" s="9" t="s">
        <v>1287</v>
      </c>
      <c r="J286" s="9">
        <f t="shared" si="362"/>
        <v>0</v>
      </c>
      <c r="K286" s="9">
        <f t="shared" si="363"/>
        <v>0</v>
      </c>
      <c r="L286" s="9">
        <f t="shared" si="364"/>
        <v>0</v>
      </c>
      <c r="M286" s="11">
        <f t="shared" si="372"/>
        <v>0</v>
      </c>
      <c r="N286" s="9">
        <f t="shared" si="365"/>
        <v>0</v>
      </c>
      <c r="O286" s="12">
        <f t="shared" si="366"/>
        <v>0</v>
      </c>
      <c r="P286" s="13" t="str">
        <f t="shared" si="286"/>
        <v>NO</v>
      </c>
      <c r="Q286">
        <f t="shared" si="367"/>
        <v>0</v>
      </c>
      <c r="R286">
        <f t="shared" si="368"/>
        <v>0</v>
      </c>
      <c r="S286">
        <f t="shared" si="369"/>
        <v>0</v>
      </c>
    </row>
    <row r="287" spans="1:23" ht="15" hidden="1" customHeight="1" x14ac:dyDescent="0.3">
      <c r="A287" s="34" t="s">
        <v>1326</v>
      </c>
      <c r="B287" s="36">
        <v>166</v>
      </c>
      <c r="C287" s="29" t="s">
        <v>1336</v>
      </c>
      <c r="D287" s="29" t="str">
        <f t="shared" si="370"/>
        <v>NO APLICA</v>
      </c>
      <c r="E287" s="27" t="s">
        <v>1137</v>
      </c>
      <c r="F287" s="43">
        <f t="shared" si="371"/>
        <v>0</v>
      </c>
      <c r="G287" s="21">
        <v>0</v>
      </c>
      <c r="H287" s="9">
        <f t="shared" si="361"/>
        <v>0</v>
      </c>
      <c r="I287" s="9" t="s">
        <v>1287</v>
      </c>
      <c r="J287" s="9">
        <f t="shared" si="362"/>
        <v>0</v>
      </c>
      <c r="K287" s="9">
        <f t="shared" si="363"/>
        <v>0</v>
      </c>
      <c r="L287" s="9">
        <f t="shared" si="364"/>
        <v>0</v>
      </c>
      <c r="M287" s="11">
        <f t="shared" si="372"/>
        <v>0</v>
      </c>
      <c r="N287" s="9">
        <f t="shared" si="365"/>
        <v>0</v>
      </c>
      <c r="O287" s="12">
        <f t="shared" si="366"/>
        <v>0</v>
      </c>
      <c r="P287" s="13" t="str">
        <f t="shared" si="286"/>
        <v>NO</v>
      </c>
      <c r="Q287">
        <f t="shared" si="367"/>
        <v>0</v>
      </c>
      <c r="R287">
        <f t="shared" si="368"/>
        <v>0</v>
      </c>
      <c r="S287">
        <f t="shared" si="369"/>
        <v>0</v>
      </c>
    </row>
    <row r="288" spans="1:23" ht="15" hidden="1" customHeight="1" x14ac:dyDescent="0.3">
      <c r="A288" s="34" t="s">
        <v>1326</v>
      </c>
      <c r="B288" s="36">
        <v>167</v>
      </c>
      <c r="C288" s="29" t="s">
        <v>1337</v>
      </c>
      <c r="D288" s="29" t="str">
        <f t="shared" si="370"/>
        <v>NO APLICA</v>
      </c>
      <c r="E288" s="27" t="s">
        <v>1137</v>
      </c>
      <c r="F288" s="43">
        <f t="shared" si="371"/>
        <v>0</v>
      </c>
      <c r="G288" s="21">
        <v>0</v>
      </c>
      <c r="H288" s="9">
        <f t="shared" si="361"/>
        <v>0</v>
      </c>
      <c r="I288" s="9" t="s">
        <v>1287</v>
      </c>
      <c r="J288" s="9">
        <f t="shared" si="362"/>
        <v>0</v>
      </c>
      <c r="K288" s="9">
        <f t="shared" si="363"/>
        <v>0</v>
      </c>
      <c r="L288" s="9">
        <f t="shared" si="364"/>
        <v>0</v>
      </c>
      <c r="M288" s="11">
        <f t="shared" si="372"/>
        <v>0</v>
      </c>
      <c r="N288" s="9">
        <f t="shared" si="365"/>
        <v>0</v>
      </c>
      <c r="O288" s="12">
        <f t="shared" si="366"/>
        <v>0</v>
      </c>
      <c r="P288" s="13" t="str">
        <f t="shared" si="286"/>
        <v>NO</v>
      </c>
      <c r="Q288">
        <f t="shared" si="367"/>
        <v>0</v>
      </c>
      <c r="R288">
        <f t="shared" si="368"/>
        <v>0</v>
      </c>
      <c r="S288">
        <f t="shared" si="369"/>
        <v>0</v>
      </c>
    </row>
    <row r="289" spans="1:23" ht="15" hidden="1" customHeight="1" x14ac:dyDescent="0.3">
      <c r="A289" s="34" t="s">
        <v>1326</v>
      </c>
      <c r="B289" s="36">
        <v>168</v>
      </c>
      <c r="C289" s="29" t="s">
        <v>1338</v>
      </c>
      <c r="D289" s="29" t="str">
        <f t="shared" si="370"/>
        <v>NO APLICA</v>
      </c>
      <c r="E289" s="27" t="s">
        <v>1137</v>
      </c>
      <c r="F289" s="43">
        <f t="shared" si="371"/>
        <v>0</v>
      </c>
      <c r="G289" s="21">
        <v>0</v>
      </c>
      <c r="H289" s="9">
        <f t="shared" si="361"/>
        <v>0</v>
      </c>
      <c r="I289" s="9" t="s">
        <v>1287</v>
      </c>
      <c r="J289" s="9">
        <f t="shared" si="362"/>
        <v>0</v>
      </c>
      <c r="K289" s="9">
        <f t="shared" si="363"/>
        <v>0</v>
      </c>
      <c r="L289" s="9">
        <f t="shared" si="364"/>
        <v>0</v>
      </c>
      <c r="M289" s="11">
        <f t="shared" si="372"/>
        <v>0</v>
      </c>
      <c r="N289" s="9">
        <f t="shared" si="365"/>
        <v>0</v>
      </c>
      <c r="O289" s="12">
        <f t="shared" si="366"/>
        <v>0</v>
      </c>
      <c r="P289" s="13" t="str">
        <f t="shared" si="286"/>
        <v>NO</v>
      </c>
      <c r="Q289">
        <f t="shared" si="367"/>
        <v>0</v>
      </c>
      <c r="R289">
        <f t="shared" si="368"/>
        <v>0</v>
      </c>
      <c r="S289">
        <f t="shared" si="369"/>
        <v>0</v>
      </c>
    </row>
    <row r="290" spans="1:23" ht="15" hidden="1" customHeight="1" x14ac:dyDescent="0.3">
      <c r="A290" s="34" t="s">
        <v>1326</v>
      </c>
      <c r="B290" s="36">
        <v>169</v>
      </c>
      <c r="C290" s="29" t="s">
        <v>1339</v>
      </c>
      <c r="D290" s="29" t="str">
        <f t="shared" si="370"/>
        <v>NO APLICA</v>
      </c>
      <c r="E290" s="27" t="s">
        <v>1137</v>
      </c>
      <c r="F290" s="43">
        <f t="shared" si="371"/>
        <v>0</v>
      </c>
      <c r="G290" s="21">
        <f>V290</f>
        <v>0</v>
      </c>
      <c r="H290" s="9">
        <f t="shared" si="361"/>
        <v>0</v>
      </c>
      <c r="I290" s="9" t="s">
        <v>1287</v>
      </c>
      <c r="J290" s="9">
        <f t="shared" si="362"/>
        <v>0</v>
      </c>
      <c r="K290" s="9">
        <f t="shared" si="363"/>
        <v>0</v>
      </c>
      <c r="L290" s="9">
        <f t="shared" si="364"/>
        <v>0</v>
      </c>
      <c r="M290" s="11">
        <f t="shared" si="372"/>
        <v>0</v>
      </c>
      <c r="N290" s="9">
        <f t="shared" si="365"/>
        <v>0</v>
      </c>
      <c r="O290" s="12">
        <f t="shared" si="366"/>
        <v>0</v>
      </c>
      <c r="P290" s="13" t="str">
        <f t="shared" ref="P290:P353" si="373">IF(Q290=1,"SI","NO")</f>
        <v>NO</v>
      </c>
      <c r="Q290">
        <f t="shared" si="367"/>
        <v>0</v>
      </c>
      <c r="R290">
        <f t="shared" si="368"/>
        <v>0</v>
      </c>
      <c r="S290">
        <f t="shared" si="369"/>
        <v>0</v>
      </c>
      <c r="T290" s="110">
        <f>VLOOKUP(B290,DesgloseRC!$E$48:$F$85,2,FALSE)</f>
        <v>0</v>
      </c>
      <c r="U290" s="159">
        <f>IF(E290="Excluido",0,$U$283*T290)</f>
        <v>0</v>
      </c>
      <c r="V290" s="159">
        <f>IF(F290=0,0,U290)</f>
        <v>0</v>
      </c>
      <c r="W290">
        <f>IF(T290=0%,0,1)</f>
        <v>0</v>
      </c>
    </row>
    <row r="291" spans="1:23" ht="15" hidden="1" customHeight="1" x14ac:dyDescent="0.3">
      <c r="A291" s="34" t="s">
        <v>1326</v>
      </c>
      <c r="B291" s="36">
        <v>170</v>
      </c>
      <c r="C291" s="29" t="s">
        <v>1340</v>
      </c>
      <c r="D291" s="29" t="str">
        <f t="shared" si="370"/>
        <v>NO APLICA</v>
      </c>
      <c r="E291" s="27" t="s">
        <v>1137</v>
      </c>
      <c r="F291" s="43">
        <f t="shared" si="371"/>
        <v>0</v>
      </c>
      <c r="G291" s="21">
        <v>0</v>
      </c>
      <c r="H291" s="9">
        <f t="shared" si="361"/>
        <v>0</v>
      </c>
      <c r="I291" s="9" t="s">
        <v>1287</v>
      </c>
      <c r="J291" s="9">
        <f t="shared" si="362"/>
        <v>0</v>
      </c>
      <c r="K291" s="9">
        <f t="shared" si="363"/>
        <v>0</v>
      </c>
      <c r="L291" s="9">
        <f t="shared" si="364"/>
        <v>0</v>
      </c>
      <c r="M291" s="11">
        <f t="shared" si="372"/>
        <v>0</v>
      </c>
      <c r="N291" s="9">
        <f t="shared" si="365"/>
        <v>0</v>
      </c>
      <c r="O291" s="12">
        <f t="shared" si="366"/>
        <v>0</v>
      </c>
      <c r="P291" s="13" t="str">
        <f t="shared" si="373"/>
        <v>NO</v>
      </c>
      <c r="Q291">
        <f t="shared" si="367"/>
        <v>0</v>
      </c>
      <c r="R291">
        <f t="shared" si="368"/>
        <v>0</v>
      </c>
      <c r="S291">
        <f t="shared" si="369"/>
        <v>0</v>
      </c>
    </row>
    <row r="292" spans="1:23" ht="15" hidden="1" customHeight="1" x14ac:dyDescent="0.3">
      <c r="A292" s="34" t="s">
        <v>1326</v>
      </c>
      <c r="B292" s="36">
        <v>171</v>
      </c>
      <c r="C292" s="29" t="s">
        <v>1341</v>
      </c>
      <c r="D292" s="29" t="str">
        <f t="shared" si="370"/>
        <v>NO APLICA</v>
      </c>
      <c r="E292" s="27" t="s">
        <v>1137</v>
      </c>
      <c r="F292" s="43">
        <f t="shared" si="371"/>
        <v>0</v>
      </c>
      <c r="G292" s="21">
        <v>0</v>
      </c>
      <c r="H292" s="9">
        <f t="shared" si="361"/>
        <v>0</v>
      </c>
      <c r="I292" s="9" t="s">
        <v>1287</v>
      </c>
      <c r="J292" s="9">
        <f t="shared" si="362"/>
        <v>0</v>
      </c>
      <c r="K292" s="9">
        <f t="shared" si="363"/>
        <v>0</v>
      </c>
      <c r="L292" s="9">
        <f t="shared" si="364"/>
        <v>0</v>
      </c>
      <c r="M292" s="11">
        <f t="shared" si="372"/>
        <v>0</v>
      </c>
      <c r="N292" s="9">
        <f t="shared" si="365"/>
        <v>0</v>
      </c>
      <c r="O292" s="12">
        <f t="shared" si="366"/>
        <v>0</v>
      </c>
      <c r="P292" s="13" t="str">
        <f t="shared" si="373"/>
        <v>NO</v>
      </c>
      <c r="Q292">
        <f t="shared" si="367"/>
        <v>0</v>
      </c>
      <c r="R292">
        <f t="shared" si="368"/>
        <v>0</v>
      </c>
      <c r="S292">
        <f t="shared" si="369"/>
        <v>0</v>
      </c>
    </row>
    <row r="293" spans="1:23" ht="15" hidden="1" customHeight="1" x14ac:dyDescent="0.3">
      <c r="A293" s="34" t="s">
        <v>1326</v>
      </c>
      <c r="B293" s="36">
        <v>172</v>
      </c>
      <c r="C293" s="29" t="s">
        <v>1342</v>
      </c>
      <c r="D293" s="29" t="str">
        <f t="shared" si="370"/>
        <v>NO APLICA</v>
      </c>
      <c r="E293" s="27" t="s">
        <v>1137</v>
      </c>
      <c r="F293" s="43">
        <f t="shared" si="371"/>
        <v>0</v>
      </c>
      <c r="G293" s="21">
        <v>0</v>
      </c>
      <c r="H293" s="9">
        <f t="shared" si="361"/>
        <v>0</v>
      </c>
      <c r="I293" s="9" t="s">
        <v>1287</v>
      </c>
      <c r="J293" s="9">
        <f t="shared" si="362"/>
        <v>0</v>
      </c>
      <c r="K293" s="9">
        <f t="shared" si="363"/>
        <v>0</v>
      </c>
      <c r="L293" s="9">
        <f t="shared" si="364"/>
        <v>0</v>
      </c>
      <c r="M293" s="11">
        <f t="shared" si="372"/>
        <v>0</v>
      </c>
      <c r="N293" s="9">
        <f t="shared" si="365"/>
        <v>0</v>
      </c>
      <c r="O293" s="12">
        <f t="shared" si="366"/>
        <v>0</v>
      </c>
      <c r="P293" s="13" t="str">
        <f t="shared" si="373"/>
        <v>NO</v>
      </c>
      <c r="Q293">
        <f t="shared" si="367"/>
        <v>0</v>
      </c>
      <c r="R293">
        <f t="shared" si="368"/>
        <v>0</v>
      </c>
      <c r="S293">
        <f t="shared" si="369"/>
        <v>0</v>
      </c>
    </row>
    <row r="294" spans="1:23" ht="15" hidden="1" customHeight="1" x14ac:dyDescent="0.3">
      <c r="A294" s="34" t="s">
        <v>1326</v>
      </c>
      <c r="B294" s="36">
        <v>173</v>
      </c>
      <c r="C294" s="29" t="s">
        <v>1343</v>
      </c>
      <c r="D294" s="29" t="str">
        <f t="shared" si="370"/>
        <v>NO APLICA</v>
      </c>
      <c r="E294" s="27" t="s">
        <v>1137</v>
      </c>
      <c r="F294" s="43">
        <f t="shared" si="371"/>
        <v>0</v>
      </c>
      <c r="G294" s="21">
        <v>0</v>
      </c>
      <c r="H294" s="9">
        <f t="shared" si="361"/>
        <v>0</v>
      </c>
      <c r="I294" s="9" t="s">
        <v>1287</v>
      </c>
      <c r="J294" s="9">
        <f t="shared" si="362"/>
        <v>0</v>
      </c>
      <c r="K294" s="9">
        <f t="shared" si="363"/>
        <v>0</v>
      </c>
      <c r="L294" s="9">
        <f t="shared" si="364"/>
        <v>0</v>
      </c>
      <c r="M294" s="11">
        <f t="shared" si="372"/>
        <v>0</v>
      </c>
      <c r="N294" s="9">
        <f t="shared" si="365"/>
        <v>0</v>
      </c>
      <c r="O294" s="12">
        <f t="shared" si="366"/>
        <v>0</v>
      </c>
      <c r="P294" s="13" t="str">
        <f t="shared" si="373"/>
        <v>NO</v>
      </c>
      <c r="Q294">
        <f t="shared" si="367"/>
        <v>0</v>
      </c>
      <c r="R294">
        <f t="shared" si="368"/>
        <v>0</v>
      </c>
      <c r="S294">
        <f t="shared" si="369"/>
        <v>0</v>
      </c>
    </row>
    <row r="295" spans="1:23" ht="15" hidden="1" customHeight="1" x14ac:dyDescent="0.3">
      <c r="A295" s="34" t="s">
        <v>1326</v>
      </c>
      <c r="B295" s="36">
        <v>174</v>
      </c>
      <c r="C295" s="29" t="s">
        <v>1344</v>
      </c>
      <c r="D295" s="29" t="str">
        <f t="shared" si="370"/>
        <v>NO APLICA</v>
      </c>
      <c r="E295" s="27" t="s">
        <v>1137</v>
      </c>
      <c r="F295" s="43">
        <f t="shared" si="371"/>
        <v>0</v>
      </c>
      <c r="G295" s="21">
        <v>0</v>
      </c>
      <c r="H295" s="9">
        <f t="shared" si="361"/>
        <v>0</v>
      </c>
      <c r="I295" s="9" t="s">
        <v>1287</v>
      </c>
      <c r="J295" s="9">
        <f t="shared" si="362"/>
        <v>0</v>
      </c>
      <c r="K295" s="9">
        <f t="shared" si="363"/>
        <v>0</v>
      </c>
      <c r="L295" s="9">
        <f t="shared" si="364"/>
        <v>0</v>
      </c>
      <c r="M295" s="11">
        <f t="shared" si="372"/>
        <v>0</v>
      </c>
      <c r="N295" s="9">
        <f t="shared" si="365"/>
        <v>0</v>
      </c>
      <c r="O295" s="12">
        <f t="shared" si="366"/>
        <v>0</v>
      </c>
      <c r="P295" s="13" t="str">
        <f t="shared" si="373"/>
        <v>NO</v>
      </c>
      <c r="Q295">
        <f t="shared" si="367"/>
        <v>0</v>
      </c>
      <c r="R295">
        <f t="shared" si="368"/>
        <v>0</v>
      </c>
      <c r="S295">
        <f t="shared" si="369"/>
        <v>0</v>
      </c>
    </row>
    <row r="296" spans="1:23" ht="15" hidden="1" customHeight="1" x14ac:dyDescent="0.3">
      <c r="A296" s="34" t="s">
        <v>1326</v>
      </c>
      <c r="B296" s="36">
        <v>175</v>
      </c>
      <c r="C296" s="29" t="s">
        <v>1345</v>
      </c>
      <c r="D296" s="29" t="str">
        <f t="shared" si="370"/>
        <v>NO APLICA</v>
      </c>
      <c r="E296" s="27" t="s">
        <v>1137</v>
      </c>
      <c r="F296" s="43">
        <f t="shared" si="371"/>
        <v>0</v>
      </c>
      <c r="G296" s="21">
        <v>0</v>
      </c>
      <c r="H296" s="9">
        <f t="shared" si="361"/>
        <v>0</v>
      </c>
      <c r="I296" s="9" t="s">
        <v>1287</v>
      </c>
      <c r="J296" s="9">
        <f t="shared" si="362"/>
        <v>0</v>
      </c>
      <c r="K296" s="9">
        <f t="shared" si="363"/>
        <v>0</v>
      </c>
      <c r="L296" s="9">
        <f t="shared" si="364"/>
        <v>0</v>
      </c>
      <c r="M296" s="11">
        <f t="shared" si="372"/>
        <v>0</v>
      </c>
      <c r="N296" s="9">
        <f t="shared" si="365"/>
        <v>0</v>
      </c>
      <c r="O296" s="12">
        <f t="shared" si="366"/>
        <v>0</v>
      </c>
      <c r="P296" s="13" t="str">
        <f t="shared" si="373"/>
        <v>NO</v>
      </c>
      <c r="Q296">
        <f t="shared" si="367"/>
        <v>0</v>
      </c>
      <c r="R296">
        <f t="shared" si="368"/>
        <v>0</v>
      </c>
      <c r="S296">
        <f t="shared" si="369"/>
        <v>0</v>
      </c>
    </row>
    <row r="297" spans="1:23" ht="15" hidden="1" customHeight="1" x14ac:dyDescent="0.3">
      <c r="A297" s="34" t="s">
        <v>1326</v>
      </c>
      <c r="B297" s="36">
        <v>176</v>
      </c>
      <c r="C297" s="29" t="s">
        <v>1346</v>
      </c>
      <c r="D297" s="29" t="str">
        <f t="shared" si="370"/>
        <v>NO APLICA</v>
      </c>
      <c r="E297" s="27" t="s">
        <v>1137</v>
      </c>
      <c r="F297" s="43">
        <f t="shared" si="371"/>
        <v>0</v>
      </c>
      <c r="G297" s="21">
        <v>0</v>
      </c>
      <c r="H297" s="9">
        <f t="shared" si="361"/>
        <v>0</v>
      </c>
      <c r="I297" s="9" t="s">
        <v>1287</v>
      </c>
      <c r="J297" s="9">
        <f t="shared" si="362"/>
        <v>0</v>
      </c>
      <c r="K297" s="9">
        <f t="shared" si="363"/>
        <v>0</v>
      </c>
      <c r="L297" s="9">
        <f t="shared" si="364"/>
        <v>0</v>
      </c>
      <c r="M297" s="11">
        <f t="shared" si="372"/>
        <v>0</v>
      </c>
      <c r="N297" s="9">
        <f t="shared" si="365"/>
        <v>0</v>
      </c>
      <c r="O297" s="12">
        <f t="shared" si="366"/>
        <v>0</v>
      </c>
      <c r="P297" s="13" t="str">
        <f t="shared" si="373"/>
        <v>NO</v>
      </c>
      <c r="Q297">
        <f t="shared" si="367"/>
        <v>0</v>
      </c>
      <c r="R297">
        <f t="shared" si="368"/>
        <v>0</v>
      </c>
      <c r="S297">
        <f t="shared" si="369"/>
        <v>0</v>
      </c>
    </row>
    <row r="298" spans="1:23" ht="15" hidden="1" customHeight="1" x14ac:dyDescent="0.3">
      <c r="A298" s="34" t="s">
        <v>1326</v>
      </c>
      <c r="B298" s="36">
        <v>177</v>
      </c>
      <c r="C298" s="29" t="s">
        <v>1347</v>
      </c>
      <c r="D298" s="29" t="str">
        <f t="shared" si="370"/>
        <v>NO APLICA</v>
      </c>
      <c r="E298" s="27" t="s">
        <v>1137</v>
      </c>
      <c r="F298" s="43">
        <f t="shared" si="371"/>
        <v>0</v>
      </c>
      <c r="G298" s="21">
        <f>V298</f>
        <v>0</v>
      </c>
      <c r="H298" s="9">
        <f t="shared" si="361"/>
        <v>0</v>
      </c>
      <c r="I298" s="9" t="s">
        <v>1287</v>
      </c>
      <c r="J298" s="9">
        <f t="shared" si="362"/>
        <v>0</v>
      </c>
      <c r="K298" s="9">
        <f t="shared" si="363"/>
        <v>0</v>
      </c>
      <c r="L298" s="9">
        <f t="shared" si="364"/>
        <v>0</v>
      </c>
      <c r="M298" s="11">
        <f t="shared" si="372"/>
        <v>0</v>
      </c>
      <c r="N298" s="9">
        <f t="shared" si="365"/>
        <v>0</v>
      </c>
      <c r="O298" s="12">
        <f t="shared" si="366"/>
        <v>0</v>
      </c>
      <c r="P298" s="13" t="str">
        <f t="shared" si="373"/>
        <v>NO</v>
      </c>
      <c r="Q298">
        <f t="shared" si="367"/>
        <v>0</v>
      </c>
      <c r="R298">
        <f t="shared" si="368"/>
        <v>0</v>
      </c>
      <c r="S298">
        <f t="shared" si="369"/>
        <v>0</v>
      </c>
      <c r="T298" s="110">
        <f>VLOOKUP(B298,DesgloseRC!$E$48:$F$85,2,FALSE)</f>
        <v>0</v>
      </c>
      <c r="U298" s="159">
        <f>IF(E298="Excluido",0,$U$283*T298)</f>
        <v>0</v>
      </c>
      <c r="V298" s="159">
        <f>IF(F298=0,0,U298)</f>
        <v>0</v>
      </c>
      <c r="W298">
        <f>IF(T298=0%,0,1)</f>
        <v>0</v>
      </c>
    </row>
    <row r="299" spans="1:23" ht="15" hidden="1" customHeight="1" x14ac:dyDescent="0.3">
      <c r="A299" s="34" t="s">
        <v>1326</v>
      </c>
      <c r="B299" s="36">
        <v>178</v>
      </c>
      <c r="C299" s="29" t="s">
        <v>1348</v>
      </c>
      <c r="D299" s="29" t="str">
        <f t="shared" si="370"/>
        <v>NO APLICA</v>
      </c>
      <c r="E299" s="27" t="s">
        <v>1137</v>
      </c>
      <c r="F299" s="43">
        <f t="shared" si="371"/>
        <v>0</v>
      </c>
      <c r="G299" s="21">
        <v>0</v>
      </c>
      <c r="H299" s="9">
        <f t="shared" si="361"/>
        <v>0</v>
      </c>
      <c r="I299" s="9" t="s">
        <v>1287</v>
      </c>
      <c r="J299" s="9">
        <f t="shared" si="362"/>
        <v>0</v>
      </c>
      <c r="K299" s="9">
        <f t="shared" si="363"/>
        <v>0</v>
      </c>
      <c r="L299" s="9">
        <f t="shared" si="364"/>
        <v>0</v>
      </c>
      <c r="M299" s="11">
        <f t="shared" si="372"/>
        <v>0</v>
      </c>
      <c r="N299" s="9">
        <f t="shared" si="365"/>
        <v>0</v>
      </c>
      <c r="O299" s="12">
        <f t="shared" si="366"/>
        <v>0</v>
      </c>
      <c r="P299" s="13" t="str">
        <f t="shared" si="373"/>
        <v>NO</v>
      </c>
      <c r="Q299">
        <f t="shared" si="367"/>
        <v>0</v>
      </c>
      <c r="R299">
        <f t="shared" si="368"/>
        <v>0</v>
      </c>
      <c r="S299">
        <f t="shared" si="369"/>
        <v>0</v>
      </c>
    </row>
    <row r="300" spans="1:23" ht="15" hidden="1" customHeight="1" x14ac:dyDescent="0.3">
      <c r="A300" s="34" t="s">
        <v>1326</v>
      </c>
      <c r="B300" s="36">
        <v>179</v>
      </c>
      <c r="C300" s="29" t="s">
        <v>1349</v>
      </c>
      <c r="D300" s="29" t="str">
        <f t="shared" si="370"/>
        <v>NO APLICA</v>
      </c>
      <c r="E300" s="27" t="s">
        <v>1137</v>
      </c>
      <c r="F300" s="43">
        <f t="shared" si="371"/>
        <v>0</v>
      </c>
      <c r="G300" s="21">
        <v>0</v>
      </c>
      <c r="H300" s="9">
        <f t="shared" si="361"/>
        <v>0</v>
      </c>
      <c r="I300" s="9" t="s">
        <v>1287</v>
      </c>
      <c r="J300" s="9">
        <f t="shared" si="362"/>
        <v>0</v>
      </c>
      <c r="K300" s="9">
        <f t="shared" si="363"/>
        <v>0</v>
      </c>
      <c r="L300" s="9">
        <f t="shared" si="364"/>
        <v>0</v>
      </c>
      <c r="M300" s="11">
        <f t="shared" si="372"/>
        <v>0</v>
      </c>
      <c r="N300" s="9">
        <f t="shared" si="365"/>
        <v>0</v>
      </c>
      <c r="O300" s="12">
        <f t="shared" si="366"/>
        <v>0</v>
      </c>
      <c r="P300" s="13" t="str">
        <f t="shared" si="373"/>
        <v>NO</v>
      </c>
      <c r="Q300">
        <f t="shared" si="367"/>
        <v>0</v>
      </c>
      <c r="R300">
        <f t="shared" si="368"/>
        <v>0</v>
      </c>
      <c r="S300">
        <f t="shared" si="369"/>
        <v>0</v>
      </c>
    </row>
    <row r="301" spans="1:23" ht="15" hidden="1" customHeight="1" x14ac:dyDescent="0.3">
      <c r="A301" s="34" t="s">
        <v>1326</v>
      </c>
      <c r="B301" s="36">
        <v>180</v>
      </c>
      <c r="C301" s="29" t="s">
        <v>1350</v>
      </c>
      <c r="D301" s="29" t="str">
        <f t="shared" si="370"/>
        <v>NO APLICA</v>
      </c>
      <c r="E301" s="27" t="s">
        <v>1137</v>
      </c>
      <c r="F301" s="43">
        <f t="shared" si="371"/>
        <v>0</v>
      </c>
      <c r="G301" s="21">
        <v>0</v>
      </c>
      <c r="H301" s="9">
        <f t="shared" si="361"/>
        <v>0</v>
      </c>
      <c r="I301" s="9" t="s">
        <v>1287</v>
      </c>
      <c r="J301" s="9">
        <f t="shared" si="362"/>
        <v>0</v>
      </c>
      <c r="K301" s="9">
        <f t="shared" si="363"/>
        <v>0</v>
      </c>
      <c r="L301" s="9">
        <f t="shared" si="364"/>
        <v>0</v>
      </c>
      <c r="M301" s="11">
        <f t="shared" si="372"/>
        <v>0</v>
      </c>
      <c r="N301" s="9">
        <f t="shared" si="365"/>
        <v>0</v>
      </c>
      <c r="O301" s="12">
        <f t="shared" si="366"/>
        <v>0</v>
      </c>
      <c r="P301" s="13" t="str">
        <f t="shared" si="373"/>
        <v>NO</v>
      </c>
      <c r="Q301">
        <f t="shared" si="367"/>
        <v>0</v>
      </c>
      <c r="R301">
        <f t="shared" si="368"/>
        <v>0</v>
      </c>
      <c r="S301">
        <f t="shared" si="369"/>
        <v>0</v>
      </c>
    </row>
    <row r="302" spans="1:23" ht="15" hidden="1" customHeight="1" x14ac:dyDescent="0.3">
      <c r="A302" s="34" t="s">
        <v>1326</v>
      </c>
      <c r="B302" s="36">
        <v>181</v>
      </c>
      <c r="C302" s="29" t="s">
        <v>1351</v>
      </c>
      <c r="D302" s="29" t="str">
        <f t="shared" si="370"/>
        <v>NO APLICA</v>
      </c>
      <c r="E302" s="27" t="s">
        <v>1137</v>
      </c>
      <c r="F302" s="43">
        <f t="shared" si="371"/>
        <v>0</v>
      </c>
      <c r="G302" s="21">
        <v>0</v>
      </c>
      <c r="H302" s="9">
        <f t="shared" si="361"/>
        <v>0</v>
      </c>
      <c r="I302" s="9" t="s">
        <v>1287</v>
      </c>
      <c r="J302" s="9">
        <f t="shared" si="362"/>
        <v>0</v>
      </c>
      <c r="K302" s="9">
        <f t="shared" si="363"/>
        <v>0</v>
      </c>
      <c r="L302" s="9">
        <f t="shared" si="364"/>
        <v>0</v>
      </c>
      <c r="M302" s="11">
        <f t="shared" si="372"/>
        <v>0</v>
      </c>
      <c r="N302" s="9">
        <f t="shared" si="365"/>
        <v>0</v>
      </c>
      <c r="O302" s="12">
        <f t="shared" si="366"/>
        <v>0</v>
      </c>
      <c r="P302" s="13" t="str">
        <f t="shared" si="373"/>
        <v>NO</v>
      </c>
      <c r="Q302">
        <f t="shared" si="367"/>
        <v>0</v>
      </c>
      <c r="R302">
        <f t="shared" si="368"/>
        <v>0</v>
      </c>
      <c r="S302">
        <f t="shared" si="369"/>
        <v>0</v>
      </c>
    </row>
    <row r="303" spans="1:23" ht="15" hidden="1" customHeight="1" x14ac:dyDescent="0.3">
      <c r="A303" s="34" t="s">
        <v>1326</v>
      </c>
      <c r="B303" s="36">
        <v>182</v>
      </c>
      <c r="C303" s="29" t="s">
        <v>1352</v>
      </c>
      <c r="D303" s="29" t="str">
        <f t="shared" si="370"/>
        <v>NO APLICA</v>
      </c>
      <c r="E303" s="27" t="s">
        <v>1137</v>
      </c>
      <c r="F303" s="43">
        <f t="shared" si="371"/>
        <v>0</v>
      </c>
      <c r="G303" s="21">
        <v>0</v>
      </c>
      <c r="H303" s="9">
        <f t="shared" si="361"/>
        <v>0</v>
      </c>
      <c r="I303" s="9" t="s">
        <v>1287</v>
      </c>
      <c r="J303" s="9">
        <f t="shared" si="362"/>
        <v>0</v>
      </c>
      <c r="K303" s="9">
        <f t="shared" si="363"/>
        <v>0</v>
      </c>
      <c r="L303" s="9">
        <f t="shared" si="364"/>
        <v>0</v>
      </c>
      <c r="M303" s="11">
        <f t="shared" si="372"/>
        <v>0</v>
      </c>
      <c r="N303" s="9">
        <f t="shared" si="365"/>
        <v>0</v>
      </c>
      <c r="O303" s="12">
        <f t="shared" si="366"/>
        <v>0</v>
      </c>
      <c r="P303" s="13" t="str">
        <f t="shared" si="373"/>
        <v>NO</v>
      </c>
      <c r="Q303">
        <f t="shared" si="367"/>
        <v>0</v>
      </c>
      <c r="R303">
        <f t="shared" si="368"/>
        <v>0</v>
      </c>
      <c r="S303">
        <f t="shared" si="369"/>
        <v>0</v>
      </c>
    </row>
    <row r="304" spans="1:23" ht="15" hidden="1" customHeight="1" x14ac:dyDescent="0.3">
      <c r="A304" s="34" t="s">
        <v>1326</v>
      </c>
      <c r="B304" s="36">
        <v>183</v>
      </c>
      <c r="C304" s="29" t="s">
        <v>1353</v>
      </c>
      <c r="D304" s="29" t="str">
        <f t="shared" si="370"/>
        <v>NO APLICA</v>
      </c>
      <c r="E304" s="27" t="s">
        <v>1137</v>
      </c>
      <c r="F304" s="43">
        <f t="shared" si="371"/>
        <v>0</v>
      </c>
      <c r="G304" s="21">
        <v>0</v>
      </c>
      <c r="H304" s="9">
        <f t="shared" si="361"/>
        <v>0</v>
      </c>
      <c r="I304" s="9" t="s">
        <v>1287</v>
      </c>
      <c r="J304" s="9">
        <f t="shared" si="362"/>
        <v>0</v>
      </c>
      <c r="K304" s="9">
        <f t="shared" si="363"/>
        <v>0</v>
      </c>
      <c r="L304" s="9">
        <f t="shared" si="364"/>
        <v>0</v>
      </c>
      <c r="M304" s="11">
        <f t="shared" si="372"/>
        <v>0</v>
      </c>
      <c r="N304" s="9">
        <f t="shared" si="365"/>
        <v>0</v>
      </c>
      <c r="O304" s="12">
        <f t="shared" si="366"/>
        <v>0</v>
      </c>
      <c r="P304" s="13" t="str">
        <f t="shared" si="373"/>
        <v>NO</v>
      </c>
      <c r="Q304">
        <f t="shared" si="367"/>
        <v>0</v>
      </c>
      <c r="R304">
        <f t="shared" si="368"/>
        <v>0</v>
      </c>
      <c r="S304">
        <f t="shared" si="369"/>
        <v>0</v>
      </c>
    </row>
    <row r="305" spans="1:29" ht="22.5" hidden="1" customHeight="1" x14ac:dyDescent="0.3">
      <c r="A305" s="34" t="s">
        <v>1326</v>
      </c>
      <c r="B305" s="36">
        <v>184</v>
      </c>
      <c r="C305" s="29" t="s">
        <v>1328</v>
      </c>
      <c r="D305" s="29" t="str">
        <f t="shared" si="370"/>
        <v>NO APLICA</v>
      </c>
      <c r="E305" s="27" t="s">
        <v>1137</v>
      </c>
      <c r="F305" s="43">
        <f t="shared" si="371"/>
        <v>0</v>
      </c>
      <c r="G305" s="21">
        <v>0</v>
      </c>
      <c r="H305" s="9">
        <f t="shared" si="361"/>
        <v>0</v>
      </c>
      <c r="I305" s="9" t="s">
        <v>1287</v>
      </c>
      <c r="J305" s="9">
        <f t="shared" si="362"/>
        <v>0</v>
      </c>
      <c r="K305" s="9">
        <f t="shared" si="363"/>
        <v>0</v>
      </c>
      <c r="L305" s="9">
        <f t="shared" si="364"/>
        <v>0</v>
      </c>
      <c r="M305" s="11">
        <f t="shared" si="372"/>
        <v>0</v>
      </c>
      <c r="N305" s="9">
        <f t="shared" si="365"/>
        <v>0</v>
      </c>
      <c r="O305" s="12">
        <f t="shared" si="366"/>
        <v>0</v>
      </c>
      <c r="P305" s="13" t="str">
        <f t="shared" si="373"/>
        <v>NO</v>
      </c>
      <c r="Q305">
        <f t="shared" si="367"/>
        <v>0</v>
      </c>
      <c r="R305">
        <f t="shared" si="368"/>
        <v>0</v>
      </c>
      <c r="S305">
        <f t="shared" si="369"/>
        <v>0</v>
      </c>
    </row>
    <row r="306" spans="1:29" ht="15" hidden="1" customHeight="1" x14ac:dyDescent="0.3">
      <c r="A306" s="34" t="s">
        <v>1326</v>
      </c>
      <c r="B306" s="36">
        <v>185</v>
      </c>
      <c r="C306" s="29" t="s">
        <v>1330</v>
      </c>
      <c r="D306" s="29" t="str">
        <f t="shared" si="370"/>
        <v>NO APLICA</v>
      </c>
      <c r="E306" s="27" t="s">
        <v>1152</v>
      </c>
      <c r="F306" s="43">
        <f t="shared" si="371"/>
        <v>0</v>
      </c>
      <c r="G306" s="21">
        <f>V306</f>
        <v>0</v>
      </c>
      <c r="H306" s="9">
        <f t="shared" si="361"/>
        <v>0</v>
      </c>
      <c r="I306" s="9" t="s">
        <v>1287</v>
      </c>
      <c r="J306" s="9">
        <f t="shared" si="362"/>
        <v>0</v>
      </c>
      <c r="K306" s="9">
        <f t="shared" si="363"/>
        <v>0</v>
      </c>
      <c r="L306" s="9">
        <f t="shared" si="364"/>
        <v>0</v>
      </c>
      <c r="M306" s="11">
        <f t="shared" si="372"/>
        <v>0</v>
      </c>
      <c r="N306" s="9">
        <f t="shared" si="365"/>
        <v>0</v>
      </c>
      <c r="O306" s="12">
        <f t="shared" si="366"/>
        <v>0</v>
      </c>
      <c r="P306" s="13" t="str">
        <f t="shared" si="373"/>
        <v>NO</v>
      </c>
      <c r="Q306">
        <f t="shared" si="367"/>
        <v>0</v>
      </c>
      <c r="R306">
        <f t="shared" si="368"/>
        <v>0</v>
      </c>
      <c r="S306">
        <f t="shared" si="369"/>
        <v>0</v>
      </c>
      <c r="T306" s="110">
        <f>VLOOKUP(B306,DesgloseRC!$E$48:$F$85,2,FALSE)</f>
        <v>0</v>
      </c>
      <c r="U306" s="159">
        <f>IF(E306="Excluido",0,$U$283*T306)</f>
        <v>0</v>
      </c>
      <c r="V306" s="159">
        <f>IF(F306=0,0,U306)</f>
        <v>0</v>
      </c>
      <c r="W306">
        <v>0</v>
      </c>
      <c r="X306" s="110"/>
      <c r="Y306" s="110"/>
    </row>
    <row r="307" spans="1:29" ht="15" hidden="1" customHeight="1" x14ac:dyDescent="0.3">
      <c r="A307" s="34" t="s">
        <v>1326</v>
      </c>
      <c r="B307" s="36">
        <v>186</v>
      </c>
      <c r="C307" s="29" t="s">
        <v>1327</v>
      </c>
      <c r="D307" s="29" t="str">
        <f t="shared" si="370"/>
        <v>NO APLICA</v>
      </c>
      <c r="E307" s="27" t="s">
        <v>1137</v>
      </c>
      <c r="F307" s="43">
        <f t="shared" si="371"/>
        <v>0</v>
      </c>
      <c r="G307" s="21">
        <v>0</v>
      </c>
      <c r="H307" s="9">
        <f t="shared" si="361"/>
        <v>0</v>
      </c>
      <c r="I307" s="9" t="s">
        <v>1287</v>
      </c>
      <c r="J307" s="9">
        <f t="shared" si="362"/>
        <v>0</v>
      </c>
      <c r="K307" s="9">
        <f t="shared" si="363"/>
        <v>0</v>
      </c>
      <c r="L307" s="9">
        <f t="shared" si="364"/>
        <v>0</v>
      </c>
      <c r="M307" s="11">
        <f t="shared" si="372"/>
        <v>0</v>
      </c>
      <c r="N307" s="9">
        <f t="shared" si="365"/>
        <v>0</v>
      </c>
      <c r="O307" s="12">
        <f t="shared" si="366"/>
        <v>0</v>
      </c>
      <c r="P307" s="13" t="str">
        <f t="shared" si="373"/>
        <v>NO</v>
      </c>
      <c r="Q307">
        <f t="shared" si="367"/>
        <v>0</v>
      </c>
      <c r="R307">
        <f t="shared" si="368"/>
        <v>0</v>
      </c>
      <c r="S307">
        <f t="shared" si="369"/>
        <v>0</v>
      </c>
    </row>
    <row r="308" spans="1:29" ht="22.5" hidden="1" customHeight="1" x14ac:dyDescent="0.3">
      <c r="A308" s="34" t="s">
        <v>1326</v>
      </c>
      <c r="B308" s="36">
        <v>187</v>
      </c>
      <c r="C308" s="29" t="s">
        <v>1354</v>
      </c>
      <c r="D308" s="29" t="str">
        <f t="shared" si="370"/>
        <v>NO APLICA</v>
      </c>
      <c r="E308" s="27" t="s">
        <v>1137</v>
      </c>
      <c r="F308" s="43">
        <f t="shared" si="371"/>
        <v>0</v>
      </c>
      <c r="G308" s="21">
        <f>V308</f>
        <v>0</v>
      </c>
      <c r="H308" s="9">
        <f t="shared" si="361"/>
        <v>0</v>
      </c>
      <c r="I308" s="9" t="s">
        <v>1287</v>
      </c>
      <c r="J308" s="9">
        <f t="shared" si="362"/>
        <v>0</v>
      </c>
      <c r="K308" s="9">
        <f t="shared" si="363"/>
        <v>0</v>
      </c>
      <c r="L308" s="9">
        <f t="shared" si="364"/>
        <v>0</v>
      </c>
      <c r="M308" s="11">
        <f t="shared" si="372"/>
        <v>0</v>
      </c>
      <c r="N308" s="9">
        <f t="shared" si="365"/>
        <v>0</v>
      </c>
      <c r="O308" s="12">
        <f t="shared" si="366"/>
        <v>0</v>
      </c>
      <c r="P308" s="13" t="str">
        <f t="shared" si="373"/>
        <v>NO</v>
      </c>
      <c r="Q308">
        <f t="shared" si="367"/>
        <v>0</v>
      </c>
      <c r="R308">
        <f t="shared" si="368"/>
        <v>0</v>
      </c>
      <c r="S308">
        <f t="shared" si="369"/>
        <v>0</v>
      </c>
      <c r="T308" s="110">
        <f>VLOOKUP(B308,DesgloseRC!$E$48:$F$85,2,FALSE)</f>
        <v>0</v>
      </c>
      <c r="U308" s="159">
        <f>IF(E308="Excluido",0,$U$283*T308)</f>
        <v>0</v>
      </c>
      <c r="V308" s="159">
        <f>IF(F308=0,0,U308)</f>
        <v>0</v>
      </c>
      <c r="W308">
        <f>IF(T308=0%,0,1)</f>
        <v>0</v>
      </c>
    </row>
    <row r="309" spans="1:29" ht="15" hidden="1" customHeight="1" x14ac:dyDescent="0.3">
      <c r="A309" s="34" t="s">
        <v>1326</v>
      </c>
      <c r="B309" s="36">
        <v>188</v>
      </c>
      <c r="C309" s="29" t="s">
        <v>1355</v>
      </c>
      <c r="D309" s="29" t="str">
        <f t="shared" si="370"/>
        <v>NO APLICA</v>
      </c>
      <c r="E309" s="27" t="s">
        <v>1137</v>
      </c>
      <c r="F309" s="43">
        <f t="shared" si="371"/>
        <v>0</v>
      </c>
      <c r="G309" s="21">
        <v>0</v>
      </c>
      <c r="H309" s="9">
        <f t="shared" si="361"/>
        <v>0</v>
      </c>
      <c r="I309" s="9" t="s">
        <v>1287</v>
      </c>
      <c r="J309" s="9">
        <f t="shared" si="362"/>
        <v>0</v>
      </c>
      <c r="K309" s="9">
        <f t="shared" si="363"/>
        <v>0</v>
      </c>
      <c r="L309" s="9">
        <f t="shared" si="364"/>
        <v>0</v>
      </c>
      <c r="M309" s="11">
        <f t="shared" si="372"/>
        <v>0</v>
      </c>
      <c r="N309" s="9">
        <f t="shared" si="365"/>
        <v>0</v>
      </c>
      <c r="O309" s="12">
        <f t="shared" si="366"/>
        <v>0</v>
      </c>
      <c r="P309" s="13" t="str">
        <f t="shared" si="373"/>
        <v>NO</v>
      </c>
      <c r="Q309">
        <f t="shared" si="367"/>
        <v>0</v>
      </c>
      <c r="R309">
        <f t="shared" si="368"/>
        <v>0</v>
      </c>
      <c r="S309">
        <f t="shared" si="369"/>
        <v>0</v>
      </c>
      <c r="X309" s="110"/>
      <c r="Y309" s="110"/>
    </row>
    <row r="310" spans="1:29" ht="15" hidden="1" customHeight="1" x14ac:dyDescent="0.3">
      <c r="A310" s="34" t="s">
        <v>1326</v>
      </c>
      <c r="B310" s="36">
        <v>244</v>
      </c>
      <c r="C310" s="29" t="s">
        <v>1293</v>
      </c>
      <c r="D310" s="29" t="str">
        <f t="shared" si="370"/>
        <v>NO APLICA</v>
      </c>
      <c r="E310" s="27" t="s">
        <v>1137</v>
      </c>
      <c r="F310" s="43">
        <f t="shared" si="371"/>
        <v>0</v>
      </c>
      <c r="G310" s="21">
        <f>V310</f>
        <v>0</v>
      </c>
      <c r="H310" s="9">
        <f t="shared" si="361"/>
        <v>0</v>
      </c>
      <c r="I310" s="9" t="s">
        <v>1287</v>
      </c>
      <c r="J310" s="9">
        <f t="shared" si="362"/>
        <v>0</v>
      </c>
      <c r="K310" s="9">
        <f t="shared" si="363"/>
        <v>0</v>
      </c>
      <c r="L310" s="9">
        <f t="shared" si="364"/>
        <v>0</v>
      </c>
      <c r="M310" s="11">
        <f t="shared" si="372"/>
        <v>0</v>
      </c>
      <c r="N310" s="9">
        <f t="shared" si="365"/>
        <v>0</v>
      </c>
      <c r="O310" s="12">
        <f t="shared" si="366"/>
        <v>0</v>
      </c>
      <c r="P310" s="13" t="str">
        <f t="shared" si="373"/>
        <v>NO</v>
      </c>
      <c r="Q310">
        <f t="shared" si="367"/>
        <v>0</v>
      </c>
      <c r="R310">
        <f t="shared" si="368"/>
        <v>0</v>
      </c>
      <c r="S310">
        <f t="shared" si="369"/>
        <v>0</v>
      </c>
      <c r="T310" s="110">
        <f>VLOOKUP(B310,DesgloseRC!$E$48:$F$85,2,FALSE)</f>
        <v>0</v>
      </c>
      <c r="U310" s="159">
        <f>IF(E310="Excluido",0,$U$283*T310)</f>
        <v>0</v>
      </c>
      <c r="V310" s="159">
        <f>IF(F310=0,0,U310)</f>
        <v>0</v>
      </c>
      <c r="W310">
        <v>0</v>
      </c>
      <c r="X310" s="110"/>
      <c r="Y310" s="110"/>
      <c r="Z310" s="110"/>
      <c r="AA310" s="110"/>
      <c r="AB310" s="110"/>
      <c r="AC310" s="110"/>
    </row>
    <row r="311" spans="1:29" ht="22.5" hidden="1" customHeight="1" x14ac:dyDescent="0.3">
      <c r="A311" s="34" t="s">
        <v>1326</v>
      </c>
      <c r="B311" s="36">
        <v>288</v>
      </c>
      <c r="C311" s="29" t="s">
        <v>1356</v>
      </c>
      <c r="D311" s="29" t="str">
        <f t="shared" si="370"/>
        <v>NO APLICA</v>
      </c>
      <c r="E311" s="27" t="s">
        <v>1137</v>
      </c>
      <c r="F311" s="43">
        <f t="shared" si="371"/>
        <v>0</v>
      </c>
      <c r="G311" s="21">
        <v>0</v>
      </c>
      <c r="H311" s="9">
        <f t="shared" si="361"/>
        <v>0</v>
      </c>
      <c r="I311" s="9" t="s">
        <v>1287</v>
      </c>
      <c r="J311" s="9">
        <f t="shared" si="362"/>
        <v>0</v>
      </c>
      <c r="K311" s="9">
        <f t="shared" si="363"/>
        <v>0</v>
      </c>
      <c r="L311" s="9">
        <f t="shared" si="364"/>
        <v>0</v>
      </c>
      <c r="M311" s="11">
        <f t="shared" si="372"/>
        <v>0</v>
      </c>
      <c r="N311" s="9">
        <f t="shared" si="365"/>
        <v>0</v>
      </c>
      <c r="O311" s="12">
        <f t="shared" si="366"/>
        <v>0</v>
      </c>
      <c r="P311" s="13" t="str">
        <f t="shared" si="373"/>
        <v>NO</v>
      </c>
      <c r="Q311">
        <f t="shared" si="367"/>
        <v>0</v>
      </c>
      <c r="R311">
        <f t="shared" si="368"/>
        <v>0</v>
      </c>
      <c r="S311">
        <f t="shared" si="369"/>
        <v>0</v>
      </c>
    </row>
    <row r="312" spans="1:29" ht="15" hidden="1" customHeight="1" x14ac:dyDescent="0.3">
      <c r="A312" s="34" t="s">
        <v>1326</v>
      </c>
      <c r="B312" s="36">
        <v>289</v>
      </c>
      <c r="C312" s="29" t="s">
        <v>1357</v>
      </c>
      <c r="D312" s="29" t="str">
        <f t="shared" si="370"/>
        <v>NO APLICA</v>
      </c>
      <c r="E312" s="27" t="s">
        <v>1137</v>
      </c>
      <c r="F312" s="43">
        <f t="shared" si="371"/>
        <v>0</v>
      </c>
      <c r="G312" s="21">
        <v>0</v>
      </c>
      <c r="H312" s="9">
        <f t="shared" si="361"/>
        <v>0</v>
      </c>
      <c r="I312" s="9" t="s">
        <v>1287</v>
      </c>
      <c r="J312" s="9">
        <f t="shared" si="362"/>
        <v>0</v>
      </c>
      <c r="K312" s="9">
        <f t="shared" si="363"/>
        <v>0</v>
      </c>
      <c r="L312" s="9">
        <f t="shared" si="364"/>
        <v>0</v>
      </c>
      <c r="M312" s="11">
        <f t="shared" si="372"/>
        <v>0</v>
      </c>
      <c r="N312" s="9">
        <f t="shared" si="365"/>
        <v>0</v>
      </c>
      <c r="O312" s="12">
        <f t="shared" si="366"/>
        <v>0</v>
      </c>
      <c r="P312" s="13" t="str">
        <f t="shared" si="373"/>
        <v>NO</v>
      </c>
      <c r="Q312">
        <f t="shared" si="367"/>
        <v>0</v>
      </c>
      <c r="R312">
        <f t="shared" si="368"/>
        <v>0</v>
      </c>
      <c r="S312">
        <f t="shared" si="369"/>
        <v>0</v>
      </c>
    </row>
    <row r="313" spans="1:29" ht="15" hidden="1" customHeight="1" x14ac:dyDescent="0.3">
      <c r="A313" s="34" t="s">
        <v>1326</v>
      </c>
      <c r="B313" s="36">
        <v>290</v>
      </c>
      <c r="C313" s="29" t="s">
        <v>1358</v>
      </c>
      <c r="D313" s="29" t="str">
        <f t="shared" si="370"/>
        <v>NO APLICA</v>
      </c>
      <c r="E313" s="27" t="s">
        <v>1137</v>
      </c>
      <c r="F313" s="43">
        <f t="shared" si="371"/>
        <v>0</v>
      </c>
      <c r="G313" s="21">
        <v>0</v>
      </c>
      <c r="H313" s="9">
        <f t="shared" si="361"/>
        <v>0</v>
      </c>
      <c r="I313" s="9" t="s">
        <v>1287</v>
      </c>
      <c r="J313" s="9">
        <f t="shared" si="362"/>
        <v>0</v>
      </c>
      <c r="K313" s="9">
        <f t="shared" si="363"/>
        <v>0</v>
      </c>
      <c r="L313" s="9">
        <f t="shared" si="364"/>
        <v>0</v>
      </c>
      <c r="M313" s="11">
        <f t="shared" si="372"/>
        <v>0</v>
      </c>
      <c r="N313" s="9">
        <f t="shared" si="365"/>
        <v>0</v>
      </c>
      <c r="O313" s="12">
        <f t="shared" si="366"/>
        <v>0</v>
      </c>
      <c r="P313" s="13" t="str">
        <f t="shared" si="373"/>
        <v>NO</v>
      </c>
      <c r="Q313">
        <f t="shared" si="367"/>
        <v>0</v>
      </c>
      <c r="R313">
        <f t="shared" si="368"/>
        <v>0</v>
      </c>
      <c r="S313">
        <f t="shared" si="369"/>
        <v>0</v>
      </c>
    </row>
    <row r="314" spans="1:29" ht="15" hidden="1" customHeight="1" x14ac:dyDescent="0.3">
      <c r="A314" s="34" t="s">
        <v>1326</v>
      </c>
      <c r="B314" s="36">
        <v>291</v>
      </c>
      <c r="C314" s="29" t="s">
        <v>1359</v>
      </c>
      <c r="D314" s="29" t="str">
        <f t="shared" si="370"/>
        <v>NO APLICA</v>
      </c>
      <c r="E314" s="27" t="s">
        <v>1137</v>
      </c>
      <c r="F314" s="43">
        <f t="shared" si="371"/>
        <v>0</v>
      </c>
      <c r="G314" s="21">
        <v>0</v>
      </c>
      <c r="H314" s="9">
        <f t="shared" si="361"/>
        <v>0</v>
      </c>
      <c r="I314" s="9" t="s">
        <v>1287</v>
      </c>
      <c r="J314" s="9">
        <f t="shared" si="362"/>
        <v>0</v>
      </c>
      <c r="K314" s="9">
        <f t="shared" si="363"/>
        <v>0</v>
      </c>
      <c r="L314" s="9">
        <f t="shared" si="364"/>
        <v>0</v>
      </c>
      <c r="M314" s="11">
        <f t="shared" si="372"/>
        <v>0</v>
      </c>
      <c r="N314" s="9">
        <f t="shared" si="365"/>
        <v>0</v>
      </c>
      <c r="O314" s="12">
        <f t="shared" si="366"/>
        <v>0</v>
      </c>
      <c r="P314" s="13" t="str">
        <f t="shared" si="373"/>
        <v>NO</v>
      </c>
      <c r="Q314">
        <f t="shared" si="367"/>
        <v>0</v>
      </c>
      <c r="R314">
        <f t="shared" si="368"/>
        <v>0</v>
      </c>
      <c r="S314">
        <f t="shared" si="369"/>
        <v>0</v>
      </c>
    </row>
    <row r="315" spans="1:29" ht="15" hidden="1" customHeight="1" x14ac:dyDescent="0.3">
      <c r="A315" s="34" t="s">
        <v>1326</v>
      </c>
      <c r="B315" s="36">
        <v>292</v>
      </c>
      <c r="C315" s="29" t="s">
        <v>1360</v>
      </c>
      <c r="D315" s="29" t="str">
        <f t="shared" si="370"/>
        <v>NO APLICA</v>
      </c>
      <c r="E315" s="27" t="s">
        <v>1137</v>
      </c>
      <c r="F315" s="43">
        <f t="shared" si="371"/>
        <v>0</v>
      </c>
      <c r="G315" s="21">
        <v>0</v>
      </c>
      <c r="H315" s="9">
        <f t="shared" si="361"/>
        <v>0</v>
      </c>
      <c r="I315" s="9" t="s">
        <v>1287</v>
      </c>
      <c r="J315" s="9">
        <f t="shared" si="362"/>
        <v>0</v>
      </c>
      <c r="K315" s="9">
        <f t="shared" si="363"/>
        <v>0</v>
      </c>
      <c r="L315" s="9">
        <f t="shared" si="364"/>
        <v>0</v>
      </c>
      <c r="M315" s="11">
        <f t="shared" si="372"/>
        <v>0</v>
      </c>
      <c r="N315" s="9">
        <f t="shared" si="365"/>
        <v>0</v>
      </c>
      <c r="O315" s="12">
        <f t="shared" si="366"/>
        <v>0</v>
      </c>
      <c r="P315" s="13" t="str">
        <f t="shared" si="373"/>
        <v>NO</v>
      </c>
      <c r="Q315">
        <f t="shared" si="367"/>
        <v>0</v>
      </c>
      <c r="R315">
        <f t="shared" si="368"/>
        <v>0</v>
      </c>
      <c r="S315">
        <f t="shared" si="369"/>
        <v>0</v>
      </c>
    </row>
    <row r="316" spans="1:29" ht="15" hidden="1" customHeight="1" x14ac:dyDescent="0.3">
      <c r="A316" s="34" t="s">
        <v>1326</v>
      </c>
      <c r="B316" s="36">
        <v>293</v>
      </c>
      <c r="C316" s="29" t="s">
        <v>1361</v>
      </c>
      <c r="D316" s="29" t="str">
        <f t="shared" si="370"/>
        <v>NO APLICA</v>
      </c>
      <c r="E316" s="27" t="s">
        <v>1137</v>
      </c>
      <c r="F316" s="43">
        <f t="shared" si="371"/>
        <v>0</v>
      </c>
      <c r="G316" s="21">
        <v>0</v>
      </c>
      <c r="H316" s="9">
        <f t="shared" si="361"/>
        <v>0</v>
      </c>
      <c r="I316" s="9" t="s">
        <v>1287</v>
      </c>
      <c r="J316" s="9">
        <f t="shared" si="362"/>
        <v>0</v>
      </c>
      <c r="K316" s="9">
        <f t="shared" si="363"/>
        <v>0</v>
      </c>
      <c r="L316" s="9">
        <f t="shared" si="364"/>
        <v>0</v>
      </c>
      <c r="M316" s="11">
        <f t="shared" si="372"/>
        <v>0</v>
      </c>
      <c r="N316" s="9">
        <f t="shared" si="365"/>
        <v>0</v>
      </c>
      <c r="O316" s="12">
        <f t="shared" si="366"/>
        <v>0</v>
      </c>
      <c r="P316" s="13" t="str">
        <f t="shared" si="373"/>
        <v>NO</v>
      </c>
      <c r="Q316">
        <f t="shared" si="367"/>
        <v>0</v>
      </c>
      <c r="R316">
        <f t="shared" si="368"/>
        <v>0</v>
      </c>
      <c r="S316">
        <f t="shared" si="369"/>
        <v>0</v>
      </c>
    </row>
    <row r="317" spans="1:29" ht="15" hidden="1" customHeight="1" x14ac:dyDescent="0.3">
      <c r="A317" s="34" t="s">
        <v>1326</v>
      </c>
      <c r="B317" s="36">
        <v>294</v>
      </c>
      <c r="C317" s="29" t="s">
        <v>1362</v>
      </c>
      <c r="D317" s="29" t="str">
        <f t="shared" si="370"/>
        <v>NO APLICA</v>
      </c>
      <c r="E317" s="27" t="s">
        <v>1137</v>
      </c>
      <c r="F317" s="43">
        <f t="shared" si="371"/>
        <v>0</v>
      </c>
      <c r="G317" s="21">
        <v>0</v>
      </c>
      <c r="H317" s="9">
        <f t="shared" si="361"/>
        <v>0</v>
      </c>
      <c r="I317" s="9" t="s">
        <v>1287</v>
      </c>
      <c r="J317" s="9">
        <f t="shared" si="362"/>
        <v>0</v>
      </c>
      <c r="K317" s="9">
        <f t="shared" si="363"/>
        <v>0</v>
      </c>
      <c r="L317" s="9">
        <f t="shared" si="364"/>
        <v>0</v>
      </c>
      <c r="M317" s="11">
        <f t="shared" si="372"/>
        <v>0</v>
      </c>
      <c r="N317" s="9">
        <f t="shared" si="365"/>
        <v>0</v>
      </c>
      <c r="O317" s="12">
        <f t="shared" si="366"/>
        <v>0</v>
      </c>
      <c r="P317" s="13" t="str">
        <f t="shared" si="373"/>
        <v>NO</v>
      </c>
      <c r="Q317">
        <f t="shared" si="367"/>
        <v>0</v>
      </c>
      <c r="R317">
        <f t="shared" si="368"/>
        <v>0</v>
      </c>
      <c r="S317">
        <f t="shared" si="369"/>
        <v>0</v>
      </c>
    </row>
    <row r="318" spans="1:29" ht="15" hidden="1" customHeight="1" x14ac:dyDescent="0.3">
      <c r="A318" s="34" t="s">
        <v>1326</v>
      </c>
      <c r="B318" s="36">
        <v>295</v>
      </c>
      <c r="C318" s="29" t="s">
        <v>1363</v>
      </c>
      <c r="D318" s="29" t="str">
        <f t="shared" si="370"/>
        <v>NO APLICA</v>
      </c>
      <c r="E318" s="27" t="s">
        <v>1137</v>
      </c>
      <c r="F318" s="43">
        <f t="shared" si="371"/>
        <v>0</v>
      </c>
      <c r="G318" s="21">
        <v>0</v>
      </c>
      <c r="H318" s="9">
        <f t="shared" si="361"/>
        <v>0</v>
      </c>
      <c r="I318" s="9" t="s">
        <v>1287</v>
      </c>
      <c r="J318" s="9">
        <f t="shared" si="362"/>
        <v>0</v>
      </c>
      <c r="K318" s="9">
        <f t="shared" si="363"/>
        <v>0</v>
      </c>
      <c r="L318" s="9">
        <f t="shared" si="364"/>
        <v>0</v>
      </c>
      <c r="M318" s="11">
        <f t="shared" si="372"/>
        <v>0</v>
      </c>
      <c r="N318" s="9">
        <f t="shared" si="365"/>
        <v>0</v>
      </c>
      <c r="O318" s="12">
        <f t="shared" si="366"/>
        <v>0</v>
      </c>
      <c r="P318" s="13" t="str">
        <f t="shared" si="373"/>
        <v>NO</v>
      </c>
      <c r="Q318">
        <f t="shared" si="367"/>
        <v>0</v>
      </c>
      <c r="R318">
        <f t="shared" si="368"/>
        <v>0</v>
      </c>
      <c r="S318">
        <f t="shared" si="369"/>
        <v>0</v>
      </c>
    </row>
    <row r="319" spans="1:29" ht="15" hidden="1" customHeight="1" x14ac:dyDescent="0.3">
      <c r="A319" s="34" t="s">
        <v>1326</v>
      </c>
      <c r="B319" s="36">
        <v>296</v>
      </c>
      <c r="C319" s="29" t="s">
        <v>1364</v>
      </c>
      <c r="D319" s="29" t="str">
        <f t="shared" si="370"/>
        <v>NO APLICA</v>
      </c>
      <c r="E319" s="27" t="s">
        <v>1137</v>
      </c>
      <c r="F319" s="43">
        <f t="shared" si="371"/>
        <v>0</v>
      </c>
      <c r="G319" s="21">
        <v>0</v>
      </c>
      <c r="H319" s="9">
        <f t="shared" si="361"/>
        <v>0</v>
      </c>
      <c r="I319" s="9" t="s">
        <v>1287</v>
      </c>
      <c r="J319" s="9">
        <f t="shared" si="362"/>
        <v>0</v>
      </c>
      <c r="K319" s="9">
        <f t="shared" si="363"/>
        <v>0</v>
      </c>
      <c r="L319" s="9">
        <f t="shared" si="364"/>
        <v>0</v>
      </c>
      <c r="M319" s="11">
        <f t="shared" si="372"/>
        <v>0</v>
      </c>
      <c r="N319" s="9">
        <f t="shared" si="365"/>
        <v>0</v>
      </c>
      <c r="O319" s="12">
        <f t="shared" si="366"/>
        <v>0</v>
      </c>
      <c r="P319" s="13" t="str">
        <f t="shared" si="373"/>
        <v>NO</v>
      </c>
      <c r="Q319">
        <f t="shared" si="367"/>
        <v>0</v>
      </c>
      <c r="R319">
        <f t="shared" si="368"/>
        <v>0</v>
      </c>
      <c r="S319">
        <f t="shared" si="369"/>
        <v>0</v>
      </c>
    </row>
    <row r="320" spans="1:29" ht="15" hidden="1" customHeight="1" x14ac:dyDescent="0.3">
      <c r="A320" s="34" t="s">
        <v>1326</v>
      </c>
      <c r="B320" s="36">
        <v>297</v>
      </c>
      <c r="C320" s="29" t="s">
        <v>1365</v>
      </c>
      <c r="D320" s="29" t="str">
        <f t="shared" si="370"/>
        <v>NO APLICA</v>
      </c>
      <c r="E320" s="27" t="s">
        <v>1137</v>
      </c>
      <c r="F320" s="43">
        <f t="shared" si="371"/>
        <v>0</v>
      </c>
      <c r="G320" s="21">
        <v>0</v>
      </c>
      <c r="H320" s="9">
        <f t="shared" si="361"/>
        <v>0</v>
      </c>
      <c r="I320" s="9" t="s">
        <v>1287</v>
      </c>
      <c r="J320" s="9">
        <f t="shared" si="362"/>
        <v>0</v>
      </c>
      <c r="K320" s="9">
        <f t="shared" si="363"/>
        <v>0</v>
      </c>
      <c r="L320" s="9">
        <f t="shared" si="364"/>
        <v>0</v>
      </c>
      <c r="M320" s="11">
        <f t="shared" si="372"/>
        <v>0</v>
      </c>
      <c r="N320" s="9">
        <f t="shared" si="365"/>
        <v>0</v>
      </c>
      <c r="O320" s="12">
        <f t="shared" si="366"/>
        <v>0</v>
      </c>
      <c r="P320" s="13" t="str">
        <f t="shared" si="373"/>
        <v>NO</v>
      </c>
      <c r="Q320">
        <f t="shared" si="367"/>
        <v>0</v>
      </c>
      <c r="R320">
        <f t="shared" si="368"/>
        <v>0</v>
      </c>
      <c r="S320">
        <f t="shared" si="369"/>
        <v>0</v>
      </c>
    </row>
    <row r="321" spans="1:22" ht="15" hidden="1" customHeight="1" x14ac:dyDescent="0.3">
      <c r="A321" s="34" t="s">
        <v>1326</v>
      </c>
      <c r="B321" s="36">
        <v>298</v>
      </c>
      <c r="C321" s="29" t="s">
        <v>1366</v>
      </c>
      <c r="D321" s="29" t="str">
        <f t="shared" si="370"/>
        <v>NO APLICA</v>
      </c>
      <c r="E321" s="27" t="s">
        <v>1137</v>
      </c>
      <c r="F321" s="43">
        <f t="shared" si="371"/>
        <v>0</v>
      </c>
      <c r="G321" s="21">
        <v>0</v>
      </c>
      <c r="H321" s="9">
        <f t="shared" si="361"/>
        <v>0</v>
      </c>
      <c r="I321" s="9" t="s">
        <v>1287</v>
      </c>
      <c r="J321" s="9">
        <f t="shared" si="362"/>
        <v>0</v>
      </c>
      <c r="K321" s="9">
        <f t="shared" si="363"/>
        <v>0</v>
      </c>
      <c r="L321" s="9">
        <f t="shared" si="364"/>
        <v>0</v>
      </c>
      <c r="M321" s="11">
        <f t="shared" si="372"/>
        <v>0</v>
      </c>
      <c r="N321" s="9">
        <f t="shared" si="365"/>
        <v>0</v>
      </c>
      <c r="O321" s="12">
        <f t="shared" si="366"/>
        <v>0</v>
      </c>
      <c r="P321" s="13" t="str">
        <f t="shared" si="373"/>
        <v>NO</v>
      </c>
      <c r="Q321">
        <f t="shared" si="367"/>
        <v>0</v>
      </c>
      <c r="R321">
        <f t="shared" si="368"/>
        <v>0</v>
      </c>
      <c r="S321">
        <f t="shared" si="369"/>
        <v>0</v>
      </c>
    </row>
    <row r="322" spans="1:22" ht="15" hidden="1" customHeight="1" x14ac:dyDescent="0.3">
      <c r="A322" s="34" t="s">
        <v>1326</v>
      </c>
      <c r="B322" s="36">
        <v>299</v>
      </c>
      <c r="C322" s="29" t="s">
        <v>1367</v>
      </c>
      <c r="D322" s="29" t="str">
        <f t="shared" si="370"/>
        <v>NO APLICA</v>
      </c>
      <c r="E322" s="27" t="s">
        <v>1137</v>
      </c>
      <c r="F322" s="43">
        <f t="shared" si="371"/>
        <v>0</v>
      </c>
      <c r="G322" s="21">
        <v>0</v>
      </c>
      <c r="H322" s="9">
        <f t="shared" si="361"/>
        <v>0</v>
      </c>
      <c r="I322" s="9" t="s">
        <v>1287</v>
      </c>
      <c r="J322" s="9">
        <f t="shared" si="362"/>
        <v>0</v>
      </c>
      <c r="K322" s="9">
        <f t="shared" si="363"/>
        <v>0</v>
      </c>
      <c r="L322" s="9">
        <f t="shared" si="364"/>
        <v>0</v>
      </c>
      <c r="M322" s="11">
        <f t="shared" si="372"/>
        <v>0</v>
      </c>
      <c r="N322" s="9">
        <f t="shared" si="365"/>
        <v>0</v>
      </c>
      <c r="O322" s="12">
        <f t="shared" si="366"/>
        <v>0</v>
      </c>
      <c r="P322" s="13" t="str">
        <f t="shared" si="373"/>
        <v>NO</v>
      </c>
      <c r="Q322">
        <f t="shared" si="367"/>
        <v>0</v>
      </c>
      <c r="R322">
        <f t="shared" si="368"/>
        <v>0</v>
      </c>
      <c r="S322">
        <f t="shared" si="369"/>
        <v>0</v>
      </c>
    </row>
    <row r="323" spans="1:22" ht="15" hidden="1" customHeight="1" x14ac:dyDescent="0.3">
      <c r="A323" s="34" t="s">
        <v>1326</v>
      </c>
      <c r="B323" s="36">
        <v>300</v>
      </c>
      <c r="C323" s="29" t="s">
        <v>1368</v>
      </c>
      <c r="D323" s="29" t="str">
        <f t="shared" si="370"/>
        <v>NO APLICA</v>
      </c>
      <c r="E323" s="27" t="s">
        <v>1137</v>
      </c>
      <c r="F323" s="43">
        <f t="shared" si="371"/>
        <v>0</v>
      </c>
      <c r="G323" s="21">
        <v>0</v>
      </c>
      <c r="H323" s="9">
        <f t="shared" si="361"/>
        <v>0</v>
      </c>
      <c r="I323" s="9" t="s">
        <v>1287</v>
      </c>
      <c r="J323" s="9">
        <f t="shared" si="362"/>
        <v>0</v>
      </c>
      <c r="K323" s="9">
        <f t="shared" si="363"/>
        <v>0</v>
      </c>
      <c r="L323" s="9">
        <f t="shared" si="364"/>
        <v>0</v>
      </c>
      <c r="M323" s="11">
        <f t="shared" si="372"/>
        <v>0</v>
      </c>
      <c r="N323" s="9">
        <f t="shared" si="365"/>
        <v>0</v>
      </c>
      <c r="O323" s="12">
        <f t="shared" si="366"/>
        <v>0</v>
      </c>
      <c r="P323" s="13" t="str">
        <f t="shared" si="373"/>
        <v>NO</v>
      </c>
      <c r="Q323">
        <f t="shared" si="367"/>
        <v>0</v>
      </c>
      <c r="R323">
        <f t="shared" si="368"/>
        <v>0</v>
      </c>
      <c r="S323">
        <f t="shared" si="369"/>
        <v>0</v>
      </c>
    </row>
    <row r="324" spans="1:22" ht="15" hidden="1" customHeight="1" x14ac:dyDescent="0.3">
      <c r="A324" s="34" t="s">
        <v>1326</v>
      </c>
      <c r="B324" s="36">
        <v>301</v>
      </c>
      <c r="C324" s="29" t="s">
        <v>1369</v>
      </c>
      <c r="D324" s="29" t="str">
        <f t="shared" si="370"/>
        <v>NO APLICA</v>
      </c>
      <c r="E324" s="27" t="s">
        <v>1137</v>
      </c>
      <c r="F324" s="43">
        <f t="shared" si="371"/>
        <v>0</v>
      </c>
      <c r="G324" s="21">
        <v>0</v>
      </c>
      <c r="H324" s="9">
        <f t="shared" si="361"/>
        <v>0</v>
      </c>
      <c r="I324" s="9" t="s">
        <v>1287</v>
      </c>
      <c r="J324" s="9">
        <f t="shared" si="362"/>
        <v>0</v>
      </c>
      <c r="K324" s="9">
        <f t="shared" si="363"/>
        <v>0</v>
      </c>
      <c r="L324" s="9">
        <f t="shared" si="364"/>
        <v>0</v>
      </c>
      <c r="M324" s="11">
        <f t="shared" si="372"/>
        <v>0</v>
      </c>
      <c r="N324" s="9">
        <f t="shared" si="365"/>
        <v>0</v>
      </c>
      <c r="O324" s="12">
        <f t="shared" si="366"/>
        <v>0</v>
      </c>
      <c r="P324" s="13" t="str">
        <f t="shared" si="373"/>
        <v>NO</v>
      </c>
      <c r="Q324">
        <f t="shared" si="367"/>
        <v>0</v>
      </c>
      <c r="R324">
        <f t="shared" si="368"/>
        <v>0</v>
      </c>
      <c r="S324">
        <f t="shared" si="369"/>
        <v>0</v>
      </c>
    </row>
    <row r="325" spans="1:22" ht="22.5" hidden="1" customHeight="1" x14ac:dyDescent="0.3">
      <c r="A325" s="34" t="s">
        <v>1326</v>
      </c>
      <c r="B325" s="36">
        <v>302</v>
      </c>
      <c r="C325" s="29" t="s">
        <v>1370</v>
      </c>
      <c r="D325" s="29" t="str">
        <f t="shared" si="370"/>
        <v>NO APLICA</v>
      </c>
      <c r="E325" s="27" t="s">
        <v>1137</v>
      </c>
      <c r="F325" s="43">
        <f t="shared" si="371"/>
        <v>0</v>
      </c>
      <c r="G325" s="21">
        <v>0</v>
      </c>
      <c r="H325" s="9">
        <f t="shared" si="361"/>
        <v>0</v>
      </c>
      <c r="I325" s="9" t="s">
        <v>1287</v>
      </c>
      <c r="J325" s="9">
        <f t="shared" si="362"/>
        <v>0</v>
      </c>
      <c r="K325" s="9">
        <f t="shared" si="363"/>
        <v>0</v>
      </c>
      <c r="L325" s="9">
        <f t="shared" si="364"/>
        <v>0</v>
      </c>
      <c r="M325" s="11">
        <f t="shared" si="372"/>
        <v>0</v>
      </c>
      <c r="N325" s="9">
        <f t="shared" si="365"/>
        <v>0</v>
      </c>
      <c r="O325" s="12">
        <f t="shared" si="366"/>
        <v>0</v>
      </c>
      <c r="P325" s="13" t="str">
        <f t="shared" si="373"/>
        <v>NO</v>
      </c>
      <c r="Q325">
        <f t="shared" si="367"/>
        <v>0</v>
      </c>
      <c r="R325">
        <f t="shared" si="368"/>
        <v>0</v>
      </c>
      <c r="S325">
        <f t="shared" si="369"/>
        <v>0</v>
      </c>
    </row>
    <row r="326" spans="1:22" ht="15" hidden="1" customHeight="1" x14ac:dyDescent="0.3">
      <c r="A326" s="34" t="s">
        <v>1326</v>
      </c>
      <c r="B326" s="36">
        <v>304</v>
      </c>
      <c r="C326" s="29" t="s">
        <v>1371</v>
      </c>
      <c r="D326" s="29" t="str">
        <f t="shared" si="370"/>
        <v>NO APLICA</v>
      </c>
      <c r="E326" s="27" t="s">
        <v>1137</v>
      </c>
      <c r="F326" s="43">
        <f t="shared" si="371"/>
        <v>0</v>
      </c>
      <c r="G326" s="21">
        <v>0</v>
      </c>
      <c r="H326" s="9">
        <f t="shared" si="361"/>
        <v>0</v>
      </c>
      <c r="I326" s="9" t="s">
        <v>1287</v>
      </c>
      <c r="J326" s="9">
        <f t="shared" si="362"/>
        <v>0</v>
      </c>
      <c r="K326" s="9">
        <f t="shared" si="363"/>
        <v>0</v>
      </c>
      <c r="L326" s="9">
        <f t="shared" si="364"/>
        <v>0</v>
      </c>
      <c r="M326" s="11">
        <f t="shared" si="372"/>
        <v>0</v>
      </c>
      <c r="N326" s="9">
        <f t="shared" si="365"/>
        <v>0</v>
      </c>
      <c r="O326" s="12">
        <f t="shared" si="366"/>
        <v>0</v>
      </c>
      <c r="P326" s="13" t="str">
        <f t="shared" si="373"/>
        <v>NO</v>
      </c>
      <c r="Q326">
        <f t="shared" si="367"/>
        <v>0</v>
      </c>
      <c r="R326">
        <f t="shared" si="368"/>
        <v>0</v>
      </c>
      <c r="S326">
        <f t="shared" si="369"/>
        <v>0</v>
      </c>
    </row>
    <row r="327" spans="1:22" ht="15" hidden="1" customHeight="1" x14ac:dyDescent="0.3">
      <c r="A327" s="34" t="s">
        <v>1326</v>
      </c>
      <c r="B327" s="36">
        <v>308</v>
      </c>
      <c r="C327" s="29" t="s">
        <v>1372</v>
      </c>
      <c r="D327" s="29" t="str">
        <f t="shared" si="370"/>
        <v>NO APLICA</v>
      </c>
      <c r="E327" s="27" t="s">
        <v>1137</v>
      </c>
      <c r="F327" s="43">
        <f t="shared" si="371"/>
        <v>0</v>
      </c>
      <c r="G327" s="21">
        <v>0</v>
      </c>
      <c r="H327" s="9">
        <f t="shared" si="361"/>
        <v>0</v>
      </c>
      <c r="I327" s="9" t="s">
        <v>1287</v>
      </c>
      <c r="J327" s="9">
        <f t="shared" si="362"/>
        <v>0</v>
      </c>
      <c r="K327" s="9">
        <f t="shared" si="363"/>
        <v>0</v>
      </c>
      <c r="L327" s="9">
        <f t="shared" si="364"/>
        <v>0</v>
      </c>
      <c r="M327" s="11">
        <f t="shared" si="372"/>
        <v>0</v>
      </c>
      <c r="N327" s="9">
        <f t="shared" si="365"/>
        <v>0</v>
      </c>
      <c r="O327" s="12">
        <f t="shared" si="366"/>
        <v>0</v>
      </c>
      <c r="P327" s="13" t="str">
        <f t="shared" si="373"/>
        <v>NO</v>
      </c>
      <c r="Q327">
        <f t="shared" si="367"/>
        <v>0</v>
      </c>
      <c r="R327">
        <f t="shared" si="368"/>
        <v>0</v>
      </c>
      <c r="S327">
        <f t="shared" si="369"/>
        <v>0</v>
      </c>
    </row>
    <row r="328" spans="1:22" ht="15" hidden="1" customHeight="1" thickBot="1" x14ac:dyDescent="0.35">
      <c r="A328" s="34" t="s">
        <v>1326</v>
      </c>
      <c r="B328" s="36">
        <v>309</v>
      </c>
      <c r="C328" s="29" t="s">
        <v>1373</v>
      </c>
      <c r="D328" s="29" t="str">
        <f t="shared" si="370"/>
        <v>NO APLICA</v>
      </c>
      <c r="E328" s="27" t="s">
        <v>1137</v>
      </c>
      <c r="F328" s="43">
        <f t="shared" si="371"/>
        <v>0</v>
      </c>
      <c r="G328" s="21">
        <v>0</v>
      </c>
      <c r="H328" s="9">
        <f t="shared" si="361"/>
        <v>0</v>
      </c>
      <c r="I328" s="9" t="s">
        <v>1287</v>
      </c>
      <c r="J328" s="9">
        <f t="shared" si="362"/>
        <v>0</v>
      </c>
      <c r="K328" s="9">
        <f t="shared" si="363"/>
        <v>0</v>
      </c>
      <c r="L328" s="9">
        <f t="shared" si="364"/>
        <v>0</v>
      </c>
      <c r="M328" s="11">
        <f t="shared" si="372"/>
        <v>0</v>
      </c>
      <c r="N328" s="9">
        <f t="shared" si="365"/>
        <v>0</v>
      </c>
      <c r="O328" s="12">
        <f t="shared" si="366"/>
        <v>0</v>
      </c>
      <c r="P328" s="13" t="str">
        <f t="shared" si="373"/>
        <v>NO</v>
      </c>
      <c r="Q328">
        <f t="shared" si="367"/>
        <v>0</v>
      </c>
      <c r="R328">
        <f t="shared" si="368"/>
        <v>0</v>
      </c>
      <c r="S328">
        <f t="shared" si="369"/>
        <v>0</v>
      </c>
      <c r="T328" s="205">
        <f>SUM(T284:T327)</f>
        <v>0</v>
      </c>
      <c r="U328" s="119">
        <f t="shared" ref="U328:V328" si="374">SUM(U284:U327)</f>
        <v>0</v>
      </c>
      <c r="V328" s="119">
        <f t="shared" si="374"/>
        <v>0</v>
      </c>
    </row>
    <row r="329" spans="1:22" s="18" customFormat="1" ht="15" hidden="1" customHeight="1" thickBot="1" x14ac:dyDescent="0.35">
      <c r="A329" s="24"/>
      <c r="B329" s="26"/>
      <c r="C329" s="15" t="s">
        <v>1177</v>
      </c>
      <c r="D329" s="38" t="str">
        <f>D328</f>
        <v>NO APLICA</v>
      </c>
      <c r="E329" s="38"/>
      <c r="F329" s="16">
        <f>SUMIF(E284:E328,"Adicional",F284:F328)</f>
        <v>0</v>
      </c>
      <c r="G329" s="17"/>
      <c r="H329" s="16">
        <f>SUM(H284:H328)</f>
        <v>0</v>
      </c>
      <c r="I329" s="16"/>
      <c r="J329" s="16">
        <f>SUM(J284:J328)</f>
        <v>0</v>
      </c>
      <c r="K329" s="16">
        <f>SUM(K284:K328)</f>
        <v>0</v>
      </c>
      <c r="L329" s="16">
        <f>SUM(L284:L328)</f>
        <v>0</v>
      </c>
      <c r="M329" s="16" t="s">
        <v>1178</v>
      </c>
      <c r="N329" s="16">
        <f>SUM(N284:N328)</f>
        <v>0</v>
      </c>
      <c r="O329" s="84">
        <f>SUM(O284:O328)</f>
        <v>0</v>
      </c>
      <c r="P329" s="13" t="str">
        <f t="shared" si="373"/>
        <v>NO</v>
      </c>
      <c r="Q329">
        <f>IF(D329="INCLUIDO",IF(H329&lt;&gt;0,1,0),0)</f>
        <v>0</v>
      </c>
      <c r="T329" s="143">
        <f>T272+T282+T276+T328</f>
        <v>1.0000000000000002</v>
      </c>
      <c r="U329" s="144">
        <f>U272+U282+U276+U328</f>
        <v>0</v>
      </c>
      <c r="V329" s="145">
        <f>V272+V282+V276+V328</f>
        <v>0</v>
      </c>
    </row>
    <row r="330" spans="1:22" ht="21.75" hidden="1" customHeight="1" thickBot="1" x14ac:dyDescent="0.35">
      <c r="A330" s="82">
        <v>911</v>
      </c>
      <c r="B330" s="33">
        <v>4</v>
      </c>
      <c r="C330" s="19" t="s">
        <v>1374</v>
      </c>
      <c r="D330" s="23" t="str">
        <f>'Ramo Comercial'!C178</f>
        <v>NO APLICA</v>
      </c>
      <c r="E330" s="91"/>
      <c r="F330" s="113">
        <v>0</v>
      </c>
      <c r="G330" s="113">
        <v>0</v>
      </c>
      <c r="H330" s="28"/>
      <c r="I330" s="28"/>
      <c r="J330" s="28"/>
      <c r="K330" s="28"/>
      <c r="L330" s="28"/>
      <c r="M330" s="68">
        <v>0</v>
      </c>
      <c r="N330" s="28"/>
      <c r="O330" s="83"/>
      <c r="P330" s="13" t="str">
        <f t="shared" si="373"/>
        <v>NO</v>
      </c>
      <c r="Q330" s="48">
        <f t="shared" ref="Q330:Q335" si="375">IF(D330="INCLUIDO",IF(F330&lt;&gt;0,1,0),0)</f>
        <v>0</v>
      </c>
      <c r="T330" s="142">
        <f>G330</f>
        <v>0</v>
      </c>
      <c r="U330" s="150"/>
      <c r="V330" s="151"/>
    </row>
    <row r="331" spans="1:22" ht="15" hidden="1" customHeight="1" x14ac:dyDescent="0.3">
      <c r="A331" s="34" t="s">
        <v>1326</v>
      </c>
      <c r="B331" s="36">
        <v>232</v>
      </c>
      <c r="C331" s="29" t="s">
        <v>1375</v>
      </c>
      <c r="D331" s="29" t="str">
        <f>$D$330</f>
        <v>NO APLICA</v>
      </c>
      <c r="E331" s="27" t="s">
        <v>1152</v>
      </c>
      <c r="F331" s="20">
        <f>F330*S331</f>
        <v>0</v>
      </c>
      <c r="G331" s="21">
        <f>V331</f>
        <v>0</v>
      </c>
      <c r="H331" s="9">
        <f t="shared" ref="H331:H335" si="376">(IF(I331="$ Prima",G331,G331*F331/R331))*$U$9</f>
        <v>0</v>
      </c>
      <c r="I331" s="9" t="s">
        <v>1287</v>
      </c>
      <c r="J331" s="9">
        <f t="shared" ref="J331:J335" si="377">H331*$U$7</f>
        <v>0</v>
      </c>
      <c r="K331" s="9">
        <f t="shared" ref="K331:K335" si="378">(H331+J331)*$K$15</f>
        <v>0</v>
      </c>
      <c r="L331" s="9">
        <f t="shared" ref="L331:L335" si="379">ROUND(H331+J331+K331,2)</f>
        <v>0</v>
      </c>
      <c r="M331" s="11">
        <f>$M$330</f>
        <v>0</v>
      </c>
      <c r="N331" s="9">
        <f t="shared" ref="N331:N335" si="380">H331*M331</f>
        <v>0</v>
      </c>
      <c r="O331" s="12">
        <f t="shared" ref="O331:O335" si="381">N331</f>
        <v>0</v>
      </c>
      <c r="P331" s="13" t="str">
        <f t="shared" si="373"/>
        <v>NO</v>
      </c>
      <c r="Q331">
        <f t="shared" si="375"/>
        <v>0</v>
      </c>
      <c r="R331">
        <f>IF(I331="%o Al Millar",1000,IF(I331="% Al Porciento",100,IF(I331="$ Prima",G331)))</f>
        <v>0</v>
      </c>
      <c r="S331">
        <f t="shared" ref="S331:S335" si="382">IF(E331="Excluido",0,IF(D331="NO APLICA",0,1))</f>
        <v>0</v>
      </c>
      <c r="T331" s="152">
        <v>0.13</v>
      </c>
      <c r="U331" s="159">
        <f>IF(E331="Excluido",0,T330*T331)</f>
        <v>0</v>
      </c>
      <c r="V331" s="160">
        <f>IF(D330="NO APLICA",0,(U336-U332-U333-U334-U335)+(T330-U336))</f>
        <v>0</v>
      </c>
    </row>
    <row r="332" spans="1:22" ht="15" hidden="1" customHeight="1" x14ac:dyDescent="0.3">
      <c r="A332" s="34" t="s">
        <v>1326</v>
      </c>
      <c r="B332" s="36">
        <v>234</v>
      </c>
      <c r="C332" s="29" t="s">
        <v>1376</v>
      </c>
      <c r="D332" s="29" t="str">
        <f t="shared" ref="D332:D335" si="383">$D$330</f>
        <v>NO APLICA</v>
      </c>
      <c r="E332" s="27" t="s">
        <v>1137</v>
      </c>
      <c r="F332" s="20">
        <f>$F$331*S332</f>
        <v>0</v>
      </c>
      <c r="G332" s="21">
        <f t="shared" ref="G332:G335" si="384">V332</f>
        <v>0</v>
      </c>
      <c r="H332" s="9">
        <f t="shared" si="376"/>
        <v>0</v>
      </c>
      <c r="I332" s="9" t="s">
        <v>1287</v>
      </c>
      <c r="J332" s="9">
        <f t="shared" si="377"/>
        <v>0</v>
      </c>
      <c r="K332" s="9">
        <f t="shared" si="378"/>
        <v>0</v>
      </c>
      <c r="L332" s="9">
        <f t="shared" si="379"/>
        <v>0</v>
      </c>
      <c r="M332" s="11">
        <f t="shared" ref="M332:M335" si="385">$M$330</f>
        <v>0</v>
      </c>
      <c r="N332" s="9">
        <f t="shared" si="380"/>
        <v>0</v>
      </c>
      <c r="O332" s="12">
        <f t="shared" si="381"/>
        <v>0</v>
      </c>
      <c r="P332" s="13" t="str">
        <f t="shared" si="373"/>
        <v>NO</v>
      </c>
      <c r="Q332">
        <f t="shared" si="375"/>
        <v>0</v>
      </c>
      <c r="R332">
        <f>IF(I332="%o Al Millar",1000,IF(I332="% Al Porciento",100,IF(I332="$ Prima",G332)))</f>
        <v>0</v>
      </c>
      <c r="S332">
        <f t="shared" si="382"/>
        <v>0</v>
      </c>
      <c r="T332" s="152">
        <v>0.12</v>
      </c>
      <c r="U332" s="159">
        <f>IF(E332="Excluido",0,T330*T332)</f>
        <v>0</v>
      </c>
      <c r="V332" s="160">
        <f>IF(F332=0,0,U332)</f>
        <v>0</v>
      </c>
    </row>
    <row r="333" spans="1:22" ht="15" hidden="1" customHeight="1" x14ac:dyDescent="0.3">
      <c r="A333" s="34" t="s">
        <v>1326</v>
      </c>
      <c r="B333" s="36">
        <v>235</v>
      </c>
      <c r="C333" s="29" t="s">
        <v>1377</v>
      </c>
      <c r="D333" s="29" t="str">
        <f t="shared" si="383"/>
        <v>NO APLICA</v>
      </c>
      <c r="E333" s="27" t="s">
        <v>1137</v>
      </c>
      <c r="F333" s="20">
        <f t="shared" ref="F333:F335" si="386">$F$331*S333</f>
        <v>0</v>
      </c>
      <c r="G333" s="21">
        <f t="shared" si="384"/>
        <v>0</v>
      </c>
      <c r="H333" s="9">
        <f t="shared" si="376"/>
        <v>0</v>
      </c>
      <c r="I333" s="9" t="s">
        <v>1287</v>
      </c>
      <c r="J333" s="9">
        <f t="shared" si="377"/>
        <v>0</v>
      </c>
      <c r="K333" s="9">
        <f t="shared" si="378"/>
        <v>0</v>
      </c>
      <c r="L333" s="9">
        <f t="shared" si="379"/>
        <v>0</v>
      </c>
      <c r="M333" s="11">
        <f t="shared" si="385"/>
        <v>0</v>
      </c>
      <c r="N333" s="9">
        <f t="shared" si="380"/>
        <v>0</v>
      </c>
      <c r="O333" s="12">
        <f t="shared" si="381"/>
        <v>0</v>
      </c>
      <c r="P333" s="13" t="str">
        <f t="shared" si="373"/>
        <v>NO</v>
      </c>
      <c r="Q333">
        <f t="shared" si="375"/>
        <v>0</v>
      </c>
      <c r="R333">
        <f>IF(I333="%o Al Millar",1000,IF(I333="% Al Porciento",100,IF(I333="$ Prima",G333)))</f>
        <v>0</v>
      </c>
      <c r="S333">
        <f t="shared" si="382"/>
        <v>0</v>
      </c>
      <c r="T333" s="152">
        <v>0.2</v>
      </c>
      <c r="U333" s="159">
        <f>IF(E333="Excluido",0,T330*T333)</f>
        <v>0</v>
      </c>
      <c r="V333" s="160">
        <f t="shared" ref="V333:V335" si="387">IF(F333=0,0,U333)</f>
        <v>0</v>
      </c>
    </row>
    <row r="334" spans="1:22" ht="15" hidden="1" customHeight="1" x14ac:dyDescent="0.3">
      <c r="A334" s="34" t="s">
        <v>1326</v>
      </c>
      <c r="B334" s="36">
        <v>236</v>
      </c>
      <c r="C334" s="29" t="s">
        <v>1378</v>
      </c>
      <c r="D334" s="29" t="str">
        <f t="shared" si="383"/>
        <v>NO APLICA</v>
      </c>
      <c r="E334" s="27" t="s">
        <v>1137</v>
      </c>
      <c r="F334" s="20">
        <f t="shared" si="386"/>
        <v>0</v>
      </c>
      <c r="G334" s="21">
        <f t="shared" si="384"/>
        <v>0</v>
      </c>
      <c r="H334" s="9">
        <f t="shared" si="376"/>
        <v>0</v>
      </c>
      <c r="I334" s="9" t="s">
        <v>1287</v>
      </c>
      <c r="J334" s="9">
        <f t="shared" si="377"/>
        <v>0</v>
      </c>
      <c r="K334" s="9">
        <f t="shared" si="378"/>
        <v>0</v>
      </c>
      <c r="L334" s="9">
        <f t="shared" si="379"/>
        <v>0</v>
      </c>
      <c r="M334" s="11">
        <f t="shared" si="385"/>
        <v>0</v>
      </c>
      <c r="N334" s="9">
        <f t="shared" si="380"/>
        <v>0</v>
      </c>
      <c r="O334" s="12">
        <f t="shared" si="381"/>
        <v>0</v>
      </c>
      <c r="P334" s="13" t="str">
        <f t="shared" si="373"/>
        <v>NO</v>
      </c>
      <c r="Q334">
        <f t="shared" si="375"/>
        <v>0</v>
      </c>
      <c r="R334">
        <f>IF(I334="%o Al Millar",1000,IF(I334="% Al Porciento",100,IF(I334="$ Prima",G334)))</f>
        <v>0</v>
      </c>
      <c r="S334">
        <f t="shared" si="382"/>
        <v>0</v>
      </c>
      <c r="T334" s="152">
        <v>0.15</v>
      </c>
      <c r="U334" s="159">
        <f>IF(E334="Excluido",0,T330*T334)</f>
        <v>0</v>
      </c>
      <c r="V334" s="160">
        <f t="shared" si="387"/>
        <v>0</v>
      </c>
    </row>
    <row r="335" spans="1:22" ht="15" hidden="1" customHeight="1" thickBot="1" x14ac:dyDescent="0.35">
      <c r="A335" s="34" t="s">
        <v>1326</v>
      </c>
      <c r="B335" s="36">
        <v>233</v>
      </c>
      <c r="C335" s="29" t="s">
        <v>1293</v>
      </c>
      <c r="D335" s="29" t="str">
        <f t="shared" si="383"/>
        <v>NO APLICA</v>
      </c>
      <c r="E335" s="27" t="s">
        <v>1137</v>
      </c>
      <c r="F335" s="20">
        <f t="shared" si="386"/>
        <v>0</v>
      </c>
      <c r="G335" s="21">
        <f t="shared" si="384"/>
        <v>0</v>
      </c>
      <c r="H335" s="9">
        <f t="shared" si="376"/>
        <v>0</v>
      </c>
      <c r="I335" s="9" t="s">
        <v>1287</v>
      </c>
      <c r="J335" s="9">
        <f t="shared" si="377"/>
        <v>0</v>
      </c>
      <c r="K335" s="9">
        <f t="shared" si="378"/>
        <v>0</v>
      </c>
      <c r="L335" s="9">
        <f t="shared" si="379"/>
        <v>0</v>
      </c>
      <c r="M335" s="11">
        <f t="shared" si="385"/>
        <v>0</v>
      </c>
      <c r="N335" s="9">
        <f t="shared" si="380"/>
        <v>0</v>
      </c>
      <c r="O335" s="12">
        <f t="shared" si="381"/>
        <v>0</v>
      </c>
      <c r="P335" s="13" t="str">
        <f t="shared" si="373"/>
        <v>NO</v>
      </c>
      <c r="Q335">
        <f t="shared" si="375"/>
        <v>0</v>
      </c>
      <c r="R335">
        <f>IF(I335="%o Al Millar",1000,IF(I335="% Al Porciento",100,IF(I335="$ Prima",G335)))</f>
        <v>0</v>
      </c>
      <c r="S335">
        <f t="shared" si="382"/>
        <v>0</v>
      </c>
      <c r="T335" s="152">
        <v>0.4</v>
      </c>
      <c r="U335" s="159">
        <f>IF(E335="Excluido",0,T330*T335)</f>
        <v>0</v>
      </c>
      <c r="V335" s="160">
        <f t="shared" si="387"/>
        <v>0</v>
      </c>
    </row>
    <row r="336" spans="1:22" s="18" customFormat="1" ht="15" hidden="1" customHeight="1" thickBot="1" x14ac:dyDescent="0.35">
      <c r="A336" s="24"/>
      <c r="B336" s="26"/>
      <c r="C336" s="15" t="s">
        <v>1177</v>
      </c>
      <c r="D336" s="38" t="str">
        <f>D335</f>
        <v>NO APLICA</v>
      </c>
      <c r="E336" s="38"/>
      <c r="F336" s="16">
        <f>SUMIF(E331:E335,"Adicional",F331:F335)</f>
        <v>0</v>
      </c>
      <c r="G336" s="17"/>
      <c r="H336" s="16">
        <f>SUM(H331:H335)</f>
        <v>0</v>
      </c>
      <c r="I336" s="16"/>
      <c r="J336" s="16">
        <f t="shared" ref="J336:L336" si="388">SUM(J331:J335)</f>
        <v>0</v>
      </c>
      <c r="K336" s="16">
        <f t="shared" si="388"/>
        <v>0</v>
      </c>
      <c r="L336" s="16">
        <f t="shared" si="388"/>
        <v>0</v>
      </c>
      <c r="M336" s="16" t="s">
        <v>1178</v>
      </c>
      <c r="N336" s="16">
        <f t="shared" ref="N336:O336" si="389">SUM(N331:N335)</f>
        <v>0</v>
      </c>
      <c r="O336" s="84">
        <f t="shared" si="389"/>
        <v>0</v>
      </c>
      <c r="P336" s="13" t="str">
        <f t="shared" si="373"/>
        <v>NO</v>
      </c>
      <c r="Q336">
        <f>IF(D336="INCLUIDO",IF(H336&lt;&gt;0,1,0),0)</f>
        <v>0</v>
      </c>
      <c r="T336" s="143">
        <f>SUM(T331:T335)</f>
        <v>1</v>
      </c>
      <c r="U336" s="144">
        <f>SUM(U331:U335)</f>
        <v>0</v>
      </c>
      <c r="V336" s="145">
        <f>SUM(V331:V335)</f>
        <v>0</v>
      </c>
    </row>
    <row r="337" spans="1:22" ht="15" hidden="1" customHeight="1" thickBot="1" x14ac:dyDescent="0.35">
      <c r="A337" s="82">
        <v>911</v>
      </c>
      <c r="B337" s="33">
        <v>5</v>
      </c>
      <c r="C337" s="19" t="s">
        <v>1379</v>
      </c>
      <c r="D337" s="23" t="str">
        <f>'Ramo Comercial'!C179</f>
        <v>NO APLICA</v>
      </c>
      <c r="E337" s="91"/>
      <c r="F337" s="113">
        <v>0</v>
      </c>
      <c r="G337" s="113">
        <v>0</v>
      </c>
      <c r="H337" s="28"/>
      <c r="I337" s="28"/>
      <c r="J337" s="28"/>
      <c r="K337" s="28"/>
      <c r="L337" s="28"/>
      <c r="M337" s="68">
        <v>0</v>
      </c>
      <c r="N337" s="28"/>
      <c r="O337" s="83"/>
      <c r="P337" s="13" t="str">
        <f t="shared" si="373"/>
        <v>NO</v>
      </c>
      <c r="Q337" s="48">
        <f t="shared" ref="Q337:Q343" si="390">IF(D337="INCLUIDO",IF(F337&lt;&gt;0,1,0),0)</f>
        <v>0</v>
      </c>
      <c r="T337" s="142">
        <f>G337</f>
        <v>0</v>
      </c>
      <c r="U337" s="150"/>
      <c r="V337" s="151"/>
    </row>
    <row r="338" spans="1:22" ht="15" hidden="1" customHeight="1" x14ac:dyDescent="0.3">
      <c r="A338" s="34" t="s">
        <v>1326</v>
      </c>
      <c r="B338" s="36">
        <v>237</v>
      </c>
      <c r="C338" s="29" t="s">
        <v>1375</v>
      </c>
      <c r="D338" s="29" t="str">
        <f>$D$337</f>
        <v>NO APLICA</v>
      </c>
      <c r="E338" s="27" t="s">
        <v>1152</v>
      </c>
      <c r="F338" s="20">
        <f>F337*S338</f>
        <v>0</v>
      </c>
      <c r="G338" s="21">
        <v>0</v>
      </c>
      <c r="H338" s="9">
        <f t="shared" ref="H338:H343" si="391">(IF(I338="$ Prima",G338,G338*F338/R338))*$U$9</f>
        <v>0</v>
      </c>
      <c r="I338" s="9" t="s">
        <v>1287</v>
      </c>
      <c r="J338" s="9">
        <f t="shared" ref="J338:J343" si="392">H338*$U$7</f>
        <v>0</v>
      </c>
      <c r="K338" s="9">
        <f t="shared" ref="K338:K343" si="393">(H338+J338)*$K$15</f>
        <v>0</v>
      </c>
      <c r="L338" s="9">
        <f t="shared" ref="L338:L343" si="394">ROUND(H338+J338+K338,2)</f>
        <v>0</v>
      </c>
      <c r="M338" s="11">
        <f>$M$337</f>
        <v>0</v>
      </c>
      <c r="N338" s="9">
        <f t="shared" ref="N338:N343" si="395">H338*M338</f>
        <v>0</v>
      </c>
      <c r="O338" s="12">
        <f t="shared" ref="O338:O343" si="396">N338</f>
        <v>0</v>
      </c>
      <c r="P338" s="13" t="str">
        <f t="shared" si="373"/>
        <v>NO</v>
      </c>
      <c r="Q338">
        <f t="shared" si="390"/>
        <v>0</v>
      </c>
      <c r="R338">
        <f t="shared" ref="R338:R343" si="397">IF(I338="%o Al Millar",1000,IF(I338="% Al Porciento",100,IF(I338="$ Prima",G338)))</f>
        <v>0</v>
      </c>
      <c r="S338">
        <f t="shared" ref="S338:S343" si="398">IF(E338="Excluido",0,IF(D338="NO APLICA",0,1))</f>
        <v>0</v>
      </c>
      <c r="T338" s="152">
        <v>0.13</v>
      </c>
      <c r="U338" s="159">
        <f>IF(E338="Excluido",0,T337*T338)</f>
        <v>0</v>
      </c>
      <c r="V338" s="160">
        <f>IF(D337="NO APLICA",0,(U343-U339-U340-U341-U342)+(T337-U343))</f>
        <v>0</v>
      </c>
    </row>
    <row r="339" spans="1:22" ht="15" hidden="1" customHeight="1" x14ac:dyDescent="0.3">
      <c r="A339" s="34" t="s">
        <v>1326</v>
      </c>
      <c r="B339" s="36">
        <v>238</v>
      </c>
      <c r="C339" s="29" t="s">
        <v>1352</v>
      </c>
      <c r="D339" s="29" t="str">
        <f t="shared" ref="D339:D343" si="399">$D$337</f>
        <v>NO APLICA</v>
      </c>
      <c r="E339" s="27" t="s">
        <v>1137</v>
      </c>
      <c r="F339" s="20">
        <f>$F$338*S339</f>
        <v>0</v>
      </c>
      <c r="G339" s="21">
        <v>0</v>
      </c>
      <c r="H339" s="9">
        <f t="shared" si="391"/>
        <v>0</v>
      </c>
      <c r="I339" s="9" t="s">
        <v>1287</v>
      </c>
      <c r="J339" s="9">
        <f t="shared" si="392"/>
        <v>0</v>
      </c>
      <c r="K339" s="9">
        <f t="shared" si="393"/>
        <v>0</v>
      </c>
      <c r="L339" s="9">
        <f t="shared" si="394"/>
        <v>0</v>
      </c>
      <c r="M339" s="11">
        <f t="shared" ref="M339:M343" si="400">$M$337</f>
        <v>0</v>
      </c>
      <c r="N339" s="9">
        <f t="shared" si="395"/>
        <v>0</v>
      </c>
      <c r="O339" s="12">
        <f t="shared" si="396"/>
        <v>0</v>
      </c>
      <c r="P339" s="13" t="str">
        <f t="shared" si="373"/>
        <v>NO</v>
      </c>
      <c r="Q339">
        <f t="shared" si="390"/>
        <v>0</v>
      </c>
      <c r="R339">
        <f t="shared" si="397"/>
        <v>0</v>
      </c>
      <c r="S339">
        <f t="shared" si="398"/>
        <v>0</v>
      </c>
      <c r="T339" s="152">
        <v>0.12</v>
      </c>
      <c r="U339" s="159">
        <f>IF(E339="Excluido",0,T337*T339)</f>
        <v>0</v>
      </c>
      <c r="V339" s="160">
        <f>IF(F339=0,0,U339)</f>
        <v>0</v>
      </c>
    </row>
    <row r="340" spans="1:22" ht="15" hidden="1" customHeight="1" x14ac:dyDescent="0.3">
      <c r="A340" s="34" t="s">
        <v>1326</v>
      </c>
      <c r="B340" s="36">
        <v>240</v>
      </c>
      <c r="C340" s="29" t="s">
        <v>1376</v>
      </c>
      <c r="D340" s="29" t="str">
        <f t="shared" si="399"/>
        <v>NO APLICA</v>
      </c>
      <c r="E340" s="27" t="s">
        <v>1137</v>
      </c>
      <c r="F340" s="20">
        <f t="shared" ref="F340:F343" si="401">$F$338*S340</f>
        <v>0</v>
      </c>
      <c r="G340" s="21">
        <v>0</v>
      </c>
      <c r="H340" s="9">
        <f t="shared" si="391"/>
        <v>0</v>
      </c>
      <c r="I340" s="9" t="s">
        <v>1287</v>
      </c>
      <c r="J340" s="9">
        <f t="shared" si="392"/>
        <v>0</v>
      </c>
      <c r="K340" s="9">
        <f t="shared" si="393"/>
        <v>0</v>
      </c>
      <c r="L340" s="9">
        <f t="shared" si="394"/>
        <v>0</v>
      </c>
      <c r="M340" s="11">
        <f t="shared" si="400"/>
        <v>0</v>
      </c>
      <c r="N340" s="9">
        <f t="shared" si="395"/>
        <v>0</v>
      </c>
      <c r="O340" s="12">
        <f t="shared" si="396"/>
        <v>0</v>
      </c>
      <c r="P340" s="13" t="str">
        <f t="shared" si="373"/>
        <v>NO</v>
      </c>
      <c r="Q340">
        <f t="shared" si="390"/>
        <v>0</v>
      </c>
      <c r="R340">
        <f t="shared" si="397"/>
        <v>0</v>
      </c>
      <c r="S340">
        <f t="shared" si="398"/>
        <v>0</v>
      </c>
      <c r="T340" s="152">
        <v>0.2</v>
      </c>
      <c r="U340" s="159">
        <f>IF(E340="Excluido",0,T337*T340)</f>
        <v>0</v>
      </c>
      <c r="V340" s="160">
        <f t="shared" ref="V340:V342" si="402">IF(F340=0,0,U340)</f>
        <v>0</v>
      </c>
    </row>
    <row r="341" spans="1:22" ht="15" hidden="1" customHeight="1" x14ac:dyDescent="0.3">
      <c r="A341" s="34" t="s">
        <v>1326</v>
      </c>
      <c r="B341" s="36">
        <v>241</v>
      </c>
      <c r="C341" s="29" t="s">
        <v>1377</v>
      </c>
      <c r="D341" s="29" t="str">
        <f t="shared" si="399"/>
        <v>NO APLICA</v>
      </c>
      <c r="E341" s="27" t="s">
        <v>1137</v>
      </c>
      <c r="F341" s="20">
        <f t="shared" si="401"/>
        <v>0</v>
      </c>
      <c r="G341" s="21">
        <v>0</v>
      </c>
      <c r="H341" s="9">
        <f t="shared" si="391"/>
        <v>0</v>
      </c>
      <c r="I341" s="9" t="s">
        <v>1287</v>
      </c>
      <c r="J341" s="9">
        <f t="shared" si="392"/>
        <v>0</v>
      </c>
      <c r="K341" s="9">
        <f t="shared" si="393"/>
        <v>0</v>
      </c>
      <c r="L341" s="9">
        <f t="shared" si="394"/>
        <v>0</v>
      </c>
      <c r="M341" s="11">
        <f t="shared" si="400"/>
        <v>0</v>
      </c>
      <c r="N341" s="9">
        <f t="shared" si="395"/>
        <v>0</v>
      </c>
      <c r="O341" s="12">
        <f t="shared" si="396"/>
        <v>0</v>
      </c>
      <c r="P341" s="13" t="str">
        <f t="shared" si="373"/>
        <v>NO</v>
      </c>
      <c r="Q341">
        <f t="shared" si="390"/>
        <v>0</v>
      </c>
      <c r="R341">
        <f t="shared" si="397"/>
        <v>0</v>
      </c>
      <c r="S341">
        <f t="shared" si="398"/>
        <v>0</v>
      </c>
      <c r="T341" s="152">
        <v>0.15</v>
      </c>
      <c r="U341" s="159">
        <f>IF(E341="Excluido",0,T337*T341)</f>
        <v>0</v>
      </c>
      <c r="V341" s="160">
        <f t="shared" si="402"/>
        <v>0</v>
      </c>
    </row>
    <row r="342" spans="1:22" ht="15" hidden="1" customHeight="1" thickBot="1" x14ac:dyDescent="0.35">
      <c r="A342" s="34" t="s">
        <v>1326</v>
      </c>
      <c r="B342" s="36">
        <v>242</v>
      </c>
      <c r="C342" s="29" t="s">
        <v>1378</v>
      </c>
      <c r="D342" s="29" t="str">
        <f t="shared" si="399"/>
        <v>NO APLICA</v>
      </c>
      <c r="E342" s="27" t="s">
        <v>1137</v>
      </c>
      <c r="F342" s="20">
        <f t="shared" si="401"/>
        <v>0</v>
      </c>
      <c r="G342" s="21">
        <v>0</v>
      </c>
      <c r="H342" s="9">
        <f t="shared" si="391"/>
        <v>0</v>
      </c>
      <c r="I342" s="9" t="s">
        <v>1287</v>
      </c>
      <c r="J342" s="9">
        <f t="shared" si="392"/>
        <v>0</v>
      </c>
      <c r="K342" s="9">
        <f t="shared" si="393"/>
        <v>0</v>
      </c>
      <c r="L342" s="9">
        <f t="shared" si="394"/>
        <v>0</v>
      </c>
      <c r="M342" s="11">
        <f t="shared" si="400"/>
        <v>0</v>
      </c>
      <c r="N342" s="9">
        <f t="shared" si="395"/>
        <v>0</v>
      </c>
      <c r="O342" s="12">
        <f t="shared" si="396"/>
        <v>0</v>
      </c>
      <c r="P342" s="13" t="str">
        <f t="shared" si="373"/>
        <v>NO</v>
      </c>
      <c r="Q342">
        <f t="shared" si="390"/>
        <v>0</v>
      </c>
      <c r="R342">
        <f t="shared" si="397"/>
        <v>0</v>
      </c>
      <c r="S342">
        <f t="shared" si="398"/>
        <v>0</v>
      </c>
      <c r="T342" s="152">
        <v>0.4</v>
      </c>
      <c r="U342" s="159">
        <f>IF(E342="Excluido",0,T337*T342)</f>
        <v>0</v>
      </c>
      <c r="V342" s="160">
        <f t="shared" si="402"/>
        <v>0</v>
      </c>
    </row>
    <row r="343" spans="1:22" ht="15" hidden="1" customHeight="1" thickBot="1" x14ac:dyDescent="0.35">
      <c r="A343" s="34" t="s">
        <v>1326</v>
      </c>
      <c r="B343" s="36">
        <v>239</v>
      </c>
      <c r="C343" s="29" t="s">
        <v>1293</v>
      </c>
      <c r="D343" s="29" t="str">
        <f t="shared" si="399"/>
        <v>NO APLICA</v>
      </c>
      <c r="E343" s="27" t="s">
        <v>1137</v>
      </c>
      <c r="F343" s="20">
        <f t="shared" si="401"/>
        <v>0</v>
      </c>
      <c r="G343" s="21">
        <v>0</v>
      </c>
      <c r="H343" s="9">
        <f t="shared" si="391"/>
        <v>0</v>
      </c>
      <c r="I343" s="9" t="s">
        <v>1287</v>
      </c>
      <c r="J343" s="9">
        <f t="shared" si="392"/>
        <v>0</v>
      </c>
      <c r="K343" s="9">
        <f t="shared" si="393"/>
        <v>0</v>
      </c>
      <c r="L343" s="9">
        <f t="shared" si="394"/>
        <v>0</v>
      </c>
      <c r="M343" s="11">
        <f t="shared" si="400"/>
        <v>0</v>
      </c>
      <c r="N343" s="9">
        <f t="shared" si="395"/>
        <v>0</v>
      </c>
      <c r="O343" s="12">
        <f t="shared" si="396"/>
        <v>0</v>
      </c>
      <c r="P343" s="13" t="str">
        <f t="shared" si="373"/>
        <v>NO</v>
      </c>
      <c r="Q343">
        <f t="shared" si="390"/>
        <v>0</v>
      </c>
      <c r="R343">
        <f t="shared" si="397"/>
        <v>0</v>
      </c>
      <c r="S343">
        <f t="shared" si="398"/>
        <v>0</v>
      </c>
      <c r="T343" s="143">
        <f>SUM(T338:T342)</f>
        <v>1</v>
      </c>
      <c r="U343" s="144">
        <f>SUM(U338:U342)</f>
        <v>0</v>
      </c>
      <c r="V343" s="145">
        <f>SUM(V338:V342)</f>
        <v>0</v>
      </c>
    </row>
    <row r="344" spans="1:22" s="18" customFormat="1" ht="15" hidden="1" customHeight="1" x14ac:dyDescent="0.3">
      <c r="A344" s="24"/>
      <c r="B344" s="26"/>
      <c r="C344" s="15" t="s">
        <v>1177</v>
      </c>
      <c r="D344" s="38" t="str">
        <f>D343</f>
        <v>NO APLICA</v>
      </c>
      <c r="E344" s="38"/>
      <c r="F344" s="16">
        <f>SUMIF(E338:E343,"Adicional",F338:F343)</f>
        <v>0</v>
      </c>
      <c r="G344" s="17"/>
      <c r="H344" s="16">
        <f>SUM(H338:H343)</f>
        <v>0</v>
      </c>
      <c r="I344" s="16"/>
      <c r="J344" s="16">
        <f t="shared" ref="J344:L344" si="403">SUM(J338:J343)</f>
        <v>0</v>
      </c>
      <c r="K344" s="16">
        <f t="shared" si="403"/>
        <v>0</v>
      </c>
      <c r="L344" s="16">
        <f t="shared" si="403"/>
        <v>0</v>
      </c>
      <c r="M344" s="16" t="s">
        <v>1178</v>
      </c>
      <c r="N344" s="16">
        <f t="shared" ref="N344:O344" si="404">SUM(N338:N343)</f>
        <v>0</v>
      </c>
      <c r="O344" s="84">
        <f t="shared" si="404"/>
        <v>0</v>
      </c>
      <c r="P344" s="13" t="str">
        <f t="shared" si="373"/>
        <v>NO</v>
      </c>
      <c r="Q344">
        <f>IF(D344="INCLUIDO",IF(H344&lt;&gt;0,1,0),0)</f>
        <v>0</v>
      </c>
    </row>
    <row r="345" spans="1:22" ht="15" hidden="1" customHeight="1" x14ac:dyDescent="0.3">
      <c r="A345" s="82">
        <v>912</v>
      </c>
      <c r="B345" s="33">
        <v>1</v>
      </c>
      <c r="C345" s="19" t="s">
        <v>1380</v>
      </c>
      <c r="D345" s="23" t="str">
        <f>'Ramo Comercial'!C175</f>
        <v>NO APLICA</v>
      </c>
      <c r="E345" s="91"/>
      <c r="F345" s="28"/>
      <c r="G345" s="28"/>
      <c r="H345" s="28"/>
      <c r="I345" s="28"/>
      <c r="J345" s="28"/>
      <c r="K345" s="28"/>
      <c r="L345" s="28"/>
      <c r="M345" s="68">
        <v>0</v>
      </c>
      <c r="N345" s="28"/>
      <c r="O345" s="83"/>
      <c r="P345" s="13" t="str">
        <f t="shared" si="373"/>
        <v>NO</v>
      </c>
      <c r="Q345" s="47">
        <f>IF(D345="INCLUIDO",IF(F346&lt;&gt;0,1,0),0)</f>
        <v>0</v>
      </c>
    </row>
    <row r="346" spans="1:22" ht="15" hidden="1" customHeight="1" x14ac:dyDescent="0.3">
      <c r="A346" s="34" t="s">
        <v>1381</v>
      </c>
      <c r="B346" s="36">
        <v>190</v>
      </c>
      <c r="C346" s="29" t="s">
        <v>1380</v>
      </c>
      <c r="D346" s="29" t="str">
        <f>$D$345</f>
        <v>NO APLICA</v>
      </c>
      <c r="E346" s="27" t="s">
        <v>1152</v>
      </c>
      <c r="F346" s="43">
        <v>0</v>
      </c>
      <c r="G346" s="21">
        <v>0</v>
      </c>
      <c r="H346" s="9">
        <f t="shared" ref="H346:H349" si="405">(IF(I346="$ Prima",G346,G346*F346/R346))*$U$9</f>
        <v>0</v>
      </c>
      <c r="I346" s="9" t="s">
        <v>1287</v>
      </c>
      <c r="J346" s="9">
        <f t="shared" ref="J346:J349" si="406">H346*$U$7</f>
        <v>0</v>
      </c>
      <c r="K346" s="9">
        <f t="shared" ref="K346:K349" si="407">(H346+J346)*$K$15</f>
        <v>0</v>
      </c>
      <c r="L346" s="9">
        <f t="shared" ref="L346:L349" si="408">ROUND(H346+J346+K346,2)</f>
        <v>0</v>
      </c>
      <c r="M346" s="11">
        <f>$M$345</f>
        <v>0</v>
      </c>
      <c r="N346" s="9">
        <f t="shared" ref="N346:N349" si="409">H346*M346</f>
        <v>0</v>
      </c>
      <c r="O346" s="12">
        <f t="shared" ref="O346:O349" si="410">N346</f>
        <v>0</v>
      </c>
      <c r="P346" s="13" t="str">
        <f t="shared" si="373"/>
        <v>NO</v>
      </c>
      <c r="Q346">
        <f t="shared" ref="Q346:Q349" si="411">IF(D346="INCLUIDO",IF(F346&lt;&gt;0,1,0),0)</f>
        <v>0</v>
      </c>
      <c r="R346">
        <f t="shared" ref="R346:R349" si="412">IF(I346="%o Al Millar",1000,IF(I346="% Al Porciento",100,IF(I346="$ Prima",G346)))</f>
        <v>0</v>
      </c>
      <c r="S346">
        <f t="shared" ref="S346:S349" si="413">IF(E346="Excluido",0,IF(D346="NO APLICA",0,1))</f>
        <v>0</v>
      </c>
    </row>
    <row r="347" spans="1:22" ht="15" hidden="1" customHeight="1" x14ac:dyDescent="0.3">
      <c r="A347" s="34" t="s">
        <v>1381</v>
      </c>
      <c r="B347" s="36">
        <v>306</v>
      </c>
      <c r="C347" s="29" t="s">
        <v>1382</v>
      </c>
      <c r="D347" s="29" t="str">
        <f>$D$345</f>
        <v>NO APLICA</v>
      </c>
      <c r="E347" s="27" t="s">
        <v>1152</v>
      </c>
      <c r="F347" s="43">
        <v>0</v>
      </c>
      <c r="G347" s="21">
        <v>0</v>
      </c>
      <c r="H347" s="9">
        <f t="shared" si="405"/>
        <v>0</v>
      </c>
      <c r="I347" s="9" t="s">
        <v>1287</v>
      </c>
      <c r="J347" s="9">
        <f t="shared" si="406"/>
        <v>0</v>
      </c>
      <c r="K347" s="9">
        <f t="shared" si="407"/>
        <v>0</v>
      </c>
      <c r="L347" s="9">
        <f t="shared" si="408"/>
        <v>0</v>
      </c>
      <c r="M347" s="11">
        <f t="shared" ref="M347:M349" si="414">$M$345</f>
        <v>0</v>
      </c>
      <c r="N347" s="9">
        <f t="shared" si="409"/>
        <v>0</v>
      </c>
      <c r="O347" s="12">
        <f t="shared" si="410"/>
        <v>0</v>
      </c>
      <c r="P347" s="13" t="str">
        <f t="shared" si="373"/>
        <v>NO</v>
      </c>
      <c r="Q347">
        <f t="shared" si="411"/>
        <v>0</v>
      </c>
      <c r="R347">
        <f t="shared" si="412"/>
        <v>0</v>
      </c>
      <c r="S347">
        <f t="shared" si="413"/>
        <v>0</v>
      </c>
    </row>
    <row r="348" spans="1:22" ht="15" hidden="1" customHeight="1" x14ac:dyDescent="0.3">
      <c r="A348" s="34" t="s">
        <v>1381</v>
      </c>
      <c r="B348" s="36">
        <v>307</v>
      </c>
      <c r="C348" s="29" t="s">
        <v>1383</v>
      </c>
      <c r="D348" s="29" t="str">
        <f t="shared" ref="D348:D349" si="415">$D$345</f>
        <v>NO APLICA</v>
      </c>
      <c r="E348" s="27" t="s">
        <v>1152</v>
      </c>
      <c r="F348" s="43">
        <v>0</v>
      </c>
      <c r="G348" s="21">
        <v>0</v>
      </c>
      <c r="H348" s="9">
        <f t="shared" si="405"/>
        <v>0</v>
      </c>
      <c r="I348" s="9" t="s">
        <v>1287</v>
      </c>
      <c r="J348" s="9">
        <f t="shared" si="406"/>
        <v>0</v>
      </c>
      <c r="K348" s="9">
        <f t="shared" si="407"/>
        <v>0</v>
      </c>
      <c r="L348" s="9">
        <f t="shared" si="408"/>
        <v>0</v>
      </c>
      <c r="M348" s="11">
        <f t="shared" si="414"/>
        <v>0</v>
      </c>
      <c r="N348" s="9">
        <f t="shared" si="409"/>
        <v>0</v>
      </c>
      <c r="O348" s="12">
        <f t="shared" si="410"/>
        <v>0</v>
      </c>
      <c r="P348" s="13" t="str">
        <f t="shared" si="373"/>
        <v>NO</v>
      </c>
      <c r="Q348">
        <f t="shared" si="411"/>
        <v>0</v>
      </c>
      <c r="R348">
        <f t="shared" si="412"/>
        <v>0</v>
      </c>
      <c r="S348">
        <f t="shared" si="413"/>
        <v>0</v>
      </c>
    </row>
    <row r="349" spans="1:22" ht="15" hidden="1" customHeight="1" x14ac:dyDescent="0.3">
      <c r="A349" s="34" t="s">
        <v>1381</v>
      </c>
      <c r="B349" s="36">
        <v>254</v>
      </c>
      <c r="C349" s="29" t="s">
        <v>1293</v>
      </c>
      <c r="D349" s="29" t="str">
        <f t="shared" si="415"/>
        <v>NO APLICA</v>
      </c>
      <c r="E349" s="27" t="s">
        <v>1137</v>
      </c>
      <c r="F349" s="20">
        <f>(F346+F347+F348)*S349</f>
        <v>0</v>
      </c>
      <c r="G349" s="21">
        <v>0</v>
      </c>
      <c r="H349" s="9">
        <f t="shared" si="405"/>
        <v>0</v>
      </c>
      <c r="I349" s="9" t="s">
        <v>1287</v>
      </c>
      <c r="J349" s="9">
        <f t="shared" si="406"/>
        <v>0</v>
      </c>
      <c r="K349" s="9">
        <f t="shared" si="407"/>
        <v>0</v>
      </c>
      <c r="L349" s="9">
        <f t="shared" si="408"/>
        <v>0</v>
      </c>
      <c r="M349" s="11">
        <f t="shared" si="414"/>
        <v>0</v>
      </c>
      <c r="N349" s="9">
        <f t="shared" si="409"/>
        <v>0</v>
      </c>
      <c r="O349" s="12">
        <f t="shared" si="410"/>
        <v>0</v>
      </c>
      <c r="P349" s="13" t="str">
        <f t="shared" si="373"/>
        <v>NO</v>
      </c>
      <c r="Q349">
        <f t="shared" si="411"/>
        <v>0</v>
      </c>
      <c r="R349">
        <f t="shared" si="412"/>
        <v>0</v>
      </c>
      <c r="S349">
        <f t="shared" si="413"/>
        <v>0</v>
      </c>
    </row>
    <row r="350" spans="1:22" s="18" customFormat="1" ht="15" hidden="1" customHeight="1" x14ac:dyDescent="0.3">
      <c r="A350" s="24"/>
      <c r="B350" s="26"/>
      <c r="C350" s="15" t="s">
        <v>1177</v>
      </c>
      <c r="D350" s="38" t="str">
        <f>D349</f>
        <v>NO APLICA</v>
      </c>
      <c r="E350" s="38"/>
      <c r="F350" s="16">
        <f>SUMIF(E346:E349,"Adicional",F346:F349)</f>
        <v>0</v>
      </c>
      <c r="G350" s="17"/>
      <c r="H350" s="16">
        <f>SUM(H346:H349)</f>
        <v>0</v>
      </c>
      <c r="I350" s="16"/>
      <c r="J350" s="16">
        <f>SUM(J346:J349)</f>
        <v>0</v>
      </c>
      <c r="K350" s="16">
        <f>SUM(K346:K349)</f>
        <v>0</v>
      </c>
      <c r="L350" s="16">
        <f>SUM(L346:L349)</f>
        <v>0</v>
      </c>
      <c r="M350" s="16" t="s">
        <v>1178</v>
      </c>
      <c r="N350" s="16">
        <f>SUM(N346:N349)</f>
        <v>0</v>
      </c>
      <c r="O350" s="84">
        <f>SUM(O346:O349)</f>
        <v>0</v>
      </c>
      <c r="P350" s="13" t="str">
        <f t="shared" si="373"/>
        <v>NO</v>
      </c>
      <c r="Q350">
        <f>IF(D350="INCLUIDO",IF(H350&lt;&gt;0,1,0),0)</f>
        <v>0</v>
      </c>
    </row>
    <row r="351" spans="1:22" ht="15" hidden="1" customHeight="1" x14ac:dyDescent="0.3">
      <c r="A351" s="82">
        <v>913</v>
      </c>
      <c r="B351" s="33">
        <v>1</v>
      </c>
      <c r="C351" s="19" t="s">
        <v>1384</v>
      </c>
      <c r="D351" s="23" t="str">
        <f>'Ramo Comercial'!C166</f>
        <v>NO APLICA</v>
      </c>
      <c r="E351" s="91"/>
      <c r="F351" s="28"/>
      <c r="G351" s="28"/>
      <c r="H351" s="28"/>
      <c r="I351" s="28"/>
      <c r="J351" s="28"/>
      <c r="K351" s="28"/>
      <c r="L351" s="28"/>
      <c r="M351" s="68">
        <v>0</v>
      </c>
      <c r="N351" s="28"/>
      <c r="O351" s="83"/>
      <c r="P351" s="13" t="str">
        <f t="shared" si="373"/>
        <v>NO</v>
      </c>
      <c r="Q351" s="47">
        <f>IF(D351="INCLUIDO",IF(F352&lt;&gt;0,1,0),0)</f>
        <v>0</v>
      </c>
    </row>
    <row r="352" spans="1:22" ht="15" hidden="1" customHeight="1" x14ac:dyDescent="0.3">
      <c r="A352" s="34" t="s">
        <v>1385</v>
      </c>
      <c r="B352" s="36">
        <v>191</v>
      </c>
      <c r="C352" s="29" t="s">
        <v>1384</v>
      </c>
      <c r="D352" s="29" t="str">
        <f>$D$351</f>
        <v>NO APLICA</v>
      </c>
      <c r="E352" s="27" t="s">
        <v>1152</v>
      </c>
      <c r="F352" s="43">
        <v>0</v>
      </c>
      <c r="G352" s="21">
        <v>0</v>
      </c>
      <c r="H352" s="9">
        <f t="shared" ref="H352:H362" si="416">(IF(I352="$ Prima",G352,G352*F352/R352))*$U$9</f>
        <v>0</v>
      </c>
      <c r="I352" s="9" t="s">
        <v>1235</v>
      </c>
      <c r="J352" s="9">
        <f t="shared" ref="J352:J362" si="417">H352*$U$7</f>
        <v>0</v>
      </c>
      <c r="K352" s="9">
        <f t="shared" ref="K352:K362" si="418">(H352+J352)*$K$15</f>
        <v>0</v>
      </c>
      <c r="L352" s="9">
        <f t="shared" ref="L352:L362" si="419">ROUND(H352+J352+K352,2)</f>
        <v>0</v>
      </c>
      <c r="M352" s="11">
        <f>$M$351</f>
        <v>0</v>
      </c>
      <c r="N352" s="9">
        <f t="shared" ref="N352:N362" si="420">H352*M352</f>
        <v>0</v>
      </c>
      <c r="O352" s="12">
        <f t="shared" ref="O352:O362" si="421">N352</f>
        <v>0</v>
      </c>
      <c r="P352" s="13" t="str">
        <f t="shared" si="373"/>
        <v>NO</v>
      </c>
      <c r="Q352">
        <f t="shared" ref="Q352:Q362" si="422">IF(D352="INCLUIDO",IF(F352&lt;&gt;0,1,0),0)</f>
        <v>0</v>
      </c>
      <c r="R352">
        <f t="shared" ref="R352:R362" si="423">IF(I352="%o Al Millar",1000,IF(I352="% Al Porciento",100,IF(I352="$ Prima",G352)))</f>
        <v>100</v>
      </c>
      <c r="S352">
        <f t="shared" ref="S352:S362" si="424">IF(E352="Excluido",0,IF(D352="NO APLICA",0,1))</f>
        <v>0</v>
      </c>
    </row>
    <row r="353" spans="1:19" ht="15" hidden="1" customHeight="1" x14ac:dyDescent="0.3">
      <c r="A353" s="34" t="s">
        <v>1385</v>
      </c>
      <c r="B353" s="36">
        <v>245</v>
      </c>
      <c r="C353" s="29" t="s">
        <v>1386</v>
      </c>
      <c r="D353" s="29" t="str">
        <f t="shared" ref="D353:D362" si="425">$D$351</f>
        <v>NO APLICA</v>
      </c>
      <c r="E353" s="27" t="s">
        <v>1152</v>
      </c>
      <c r="F353" s="43">
        <v>0</v>
      </c>
      <c r="G353" s="21">
        <v>0</v>
      </c>
      <c r="H353" s="9">
        <f t="shared" si="416"/>
        <v>0</v>
      </c>
      <c r="I353" s="9" t="s">
        <v>1235</v>
      </c>
      <c r="J353" s="9">
        <f t="shared" si="417"/>
        <v>0</v>
      </c>
      <c r="K353" s="9">
        <f t="shared" si="418"/>
        <v>0</v>
      </c>
      <c r="L353" s="9">
        <f t="shared" si="419"/>
        <v>0</v>
      </c>
      <c r="M353" s="11">
        <f t="shared" ref="M353:M362" si="426">$M$351</f>
        <v>0</v>
      </c>
      <c r="N353" s="9">
        <f t="shared" si="420"/>
        <v>0</v>
      </c>
      <c r="O353" s="12">
        <f t="shared" si="421"/>
        <v>0</v>
      </c>
      <c r="P353" s="13" t="str">
        <f t="shared" si="373"/>
        <v>NO</v>
      </c>
      <c r="Q353">
        <f t="shared" si="422"/>
        <v>0</v>
      </c>
      <c r="R353">
        <f t="shared" si="423"/>
        <v>100</v>
      </c>
      <c r="S353">
        <f t="shared" si="424"/>
        <v>0</v>
      </c>
    </row>
    <row r="354" spans="1:19" ht="15" hidden="1" customHeight="1" x14ac:dyDescent="0.3">
      <c r="A354" s="34" t="s">
        <v>1385</v>
      </c>
      <c r="B354" s="36">
        <v>246</v>
      </c>
      <c r="C354" s="29" t="s">
        <v>1293</v>
      </c>
      <c r="D354" s="29" t="str">
        <f t="shared" si="425"/>
        <v>NO APLICA</v>
      </c>
      <c r="E354" s="27" t="s">
        <v>1152</v>
      </c>
      <c r="F354" s="20">
        <f>(F352+F353)*S354</f>
        <v>0</v>
      </c>
      <c r="G354" s="21">
        <v>0</v>
      </c>
      <c r="H354" s="9">
        <f t="shared" si="416"/>
        <v>0</v>
      </c>
      <c r="I354" s="9" t="s">
        <v>1235</v>
      </c>
      <c r="J354" s="9">
        <f t="shared" si="417"/>
        <v>0</v>
      </c>
      <c r="K354" s="9">
        <f t="shared" si="418"/>
        <v>0</v>
      </c>
      <c r="L354" s="9">
        <f t="shared" si="419"/>
        <v>0</v>
      </c>
      <c r="M354" s="11">
        <f t="shared" si="426"/>
        <v>0</v>
      </c>
      <c r="N354" s="9">
        <f t="shared" si="420"/>
        <v>0</v>
      </c>
      <c r="O354" s="12">
        <f t="shared" si="421"/>
        <v>0</v>
      </c>
      <c r="P354" s="13" t="str">
        <f t="shared" ref="P354:P410" si="427">IF(Q354=1,"SI","NO")</f>
        <v>NO</v>
      </c>
      <c r="Q354">
        <f t="shared" si="422"/>
        <v>0</v>
      </c>
      <c r="R354">
        <f t="shared" si="423"/>
        <v>100</v>
      </c>
      <c r="S354">
        <f t="shared" si="424"/>
        <v>0</v>
      </c>
    </row>
    <row r="355" spans="1:19" ht="15" hidden="1" customHeight="1" x14ac:dyDescent="0.3">
      <c r="A355" s="34" t="s">
        <v>1385</v>
      </c>
      <c r="B355" s="36">
        <v>247</v>
      </c>
      <c r="C355" s="29" t="s">
        <v>1387</v>
      </c>
      <c r="D355" s="29" t="str">
        <f t="shared" si="425"/>
        <v>NO APLICA</v>
      </c>
      <c r="E355" s="27" t="s">
        <v>1152</v>
      </c>
      <c r="F355" s="43">
        <v>0</v>
      </c>
      <c r="G355" s="21">
        <v>0</v>
      </c>
      <c r="H355" s="9">
        <f t="shared" si="416"/>
        <v>0</v>
      </c>
      <c r="I355" s="9" t="s">
        <v>1235</v>
      </c>
      <c r="J355" s="9">
        <f t="shared" si="417"/>
        <v>0</v>
      </c>
      <c r="K355" s="9">
        <f t="shared" si="418"/>
        <v>0</v>
      </c>
      <c r="L355" s="9">
        <f t="shared" si="419"/>
        <v>0</v>
      </c>
      <c r="M355" s="11">
        <f t="shared" si="426"/>
        <v>0</v>
      </c>
      <c r="N355" s="9">
        <f t="shared" si="420"/>
        <v>0</v>
      </c>
      <c r="O355" s="12">
        <f t="shared" si="421"/>
        <v>0</v>
      </c>
      <c r="P355" s="13" t="str">
        <f t="shared" si="427"/>
        <v>NO</v>
      </c>
      <c r="Q355">
        <f t="shared" si="422"/>
        <v>0</v>
      </c>
      <c r="R355">
        <f t="shared" si="423"/>
        <v>100</v>
      </c>
      <c r="S355">
        <f t="shared" si="424"/>
        <v>0</v>
      </c>
    </row>
    <row r="356" spans="1:19" ht="15" hidden="1" customHeight="1" x14ac:dyDescent="0.3">
      <c r="A356" s="34" t="s">
        <v>1385</v>
      </c>
      <c r="B356" s="36">
        <v>248</v>
      </c>
      <c r="C356" s="29" t="s">
        <v>1388</v>
      </c>
      <c r="D356" s="29" t="str">
        <f t="shared" si="425"/>
        <v>NO APLICA</v>
      </c>
      <c r="E356" s="27" t="s">
        <v>1152</v>
      </c>
      <c r="F356" s="43">
        <v>0</v>
      </c>
      <c r="G356" s="21">
        <v>0</v>
      </c>
      <c r="H356" s="9">
        <f t="shared" si="416"/>
        <v>0</v>
      </c>
      <c r="I356" s="9" t="s">
        <v>1235</v>
      </c>
      <c r="J356" s="9">
        <f t="shared" si="417"/>
        <v>0</v>
      </c>
      <c r="K356" s="9">
        <f t="shared" si="418"/>
        <v>0</v>
      </c>
      <c r="L356" s="9">
        <f t="shared" si="419"/>
        <v>0</v>
      </c>
      <c r="M356" s="11">
        <f t="shared" si="426"/>
        <v>0</v>
      </c>
      <c r="N356" s="9">
        <f t="shared" si="420"/>
        <v>0</v>
      </c>
      <c r="O356" s="12">
        <f t="shared" si="421"/>
        <v>0</v>
      </c>
      <c r="P356" s="13" t="str">
        <f t="shared" si="427"/>
        <v>NO</v>
      </c>
      <c r="Q356">
        <f t="shared" si="422"/>
        <v>0</v>
      </c>
      <c r="R356">
        <f t="shared" si="423"/>
        <v>100</v>
      </c>
      <c r="S356">
        <f t="shared" si="424"/>
        <v>0</v>
      </c>
    </row>
    <row r="357" spans="1:19" ht="15" hidden="1" customHeight="1" x14ac:dyDescent="0.3">
      <c r="A357" s="34" t="s">
        <v>1385</v>
      </c>
      <c r="B357" s="36">
        <v>249</v>
      </c>
      <c r="C357" s="29" t="s">
        <v>1389</v>
      </c>
      <c r="D357" s="29" t="str">
        <f t="shared" si="425"/>
        <v>NO APLICA</v>
      </c>
      <c r="E357" s="27" t="s">
        <v>1152</v>
      </c>
      <c r="F357" s="43">
        <v>0</v>
      </c>
      <c r="G357" s="21">
        <v>0</v>
      </c>
      <c r="H357" s="9">
        <f t="shared" si="416"/>
        <v>0</v>
      </c>
      <c r="I357" s="9" t="s">
        <v>1235</v>
      </c>
      <c r="J357" s="9">
        <f t="shared" si="417"/>
        <v>0</v>
      </c>
      <c r="K357" s="9">
        <f t="shared" si="418"/>
        <v>0</v>
      </c>
      <c r="L357" s="9">
        <f t="shared" si="419"/>
        <v>0</v>
      </c>
      <c r="M357" s="11">
        <f t="shared" si="426"/>
        <v>0</v>
      </c>
      <c r="N357" s="9">
        <f t="shared" si="420"/>
        <v>0</v>
      </c>
      <c r="O357" s="12">
        <f t="shared" si="421"/>
        <v>0</v>
      </c>
      <c r="P357" s="13" t="str">
        <f t="shared" si="427"/>
        <v>NO</v>
      </c>
      <c r="Q357">
        <f t="shared" si="422"/>
        <v>0</v>
      </c>
      <c r="R357">
        <f t="shared" si="423"/>
        <v>100</v>
      </c>
      <c r="S357">
        <f t="shared" si="424"/>
        <v>0</v>
      </c>
    </row>
    <row r="358" spans="1:19" ht="15" hidden="1" customHeight="1" x14ac:dyDescent="0.3">
      <c r="A358" s="34" t="s">
        <v>1385</v>
      </c>
      <c r="B358" s="36">
        <v>250</v>
      </c>
      <c r="C358" s="29" t="s">
        <v>1390</v>
      </c>
      <c r="D358" s="29" t="str">
        <f t="shared" si="425"/>
        <v>NO APLICA</v>
      </c>
      <c r="E358" s="27" t="s">
        <v>1152</v>
      </c>
      <c r="F358" s="43">
        <v>0</v>
      </c>
      <c r="G358" s="21">
        <v>0</v>
      </c>
      <c r="H358" s="9">
        <f t="shared" si="416"/>
        <v>0</v>
      </c>
      <c r="I358" s="9" t="s">
        <v>1235</v>
      </c>
      <c r="J358" s="9">
        <f t="shared" si="417"/>
        <v>0</v>
      </c>
      <c r="K358" s="9">
        <f t="shared" si="418"/>
        <v>0</v>
      </c>
      <c r="L358" s="9">
        <f t="shared" si="419"/>
        <v>0</v>
      </c>
      <c r="M358" s="11">
        <f t="shared" si="426"/>
        <v>0</v>
      </c>
      <c r="N358" s="9">
        <f t="shared" si="420"/>
        <v>0</v>
      </c>
      <c r="O358" s="12">
        <f t="shared" si="421"/>
        <v>0</v>
      </c>
      <c r="P358" s="13" t="str">
        <f t="shared" si="427"/>
        <v>NO</v>
      </c>
      <c r="Q358">
        <f t="shared" si="422"/>
        <v>0</v>
      </c>
      <c r="R358">
        <f t="shared" si="423"/>
        <v>100</v>
      </c>
      <c r="S358">
        <f t="shared" si="424"/>
        <v>0</v>
      </c>
    </row>
    <row r="359" spans="1:19" ht="15" hidden="1" customHeight="1" x14ac:dyDescent="0.3">
      <c r="A359" s="34" t="s">
        <v>1385</v>
      </c>
      <c r="B359" s="36">
        <v>251</v>
      </c>
      <c r="C359" s="29" t="s">
        <v>1391</v>
      </c>
      <c r="D359" s="29" t="str">
        <f t="shared" si="425"/>
        <v>NO APLICA</v>
      </c>
      <c r="E359" s="27" t="s">
        <v>1152</v>
      </c>
      <c r="F359" s="43">
        <v>0</v>
      </c>
      <c r="G359" s="21">
        <v>0</v>
      </c>
      <c r="H359" s="9">
        <f t="shared" si="416"/>
        <v>0</v>
      </c>
      <c r="I359" s="9" t="s">
        <v>1235</v>
      </c>
      <c r="J359" s="9">
        <f t="shared" si="417"/>
        <v>0</v>
      </c>
      <c r="K359" s="9">
        <f t="shared" si="418"/>
        <v>0</v>
      </c>
      <c r="L359" s="9">
        <f t="shared" si="419"/>
        <v>0</v>
      </c>
      <c r="M359" s="11">
        <f t="shared" si="426"/>
        <v>0</v>
      </c>
      <c r="N359" s="9">
        <f t="shared" si="420"/>
        <v>0</v>
      </c>
      <c r="O359" s="12">
        <f t="shared" si="421"/>
        <v>0</v>
      </c>
      <c r="P359" s="13" t="str">
        <f t="shared" si="427"/>
        <v>NO</v>
      </c>
      <c r="Q359">
        <f t="shared" si="422"/>
        <v>0</v>
      </c>
      <c r="R359">
        <f t="shared" si="423"/>
        <v>100</v>
      </c>
      <c r="S359">
        <f t="shared" si="424"/>
        <v>0</v>
      </c>
    </row>
    <row r="360" spans="1:19" ht="15" hidden="1" customHeight="1" x14ac:dyDescent="0.3">
      <c r="A360" s="34" t="s">
        <v>1385</v>
      </c>
      <c r="B360" s="36">
        <v>252</v>
      </c>
      <c r="C360" s="29" t="s">
        <v>1392</v>
      </c>
      <c r="D360" s="29" t="str">
        <f t="shared" si="425"/>
        <v>NO APLICA</v>
      </c>
      <c r="E360" s="27" t="s">
        <v>1152</v>
      </c>
      <c r="F360" s="43">
        <v>0</v>
      </c>
      <c r="G360" s="21">
        <v>0</v>
      </c>
      <c r="H360" s="9">
        <f t="shared" si="416"/>
        <v>0</v>
      </c>
      <c r="I360" s="9" t="s">
        <v>1235</v>
      </c>
      <c r="J360" s="9">
        <f t="shared" si="417"/>
        <v>0</v>
      </c>
      <c r="K360" s="9">
        <f t="shared" si="418"/>
        <v>0</v>
      </c>
      <c r="L360" s="9">
        <f t="shared" si="419"/>
        <v>0</v>
      </c>
      <c r="M360" s="11">
        <f t="shared" si="426"/>
        <v>0</v>
      </c>
      <c r="N360" s="9">
        <f t="shared" si="420"/>
        <v>0</v>
      </c>
      <c r="O360" s="12">
        <f t="shared" si="421"/>
        <v>0</v>
      </c>
      <c r="P360" s="13" t="str">
        <f t="shared" si="427"/>
        <v>NO</v>
      </c>
      <c r="Q360">
        <f t="shared" si="422"/>
        <v>0</v>
      </c>
      <c r="R360">
        <f t="shared" si="423"/>
        <v>100</v>
      </c>
      <c r="S360">
        <f t="shared" si="424"/>
        <v>0</v>
      </c>
    </row>
    <row r="361" spans="1:19" ht="15" hidden="1" customHeight="1" x14ac:dyDescent="0.3">
      <c r="A361" s="34" t="s">
        <v>1385</v>
      </c>
      <c r="B361" s="36">
        <v>275</v>
      </c>
      <c r="C361" s="29" t="s">
        <v>1393</v>
      </c>
      <c r="D361" s="29" t="str">
        <f t="shared" si="425"/>
        <v>NO APLICA</v>
      </c>
      <c r="E361" s="27" t="s">
        <v>1152</v>
      </c>
      <c r="F361" s="43">
        <v>0</v>
      </c>
      <c r="G361" s="21">
        <v>0</v>
      </c>
      <c r="H361" s="9">
        <f t="shared" si="416"/>
        <v>0</v>
      </c>
      <c r="I361" s="9" t="s">
        <v>1235</v>
      </c>
      <c r="J361" s="9">
        <f t="shared" si="417"/>
        <v>0</v>
      </c>
      <c r="K361" s="9">
        <f t="shared" si="418"/>
        <v>0</v>
      </c>
      <c r="L361" s="9">
        <f t="shared" si="419"/>
        <v>0</v>
      </c>
      <c r="M361" s="11">
        <f t="shared" si="426"/>
        <v>0</v>
      </c>
      <c r="N361" s="9">
        <f t="shared" si="420"/>
        <v>0</v>
      </c>
      <c r="O361" s="12">
        <f t="shared" si="421"/>
        <v>0</v>
      </c>
      <c r="P361" s="13" t="str">
        <f t="shared" si="427"/>
        <v>NO</v>
      </c>
      <c r="Q361">
        <f t="shared" si="422"/>
        <v>0</v>
      </c>
      <c r="R361">
        <f t="shared" si="423"/>
        <v>100</v>
      </c>
      <c r="S361">
        <f t="shared" si="424"/>
        <v>0</v>
      </c>
    </row>
    <row r="362" spans="1:19" ht="15" hidden="1" customHeight="1" x14ac:dyDescent="0.3">
      <c r="A362" s="34" t="s">
        <v>1385</v>
      </c>
      <c r="B362" s="36">
        <v>305</v>
      </c>
      <c r="C362" s="29" t="s">
        <v>1394</v>
      </c>
      <c r="D362" s="29" t="str">
        <f t="shared" si="425"/>
        <v>NO APLICA</v>
      </c>
      <c r="E362" s="27" t="s">
        <v>1152</v>
      </c>
      <c r="F362" s="43">
        <v>0</v>
      </c>
      <c r="G362" s="21">
        <v>0</v>
      </c>
      <c r="H362" s="9">
        <f t="shared" si="416"/>
        <v>0</v>
      </c>
      <c r="I362" s="9" t="s">
        <v>1235</v>
      </c>
      <c r="J362" s="9">
        <f t="shared" si="417"/>
        <v>0</v>
      </c>
      <c r="K362" s="9">
        <f t="shared" si="418"/>
        <v>0</v>
      </c>
      <c r="L362" s="9">
        <f t="shared" si="419"/>
        <v>0</v>
      </c>
      <c r="M362" s="11">
        <f t="shared" si="426"/>
        <v>0</v>
      </c>
      <c r="N362" s="9">
        <f t="shared" si="420"/>
        <v>0</v>
      </c>
      <c r="O362" s="12">
        <f t="shared" si="421"/>
        <v>0</v>
      </c>
      <c r="P362" s="13" t="str">
        <f t="shared" si="427"/>
        <v>NO</v>
      </c>
      <c r="Q362">
        <f t="shared" si="422"/>
        <v>0</v>
      </c>
      <c r="R362">
        <f t="shared" si="423"/>
        <v>100</v>
      </c>
      <c r="S362">
        <f t="shared" si="424"/>
        <v>0</v>
      </c>
    </row>
    <row r="363" spans="1:19" s="18" customFormat="1" ht="15" hidden="1" customHeight="1" x14ac:dyDescent="0.3">
      <c r="A363" s="24"/>
      <c r="B363" s="26"/>
      <c r="C363" s="15" t="s">
        <v>1177</v>
      </c>
      <c r="D363" s="38" t="str">
        <f>D362</f>
        <v>NO APLICA</v>
      </c>
      <c r="E363" s="38"/>
      <c r="F363" s="16">
        <f>SUMIF(E352:E362,"Adicional",F352:F362)</f>
        <v>0</v>
      </c>
      <c r="G363" s="17"/>
      <c r="H363" s="16">
        <f>SUM(H352:H362)</f>
        <v>0</v>
      </c>
      <c r="I363" s="16"/>
      <c r="J363" s="16">
        <f t="shared" ref="J363:L363" si="428">SUM(J352:J362)</f>
        <v>0</v>
      </c>
      <c r="K363" s="16">
        <f t="shared" si="428"/>
        <v>0</v>
      </c>
      <c r="L363" s="16">
        <f t="shared" si="428"/>
        <v>0</v>
      </c>
      <c r="M363" s="16" t="s">
        <v>1178</v>
      </c>
      <c r="N363" s="16">
        <f t="shared" ref="N363:O363" si="429">SUM(N352:N362)</f>
        <v>0</v>
      </c>
      <c r="O363" s="84">
        <f t="shared" si="429"/>
        <v>0</v>
      </c>
      <c r="P363" s="13" t="str">
        <f t="shared" si="427"/>
        <v>NO</v>
      </c>
      <c r="Q363">
        <f>IF(D363="INCLUIDO",IF(H363&lt;&gt;0,1,0),0)</f>
        <v>0</v>
      </c>
    </row>
    <row r="364" spans="1:19" ht="21" hidden="1" customHeight="1" x14ac:dyDescent="0.3">
      <c r="A364" s="82">
        <v>913</v>
      </c>
      <c r="B364" s="33">
        <v>2</v>
      </c>
      <c r="C364" s="19" t="s">
        <v>1395</v>
      </c>
      <c r="D364" s="23" t="str">
        <f>'Ramo Comercial'!C167</f>
        <v>NO APLICA</v>
      </c>
      <c r="E364" s="91"/>
      <c r="F364" s="28"/>
      <c r="G364" s="28"/>
      <c r="H364" s="28"/>
      <c r="I364" s="28"/>
      <c r="J364" s="28"/>
      <c r="K364" s="28"/>
      <c r="L364" s="28"/>
      <c r="M364" s="68">
        <v>0</v>
      </c>
      <c r="N364" s="28"/>
      <c r="O364" s="83"/>
      <c r="P364" s="13" t="str">
        <f t="shared" si="427"/>
        <v>NO</v>
      </c>
      <c r="Q364" s="47">
        <f>IF(D364="INCLUIDO",IF(F365&lt;&gt;0,1,0),0)</f>
        <v>0</v>
      </c>
    </row>
    <row r="365" spans="1:19" ht="15" hidden="1" customHeight="1" x14ac:dyDescent="0.3">
      <c r="A365" s="34" t="s">
        <v>1385</v>
      </c>
      <c r="B365" s="36">
        <v>192</v>
      </c>
      <c r="C365" s="29" t="s">
        <v>1396</v>
      </c>
      <c r="D365" s="29" t="str">
        <f>$D$364</f>
        <v>NO APLICA</v>
      </c>
      <c r="E365" s="27" t="s">
        <v>1152</v>
      </c>
      <c r="F365" s="43">
        <v>0</v>
      </c>
      <c r="G365" s="21">
        <v>0</v>
      </c>
      <c r="H365" s="9">
        <f t="shared" ref="H365:H368" si="430">(IF(I365="$ Prima",G365,G365*F365/R365))*$U$9</f>
        <v>0</v>
      </c>
      <c r="I365" s="9" t="s">
        <v>1235</v>
      </c>
      <c r="J365" s="9">
        <f t="shared" ref="J365:J368" si="431">H365*$U$7</f>
        <v>0</v>
      </c>
      <c r="K365" s="9">
        <f t="shared" ref="K365:K368" si="432">(H365+J365)*$K$15</f>
        <v>0</v>
      </c>
      <c r="L365" s="9">
        <f t="shared" ref="L365:L368" si="433">ROUND(H365+J365+K365,2)</f>
        <v>0</v>
      </c>
      <c r="M365" s="11">
        <f>$M$364</f>
        <v>0</v>
      </c>
      <c r="N365" s="9">
        <f t="shared" ref="N365:N368" si="434">H365*M365</f>
        <v>0</v>
      </c>
      <c r="O365" s="12">
        <f t="shared" ref="O365:O368" si="435">N365</f>
        <v>0</v>
      </c>
      <c r="P365" s="13" t="str">
        <f t="shared" si="427"/>
        <v>NO</v>
      </c>
      <c r="Q365">
        <f>IF(D365="INCLUIDO",IF(F365&lt;&gt;0,1,0),0)</f>
        <v>0</v>
      </c>
      <c r="R365">
        <f>IF(I365="%o Al Millar",1000,IF(I365="% Al Porciento",100,IF(I365="$ Prima",G365)))</f>
        <v>100</v>
      </c>
      <c r="S365">
        <f t="shared" ref="S365:S368" si="436">IF(E365="Excluido",0,IF(D365="NO APLICA",0,1))</f>
        <v>0</v>
      </c>
    </row>
    <row r="366" spans="1:19" ht="22.5" hidden="1" customHeight="1" x14ac:dyDescent="0.3">
      <c r="A366" s="34" t="s">
        <v>1385</v>
      </c>
      <c r="B366" s="36">
        <v>193</v>
      </c>
      <c r="C366" s="29" t="s">
        <v>1397</v>
      </c>
      <c r="D366" s="29" t="str">
        <f t="shared" ref="D366:D368" si="437">$D$364</f>
        <v>NO APLICA</v>
      </c>
      <c r="E366" s="27" t="s">
        <v>1152</v>
      </c>
      <c r="F366" s="43">
        <v>0</v>
      </c>
      <c r="G366" s="21">
        <v>0</v>
      </c>
      <c r="H366" s="9">
        <f t="shared" si="430"/>
        <v>0</v>
      </c>
      <c r="I366" s="9" t="s">
        <v>1235</v>
      </c>
      <c r="J366" s="9">
        <f t="shared" si="431"/>
        <v>0</v>
      </c>
      <c r="K366" s="9">
        <f t="shared" si="432"/>
        <v>0</v>
      </c>
      <c r="L366" s="9">
        <f t="shared" si="433"/>
        <v>0</v>
      </c>
      <c r="M366" s="11">
        <f t="shared" ref="M366:M368" si="438">$M$364</f>
        <v>0</v>
      </c>
      <c r="N366" s="9">
        <f t="shared" si="434"/>
        <v>0</v>
      </c>
      <c r="O366" s="12">
        <f t="shared" si="435"/>
        <v>0</v>
      </c>
      <c r="P366" s="13" t="str">
        <f t="shared" si="427"/>
        <v>NO</v>
      </c>
      <c r="Q366">
        <f>IF(D366="INCLUIDO",IF(F366&lt;&gt;0,1,0),0)</f>
        <v>0</v>
      </c>
      <c r="R366">
        <f>IF(I366="%o Al Millar",1000,IF(I366="% Al Porciento",100,IF(I366="$ Prima",G366)))</f>
        <v>100</v>
      </c>
      <c r="S366">
        <f t="shared" si="436"/>
        <v>0</v>
      </c>
    </row>
    <row r="367" spans="1:19" ht="15" hidden="1" customHeight="1" x14ac:dyDescent="0.3">
      <c r="A367" s="34" t="s">
        <v>1385</v>
      </c>
      <c r="B367" s="36">
        <v>194</v>
      </c>
      <c r="C367" s="29" t="s">
        <v>1398</v>
      </c>
      <c r="D367" s="29" t="str">
        <f t="shared" si="437"/>
        <v>NO APLICA</v>
      </c>
      <c r="E367" s="27" t="s">
        <v>1152</v>
      </c>
      <c r="F367" s="43">
        <v>0</v>
      </c>
      <c r="G367" s="21">
        <v>0</v>
      </c>
      <c r="H367" s="9">
        <f t="shared" si="430"/>
        <v>0</v>
      </c>
      <c r="I367" s="9" t="s">
        <v>1235</v>
      </c>
      <c r="J367" s="9">
        <f t="shared" si="431"/>
        <v>0</v>
      </c>
      <c r="K367" s="9">
        <f t="shared" si="432"/>
        <v>0</v>
      </c>
      <c r="L367" s="9">
        <f t="shared" si="433"/>
        <v>0</v>
      </c>
      <c r="M367" s="11">
        <f t="shared" si="438"/>
        <v>0</v>
      </c>
      <c r="N367" s="9">
        <f t="shared" si="434"/>
        <v>0</v>
      </c>
      <c r="O367" s="12">
        <f t="shared" si="435"/>
        <v>0</v>
      </c>
      <c r="P367" s="13" t="str">
        <f t="shared" si="427"/>
        <v>NO</v>
      </c>
      <c r="Q367">
        <f>IF(D367="INCLUIDO",IF(F367&lt;&gt;0,1,0),0)</f>
        <v>0</v>
      </c>
      <c r="R367">
        <f>IF(I367="%o Al Millar",1000,IF(I367="% Al Porciento",100,IF(I367="$ Prima",G367)))</f>
        <v>100</v>
      </c>
      <c r="S367">
        <f t="shared" si="436"/>
        <v>0</v>
      </c>
    </row>
    <row r="368" spans="1:19" ht="15" hidden="1" customHeight="1" x14ac:dyDescent="0.3">
      <c r="A368" s="34" t="s">
        <v>1385</v>
      </c>
      <c r="B368" s="36">
        <v>253</v>
      </c>
      <c r="C368" s="29" t="s">
        <v>1293</v>
      </c>
      <c r="D368" s="29" t="str">
        <f t="shared" si="437"/>
        <v>NO APLICA</v>
      </c>
      <c r="E368" s="27" t="s">
        <v>1152</v>
      </c>
      <c r="F368" s="20">
        <f>(F365+F366+F367)*1</f>
        <v>0</v>
      </c>
      <c r="G368" s="21">
        <v>0</v>
      </c>
      <c r="H368" s="9">
        <f t="shared" si="430"/>
        <v>0</v>
      </c>
      <c r="I368" s="9" t="s">
        <v>1235</v>
      </c>
      <c r="J368" s="9">
        <f t="shared" si="431"/>
        <v>0</v>
      </c>
      <c r="K368" s="9">
        <f t="shared" si="432"/>
        <v>0</v>
      </c>
      <c r="L368" s="9">
        <f t="shared" si="433"/>
        <v>0</v>
      </c>
      <c r="M368" s="11">
        <f t="shared" si="438"/>
        <v>0</v>
      </c>
      <c r="N368" s="9">
        <f t="shared" si="434"/>
        <v>0</v>
      </c>
      <c r="O368" s="12">
        <f t="shared" si="435"/>
        <v>0</v>
      </c>
      <c r="P368" s="13" t="str">
        <f t="shared" si="427"/>
        <v>NO</v>
      </c>
      <c r="Q368">
        <f>IF(D368="INCLUIDO",IF(F368&lt;&gt;0,1,0),0)</f>
        <v>0</v>
      </c>
      <c r="R368">
        <f>IF(I368="%o Al Millar",1000,IF(I368="% Al Porciento",100,IF(I368="$ Prima",G368)))</f>
        <v>100</v>
      </c>
      <c r="S368">
        <f t="shared" si="436"/>
        <v>0</v>
      </c>
    </row>
    <row r="369" spans="1:22" s="18" customFormat="1" ht="15" hidden="1" customHeight="1" thickBot="1" x14ac:dyDescent="0.35">
      <c r="A369" s="24"/>
      <c r="B369" s="26"/>
      <c r="C369" s="15" t="s">
        <v>1177</v>
      </c>
      <c r="D369" s="38" t="str">
        <f>D368</f>
        <v>NO APLICA</v>
      </c>
      <c r="E369" s="38"/>
      <c r="F369" s="16">
        <f>SUMIF(E365:E368,"Adicional",F365:F368)</f>
        <v>0</v>
      </c>
      <c r="G369" s="17"/>
      <c r="H369" s="16">
        <f>SUM(H365:H368)</f>
        <v>0</v>
      </c>
      <c r="I369" s="16"/>
      <c r="J369" s="16">
        <f t="shared" ref="J369:L369" si="439">SUM(J365:J368)</f>
        <v>0</v>
      </c>
      <c r="K369" s="16">
        <f t="shared" si="439"/>
        <v>0</v>
      </c>
      <c r="L369" s="16">
        <f t="shared" si="439"/>
        <v>0</v>
      </c>
      <c r="M369" s="16" t="s">
        <v>1178</v>
      </c>
      <c r="N369" s="16">
        <f t="shared" ref="N369:O369" si="440">SUM(N365:N368)</f>
        <v>0</v>
      </c>
      <c r="O369" s="84">
        <f t="shared" si="440"/>
        <v>0</v>
      </c>
      <c r="P369" s="13" t="str">
        <f t="shared" si="427"/>
        <v>NO</v>
      </c>
      <c r="Q369">
        <f>IF(D369="INCLUIDO",IF(H369&lt;&gt;0,1,0),0)</f>
        <v>0</v>
      </c>
    </row>
    <row r="370" spans="1:22" ht="15" hidden="1" customHeight="1" thickBot="1" x14ac:dyDescent="0.35">
      <c r="A370" s="82">
        <v>914</v>
      </c>
      <c r="B370" s="33">
        <v>1</v>
      </c>
      <c r="C370" s="19" t="s">
        <v>1399</v>
      </c>
      <c r="D370" s="23" t="str">
        <f>'Ramo Comercial'!C170</f>
        <v>NO APLICA</v>
      </c>
      <c r="E370" s="91"/>
      <c r="F370" s="113">
        <v>0</v>
      </c>
      <c r="G370" s="113">
        <v>0</v>
      </c>
      <c r="H370" s="28"/>
      <c r="I370" s="28"/>
      <c r="J370" s="28"/>
      <c r="K370" s="28"/>
      <c r="L370" s="28"/>
      <c r="M370" s="68">
        <v>0</v>
      </c>
      <c r="N370" s="28"/>
      <c r="O370" s="83"/>
      <c r="P370" s="13" t="str">
        <f t="shared" si="427"/>
        <v>NO</v>
      </c>
      <c r="Q370" s="48">
        <f t="shared" ref="Q370:Q378" si="441">IF(D370="INCLUIDO",IF(F370&lt;&gt;0,1,0),0)</f>
        <v>0</v>
      </c>
      <c r="T370" s="149">
        <f>G370</f>
        <v>0</v>
      </c>
      <c r="U370" s="150"/>
      <c r="V370" s="151"/>
    </row>
    <row r="371" spans="1:22" ht="15" hidden="1" customHeight="1" x14ac:dyDescent="0.3">
      <c r="A371" s="34" t="s">
        <v>1400</v>
      </c>
      <c r="B371" s="36">
        <v>196</v>
      </c>
      <c r="C371" s="29" t="s">
        <v>1401</v>
      </c>
      <c r="D371" s="29" t="str">
        <f>$D$370</f>
        <v>NO APLICA</v>
      </c>
      <c r="E371" s="27" t="s">
        <v>1152</v>
      </c>
      <c r="F371" s="20">
        <f>$F$370*S371</f>
        <v>0</v>
      </c>
      <c r="G371" s="21">
        <f>V371</f>
        <v>0</v>
      </c>
      <c r="H371" s="9">
        <f t="shared" ref="H371:H378" si="442">(IF(I371="$ Prima",G371,G371*F371/R371))*$U$9</f>
        <v>0</v>
      </c>
      <c r="I371" s="9" t="s">
        <v>1235</v>
      </c>
      <c r="J371" s="9">
        <f t="shared" ref="J371:J378" si="443">H371*$U$7</f>
        <v>0</v>
      </c>
      <c r="K371" s="9">
        <f t="shared" ref="K371:K378" si="444">(H371+J371)*$K$15</f>
        <v>0</v>
      </c>
      <c r="L371" s="9">
        <f t="shared" ref="L371:L378" si="445">ROUND(H371+J371+K371,2)</f>
        <v>0</v>
      </c>
      <c r="M371" s="11">
        <f>$M$370</f>
        <v>0</v>
      </c>
      <c r="N371" s="9">
        <f t="shared" ref="N371:N378" si="446">H371*M371</f>
        <v>0</v>
      </c>
      <c r="O371" s="12">
        <f t="shared" ref="O371:O378" si="447">N371</f>
        <v>0</v>
      </c>
      <c r="P371" s="13" t="str">
        <f t="shared" si="427"/>
        <v>NO</v>
      </c>
      <c r="Q371">
        <f t="shared" si="441"/>
        <v>0</v>
      </c>
      <c r="R371">
        <f t="shared" ref="R371:R378" si="448">IF(I371="%o Al Millar",1000,IF(I371="% Al Porciento",100,IF(I371="$ Prima",G371)))</f>
        <v>100</v>
      </c>
      <c r="S371">
        <f t="shared" ref="S371:S378" si="449">IF(E371="Excluido",0,IF(D371="NO APLICA",0,1))</f>
        <v>0</v>
      </c>
      <c r="T371" s="152">
        <v>0.25</v>
      </c>
      <c r="U371" s="159">
        <f>IF(E371="Excluido",0,$T$370*T371)</f>
        <v>0</v>
      </c>
      <c r="V371" s="160">
        <f>IF(D370="NO APLICA",0,(U379-U372-U373-U374-U376-U378)+(T370-U379))</f>
        <v>0</v>
      </c>
    </row>
    <row r="372" spans="1:22" ht="15" hidden="1" customHeight="1" x14ac:dyDescent="0.3">
      <c r="A372" s="34" t="s">
        <v>1400</v>
      </c>
      <c r="B372" s="36">
        <v>197</v>
      </c>
      <c r="C372" s="29" t="s">
        <v>1402</v>
      </c>
      <c r="D372" s="29" t="str">
        <f t="shared" ref="D372:D378" si="450">$D$370</f>
        <v>NO APLICA</v>
      </c>
      <c r="E372" s="27" t="s">
        <v>1137</v>
      </c>
      <c r="F372" s="20">
        <f>$F$371*S372</f>
        <v>0</v>
      </c>
      <c r="G372" s="21">
        <f t="shared" ref="G372:G378" si="451">V372</f>
        <v>0</v>
      </c>
      <c r="H372" s="9">
        <f t="shared" si="442"/>
        <v>0</v>
      </c>
      <c r="I372" s="9" t="s">
        <v>1235</v>
      </c>
      <c r="J372" s="9">
        <f t="shared" si="443"/>
        <v>0</v>
      </c>
      <c r="K372" s="9">
        <f t="shared" si="444"/>
        <v>0</v>
      </c>
      <c r="L372" s="9">
        <f t="shared" si="445"/>
        <v>0</v>
      </c>
      <c r="M372" s="11">
        <f t="shared" ref="M372:M378" si="452">$M$370</f>
        <v>0</v>
      </c>
      <c r="N372" s="9">
        <f t="shared" si="446"/>
        <v>0</v>
      </c>
      <c r="O372" s="12">
        <f t="shared" si="447"/>
        <v>0</v>
      </c>
      <c r="P372" s="13" t="str">
        <f t="shared" si="427"/>
        <v>NO</v>
      </c>
      <c r="Q372">
        <f t="shared" si="441"/>
        <v>0</v>
      </c>
      <c r="R372">
        <f t="shared" si="448"/>
        <v>100</v>
      </c>
      <c r="S372">
        <f t="shared" si="449"/>
        <v>0</v>
      </c>
      <c r="T372" s="152">
        <v>0.05</v>
      </c>
      <c r="U372" s="159">
        <f t="shared" ref="U372:U378" si="453">IF(E372="Excluido",0,$T$370*T372)</f>
        <v>0</v>
      </c>
      <c r="V372" s="160">
        <f>IF(F372=0,0,U372)</f>
        <v>0</v>
      </c>
    </row>
    <row r="373" spans="1:22" ht="15" hidden="1" customHeight="1" x14ac:dyDescent="0.3">
      <c r="A373" s="34" t="s">
        <v>1400</v>
      </c>
      <c r="B373" s="36">
        <v>198</v>
      </c>
      <c r="C373" s="29" t="s">
        <v>1403</v>
      </c>
      <c r="D373" s="29" t="str">
        <f t="shared" si="450"/>
        <v>NO APLICA</v>
      </c>
      <c r="E373" s="27" t="s">
        <v>1137</v>
      </c>
      <c r="F373" s="20">
        <f t="shared" ref="F373:F378" si="454">$F$371*S373</f>
        <v>0</v>
      </c>
      <c r="G373" s="21">
        <f t="shared" si="451"/>
        <v>0</v>
      </c>
      <c r="H373" s="9">
        <f t="shared" si="442"/>
        <v>0</v>
      </c>
      <c r="I373" s="9" t="s">
        <v>1235</v>
      </c>
      <c r="J373" s="9">
        <f t="shared" si="443"/>
        <v>0</v>
      </c>
      <c r="K373" s="9">
        <f t="shared" si="444"/>
        <v>0</v>
      </c>
      <c r="L373" s="9">
        <f t="shared" si="445"/>
        <v>0</v>
      </c>
      <c r="M373" s="11">
        <f t="shared" si="452"/>
        <v>0</v>
      </c>
      <c r="N373" s="9">
        <f t="shared" si="446"/>
        <v>0</v>
      </c>
      <c r="O373" s="12">
        <f t="shared" si="447"/>
        <v>0</v>
      </c>
      <c r="P373" s="13" t="str">
        <f t="shared" si="427"/>
        <v>NO</v>
      </c>
      <c r="Q373">
        <f t="shared" si="441"/>
        <v>0</v>
      </c>
      <c r="R373">
        <f t="shared" si="448"/>
        <v>100</v>
      </c>
      <c r="S373">
        <f t="shared" si="449"/>
        <v>0</v>
      </c>
      <c r="T373" s="152">
        <v>0.1</v>
      </c>
      <c r="U373" s="159">
        <f t="shared" si="453"/>
        <v>0</v>
      </c>
      <c r="V373" s="160">
        <f t="shared" ref="V373:V378" si="455">IF(F373=0,0,U373)</f>
        <v>0</v>
      </c>
    </row>
    <row r="374" spans="1:22" ht="15" hidden="1" customHeight="1" x14ac:dyDescent="0.3">
      <c r="A374" s="34" t="s">
        <v>1400</v>
      </c>
      <c r="B374" s="36">
        <v>199</v>
      </c>
      <c r="C374" s="29" t="s">
        <v>1404</v>
      </c>
      <c r="D374" s="29" t="str">
        <f t="shared" si="450"/>
        <v>NO APLICA</v>
      </c>
      <c r="E374" s="27" t="s">
        <v>1137</v>
      </c>
      <c r="F374" s="20">
        <f t="shared" si="454"/>
        <v>0</v>
      </c>
      <c r="G374" s="21">
        <f t="shared" si="451"/>
        <v>0</v>
      </c>
      <c r="H374" s="9">
        <f t="shared" si="442"/>
        <v>0</v>
      </c>
      <c r="I374" s="9" t="s">
        <v>1235</v>
      </c>
      <c r="J374" s="9">
        <f t="shared" si="443"/>
        <v>0</v>
      </c>
      <c r="K374" s="9">
        <f t="shared" si="444"/>
        <v>0</v>
      </c>
      <c r="L374" s="9">
        <f t="shared" si="445"/>
        <v>0</v>
      </c>
      <c r="M374" s="11">
        <f t="shared" si="452"/>
        <v>0</v>
      </c>
      <c r="N374" s="9">
        <f t="shared" si="446"/>
        <v>0</v>
      </c>
      <c r="O374" s="12">
        <f t="shared" si="447"/>
        <v>0</v>
      </c>
      <c r="P374" s="13" t="str">
        <f t="shared" si="427"/>
        <v>NO</v>
      </c>
      <c r="Q374">
        <f t="shared" si="441"/>
        <v>0</v>
      </c>
      <c r="R374">
        <f t="shared" si="448"/>
        <v>100</v>
      </c>
      <c r="S374">
        <f t="shared" si="449"/>
        <v>0</v>
      </c>
      <c r="T374" s="152">
        <v>0.05</v>
      </c>
      <c r="U374" s="159">
        <f t="shared" si="453"/>
        <v>0</v>
      </c>
      <c r="V374" s="160">
        <f t="shared" si="455"/>
        <v>0</v>
      </c>
    </row>
    <row r="375" spans="1:22" ht="15" hidden="1" customHeight="1" x14ac:dyDescent="0.3">
      <c r="A375" s="34" t="s">
        <v>1400</v>
      </c>
      <c r="B375" s="36">
        <v>200</v>
      </c>
      <c r="C375" s="29" t="s">
        <v>1405</v>
      </c>
      <c r="D375" s="29" t="str">
        <f t="shared" si="450"/>
        <v>NO APLICA</v>
      </c>
      <c r="E375" s="27" t="s">
        <v>1137</v>
      </c>
      <c r="F375" s="42">
        <v>0</v>
      </c>
      <c r="G375" s="113">
        <v>0</v>
      </c>
      <c r="H375" s="9">
        <f t="shared" si="442"/>
        <v>0</v>
      </c>
      <c r="I375" s="9" t="s">
        <v>1235</v>
      </c>
      <c r="J375" s="9">
        <f t="shared" si="443"/>
        <v>0</v>
      </c>
      <c r="K375" s="9">
        <f t="shared" si="444"/>
        <v>0</v>
      </c>
      <c r="L375" s="9">
        <f t="shared" si="445"/>
        <v>0</v>
      </c>
      <c r="M375" s="11">
        <f t="shared" si="452"/>
        <v>0</v>
      </c>
      <c r="N375" s="9">
        <f t="shared" si="446"/>
        <v>0</v>
      </c>
      <c r="O375" s="12">
        <f t="shared" si="447"/>
        <v>0</v>
      </c>
      <c r="P375" s="13" t="str">
        <f t="shared" si="427"/>
        <v>NO</v>
      </c>
      <c r="Q375">
        <f t="shared" si="441"/>
        <v>0</v>
      </c>
      <c r="R375">
        <f t="shared" si="448"/>
        <v>100</v>
      </c>
      <c r="S375">
        <f t="shared" si="449"/>
        <v>0</v>
      </c>
      <c r="T375" s="154"/>
      <c r="U375" s="159"/>
      <c r="V375" s="160"/>
    </row>
    <row r="376" spans="1:22" ht="15" hidden="1" customHeight="1" x14ac:dyDescent="0.3">
      <c r="A376" s="34" t="s">
        <v>1400</v>
      </c>
      <c r="B376" s="36">
        <v>201</v>
      </c>
      <c r="C376" s="29" t="s">
        <v>1110</v>
      </c>
      <c r="D376" s="29" t="str">
        <f t="shared" si="450"/>
        <v>NO APLICA</v>
      </c>
      <c r="E376" s="27" t="s">
        <v>1137</v>
      </c>
      <c r="F376" s="20">
        <f t="shared" si="454"/>
        <v>0</v>
      </c>
      <c r="G376" s="21">
        <f t="shared" si="451"/>
        <v>0</v>
      </c>
      <c r="H376" s="9">
        <f t="shared" si="442"/>
        <v>0</v>
      </c>
      <c r="I376" s="9" t="s">
        <v>1235</v>
      </c>
      <c r="J376" s="9">
        <f t="shared" si="443"/>
        <v>0</v>
      </c>
      <c r="K376" s="9">
        <f t="shared" si="444"/>
        <v>0</v>
      </c>
      <c r="L376" s="9">
        <f t="shared" si="445"/>
        <v>0</v>
      </c>
      <c r="M376" s="11">
        <f t="shared" si="452"/>
        <v>0</v>
      </c>
      <c r="N376" s="9">
        <f t="shared" si="446"/>
        <v>0</v>
      </c>
      <c r="O376" s="12">
        <f t="shared" si="447"/>
        <v>0</v>
      </c>
      <c r="P376" s="13" t="str">
        <f t="shared" si="427"/>
        <v>NO</v>
      </c>
      <c r="Q376">
        <f t="shared" si="441"/>
        <v>0</v>
      </c>
      <c r="R376">
        <f t="shared" si="448"/>
        <v>100</v>
      </c>
      <c r="S376">
        <f t="shared" si="449"/>
        <v>0</v>
      </c>
      <c r="T376" s="152">
        <v>0.5</v>
      </c>
      <c r="U376" s="159">
        <f t="shared" si="453"/>
        <v>0</v>
      </c>
      <c r="V376" s="160">
        <f t="shared" si="455"/>
        <v>0</v>
      </c>
    </row>
    <row r="377" spans="1:22" ht="15" hidden="1" customHeight="1" x14ac:dyDescent="0.3">
      <c r="A377" s="34" t="s">
        <v>1400</v>
      </c>
      <c r="B377" s="36">
        <v>202</v>
      </c>
      <c r="C377" s="29" t="s">
        <v>1406</v>
      </c>
      <c r="D377" s="29" t="str">
        <f t="shared" si="450"/>
        <v>NO APLICA</v>
      </c>
      <c r="E377" s="27" t="s">
        <v>1137</v>
      </c>
      <c r="F377" s="42">
        <v>0</v>
      </c>
      <c r="G377" s="113">
        <v>0</v>
      </c>
      <c r="H377" s="9">
        <f t="shared" si="442"/>
        <v>0</v>
      </c>
      <c r="I377" s="9" t="s">
        <v>1235</v>
      </c>
      <c r="J377" s="9">
        <f t="shared" si="443"/>
        <v>0</v>
      </c>
      <c r="K377" s="9">
        <f t="shared" si="444"/>
        <v>0</v>
      </c>
      <c r="L377" s="9">
        <f t="shared" si="445"/>
        <v>0</v>
      </c>
      <c r="M377" s="11">
        <f t="shared" si="452"/>
        <v>0</v>
      </c>
      <c r="N377" s="9">
        <f t="shared" si="446"/>
        <v>0</v>
      </c>
      <c r="O377" s="12">
        <f t="shared" si="447"/>
        <v>0</v>
      </c>
      <c r="P377" s="13" t="str">
        <f t="shared" si="427"/>
        <v>NO</v>
      </c>
      <c r="Q377">
        <f t="shared" si="441"/>
        <v>0</v>
      </c>
      <c r="R377">
        <f t="shared" si="448"/>
        <v>100</v>
      </c>
      <c r="S377">
        <f t="shared" si="449"/>
        <v>0</v>
      </c>
      <c r="T377" s="152"/>
      <c r="U377" s="159"/>
      <c r="V377" s="160"/>
    </row>
    <row r="378" spans="1:22" ht="15" hidden="1" customHeight="1" thickBot="1" x14ac:dyDescent="0.35">
      <c r="A378" s="34" t="s">
        <v>1400</v>
      </c>
      <c r="B378" s="36">
        <v>195</v>
      </c>
      <c r="C378" s="29" t="s">
        <v>1262</v>
      </c>
      <c r="D378" s="29" t="str">
        <f t="shared" si="450"/>
        <v>NO APLICA</v>
      </c>
      <c r="E378" s="27" t="s">
        <v>1186</v>
      </c>
      <c r="F378" s="20">
        <f t="shared" si="454"/>
        <v>0</v>
      </c>
      <c r="G378" s="21">
        <f t="shared" si="451"/>
        <v>0</v>
      </c>
      <c r="H378" s="9">
        <f t="shared" si="442"/>
        <v>0</v>
      </c>
      <c r="I378" s="9" t="s">
        <v>1235</v>
      </c>
      <c r="J378" s="9">
        <f t="shared" si="443"/>
        <v>0</v>
      </c>
      <c r="K378" s="9">
        <f t="shared" si="444"/>
        <v>0</v>
      </c>
      <c r="L378" s="9">
        <f t="shared" si="445"/>
        <v>0</v>
      </c>
      <c r="M378" s="11">
        <f t="shared" si="452"/>
        <v>0</v>
      </c>
      <c r="N378" s="9">
        <f t="shared" si="446"/>
        <v>0</v>
      </c>
      <c r="O378" s="12">
        <f t="shared" si="447"/>
        <v>0</v>
      </c>
      <c r="P378" s="13" t="str">
        <f t="shared" si="427"/>
        <v>NO</v>
      </c>
      <c r="Q378">
        <f t="shared" si="441"/>
        <v>0</v>
      </c>
      <c r="R378">
        <f t="shared" si="448"/>
        <v>100</v>
      </c>
      <c r="S378">
        <f t="shared" si="449"/>
        <v>0</v>
      </c>
      <c r="T378" s="152">
        <v>0.05</v>
      </c>
      <c r="U378" s="159">
        <f t="shared" si="453"/>
        <v>0</v>
      </c>
      <c r="V378" s="160">
        <f t="shared" si="455"/>
        <v>0</v>
      </c>
    </row>
    <row r="379" spans="1:22" s="18" customFormat="1" ht="15" hidden="1" customHeight="1" thickBot="1" x14ac:dyDescent="0.35">
      <c r="A379" s="24"/>
      <c r="B379" s="26"/>
      <c r="C379" s="15" t="s">
        <v>1177</v>
      </c>
      <c r="D379" s="38" t="str">
        <f>D378</f>
        <v>NO APLICA</v>
      </c>
      <c r="E379" s="38"/>
      <c r="F379" s="16">
        <f>SUMIF(E371:E378,"Adicional",F371:F378)</f>
        <v>0</v>
      </c>
      <c r="G379" s="17"/>
      <c r="H379" s="16">
        <f>SUM(H371:H378)</f>
        <v>0</v>
      </c>
      <c r="I379" s="16"/>
      <c r="J379" s="16">
        <f t="shared" ref="J379:L379" si="456">SUM(J371:J378)</f>
        <v>0</v>
      </c>
      <c r="K379" s="16">
        <f t="shared" si="456"/>
        <v>0</v>
      </c>
      <c r="L379" s="16">
        <f t="shared" si="456"/>
        <v>0</v>
      </c>
      <c r="M379" s="16" t="s">
        <v>1178</v>
      </c>
      <c r="N379" s="16">
        <f t="shared" ref="N379:O379" si="457">SUM(N371:N378)</f>
        <v>0</v>
      </c>
      <c r="O379" s="84">
        <f t="shared" si="457"/>
        <v>0</v>
      </c>
      <c r="P379" s="13" t="str">
        <f t="shared" si="427"/>
        <v>NO</v>
      </c>
      <c r="Q379">
        <f>IF(D379="INCLUIDO",IF(H379&lt;&gt;0,1,0),0)</f>
        <v>0</v>
      </c>
      <c r="T379" s="143">
        <f>SUM(T371:T378)</f>
        <v>1</v>
      </c>
      <c r="U379" s="144">
        <f>SUM(U371:U378)</f>
        <v>0</v>
      </c>
      <c r="V379" s="145">
        <f>SUM(V371:V378)</f>
        <v>0</v>
      </c>
    </row>
    <row r="380" spans="1:22" ht="15" hidden="1" customHeight="1" x14ac:dyDescent="0.3">
      <c r="A380" s="82">
        <v>915</v>
      </c>
      <c r="B380" s="33">
        <v>1</v>
      </c>
      <c r="C380" s="19" t="s">
        <v>1407</v>
      </c>
      <c r="D380" s="23" t="str">
        <f>'Ramo Comercial'!C169</f>
        <v>NO APLICA</v>
      </c>
      <c r="E380" s="91"/>
      <c r="F380" s="28"/>
      <c r="G380" s="28"/>
      <c r="H380" s="28"/>
      <c r="I380" s="28"/>
      <c r="J380" s="28"/>
      <c r="K380" s="28"/>
      <c r="L380" s="28"/>
      <c r="M380" s="68">
        <v>0.2</v>
      </c>
      <c r="N380" s="28"/>
      <c r="O380" s="83"/>
      <c r="P380" s="13" t="str">
        <f t="shared" si="427"/>
        <v>NO</v>
      </c>
      <c r="Q380" s="47">
        <f>IF(D380="INCLUIDO",IF(F381&lt;&gt;0,1,0),0)</f>
        <v>0</v>
      </c>
    </row>
    <row r="381" spans="1:22" ht="15" hidden="1" customHeight="1" x14ac:dyDescent="0.3">
      <c r="A381" s="34" t="s">
        <v>1408</v>
      </c>
      <c r="B381" s="36">
        <v>203</v>
      </c>
      <c r="C381" s="29" t="s">
        <v>1409</v>
      </c>
      <c r="D381" s="29" t="str">
        <f>$D$380</f>
        <v>NO APLICA</v>
      </c>
      <c r="E381" s="27" t="s">
        <v>1152</v>
      </c>
      <c r="F381" s="43">
        <v>0</v>
      </c>
      <c r="G381" s="21">
        <v>0</v>
      </c>
      <c r="H381" s="9">
        <f t="shared" ref="H381:H393" si="458">(IF(I381="$ Prima",G381,G381*F381/R381))*$U$9</f>
        <v>0</v>
      </c>
      <c r="I381" s="9" t="s">
        <v>1287</v>
      </c>
      <c r="J381" s="9">
        <f t="shared" ref="J381:J393" si="459">H381*$U$7</f>
        <v>0</v>
      </c>
      <c r="K381" s="9">
        <f t="shared" ref="K381:K393" si="460">(H381+J381)*$K$15</f>
        <v>0</v>
      </c>
      <c r="L381" s="9">
        <f t="shared" ref="L381:L393" si="461">ROUND(H381+J381+K381,2)</f>
        <v>0</v>
      </c>
      <c r="M381" s="11">
        <f>$M$380</f>
        <v>0.2</v>
      </c>
      <c r="N381" s="9">
        <f t="shared" ref="N381:N393" si="462">H381*M381</f>
        <v>0</v>
      </c>
      <c r="O381" s="12">
        <f t="shared" ref="O381:O393" si="463">N381</f>
        <v>0</v>
      </c>
      <c r="P381" s="13" t="str">
        <f t="shared" si="427"/>
        <v>NO</v>
      </c>
      <c r="Q381">
        <f t="shared" ref="Q381:Q393" si="464">IF(D381="INCLUIDO",IF(F381&lt;&gt;0,1,0),0)</f>
        <v>0</v>
      </c>
      <c r="R381">
        <f t="shared" ref="R381:R393" si="465">IF(I381="%o Al Millar",1000,IF(I381="% Al Porciento",100,IF(I381="$ Prima",G381)))</f>
        <v>0</v>
      </c>
      <c r="S381">
        <f t="shared" ref="S381:S393" si="466">IF(E381="Excluido",0,IF(D381="NO APLICA",0,1))</f>
        <v>0</v>
      </c>
    </row>
    <row r="382" spans="1:22" ht="15" hidden="1" customHeight="1" x14ac:dyDescent="0.3">
      <c r="A382" s="34" t="s">
        <v>1408</v>
      </c>
      <c r="B382" s="36">
        <v>206</v>
      </c>
      <c r="C382" s="29" t="s">
        <v>1410</v>
      </c>
      <c r="D382" s="29" t="str">
        <f t="shared" ref="D382:D393" si="467">$D$380</f>
        <v>NO APLICA</v>
      </c>
      <c r="E382" s="27" t="s">
        <v>1152</v>
      </c>
      <c r="F382" s="43">
        <v>0</v>
      </c>
      <c r="G382" s="21">
        <v>0</v>
      </c>
      <c r="H382" s="9">
        <f t="shared" si="458"/>
        <v>0</v>
      </c>
      <c r="I382" s="9" t="s">
        <v>1287</v>
      </c>
      <c r="J382" s="9">
        <f t="shared" si="459"/>
        <v>0</v>
      </c>
      <c r="K382" s="9">
        <f t="shared" si="460"/>
        <v>0</v>
      </c>
      <c r="L382" s="9">
        <f t="shared" si="461"/>
        <v>0</v>
      </c>
      <c r="M382" s="11">
        <f t="shared" ref="M382:M393" si="468">$M$380</f>
        <v>0.2</v>
      </c>
      <c r="N382" s="9">
        <f t="shared" si="462"/>
        <v>0</v>
      </c>
      <c r="O382" s="12">
        <f t="shared" si="463"/>
        <v>0</v>
      </c>
      <c r="P382" s="13" t="str">
        <f t="shared" si="427"/>
        <v>NO</v>
      </c>
      <c r="Q382">
        <f t="shared" si="464"/>
        <v>0</v>
      </c>
      <c r="R382">
        <f t="shared" si="465"/>
        <v>0</v>
      </c>
      <c r="S382">
        <f t="shared" si="466"/>
        <v>0</v>
      </c>
    </row>
    <row r="383" spans="1:22" ht="15" hidden="1" customHeight="1" x14ac:dyDescent="0.3">
      <c r="A383" s="34" t="s">
        <v>1408</v>
      </c>
      <c r="B383" s="36">
        <v>269</v>
      </c>
      <c r="C383" s="29" t="s">
        <v>1411</v>
      </c>
      <c r="D383" s="29" t="str">
        <f t="shared" si="467"/>
        <v>NO APLICA</v>
      </c>
      <c r="E383" s="27" t="s">
        <v>1152</v>
      </c>
      <c r="F383" s="43">
        <v>0</v>
      </c>
      <c r="G383" s="21">
        <v>0</v>
      </c>
      <c r="H383" s="9">
        <f t="shared" si="458"/>
        <v>0</v>
      </c>
      <c r="I383" s="9" t="s">
        <v>1287</v>
      </c>
      <c r="J383" s="9">
        <f t="shared" si="459"/>
        <v>0</v>
      </c>
      <c r="K383" s="9">
        <f t="shared" si="460"/>
        <v>0</v>
      </c>
      <c r="L383" s="9">
        <f t="shared" si="461"/>
        <v>0</v>
      </c>
      <c r="M383" s="11">
        <f t="shared" si="468"/>
        <v>0.2</v>
      </c>
      <c r="N383" s="9">
        <f t="shared" si="462"/>
        <v>0</v>
      </c>
      <c r="O383" s="12">
        <f t="shared" si="463"/>
        <v>0</v>
      </c>
      <c r="P383" s="13" t="str">
        <f t="shared" si="427"/>
        <v>NO</v>
      </c>
      <c r="Q383">
        <f t="shared" si="464"/>
        <v>0</v>
      </c>
      <c r="R383">
        <f t="shared" si="465"/>
        <v>0</v>
      </c>
      <c r="S383">
        <f t="shared" si="466"/>
        <v>0</v>
      </c>
    </row>
    <row r="384" spans="1:22" ht="15" hidden="1" customHeight="1" x14ac:dyDescent="0.3">
      <c r="A384" s="34" t="s">
        <v>1408</v>
      </c>
      <c r="B384" s="36">
        <v>270</v>
      </c>
      <c r="C384" s="29" t="s">
        <v>1412</v>
      </c>
      <c r="D384" s="29" t="str">
        <f t="shared" si="467"/>
        <v>NO APLICA</v>
      </c>
      <c r="E384" s="27" t="s">
        <v>1152</v>
      </c>
      <c r="F384" s="43">
        <v>0</v>
      </c>
      <c r="G384" s="21">
        <v>0</v>
      </c>
      <c r="H384" s="9">
        <f t="shared" si="458"/>
        <v>0</v>
      </c>
      <c r="I384" s="9" t="s">
        <v>1287</v>
      </c>
      <c r="J384" s="9">
        <f t="shared" si="459"/>
        <v>0</v>
      </c>
      <c r="K384" s="9">
        <f t="shared" si="460"/>
        <v>0</v>
      </c>
      <c r="L384" s="9">
        <f t="shared" si="461"/>
        <v>0</v>
      </c>
      <c r="M384" s="11">
        <f t="shared" si="468"/>
        <v>0.2</v>
      </c>
      <c r="N384" s="9">
        <f t="shared" si="462"/>
        <v>0</v>
      </c>
      <c r="O384" s="12">
        <f t="shared" si="463"/>
        <v>0</v>
      </c>
      <c r="P384" s="13" t="str">
        <f t="shared" si="427"/>
        <v>NO</v>
      </c>
      <c r="Q384">
        <f t="shared" si="464"/>
        <v>0</v>
      </c>
      <c r="R384">
        <f t="shared" si="465"/>
        <v>0</v>
      </c>
      <c r="S384">
        <f t="shared" si="466"/>
        <v>0</v>
      </c>
    </row>
    <row r="385" spans="1:19" ht="15" hidden="1" customHeight="1" x14ac:dyDescent="0.3">
      <c r="A385" s="34" t="s">
        <v>1408</v>
      </c>
      <c r="B385" s="36">
        <v>204</v>
      </c>
      <c r="C385" s="29" t="s">
        <v>1413</v>
      </c>
      <c r="D385" s="29" t="str">
        <f t="shared" si="467"/>
        <v>NO APLICA</v>
      </c>
      <c r="E385" s="27" t="s">
        <v>1152</v>
      </c>
      <c r="F385" s="43">
        <v>0</v>
      </c>
      <c r="G385" s="21">
        <v>0</v>
      </c>
      <c r="H385" s="9">
        <f t="shared" si="458"/>
        <v>0</v>
      </c>
      <c r="I385" s="9" t="s">
        <v>1287</v>
      </c>
      <c r="J385" s="9">
        <f t="shared" si="459"/>
        <v>0</v>
      </c>
      <c r="K385" s="9">
        <f t="shared" si="460"/>
        <v>0</v>
      </c>
      <c r="L385" s="9">
        <f t="shared" si="461"/>
        <v>0</v>
      </c>
      <c r="M385" s="11">
        <f t="shared" si="468"/>
        <v>0.2</v>
      </c>
      <c r="N385" s="9">
        <f t="shared" si="462"/>
        <v>0</v>
      </c>
      <c r="O385" s="12">
        <f t="shared" si="463"/>
        <v>0</v>
      </c>
      <c r="P385" s="13" t="str">
        <f t="shared" si="427"/>
        <v>NO</v>
      </c>
      <c r="Q385">
        <f t="shared" si="464"/>
        <v>0</v>
      </c>
      <c r="R385">
        <f t="shared" si="465"/>
        <v>0</v>
      </c>
      <c r="S385">
        <f t="shared" si="466"/>
        <v>0</v>
      </c>
    </row>
    <row r="386" spans="1:19" ht="15" hidden="1" customHeight="1" x14ac:dyDescent="0.3">
      <c r="A386" s="34" t="s">
        <v>1408</v>
      </c>
      <c r="B386" s="36">
        <v>207</v>
      </c>
      <c r="C386" s="29" t="s">
        <v>1414</v>
      </c>
      <c r="D386" s="29" t="str">
        <f t="shared" si="467"/>
        <v>NO APLICA</v>
      </c>
      <c r="E386" s="27" t="s">
        <v>1152</v>
      </c>
      <c r="F386" s="43">
        <v>0</v>
      </c>
      <c r="G386" s="21">
        <v>0</v>
      </c>
      <c r="H386" s="9">
        <f t="shared" si="458"/>
        <v>0</v>
      </c>
      <c r="I386" s="9" t="s">
        <v>1287</v>
      </c>
      <c r="J386" s="9">
        <f t="shared" si="459"/>
        <v>0</v>
      </c>
      <c r="K386" s="9">
        <f t="shared" si="460"/>
        <v>0</v>
      </c>
      <c r="L386" s="9">
        <f t="shared" si="461"/>
        <v>0</v>
      </c>
      <c r="M386" s="11">
        <f t="shared" si="468"/>
        <v>0.2</v>
      </c>
      <c r="N386" s="9">
        <f t="shared" si="462"/>
        <v>0</v>
      </c>
      <c r="O386" s="12">
        <f t="shared" si="463"/>
        <v>0</v>
      </c>
      <c r="P386" s="13" t="str">
        <f t="shared" si="427"/>
        <v>NO</v>
      </c>
      <c r="Q386">
        <f t="shared" si="464"/>
        <v>0</v>
      </c>
      <c r="R386">
        <f t="shared" si="465"/>
        <v>0</v>
      </c>
      <c r="S386">
        <f t="shared" si="466"/>
        <v>0</v>
      </c>
    </row>
    <row r="387" spans="1:19" ht="15" hidden="1" customHeight="1" x14ac:dyDescent="0.3">
      <c r="A387" s="34" t="s">
        <v>1408</v>
      </c>
      <c r="B387" s="36">
        <v>271</v>
      </c>
      <c r="C387" s="29" t="s">
        <v>1415</v>
      </c>
      <c r="D387" s="29" t="str">
        <f t="shared" si="467"/>
        <v>NO APLICA</v>
      </c>
      <c r="E387" s="27" t="s">
        <v>1152</v>
      </c>
      <c r="F387" s="43">
        <v>0</v>
      </c>
      <c r="G387" s="21">
        <v>0</v>
      </c>
      <c r="H387" s="9">
        <f t="shared" si="458"/>
        <v>0</v>
      </c>
      <c r="I387" s="9" t="s">
        <v>1287</v>
      </c>
      <c r="J387" s="9">
        <f t="shared" si="459"/>
        <v>0</v>
      </c>
      <c r="K387" s="9">
        <f t="shared" si="460"/>
        <v>0</v>
      </c>
      <c r="L387" s="9">
        <f t="shared" si="461"/>
        <v>0</v>
      </c>
      <c r="M387" s="11">
        <f t="shared" si="468"/>
        <v>0.2</v>
      </c>
      <c r="N387" s="9">
        <f t="shared" si="462"/>
        <v>0</v>
      </c>
      <c r="O387" s="12">
        <f t="shared" si="463"/>
        <v>0</v>
      </c>
      <c r="P387" s="13" t="str">
        <f t="shared" si="427"/>
        <v>NO</v>
      </c>
      <c r="Q387">
        <f t="shared" si="464"/>
        <v>0</v>
      </c>
      <c r="R387">
        <f t="shared" si="465"/>
        <v>0</v>
      </c>
      <c r="S387">
        <f t="shared" si="466"/>
        <v>0</v>
      </c>
    </row>
    <row r="388" spans="1:19" ht="15" hidden="1" customHeight="1" x14ac:dyDescent="0.3">
      <c r="A388" s="34" t="s">
        <v>1408</v>
      </c>
      <c r="B388" s="36">
        <v>272</v>
      </c>
      <c r="C388" s="29" t="s">
        <v>1416</v>
      </c>
      <c r="D388" s="29" t="str">
        <f t="shared" si="467"/>
        <v>NO APLICA</v>
      </c>
      <c r="E388" s="27" t="s">
        <v>1152</v>
      </c>
      <c r="F388" s="43">
        <v>0</v>
      </c>
      <c r="G388" s="21">
        <v>0</v>
      </c>
      <c r="H388" s="9">
        <f t="shared" si="458"/>
        <v>0</v>
      </c>
      <c r="I388" s="9" t="s">
        <v>1287</v>
      </c>
      <c r="J388" s="9">
        <f t="shared" si="459"/>
        <v>0</v>
      </c>
      <c r="K388" s="9">
        <f t="shared" si="460"/>
        <v>0</v>
      </c>
      <c r="L388" s="9">
        <f t="shared" si="461"/>
        <v>0</v>
      </c>
      <c r="M388" s="11">
        <f t="shared" si="468"/>
        <v>0.2</v>
      </c>
      <c r="N388" s="9">
        <f t="shared" si="462"/>
        <v>0</v>
      </c>
      <c r="O388" s="12">
        <f t="shared" si="463"/>
        <v>0</v>
      </c>
      <c r="P388" s="13" t="str">
        <f t="shared" si="427"/>
        <v>NO</v>
      </c>
      <c r="Q388">
        <f t="shared" si="464"/>
        <v>0</v>
      </c>
      <c r="R388">
        <f t="shared" si="465"/>
        <v>0</v>
      </c>
      <c r="S388">
        <f t="shared" si="466"/>
        <v>0</v>
      </c>
    </row>
    <row r="389" spans="1:19" ht="15" hidden="1" customHeight="1" x14ac:dyDescent="0.3">
      <c r="A389" s="34" t="s">
        <v>1408</v>
      </c>
      <c r="B389" s="36">
        <v>205</v>
      </c>
      <c r="C389" s="29" t="s">
        <v>1417</v>
      </c>
      <c r="D389" s="29" t="str">
        <f t="shared" si="467"/>
        <v>NO APLICA</v>
      </c>
      <c r="E389" s="27" t="s">
        <v>1152</v>
      </c>
      <c r="F389" s="43">
        <v>0</v>
      </c>
      <c r="G389" s="21">
        <v>0</v>
      </c>
      <c r="H389" s="9">
        <f t="shared" si="458"/>
        <v>0</v>
      </c>
      <c r="I389" s="9" t="s">
        <v>1287</v>
      </c>
      <c r="J389" s="9">
        <f t="shared" si="459"/>
        <v>0</v>
      </c>
      <c r="K389" s="9">
        <f t="shared" si="460"/>
        <v>0</v>
      </c>
      <c r="L389" s="9">
        <f t="shared" si="461"/>
        <v>0</v>
      </c>
      <c r="M389" s="11">
        <f t="shared" si="468"/>
        <v>0.2</v>
      </c>
      <c r="N389" s="9">
        <f t="shared" si="462"/>
        <v>0</v>
      </c>
      <c r="O389" s="12">
        <f t="shared" si="463"/>
        <v>0</v>
      </c>
      <c r="P389" s="13" t="str">
        <f t="shared" si="427"/>
        <v>NO</v>
      </c>
      <c r="Q389">
        <f t="shared" si="464"/>
        <v>0</v>
      </c>
      <c r="R389">
        <f t="shared" si="465"/>
        <v>0</v>
      </c>
      <c r="S389">
        <f t="shared" si="466"/>
        <v>0</v>
      </c>
    </row>
    <row r="390" spans="1:19" ht="15" hidden="1" customHeight="1" x14ac:dyDescent="0.3">
      <c r="A390" s="34" t="s">
        <v>1408</v>
      </c>
      <c r="B390" s="36">
        <v>208</v>
      </c>
      <c r="C390" s="29" t="s">
        <v>1418</v>
      </c>
      <c r="D390" s="29" t="str">
        <f t="shared" si="467"/>
        <v>NO APLICA</v>
      </c>
      <c r="E390" s="27" t="s">
        <v>1152</v>
      </c>
      <c r="F390" s="43">
        <v>0</v>
      </c>
      <c r="G390" s="21">
        <v>0</v>
      </c>
      <c r="H390" s="9">
        <f t="shared" si="458"/>
        <v>0</v>
      </c>
      <c r="I390" s="9" t="s">
        <v>1287</v>
      </c>
      <c r="J390" s="9">
        <f t="shared" si="459"/>
        <v>0</v>
      </c>
      <c r="K390" s="9">
        <f t="shared" si="460"/>
        <v>0</v>
      </c>
      <c r="L390" s="9">
        <f t="shared" si="461"/>
        <v>0</v>
      </c>
      <c r="M390" s="11">
        <f t="shared" si="468"/>
        <v>0.2</v>
      </c>
      <c r="N390" s="9">
        <f t="shared" si="462"/>
        <v>0</v>
      </c>
      <c r="O390" s="12">
        <f t="shared" si="463"/>
        <v>0</v>
      </c>
      <c r="P390" s="13" t="str">
        <f t="shared" si="427"/>
        <v>NO</v>
      </c>
      <c r="Q390">
        <f t="shared" si="464"/>
        <v>0</v>
      </c>
      <c r="R390">
        <f t="shared" si="465"/>
        <v>0</v>
      </c>
      <c r="S390">
        <f t="shared" si="466"/>
        <v>0</v>
      </c>
    </row>
    <row r="391" spans="1:19" ht="15" hidden="1" customHeight="1" x14ac:dyDescent="0.3">
      <c r="A391" s="34" t="s">
        <v>1408</v>
      </c>
      <c r="B391" s="36">
        <v>273</v>
      </c>
      <c r="C391" s="29" t="s">
        <v>1419</v>
      </c>
      <c r="D391" s="29" t="str">
        <f t="shared" si="467"/>
        <v>NO APLICA</v>
      </c>
      <c r="E391" s="27" t="s">
        <v>1152</v>
      </c>
      <c r="F391" s="43">
        <v>0</v>
      </c>
      <c r="G391" s="21">
        <v>0</v>
      </c>
      <c r="H391" s="9">
        <f t="shared" si="458"/>
        <v>0</v>
      </c>
      <c r="I391" s="9" t="s">
        <v>1287</v>
      </c>
      <c r="J391" s="9">
        <f t="shared" si="459"/>
        <v>0</v>
      </c>
      <c r="K391" s="9">
        <f t="shared" si="460"/>
        <v>0</v>
      </c>
      <c r="L391" s="9">
        <f t="shared" si="461"/>
        <v>0</v>
      </c>
      <c r="M391" s="11">
        <f t="shared" si="468"/>
        <v>0.2</v>
      </c>
      <c r="N391" s="9">
        <f t="shared" si="462"/>
        <v>0</v>
      </c>
      <c r="O391" s="12">
        <f t="shared" si="463"/>
        <v>0</v>
      </c>
      <c r="P391" s="13" t="str">
        <f t="shared" si="427"/>
        <v>NO</v>
      </c>
      <c r="Q391">
        <f t="shared" si="464"/>
        <v>0</v>
      </c>
      <c r="R391">
        <f t="shared" si="465"/>
        <v>0</v>
      </c>
      <c r="S391">
        <f t="shared" si="466"/>
        <v>0</v>
      </c>
    </row>
    <row r="392" spans="1:19" ht="15" hidden="1" customHeight="1" x14ac:dyDescent="0.3">
      <c r="A392" s="34" t="s">
        <v>1408</v>
      </c>
      <c r="B392" s="36">
        <v>274</v>
      </c>
      <c r="C392" s="29" t="s">
        <v>1420</v>
      </c>
      <c r="D392" s="29" t="str">
        <f t="shared" si="467"/>
        <v>NO APLICA</v>
      </c>
      <c r="E392" s="27" t="s">
        <v>1152</v>
      </c>
      <c r="F392" s="43">
        <v>0</v>
      </c>
      <c r="G392" s="21">
        <v>0</v>
      </c>
      <c r="H392" s="9">
        <f t="shared" si="458"/>
        <v>0</v>
      </c>
      <c r="I392" s="9" t="s">
        <v>1287</v>
      </c>
      <c r="J392" s="9">
        <f t="shared" si="459"/>
        <v>0</v>
      </c>
      <c r="K392" s="9">
        <f t="shared" si="460"/>
        <v>0</v>
      </c>
      <c r="L392" s="9">
        <f t="shared" si="461"/>
        <v>0</v>
      </c>
      <c r="M392" s="11">
        <f t="shared" si="468"/>
        <v>0.2</v>
      </c>
      <c r="N392" s="9">
        <f t="shared" si="462"/>
        <v>0</v>
      </c>
      <c r="O392" s="12">
        <f t="shared" si="463"/>
        <v>0</v>
      </c>
      <c r="P392" s="13" t="str">
        <f t="shared" si="427"/>
        <v>NO</v>
      </c>
      <c r="Q392">
        <f t="shared" si="464"/>
        <v>0</v>
      </c>
      <c r="R392">
        <f t="shared" si="465"/>
        <v>0</v>
      </c>
      <c r="S392">
        <f t="shared" si="466"/>
        <v>0</v>
      </c>
    </row>
    <row r="393" spans="1:19" ht="15" hidden="1" customHeight="1" x14ac:dyDescent="0.3">
      <c r="A393" s="34" t="s">
        <v>1408</v>
      </c>
      <c r="B393" s="36">
        <v>255</v>
      </c>
      <c r="C393" s="29" t="s">
        <v>1293</v>
      </c>
      <c r="D393" s="29" t="str">
        <f t="shared" si="467"/>
        <v>NO APLICA</v>
      </c>
      <c r="E393" s="27" t="s">
        <v>1152</v>
      </c>
      <c r="F393" s="43">
        <v>0</v>
      </c>
      <c r="G393" s="21">
        <v>0</v>
      </c>
      <c r="H393" s="9">
        <f t="shared" si="458"/>
        <v>0</v>
      </c>
      <c r="I393" s="9" t="s">
        <v>1287</v>
      </c>
      <c r="J393" s="9">
        <f t="shared" si="459"/>
        <v>0</v>
      </c>
      <c r="K393" s="9">
        <f t="shared" si="460"/>
        <v>0</v>
      </c>
      <c r="L393" s="9">
        <f t="shared" si="461"/>
        <v>0</v>
      </c>
      <c r="M393" s="11">
        <f t="shared" si="468"/>
        <v>0.2</v>
      </c>
      <c r="N393" s="9">
        <f t="shared" si="462"/>
        <v>0</v>
      </c>
      <c r="O393" s="12">
        <f t="shared" si="463"/>
        <v>0</v>
      </c>
      <c r="P393" s="13" t="str">
        <f t="shared" si="427"/>
        <v>NO</v>
      </c>
      <c r="Q393">
        <f t="shared" si="464"/>
        <v>0</v>
      </c>
      <c r="R393">
        <f t="shared" si="465"/>
        <v>0</v>
      </c>
      <c r="S393">
        <f t="shared" si="466"/>
        <v>0</v>
      </c>
    </row>
    <row r="394" spans="1:19" s="18" customFormat="1" ht="15" hidden="1" customHeight="1" x14ac:dyDescent="0.3">
      <c r="A394" s="24"/>
      <c r="B394" s="26"/>
      <c r="C394" s="15" t="s">
        <v>1177</v>
      </c>
      <c r="D394" s="38" t="str">
        <f>D393</f>
        <v>NO APLICA</v>
      </c>
      <c r="E394" s="38"/>
      <c r="F394" s="16">
        <f>SUMIF(E381:E393,"Adicional",F381:F393)</f>
        <v>0</v>
      </c>
      <c r="G394" s="17"/>
      <c r="H394" s="16">
        <f>SUM(H381:H393)</f>
        <v>0</v>
      </c>
      <c r="I394" s="16"/>
      <c r="J394" s="16">
        <f t="shared" ref="J394:L394" si="469">SUM(J381:J393)</f>
        <v>0</v>
      </c>
      <c r="K394" s="16">
        <f t="shared" si="469"/>
        <v>0</v>
      </c>
      <c r="L394" s="16">
        <f t="shared" si="469"/>
        <v>0</v>
      </c>
      <c r="M394" s="16" t="s">
        <v>1178</v>
      </c>
      <c r="N394" s="16">
        <f t="shared" ref="N394:O394" si="470">SUM(N381:N393)</f>
        <v>0</v>
      </c>
      <c r="O394" s="84">
        <f t="shared" si="470"/>
        <v>0</v>
      </c>
      <c r="P394" s="13" t="str">
        <f t="shared" si="427"/>
        <v>NO</v>
      </c>
      <c r="Q394">
        <f>IF(D394="INCLUIDO",IF(H394&lt;&gt;0,1,0),0)</f>
        <v>0</v>
      </c>
    </row>
    <row r="395" spans="1:19" ht="15" hidden="1" customHeight="1" x14ac:dyDescent="0.3">
      <c r="A395" s="82">
        <v>916</v>
      </c>
      <c r="B395" s="33">
        <v>1</v>
      </c>
      <c r="C395" s="19" t="s">
        <v>1421</v>
      </c>
      <c r="D395" s="23" t="str">
        <f>'Ramo Comercial'!C171</f>
        <v>NO APLICA</v>
      </c>
      <c r="E395" s="91"/>
      <c r="F395" s="28"/>
      <c r="G395" s="28"/>
      <c r="H395" s="28"/>
      <c r="I395" s="28"/>
      <c r="J395" s="28"/>
      <c r="K395" s="28"/>
      <c r="L395" s="28"/>
      <c r="M395" s="68">
        <v>0</v>
      </c>
      <c r="N395" s="28"/>
      <c r="O395" s="83"/>
      <c r="P395" s="13" t="str">
        <f t="shared" si="427"/>
        <v>NO</v>
      </c>
      <c r="Q395" s="47">
        <f>IF(D395="INCLUIDO",IF(F396&lt;&gt;0,1,0),0)</f>
        <v>0</v>
      </c>
    </row>
    <row r="396" spans="1:19" ht="15" hidden="1" customHeight="1" x14ac:dyDescent="0.3">
      <c r="A396" s="34" t="s">
        <v>1422</v>
      </c>
      <c r="B396" s="36">
        <v>212</v>
      </c>
      <c r="C396" s="29" t="s">
        <v>1423</v>
      </c>
      <c r="D396" s="29" t="str">
        <f>$D$395</f>
        <v>NO APLICA</v>
      </c>
      <c r="E396" s="27" t="s">
        <v>1152</v>
      </c>
      <c r="F396" s="43">
        <v>0</v>
      </c>
      <c r="G396" s="21">
        <v>0</v>
      </c>
      <c r="H396" s="9">
        <f t="shared" ref="H396:H400" si="471">(IF(I396="$ Prima",G396,G396*F396/R396))*$U$9</f>
        <v>0</v>
      </c>
      <c r="I396" s="9" t="s">
        <v>1235</v>
      </c>
      <c r="J396" s="9">
        <f t="shared" ref="J396:J400" si="472">H396*$U$7</f>
        <v>0</v>
      </c>
      <c r="K396" s="9">
        <f t="shared" ref="K396:K400" si="473">(H396+J396)*$K$15</f>
        <v>0</v>
      </c>
      <c r="L396" s="9">
        <f t="shared" ref="L396:L400" si="474">ROUND(H396+J396+K396,2)</f>
        <v>0</v>
      </c>
      <c r="M396" s="11">
        <f>$M$395</f>
        <v>0</v>
      </c>
      <c r="N396" s="9">
        <f t="shared" ref="N396:N400" si="475">H396*M396</f>
        <v>0</v>
      </c>
      <c r="O396" s="12">
        <f t="shared" ref="O396:O400" si="476">N396</f>
        <v>0</v>
      </c>
      <c r="P396" s="13" t="str">
        <f t="shared" si="427"/>
        <v>NO</v>
      </c>
      <c r="Q396">
        <f>IF(D396="INCLUIDO",IF(F396&lt;&gt;0,1,0),0)</f>
        <v>0</v>
      </c>
      <c r="R396">
        <f>IF(I396="%o Al Millar",1000,IF(I396="% Al Porciento",100,IF(I396="$ Prima",G396)))</f>
        <v>100</v>
      </c>
      <c r="S396">
        <f t="shared" ref="S396:S400" si="477">IF(E396="Excluido",0,IF(D396="NO APLICA",0,1))</f>
        <v>0</v>
      </c>
    </row>
    <row r="397" spans="1:19" ht="15" hidden="1" customHeight="1" x14ac:dyDescent="0.3">
      <c r="A397" s="34" t="s">
        <v>1422</v>
      </c>
      <c r="B397" s="36">
        <v>211</v>
      </c>
      <c r="C397" s="29" t="s">
        <v>1424</v>
      </c>
      <c r="D397" s="29" t="str">
        <f t="shared" ref="D397:D400" si="478">$D$395</f>
        <v>NO APLICA</v>
      </c>
      <c r="E397" s="27" t="s">
        <v>1137</v>
      </c>
      <c r="F397" s="43">
        <v>0</v>
      </c>
      <c r="G397" s="21">
        <v>0</v>
      </c>
      <c r="H397" s="9">
        <f t="shared" si="471"/>
        <v>0</v>
      </c>
      <c r="I397" s="9" t="s">
        <v>1235</v>
      </c>
      <c r="J397" s="9">
        <f t="shared" si="472"/>
        <v>0</v>
      </c>
      <c r="K397" s="9">
        <f t="shared" si="473"/>
        <v>0</v>
      </c>
      <c r="L397" s="9">
        <f t="shared" si="474"/>
        <v>0</v>
      </c>
      <c r="M397" s="11">
        <f t="shared" ref="M397:M400" si="479">$M$395</f>
        <v>0</v>
      </c>
      <c r="N397" s="9">
        <f t="shared" si="475"/>
        <v>0</v>
      </c>
      <c r="O397" s="12">
        <f t="shared" si="476"/>
        <v>0</v>
      </c>
      <c r="P397" s="13" t="str">
        <f t="shared" si="427"/>
        <v>NO</v>
      </c>
      <c r="Q397">
        <f>IF(D397="INCLUIDO",IF(F397&lt;&gt;0,1,0),0)</f>
        <v>0</v>
      </c>
      <c r="R397">
        <f>IF(I397="%o Al Millar",1000,IF(I397="% Al Porciento",100,IF(I397="$ Prima",G397)))</f>
        <v>100</v>
      </c>
      <c r="S397">
        <f t="shared" si="477"/>
        <v>0</v>
      </c>
    </row>
    <row r="398" spans="1:19" ht="15" hidden="1" customHeight="1" x14ac:dyDescent="0.3">
      <c r="A398" s="34" t="s">
        <v>1422</v>
      </c>
      <c r="B398" s="36">
        <v>215</v>
      </c>
      <c r="C398" s="29" t="s">
        <v>1425</v>
      </c>
      <c r="D398" s="29" t="str">
        <f t="shared" si="478"/>
        <v>NO APLICA</v>
      </c>
      <c r="E398" s="27" t="s">
        <v>1137</v>
      </c>
      <c r="F398" s="43">
        <v>0</v>
      </c>
      <c r="G398" s="21">
        <v>0</v>
      </c>
      <c r="H398" s="9">
        <f t="shared" si="471"/>
        <v>0</v>
      </c>
      <c r="I398" s="9" t="s">
        <v>1235</v>
      </c>
      <c r="J398" s="9">
        <f t="shared" si="472"/>
        <v>0</v>
      </c>
      <c r="K398" s="9">
        <f t="shared" si="473"/>
        <v>0</v>
      </c>
      <c r="L398" s="9">
        <f t="shared" si="474"/>
        <v>0</v>
      </c>
      <c r="M398" s="11">
        <f t="shared" si="479"/>
        <v>0</v>
      </c>
      <c r="N398" s="9">
        <f t="shared" si="475"/>
        <v>0</v>
      </c>
      <c r="O398" s="12">
        <f t="shared" si="476"/>
        <v>0</v>
      </c>
      <c r="P398" s="13" t="str">
        <f t="shared" si="427"/>
        <v>NO</v>
      </c>
      <c r="Q398">
        <f>IF(D398="INCLUIDO",IF(F398&lt;&gt;0,1,0),0)</f>
        <v>0</v>
      </c>
      <c r="R398">
        <f>IF(I398="%o Al Millar",1000,IF(I398="% Al Porciento",100,IF(I398="$ Prima",G398)))</f>
        <v>100</v>
      </c>
      <c r="S398">
        <f t="shared" si="477"/>
        <v>0</v>
      </c>
    </row>
    <row r="399" spans="1:19" ht="15" hidden="1" customHeight="1" x14ac:dyDescent="0.3">
      <c r="A399" s="34" t="s">
        <v>1422</v>
      </c>
      <c r="B399" s="36">
        <v>217</v>
      </c>
      <c r="C399" s="29" t="s">
        <v>1426</v>
      </c>
      <c r="D399" s="29" t="str">
        <f t="shared" si="478"/>
        <v>NO APLICA</v>
      </c>
      <c r="E399" s="27" t="s">
        <v>1137</v>
      </c>
      <c r="F399" s="43">
        <v>0</v>
      </c>
      <c r="G399" s="21">
        <v>0</v>
      </c>
      <c r="H399" s="9">
        <f t="shared" si="471"/>
        <v>0</v>
      </c>
      <c r="I399" s="9" t="s">
        <v>1235</v>
      </c>
      <c r="J399" s="9">
        <f t="shared" si="472"/>
        <v>0</v>
      </c>
      <c r="K399" s="9">
        <f t="shared" si="473"/>
        <v>0</v>
      </c>
      <c r="L399" s="9">
        <f t="shared" si="474"/>
        <v>0</v>
      </c>
      <c r="M399" s="11">
        <f t="shared" si="479"/>
        <v>0</v>
      </c>
      <c r="N399" s="9">
        <f t="shared" si="475"/>
        <v>0</v>
      </c>
      <c r="O399" s="12">
        <f t="shared" si="476"/>
        <v>0</v>
      </c>
      <c r="P399" s="13" t="str">
        <f t="shared" si="427"/>
        <v>NO</v>
      </c>
      <c r="Q399">
        <f>IF(D399="INCLUIDO",IF(F399&lt;&gt;0,1,0),0)</f>
        <v>0</v>
      </c>
      <c r="R399">
        <f>IF(I399="%o Al Millar",1000,IF(I399="% Al Porciento",100,IF(I399="$ Prima",G399)))</f>
        <v>100</v>
      </c>
      <c r="S399">
        <f t="shared" si="477"/>
        <v>0</v>
      </c>
    </row>
    <row r="400" spans="1:19" ht="15" hidden="1" customHeight="1" x14ac:dyDescent="0.3">
      <c r="A400" s="34" t="s">
        <v>1422</v>
      </c>
      <c r="B400" s="36">
        <v>218</v>
      </c>
      <c r="C400" s="29" t="s">
        <v>1392</v>
      </c>
      <c r="D400" s="29" t="str">
        <f t="shared" si="478"/>
        <v>NO APLICA</v>
      </c>
      <c r="E400" s="27" t="s">
        <v>1137</v>
      </c>
      <c r="F400" s="43">
        <v>0</v>
      </c>
      <c r="G400" s="21">
        <v>0</v>
      </c>
      <c r="H400" s="9">
        <f t="shared" si="471"/>
        <v>0</v>
      </c>
      <c r="I400" s="9" t="s">
        <v>1235</v>
      </c>
      <c r="J400" s="9">
        <f t="shared" si="472"/>
        <v>0</v>
      </c>
      <c r="K400" s="9">
        <f t="shared" si="473"/>
        <v>0</v>
      </c>
      <c r="L400" s="9">
        <f t="shared" si="474"/>
        <v>0</v>
      </c>
      <c r="M400" s="11">
        <f t="shared" si="479"/>
        <v>0</v>
      </c>
      <c r="N400" s="9">
        <f t="shared" si="475"/>
        <v>0</v>
      </c>
      <c r="O400" s="12">
        <f t="shared" si="476"/>
        <v>0</v>
      </c>
      <c r="P400" s="13" t="str">
        <f t="shared" si="427"/>
        <v>NO</v>
      </c>
      <c r="Q400">
        <f>IF(D400="INCLUIDO",IF(F400&lt;&gt;0,1,0),0)</f>
        <v>0</v>
      </c>
      <c r="R400">
        <f>IF(I400="%o Al Millar",1000,IF(I400="% Al Porciento",100,IF(I400="$ Prima",G400)))</f>
        <v>100</v>
      </c>
      <c r="S400">
        <f t="shared" si="477"/>
        <v>0</v>
      </c>
    </row>
    <row r="401" spans="1:19" s="18" customFormat="1" ht="15" hidden="1" customHeight="1" x14ac:dyDescent="0.3">
      <c r="A401" s="24"/>
      <c r="B401" s="26"/>
      <c r="C401" s="15" t="s">
        <v>1177</v>
      </c>
      <c r="D401" s="38" t="str">
        <f>D400</f>
        <v>NO APLICA</v>
      </c>
      <c r="E401" s="38"/>
      <c r="F401" s="16">
        <f>SUMIF(E396:E400,"Adicional",F396:F400)</f>
        <v>0</v>
      </c>
      <c r="G401" s="17"/>
      <c r="H401" s="16">
        <f>SUM(H396:H400)</f>
        <v>0</v>
      </c>
      <c r="I401" s="16"/>
      <c r="J401" s="16">
        <f t="shared" ref="J401:L401" si="480">SUM(J396:J400)</f>
        <v>0</v>
      </c>
      <c r="K401" s="16">
        <f t="shared" si="480"/>
        <v>0</v>
      </c>
      <c r="L401" s="16">
        <f t="shared" si="480"/>
        <v>0</v>
      </c>
      <c r="M401" s="16" t="s">
        <v>1178</v>
      </c>
      <c r="N401" s="16">
        <f t="shared" ref="N401:O401" si="481">SUM(N396:N400)</f>
        <v>0</v>
      </c>
      <c r="O401" s="84">
        <f t="shared" si="481"/>
        <v>0</v>
      </c>
      <c r="P401" s="13" t="str">
        <f t="shared" si="427"/>
        <v>NO</v>
      </c>
      <c r="Q401">
        <f>IF(D401="INCLUIDO",IF(H401&lt;&gt;0,1,0),0)</f>
        <v>0</v>
      </c>
    </row>
    <row r="402" spans="1:19" ht="15" hidden="1" customHeight="1" x14ac:dyDescent="0.3">
      <c r="A402" s="82">
        <v>918</v>
      </c>
      <c r="B402" s="33">
        <v>1</v>
      </c>
      <c r="C402" s="19" t="s">
        <v>1427</v>
      </c>
      <c r="D402" s="23" t="str">
        <f>'Ramo Comercial'!C172</f>
        <v>NO APLICA</v>
      </c>
      <c r="E402" s="91"/>
      <c r="F402" s="42">
        <v>0</v>
      </c>
      <c r="G402" s="28"/>
      <c r="H402" s="28"/>
      <c r="I402" s="28"/>
      <c r="J402" s="28"/>
      <c r="K402" s="28"/>
      <c r="L402" s="28"/>
      <c r="M402" s="68">
        <v>0</v>
      </c>
      <c r="N402" s="28"/>
      <c r="O402" s="83"/>
      <c r="P402" s="13" t="str">
        <f t="shared" si="427"/>
        <v>NO</v>
      </c>
      <c r="Q402" s="48">
        <f>IF(D402="INCLUIDO",IF(F402&lt;&gt;0,1,0),0)</f>
        <v>0</v>
      </c>
    </row>
    <row r="403" spans="1:19" ht="15" hidden="1" customHeight="1" x14ac:dyDescent="0.3">
      <c r="A403" s="34" t="s">
        <v>1428</v>
      </c>
      <c r="B403" s="36">
        <v>219</v>
      </c>
      <c r="C403" s="29" t="s">
        <v>1429</v>
      </c>
      <c r="D403" s="29" t="str">
        <f>D402</f>
        <v>NO APLICA</v>
      </c>
      <c r="E403" s="27" t="s">
        <v>1152</v>
      </c>
      <c r="F403" s="20">
        <f>F402*S403</f>
        <v>0</v>
      </c>
      <c r="G403" s="21">
        <v>0</v>
      </c>
      <c r="H403" s="9">
        <f>(IF(I403="$ Prima",G403,G403*F403/R403))*$U$9</f>
        <v>0</v>
      </c>
      <c r="I403" s="9" t="s">
        <v>1235</v>
      </c>
      <c r="J403" s="9">
        <f>H403*$U$7</f>
        <v>0</v>
      </c>
      <c r="K403" s="9">
        <f>(H403+J403)*$K$15</f>
        <v>0</v>
      </c>
      <c r="L403" s="9">
        <f>ROUND(H403+J403+K403,2)</f>
        <v>0</v>
      </c>
      <c r="M403" s="11">
        <f>M402</f>
        <v>0</v>
      </c>
      <c r="N403" s="9">
        <f>H403*M403</f>
        <v>0</v>
      </c>
      <c r="O403" s="12">
        <f>N403</f>
        <v>0</v>
      </c>
      <c r="P403" s="13" t="str">
        <f t="shared" si="427"/>
        <v>NO</v>
      </c>
      <c r="Q403">
        <f>IF(D403="INCLUIDO",IF(F403&lt;&gt;0,1,0),0)</f>
        <v>0</v>
      </c>
      <c r="R403">
        <f>IF(I403="%o Al Millar",1000,IF(I403="% Al Porciento",100,IF(I403="$ Prima",G403)))</f>
        <v>100</v>
      </c>
      <c r="S403">
        <f t="shared" ref="S403" si="482">IF(E403="Excluido",0,IF(D403="NO APLICA",0,1))</f>
        <v>0</v>
      </c>
    </row>
    <row r="404" spans="1:19" s="18" customFormat="1" ht="15" hidden="1" customHeight="1" x14ac:dyDescent="0.3">
      <c r="A404" s="24"/>
      <c r="B404" s="26"/>
      <c r="C404" s="15" t="s">
        <v>1177</v>
      </c>
      <c r="D404" s="38" t="str">
        <f>D403</f>
        <v>NO APLICA</v>
      </c>
      <c r="E404" s="38"/>
      <c r="F404" s="16">
        <f>F403</f>
        <v>0</v>
      </c>
      <c r="G404" s="17"/>
      <c r="H404" s="16">
        <f>SUM(H403)</f>
        <v>0</v>
      </c>
      <c r="I404" s="16"/>
      <c r="J404" s="16">
        <f t="shared" ref="J404:L404" si="483">SUM(J403)</f>
        <v>0</v>
      </c>
      <c r="K404" s="16">
        <f t="shared" si="483"/>
        <v>0</v>
      </c>
      <c r="L404" s="16">
        <f t="shared" si="483"/>
        <v>0</v>
      </c>
      <c r="M404" s="16" t="s">
        <v>1178</v>
      </c>
      <c r="N404" s="16">
        <f t="shared" ref="N404:O404" si="484">SUM(N403)</f>
        <v>0</v>
      </c>
      <c r="O404" s="84">
        <f t="shared" si="484"/>
        <v>0</v>
      </c>
      <c r="P404" s="13" t="str">
        <f t="shared" si="427"/>
        <v>NO</v>
      </c>
      <c r="Q404">
        <f>IF(D404="INCLUIDO",IF(H404&lt;&gt;0,1,0),0)</f>
        <v>0</v>
      </c>
    </row>
    <row r="405" spans="1:19" ht="15" hidden="1" customHeight="1" x14ac:dyDescent="0.3">
      <c r="A405" s="82">
        <v>919</v>
      </c>
      <c r="B405" s="33">
        <v>1</v>
      </c>
      <c r="C405" s="19" t="s">
        <v>1430</v>
      </c>
      <c r="D405" s="23" t="str">
        <f>'Ramo Comercial'!C173</f>
        <v>NO APLICA</v>
      </c>
      <c r="E405" s="91"/>
      <c r="F405" s="28"/>
      <c r="G405" s="28"/>
      <c r="H405" s="28"/>
      <c r="I405" s="28"/>
      <c r="J405" s="28"/>
      <c r="K405" s="28"/>
      <c r="L405" s="28"/>
      <c r="M405" s="68">
        <v>0</v>
      </c>
      <c r="N405" s="28"/>
      <c r="O405" s="83"/>
      <c r="P405" s="13" t="str">
        <f t="shared" si="427"/>
        <v>NO</v>
      </c>
      <c r="Q405" s="47">
        <f>IF(D405="INCLUIDO",IF(F406&lt;&gt;0,1,0),0)</f>
        <v>0</v>
      </c>
    </row>
    <row r="406" spans="1:19" ht="15" hidden="1" customHeight="1" x14ac:dyDescent="0.3">
      <c r="A406" s="34" t="s">
        <v>1430</v>
      </c>
      <c r="B406" s="36">
        <v>220</v>
      </c>
      <c r="C406" s="29" t="s">
        <v>1431</v>
      </c>
      <c r="D406" s="29" t="str">
        <f>$D$405</f>
        <v>NO APLICA</v>
      </c>
      <c r="E406" s="27" t="s">
        <v>1152</v>
      </c>
      <c r="F406" s="43">
        <v>0</v>
      </c>
      <c r="G406" s="21">
        <v>0</v>
      </c>
      <c r="H406" s="9">
        <f t="shared" ref="H406:H409" si="485">(IF(I406="$ Prima",G406,G406*F406/R406))*$U$9</f>
        <v>0</v>
      </c>
      <c r="I406" s="9" t="s">
        <v>1287</v>
      </c>
      <c r="J406" s="9">
        <f t="shared" ref="J406:J409" si="486">H406*$U$7</f>
        <v>0</v>
      </c>
      <c r="K406" s="9">
        <f t="shared" ref="K406:K409" si="487">(H406+J406)*$K$15</f>
        <v>0</v>
      </c>
      <c r="L406" s="9">
        <f t="shared" ref="L406:L409" si="488">ROUND(H406+J406+K406,2)</f>
        <v>0</v>
      </c>
      <c r="M406" s="11">
        <f>$M$405</f>
        <v>0</v>
      </c>
      <c r="N406" s="9">
        <f t="shared" ref="N406:N409" si="489">H406*M406</f>
        <v>0</v>
      </c>
      <c r="O406" s="12">
        <f t="shared" ref="O406:O409" si="490">N406</f>
        <v>0</v>
      </c>
      <c r="P406" s="13" t="str">
        <f t="shared" si="427"/>
        <v>NO</v>
      </c>
      <c r="Q406">
        <f>IF(D406="INCLUIDO",IF(F406&lt;&gt;0,1,0),0)</f>
        <v>0</v>
      </c>
      <c r="R406">
        <f>IF(I406="%o Al Millar",1000,IF(I406="% Al Porciento",100,IF(I406="$ Prima",G406)))</f>
        <v>0</v>
      </c>
      <c r="S406">
        <f t="shared" ref="S406:S409" si="491">IF(E406="Excluido",0,IF(D406="NO APLICA",0,1))</f>
        <v>0</v>
      </c>
    </row>
    <row r="407" spans="1:19" ht="22.5" hidden="1" customHeight="1" x14ac:dyDescent="0.3">
      <c r="A407" s="34" t="s">
        <v>1430</v>
      </c>
      <c r="B407" s="36">
        <v>221</v>
      </c>
      <c r="C407" s="29" t="s">
        <v>1432</v>
      </c>
      <c r="D407" s="29" t="str">
        <f t="shared" ref="D407:D409" si="492">$D$405</f>
        <v>NO APLICA</v>
      </c>
      <c r="E407" s="27" t="s">
        <v>1137</v>
      </c>
      <c r="F407" s="43">
        <v>0</v>
      </c>
      <c r="G407" s="21">
        <v>0</v>
      </c>
      <c r="H407" s="9">
        <f t="shared" si="485"/>
        <v>0</v>
      </c>
      <c r="I407" s="9" t="s">
        <v>1287</v>
      </c>
      <c r="J407" s="9">
        <f t="shared" si="486"/>
        <v>0</v>
      </c>
      <c r="K407" s="9">
        <f t="shared" si="487"/>
        <v>0</v>
      </c>
      <c r="L407" s="9">
        <f t="shared" si="488"/>
        <v>0</v>
      </c>
      <c r="M407" s="11">
        <f t="shared" ref="M407:M409" si="493">$M$405</f>
        <v>0</v>
      </c>
      <c r="N407" s="9">
        <f t="shared" si="489"/>
        <v>0</v>
      </c>
      <c r="O407" s="12">
        <f t="shared" si="490"/>
        <v>0</v>
      </c>
      <c r="P407" s="13" t="str">
        <f t="shared" si="427"/>
        <v>NO</v>
      </c>
      <c r="Q407">
        <f>IF(D407="INCLUIDO",IF(F407&lt;&gt;0,1,0),0)</f>
        <v>0</v>
      </c>
      <c r="R407">
        <f>IF(I407="%o Al Millar",1000,IF(I407="% Al Porciento",100,IF(I407="$ Prima",G407)))</f>
        <v>0</v>
      </c>
      <c r="S407">
        <f t="shared" si="491"/>
        <v>0</v>
      </c>
    </row>
    <row r="408" spans="1:19" ht="15" hidden="1" customHeight="1" x14ac:dyDescent="0.3">
      <c r="A408" s="34" t="s">
        <v>1430</v>
      </c>
      <c r="B408" s="36">
        <v>222</v>
      </c>
      <c r="C408" s="29" t="s">
        <v>1433</v>
      </c>
      <c r="D408" s="29" t="str">
        <f t="shared" si="492"/>
        <v>NO APLICA</v>
      </c>
      <c r="E408" s="27" t="s">
        <v>1137</v>
      </c>
      <c r="F408" s="43">
        <v>0</v>
      </c>
      <c r="G408" s="21">
        <v>0</v>
      </c>
      <c r="H408" s="9">
        <f t="shared" si="485"/>
        <v>0</v>
      </c>
      <c r="I408" s="9" t="s">
        <v>1287</v>
      </c>
      <c r="J408" s="9">
        <f t="shared" si="486"/>
        <v>0</v>
      </c>
      <c r="K408" s="9">
        <f t="shared" si="487"/>
        <v>0</v>
      </c>
      <c r="L408" s="9">
        <f t="shared" si="488"/>
        <v>0</v>
      </c>
      <c r="M408" s="11">
        <f t="shared" si="493"/>
        <v>0</v>
      </c>
      <c r="N408" s="9">
        <f t="shared" si="489"/>
        <v>0</v>
      </c>
      <c r="O408" s="12">
        <f t="shared" si="490"/>
        <v>0</v>
      </c>
      <c r="P408" s="13" t="str">
        <f t="shared" si="427"/>
        <v>NO</v>
      </c>
      <c r="Q408">
        <f>IF(D408="INCLUIDO",IF(F408&lt;&gt;0,1,0),0)</f>
        <v>0</v>
      </c>
      <c r="R408">
        <f>IF(I408="%o Al Millar",1000,IF(I408="% Al Porciento",100,IF(I408="$ Prima",G408)))</f>
        <v>0</v>
      </c>
      <c r="S408">
        <f t="shared" si="491"/>
        <v>0</v>
      </c>
    </row>
    <row r="409" spans="1:19" ht="15" hidden="1" customHeight="1" x14ac:dyDescent="0.3">
      <c r="A409" s="34" t="s">
        <v>1430</v>
      </c>
      <c r="B409" s="36">
        <v>223</v>
      </c>
      <c r="C409" s="29" t="s">
        <v>1434</v>
      </c>
      <c r="D409" s="29" t="str">
        <f t="shared" si="492"/>
        <v>NO APLICA</v>
      </c>
      <c r="E409" s="27" t="s">
        <v>1137</v>
      </c>
      <c r="F409" s="43">
        <v>0</v>
      </c>
      <c r="G409" s="21">
        <v>0</v>
      </c>
      <c r="H409" s="9">
        <f t="shared" si="485"/>
        <v>0</v>
      </c>
      <c r="I409" s="9" t="s">
        <v>1287</v>
      </c>
      <c r="J409" s="9">
        <f t="shared" si="486"/>
        <v>0</v>
      </c>
      <c r="K409" s="9">
        <f t="shared" si="487"/>
        <v>0</v>
      </c>
      <c r="L409" s="9">
        <f t="shared" si="488"/>
        <v>0</v>
      </c>
      <c r="M409" s="11">
        <f t="shared" si="493"/>
        <v>0</v>
      </c>
      <c r="N409" s="9">
        <f t="shared" si="489"/>
        <v>0</v>
      </c>
      <c r="O409" s="12">
        <f t="shared" si="490"/>
        <v>0</v>
      </c>
      <c r="P409" s="13" t="str">
        <f t="shared" si="427"/>
        <v>NO</v>
      </c>
      <c r="Q409">
        <f>IF(D409="INCLUIDO",IF(F409&lt;&gt;0,1,0),0)</f>
        <v>0</v>
      </c>
      <c r="R409">
        <f>IF(I409="%o Al Millar",1000,IF(I409="% Al Porciento",100,IF(I409="$ Prima",G409)))</f>
        <v>0</v>
      </c>
      <c r="S409">
        <f t="shared" si="491"/>
        <v>0</v>
      </c>
    </row>
    <row r="410" spans="1:19" s="18" customFormat="1" ht="15.75" hidden="1" customHeight="1" thickBot="1" x14ac:dyDescent="0.35">
      <c r="A410" s="85"/>
      <c r="B410" s="86"/>
      <c r="C410" s="99" t="s">
        <v>1177</v>
      </c>
      <c r="D410" s="100" t="str">
        <f>D409</f>
        <v>NO APLICA</v>
      </c>
      <c r="E410" s="100"/>
      <c r="F410" s="87">
        <f>SUMIF(E406:E409,"Adicional",F406:F409)</f>
        <v>0</v>
      </c>
      <c r="G410" s="101"/>
      <c r="H410" s="87">
        <f>SUM(H406:H409)</f>
        <v>0</v>
      </c>
      <c r="I410" s="87"/>
      <c r="J410" s="87">
        <f t="shared" ref="J410:L410" si="494">SUM(J406:J409)</f>
        <v>0</v>
      </c>
      <c r="K410" s="87">
        <f t="shared" si="494"/>
        <v>0</v>
      </c>
      <c r="L410" s="87">
        <f t="shared" si="494"/>
        <v>0</v>
      </c>
      <c r="M410" s="87" t="s">
        <v>1178</v>
      </c>
      <c r="N410" s="87">
        <f t="shared" ref="N410:O410" si="495">SUM(N406:N409)</f>
        <v>0</v>
      </c>
      <c r="O410" s="102">
        <f t="shared" si="495"/>
        <v>0</v>
      </c>
      <c r="P410" s="13" t="str">
        <f t="shared" si="427"/>
        <v>NO</v>
      </c>
      <c r="Q410">
        <f>IF(D410="INCLUIDO",IF(H410&lt;&gt;0,1,0),0)</f>
        <v>0</v>
      </c>
    </row>
    <row r="411" spans="1:19" s="18" customFormat="1" ht="21" customHeight="1" x14ac:dyDescent="0.3">
      <c r="A411" s="69"/>
      <c r="B411" s="69"/>
      <c r="C411" s="103" t="s">
        <v>1435</v>
      </c>
      <c r="D411" s="94" t="s">
        <v>1436</v>
      </c>
      <c r="E411" s="94"/>
      <c r="F411" s="104">
        <f>SUMIF(C17:C410,"SUBTOTAL",F17:F410)</f>
        <v>0</v>
      </c>
      <c r="G411" s="94"/>
      <c r="H411" s="93">
        <f>H40+H77+H99+H103+H107+H111+H115+H122+H129+H137+H145+H148+H151+H154+H157+H160+H166+H172+H178+H182+H186+H202+H206+H210+H213+H216+H220+H223+H226+H230+H233+H236+H240+H272+H276+H282+H329+H336+H344+H350+H363+H369+H379+H394+H401+H404+H410</f>
        <v>3674.2836001129922</v>
      </c>
      <c r="I411" s="104">
        <v>0</v>
      </c>
      <c r="J411" s="93">
        <v>0</v>
      </c>
      <c r="K411" s="93">
        <f>(H411+I411+J411)*16%</f>
        <v>587.88537601807877</v>
      </c>
      <c r="L411" s="93">
        <f>H411+I411+J411+K411</f>
        <v>4262.1689761310708</v>
      </c>
      <c r="M411" s="94"/>
      <c r="N411" s="93">
        <f>N40+N77+N99+N103+N107+N111+N115+N122+N129+N137+N145+N148+N151+N154+N157+N160+N166+N172+N178+N182+N186+N202+N206+N210+N213+N216+N220+N223+N226+N230+N233+N236+N240+N272+N276+N282+N329+N336+N344+N350+N363+N369+N379+N394+N401+N404+N410</f>
        <v>291.3653748339317</v>
      </c>
      <c r="O411" s="93">
        <f>O40+O77+O99+O103+O107+O111+O115+O122+O129+O137+O145+O148+O151+O154+O157+O160+O166+O172+O178+O182+O186+O202+O206+O210+O213+O216+O220+O223+O226+O230+O233+O236+O240+O272+O276+O282+O329+O336+O344+O350+O363+O369+O379+O394+O401+O404+O410</f>
        <v>291.3653748339317</v>
      </c>
      <c r="P411" s="98" t="s">
        <v>1437</v>
      </c>
      <c r="Q411"/>
    </row>
    <row r="412" spans="1:19" x14ac:dyDescent="0.3">
      <c r="C412" s="3"/>
      <c r="D412" s="94" t="s">
        <v>1436</v>
      </c>
      <c r="E412" s="94"/>
      <c r="F412" s="96" t="s">
        <v>1438</v>
      </c>
      <c r="G412" s="94"/>
      <c r="H412" s="95" t="s">
        <v>1439</v>
      </c>
      <c r="I412" s="96" t="s">
        <v>56</v>
      </c>
      <c r="J412" s="95" t="s">
        <v>1440</v>
      </c>
      <c r="K412" s="95" t="s">
        <v>1131</v>
      </c>
      <c r="L412" s="95" t="s">
        <v>79</v>
      </c>
      <c r="M412" s="93"/>
      <c r="N412" s="736" t="s">
        <v>1441</v>
      </c>
      <c r="O412" s="736"/>
      <c r="P412" s="98" t="s">
        <v>1437</v>
      </c>
    </row>
    <row r="413" spans="1:19" x14ac:dyDescent="0.3">
      <c r="C413" s="3"/>
      <c r="G413" s="22"/>
      <c r="H413" s="22"/>
      <c r="I413" s="22"/>
      <c r="N413" s="432">
        <f>N411/H411</f>
        <v>7.9298553553397891E-2</v>
      </c>
    </row>
    <row r="414" spans="1:19" ht="24" x14ac:dyDescent="0.3">
      <c r="C414" s="422" t="s">
        <v>1443</v>
      </c>
      <c r="D414" s="421"/>
      <c r="E414" s="735" t="s">
        <v>1444</v>
      </c>
      <c r="F414" s="735"/>
      <c r="G414" s="735"/>
      <c r="H414" s="422" t="s">
        <v>1445</v>
      </c>
      <c r="J414" s="417" t="s">
        <v>1474</v>
      </c>
      <c r="K414" s="777" t="s">
        <v>1442</v>
      </c>
      <c r="L414" s="778"/>
      <c r="M414" s="778"/>
      <c r="N414" s="778"/>
      <c r="O414" s="778"/>
    </row>
    <row r="415" spans="1:19" ht="18" x14ac:dyDescent="0.3">
      <c r="C415" t="s">
        <v>1446</v>
      </c>
      <c r="F415" s="4" t="s">
        <v>1447</v>
      </c>
      <c r="H415" s="4" t="s">
        <v>1437</v>
      </c>
      <c r="J415" s="417" t="s">
        <v>1475</v>
      </c>
      <c r="K415" s="751"/>
      <c r="L415" s="751"/>
      <c r="M415" s="751"/>
      <c r="N415" s="751"/>
      <c r="O415" s="751"/>
    </row>
    <row r="416" spans="1:19" ht="18" x14ac:dyDescent="0.3">
      <c r="C416" t="s">
        <v>1449</v>
      </c>
      <c r="F416" s="4" t="s">
        <v>1450</v>
      </c>
      <c r="H416" s="4" t="s">
        <v>1437</v>
      </c>
      <c r="J416" s="417" t="s">
        <v>1476</v>
      </c>
      <c r="K416" s="752" t="s">
        <v>1448</v>
      </c>
      <c r="L416" s="753"/>
      <c r="M416" s="753"/>
      <c r="N416" s="753"/>
      <c r="O416" s="753"/>
    </row>
    <row r="417" spans="3:15" ht="18" x14ac:dyDescent="0.3">
      <c r="C417" t="s">
        <v>1451</v>
      </c>
      <c r="F417" s="4" t="s">
        <v>1452</v>
      </c>
      <c r="H417" s="4" t="s">
        <v>1437</v>
      </c>
      <c r="J417" s="417"/>
      <c r="K417" s="754"/>
      <c r="L417" s="754"/>
      <c r="M417" s="754"/>
      <c r="N417" s="754"/>
      <c r="O417" s="754"/>
    </row>
    <row r="418" spans="3:15" ht="18" x14ac:dyDescent="0.3">
      <c r="C418" t="s">
        <v>1454</v>
      </c>
      <c r="F418" s="4" t="s">
        <v>1455</v>
      </c>
      <c r="H418" s="4" t="s">
        <v>1437</v>
      </c>
      <c r="J418" s="417"/>
      <c r="K418" s="417"/>
      <c r="L418" s="417"/>
      <c r="M418" s="418"/>
      <c r="N418" s="417"/>
      <c r="O418" s="417"/>
    </row>
    <row r="419" spans="3:15" x14ac:dyDescent="0.3">
      <c r="C419" t="s">
        <v>1457</v>
      </c>
      <c r="F419" s="4" t="s">
        <v>1458</v>
      </c>
      <c r="H419" s="4" t="s">
        <v>1437</v>
      </c>
    </row>
    <row r="420" spans="3:15" x14ac:dyDescent="0.3">
      <c r="C420" t="s">
        <v>1460</v>
      </c>
      <c r="F420" s="4" t="s">
        <v>1461</v>
      </c>
      <c r="H420" s="4" t="s">
        <v>1462</v>
      </c>
    </row>
  </sheetData>
  <autoFilter ref="A16:P412" xr:uid="{00000000-0009-0000-0000-000001000000}">
    <filterColumn colId="3">
      <filters>
        <filter val="INCLUIDO"/>
      </filters>
    </filterColumn>
    <filterColumn colId="15">
      <filters>
        <filter val="SI"/>
      </filters>
    </filterColumn>
  </autoFilter>
  <dataConsolidate/>
  <mergeCells count="37">
    <mergeCell ref="K416:O416"/>
    <mergeCell ref="K417:O417"/>
    <mergeCell ref="A15:B15"/>
    <mergeCell ref="C15:D15"/>
    <mergeCell ref="N412:O412"/>
    <mergeCell ref="E414:G414"/>
    <mergeCell ref="K414:O414"/>
    <mergeCell ref="K415:O415"/>
    <mergeCell ref="A12:B12"/>
    <mergeCell ref="H12:J12"/>
    <mergeCell ref="A13:B13"/>
    <mergeCell ref="D13:E13"/>
    <mergeCell ref="H13:I13"/>
    <mergeCell ref="J13:J14"/>
    <mergeCell ref="A14:B14"/>
    <mergeCell ref="D14:E14"/>
    <mergeCell ref="S9:T9"/>
    <mergeCell ref="A10:B10"/>
    <mergeCell ref="C10:K10"/>
    <mergeCell ref="L10:M10"/>
    <mergeCell ref="N10:O10"/>
    <mergeCell ref="A11:B11"/>
    <mergeCell ref="C11:K11"/>
    <mergeCell ref="A8:B8"/>
    <mergeCell ref="C8:E8"/>
    <mergeCell ref="G8:K8"/>
    <mergeCell ref="L8:O8"/>
    <mergeCell ref="A9:B9"/>
    <mergeCell ref="C9:I9"/>
    <mergeCell ref="L9:M9"/>
    <mergeCell ref="N9:O9"/>
    <mergeCell ref="S7:T7"/>
    <mergeCell ref="E2:H3"/>
    <mergeCell ref="A5:O5"/>
    <mergeCell ref="A7:B7"/>
    <mergeCell ref="C7:J7"/>
    <mergeCell ref="L7:O7"/>
  </mergeCells>
  <conditionalFormatting sqref="E18:E19">
    <cfRule type="containsText" dxfId="382" priority="736" operator="containsText" text="Sublimite">
      <formula>NOT(ISERROR(SEARCH("Sublimite",E18)))</formula>
    </cfRule>
    <cfRule type="containsText" dxfId="381" priority="737" operator="containsText" text="Adicional">
      <formula>NOT(ISERROR(SEARCH("Adicional",E18)))</formula>
    </cfRule>
  </conditionalFormatting>
  <conditionalFormatting sqref="E18:E27">
    <cfRule type="containsText" dxfId="380" priority="23" operator="containsText" text="Excluido">
      <formula>NOT(ISERROR(SEARCH("Excluido",E18)))</formula>
    </cfRule>
    <cfRule type="containsText" dxfId="379" priority="26" operator="containsText" text="Sublimite">
      <formula>NOT(ISERROR(SEARCH("Sublimite",E18)))</formula>
    </cfRule>
    <cfRule type="containsText" dxfId="378" priority="25" operator="containsText" text="Excluido">
      <formula>NOT(ISERROR(SEARCH("Excluido",E18)))</formula>
    </cfRule>
    <cfRule type="containsText" dxfId="377" priority="24" operator="containsText" text="Sublimite">
      <formula>NOT(ISERROR(SEARCH("Sublimite",E18)))</formula>
    </cfRule>
  </conditionalFormatting>
  <conditionalFormatting sqref="E20:E23">
    <cfRule type="containsText" dxfId="376" priority="720" operator="containsText" text="Sublimite">
      <formula>NOT(ISERROR(SEARCH("Sublimite",E20)))</formula>
    </cfRule>
  </conditionalFormatting>
  <conditionalFormatting sqref="E24">
    <cfRule type="containsText" dxfId="375" priority="28" operator="containsText" text="Adicional">
      <formula>NOT(ISERROR(SEARCH("Adicional",E24)))</formula>
    </cfRule>
    <cfRule type="containsText" dxfId="374" priority="27" operator="containsText" text="Sublimite">
      <formula>NOT(ISERROR(SEARCH("Sublimite",E24)))</formula>
    </cfRule>
  </conditionalFormatting>
  <conditionalFormatting sqref="E25">
    <cfRule type="containsText" dxfId="373" priority="715" operator="containsText" text="Sublimite">
      <formula>NOT(ISERROR(SEARCH("Sublimite",E25)))</formula>
    </cfRule>
  </conditionalFormatting>
  <conditionalFormatting sqref="E26:E27">
    <cfRule type="containsText" dxfId="372" priority="45" operator="containsText" text="Sublimite">
      <formula>NOT(ISERROR(SEARCH("Sublimite",E26)))</formula>
    </cfRule>
    <cfRule type="containsText" dxfId="371" priority="46" operator="containsText" text="Adicional">
      <formula>NOT(ISERROR(SEARCH("Adicional",E26)))</formula>
    </cfRule>
  </conditionalFormatting>
  <conditionalFormatting sqref="E29:E30">
    <cfRule type="containsText" dxfId="370" priority="705" operator="containsText" text="Sublimite">
      <formula>NOT(ISERROR(SEARCH("Sublimite",E29)))</formula>
    </cfRule>
    <cfRule type="containsText" dxfId="369" priority="704" operator="containsText" text="Sublimite">
      <formula>NOT(ISERROR(SEARCH("Sublimite",E29)))</formula>
    </cfRule>
    <cfRule type="containsText" dxfId="368" priority="703" operator="containsText" text="Excluido">
      <formula>NOT(ISERROR(SEARCH("Excluido",E29)))</formula>
    </cfRule>
    <cfRule type="containsText" dxfId="367" priority="702" operator="containsText" text="Sublimite">
      <formula>NOT(ISERROR(SEARCH("Sublimite",E29)))</formula>
    </cfRule>
    <cfRule type="containsText" dxfId="366" priority="701" operator="containsText" text="Excluido">
      <formula>NOT(ISERROR(SEARCH("Excluido",E29)))</formula>
    </cfRule>
  </conditionalFormatting>
  <conditionalFormatting sqref="E32:E33">
    <cfRule type="containsText" dxfId="365" priority="692" operator="containsText" text="Sublimite">
      <formula>NOT(ISERROR(SEARCH("Sublimite",E32)))</formula>
    </cfRule>
    <cfRule type="containsText" dxfId="364" priority="691" operator="containsText" text="Excluido">
      <formula>NOT(ISERROR(SEARCH("Excluido",E32)))</formula>
    </cfRule>
    <cfRule type="containsText" dxfId="363" priority="695" operator="containsText" text="Sublimite">
      <formula>NOT(ISERROR(SEARCH("Sublimite",E32)))</formula>
    </cfRule>
    <cfRule type="containsText" dxfId="362" priority="693" operator="containsText" text="Excluido">
      <formula>NOT(ISERROR(SEARCH("Excluido",E32)))</formula>
    </cfRule>
    <cfRule type="containsText" dxfId="361" priority="694" operator="containsText" text="Sublimite">
      <formula>NOT(ISERROR(SEARCH("Sublimite",E32)))</formula>
    </cfRule>
  </conditionalFormatting>
  <conditionalFormatting sqref="E35">
    <cfRule type="containsText" dxfId="360" priority="13" operator="containsText" text="Excluido">
      <formula>NOT(ISERROR(SEARCH("Excluido",E35)))</formula>
    </cfRule>
    <cfRule type="containsText" dxfId="359" priority="14" operator="containsText" text="Sublimite">
      <formula>NOT(ISERROR(SEARCH("Sublimite",E35)))</formula>
    </cfRule>
    <cfRule type="containsText" dxfId="358" priority="15" operator="containsText" text="Excluido">
      <formula>NOT(ISERROR(SEARCH("Excluido",E35)))</formula>
    </cfRule>
    <cfRule type="containsText" dxfId="357" priority="16" operator="containsText" text="Sublimite">
      <formula>NOT(ISERROR(SEARCH("Sublimite",E35)))</formula>
    </cfRule>
    <cfRule type="containsText" dxfId="356" priority="17" operator="containsText" text="Sublimite">
      <formula>NOT(ISERROR(SEARCH("Sublimite",E35)))</formula>
    </cfRule>
    <cfRule type="containsText" dxfId="355" priority="18" operator="containsText" text="Adicional">
      <formula>NOT(ISERROR(SEARCH("Adicional",E35)))</formula>
    </cfRule>
  </conditionalFormatting>
  <conditionalFormatting sqref="E37">
    <cfRule type="containsText" dxfId="354" priority="181" operator="containsText" text="Sublimite">
      <formula>NOT(ISERROR(SEARCH("Sublimite",E37)))</formula>
    </cfRule>
    <cfRule type="containsText" dxfId="353" priority="180" operator="containsText" text="Sublimite">
      <formula>NOT(ISERROR(SEARCH("Sublimite",E37)))</formula>
    </cfRule>
    <cfRule type="containsText" dxfId="352" priority="179" operator="containsText" text="Excluido">
      <formula>NOT(ISERROR(SEARCH("Excluido",E37)))</formula>
    </cfRule>
    <cfRule type="containsText" dxfId="351" priority="178" operator="containsText" text="Sublimite">
      <formula>NOT(ISERROR(SEARCH("Sublimite",E37)))</formula>
    </cfRule>
    <cfRule type="containsText" dxfId="350" priority="177" operator="containsText" text="Excluido">
      <formula>NOT(ISERROR(SEARCH("Excluido",E37)))</formula>
    </cfRule>
  </conditionalFormatting>
  <conditionalFormatting sqref="E39">
    <cfRule type="containsText" dxfId="349" priority="175" operator="containsText" text="Sublimite">
      <formula>NOT(ISERROR(SEARCH("Sublimite",E39)))</formula>
    </cfRule>
    <cfRule type="containsText" dxfId="348" priority="174" operator="containsText" text="Excluido">
      <formula>NOT(ISERROR(SEARCH("Excluido",E39)))</formula>
    </cfRule>
    <cfRule type="containsText" dxfId="347" priority="173" operator="containsText" text="Sublimite">
      <formula>NOT(ISERROR(SEARCH("Sublimite",E39)))</formula>
    </cfRule>
    <cfRule type="containsText" dxfId="346" priority="172" operator="containsText" text="Excluido">
      <formula>NOT(ISERROR(SEARCH("Excluido",E39)))</formula>
    </cfRule>
    <cfRule type="containsText" dxfId="345" priority="176" operator="containsText" text="Sublimite">
      <formula>NOT(ISERROR(SEARCH("Sublimite",E39)))</formula>
    </cfRule>
  </conditionalFormatting>
  <conditionalFormatting sqref="E42:E43">
    <cfRule type="containsText" dxfId="344" priority="33" operator="containsText" text="Sublimite">
      <formula>NOT(ISERROR(SEARCH("Sublimite",E42)))</formula>
    </cfRule>
    <cfRule type="containsText" dxfId="343" priority="34" operator="containsText" text="Adicional">
      <formula>NOT(ISERROR(SEARCH("Adicional",E42)))</formula>
    </cfRule>
  </conditionalFormatting>
  <conditionalFormatting sqref="E42:E60">
    <cfRule type="containsText" dxfId="342" priority="31" operator="containsText" text="Excluido">
      <formula>NOT(ISERROR(SEARCH("Excluido",E42)))</formula>
    </cfRule>
    <cfRule type="containsText" dxfId="341" priority="32" operator="containsText" text="Sublimite">
      <formula>NOT(ISERROR(SEARCH("Sublimite",E42)))</formula>
    </cfRule>
    <cfRule type="containsText" dxfId="340" priority="30" operator="containsText" text="Sublimite">
      <formula>NOT(ISERROR(SEARCH("Sublimite",E42)))</formula>
    </cfRule>
    <cfRule type="containsText" dxfId="339" priority="29" operator="containsText" text="Excluido">
      <formula>NOT(ISERROR(SEARCH("Excluido",E42)))</formula>
    </cfRule>
  </conditionalFormatting>
  <conditionalFormatting sqref="E44:E58">
    <cfRule type="containsText" dxfId="338" priority="620" operator="containsText" text="Sublimite">
      <formula>NOT(ISERROR(SEARCH("Sublimite",E44)))</formula>
    </cfRule>
  </conditionalFormatting>
  <conditionalFormatting sqref="E59:E60">
    <cfRule type="containsText" dxfId="337" priority="39" operator="containsText" text="Sublimite">
      <formula>NOT(ISERROR(SEARCH("Sublimite",E59)))</formula>
    </cfRule>
    <cfRule type="containsText" dxfId="336" priority="40" operator="containsText" text="Adicional">
      <formula>NOT(ISERROR(SEARCH("Adicional",E59)))</formula>
    </cfRule>
  </conditionalFormatting>
  <conditionalFormatting sqref="E62:E63">
    <cfRule type="containsText" dxfId="335" priority="607" operator="containsText" text="Sublimite">
      <formula>NOT(ISERROR(SEARCH("Sublimite",E62)))</formula>
    </cfRule>
    <cfRule type="containsText" dxfId="334" priority="609" operator="containsText" text="Sublimite">
      <formula>NOT(ISERROR(SEARCH("Sublimite",E62)))</formula>
    </cfRule>
    <cfRule type="containsText" dxfId="333" priority="610" operator="containsText" text="Sublimite">
      <formula>NOT(ISERROR(SEARCH("Sublimite",E62)))</formula>
    </cfRule>
    <cfRule type="containsText" dxfId="332" priority="608" operator="containsText" text="Excluido">
      <formula>NOT(ISERROR(SEARCH("Excluido",E62)))</formula>
    </cfRule>
    <cfRule type="containsText" dxfId="331" priority="606" operator="containsText" text="Excluido">
      <formula>NOT(ISERROR(SEARCH("Excluido",E62)))</formula>
    </cfRule>
  </conditionalFormatting>
  <conditionalFormatting sqref="E65:E66">
    <cfRule type="containsText" dxfId="330" priority="600" operator="containsText" text="Sublimite">
      <formula>NOT(ISERROR(SEARCH("Sublimite",E65)))</formula>
    </cfRule>
    <cfRule type="containsText" dxfId="329" priority="599" operator="containsText" text="Sublimite">
      <formula>NOT(ISERROR(SEARCH("Sublimite",E65)))</formula>
    </cfRule>
    <cfRule type="containsText" dxfId="328" priority="598" operator="containsText" text="Excluido">
      <formula>NOT(ISERROR(SEARCH("Excluido",E65)))</formula>
    </cfRule>
    <cfRule type="containsText" dxfId="327" priority="597" operator="containsText" text="Sublimite">
      <formula>NOT(ISERROR(SEARCH("Sublimite",E65)))</formula>
    </cfRule>
    <cfRule type="containsText" dxfId="326" priority="596" operator="containsText" text="Excluido">
      <formula>NOT(ISERROR(SEARCH("Excluido",E65)))</formula>
    </cfRule>
  </conditionalFormatting>
  <conditionalFormatting sqref="E68">
    <cfRule type="containsText" dxfId="325" priority="357" operator="containsText" text="Sublimite">
      <formula>NOT(ISERROR(SEARCH("Sublimite",E68)))</formula>
    </cfRule>
    <cfRule type="containsText" dxfId="324" priority="358" operator="containsText" text="Excluido">
      <formula>NOT(ISERROR(SEARCH("Excluido",E68)))</formula>
    </cfRule>
    <cfRule type="containsText" dxfId="323" priority="360" operator="containsText" text="Sublimite">
      <formula>NOT(ISERROR(SEARCH("Sublimite",E68)))</formula>
    </cfRule>
    <cfRule type="containsText" dxfId="322" priority="361" operator="containsText" text="Adicional">
      <formula>NOT(ISERROR(SEARCH("Adicional",E68)))</formula>
    </cfRule>
    <cfRule type="containsText" dxfId="321" priority="359" operator="containsText" text="Sublimite">
      <formula>NOT(ISERROR(SEARCH("Sublimite",E68)))</formula>
    </cfRule>
    <cfRule type="containsText" dxfId="320" priority="356" operator="containsText" text="Excluido">
      <formula>NOT(ISERROR(SEARCH("Excluido",E68)))</formula>
    </cfRule>
  </conditionalFormatting>
  <conditionalFormatting sqref="E70">
    <cfRule type="containsText" dxfId="319" priority="169" operator="containsText" text="Excluido">
      <formula>NOT(ISERROR(SEARCH("Excluido",E70)))</formula>
    </cfRule>
    <cfRule type="containsText" dxfId="318" priority="171" operator="containsText" text="Sublimite">
      <formula>NOT(ISERROR(SEARCH("Sublimite",E70)))</formula>
    </cfRule>
    <cfRule type="containsText" dxfId="317" priority="168" operator="containsText" text="Sublimite">
      <formula>NOT(ISERROR(SEARCH("Sublimite",E70)))</formula>
    </cfRule>
    <cfRule type="containsText" dxfId="316" priority="170" operator="containsText" text="Sublimite">
      <formula>NOT(ISERROR(SEARCH("Sublimite",E70)))</formula>
    </cfRule>
    <cfRule type="containsText" dxfId="315" priority="167" operator="containsText" text="Excluido">
      <formula>NOT(ISERROR(SEARCH("Excluido",E70)))</formula>
    </cfRule>
  </conditionalFormatting>
  <conditionalFormatting sqref="E72">
    <cfRule type="containsText" dxfId="314" priority="162" operator="containsText" text="Excluido">
      <formula>NOT(ISERROR(SEARCH("Excluido",E72)))</formula>
    </cfRule>
    <cfRule type="containsText" dxfId="313" priority="163" operator="containsText" text="Sublimite">
      <formula>NOT(ISERROR(SEARCH("Sublimite",E72)))</formula>
    </cfRule>
    <cfRule type="containsText" dxfId="312" priority="164" operator="containsText" text="Excluido">
      <formula>NOT(ISERROR(SEARCH("Excluido",E72)))</formula>
    </cfRule>
    <cfRule type="containsText" dxfId="311" priority="166" operator="containsText" text="Sublimite">
      <formula>NOT(ISERROR(SEARCH("Sublimite",E72)))</formula>
    </cfRule>
    <cfRule type="containsText" dxfId="310" priority="165" operator="containsText" text="Sublimite">
      <formula>NOT(ISERROR(SEARCH("Sublimite",E72)))</formula>
    </cfRule>
  </conditionalFormatting>
  <conditionalFormatting sqref="E74">
    <cfRule type="containsText" dxfId="309" priority="159" operator="containsText" text="Excluido">
      <formula>NOT(ISERROR(SEARCH("Excluido",E74)))</formula>
    </cfRule>
    <cfRule type="containsText" dxfId="308" priority="157" operator="containsText" text="Excluido">
      <formula>NOT(ISERROR(SEARCH("Excluido",E74)))</formula>
    </cfRule>
    <cfRule type="containsText" dxfId="307" priority="158" operator="containsText" text="Sublimite">
      <formula>NOT(ISERROR(SEARCH("Sublimite",E74)))</formula>
    </cfRule>
    <cfRule type="containsText" dxfId="306" priority="161" operator="containsText" text="Sublimite">
      <formula>NOT(ISERROR(SEARCH("Sublimite",E74)))</formula>
    </cfRule>
    <cfRule type="containsText" dxfId="305" priority="160" operator="containsText" text="Sublimite">
      <formula>NOT(ISERROR(SEARCH("Sublimite",E74)))</formula>
    </cfRule>
  </conditionalFormatting>
  <conditionalFormatting sqref="E76">
    <cfRule type="containsText" dxfId="304" priority="156" operator="containsText" text="Sublimite">
      <formula>NOT(ISERROR(SEARCH("Sublimite",E76)))</formula>
    </cfRule>
    <cfRule type="containsText" dxfId="303" priority="155" operator="containsText" text="Sublimite">
      <formula>NOT(ISERROR(SEARCH("Sublimite",E76)))</formula>
    </cfRule>
    <cfRule type="containsText" dxfId="302" priority="154" operator="containsText" text="Excluido">
      <formula>NOT(ISERROR(SEARCH("Excluido",E76)))</formula>
    </cfRule>
    <cfRule type="containsText" dxfId="301" priority="153" operator="containsText" text="Sublimite">
      <formula>NOT(ISERROR(SEARCH("Sublimite",E76)))</formula>
    </cfRule>
    <cfRule type="containsText" dxfId="300" priority="152" operator="containsText" text="Excluido">
      <formula>NOT(ISERROR(SEARCH("Excluido",E76)))</formula>
    </cfRule>
  </conditionalFormatting>
  <conditionalFormatting sqref="E79:E86">
    <cfRule type="containsText" dxfId="299" priority="354" operator="containsText" text="Sublimite">
      <formula>NOT(ISERROR(SEARCH("Sublimite",E79)))</formula>
    </cfRule>
    <cfRule type="containsText" dxfId="298" priority="355" operator="containsText" text="Adicional">
      <formula>NOT(ISERROR(SEARCH("Adicional",E79)))</formula>
    </cfRule>
  </conditionalFormatting>
  <conditionalFormatting sqref="E79:E89">
    <cfRule type="containsText" dxfId="297" priority="150" operator="containsText" text="Sublimite">
      <formula>NOT(ISERROR(SEARCH("Sublimite",E79)))</formula>
    </cfRule>
    <cfRule type="containsText" dxfId="296" priority="149" operator="containsText" text="Excluido">
      <formula>NOT(ISERROR(SEARCH("Excluido",E79)))</formula>
    </cfRule>
    <cfRule type="containsText" dxfId="295" priority="147" operator="containsText" text="Excluido">
      <formula>NOT(ISERROR(SEARCH("Excluido",E79)))</formula>
    </cfRule>
    <cfRule type="containsText" dxfId="294" priority="148" operator="containsText" text="Sublimite">
      <formula>NOT(ISERROR(SEARCH("Sublimite",E79)))</formula>
    </cfRule>
  </conditionalFormatting>
  <conditionalFormatting sqref="E87:E89">
    <cfRule type="containsText" dxfId="293" priority="151" operator="containsText" text="Sublimite">
      <formula>NOT(ISERROR(SEARCH("Sublimite",E87)))</formula>
    </cfRule>
  </conditionalFormatting>
  <conditionalFormatting sqref="E91:E94">
    <cfRule type="containsText" dxfId="292" priority="145" operator="containsText" text="Sublimite">
      <formula>NOT(ISERROR(SEARCH("Sublimite",E91)))</formula>
    </cfRule>
    <cfRule type="containsText" dxfId="291" priority="146" operator="containsText" text="Sublimite">
      <formula>NOT(ISERROR(SEARCH("Sublimite",E91)))</formula>
    </cfRule>
    <cfRule type="containsText" dxfId="290" priority="144" operator="containsText" text="Excluido">
      <formula>NOT(ISERROR(SEARCH("Excluido",E91)))</formula>
    </cfRule>
    <cfRule type="containsText" dxfId="289" priority="143" operator="containsText" text="Sublimite">
      <formula>NOT(ISERROR(SEARCH("Sublimite",E91)))</formula>
    </cfRule>
    <cfRule type="containsText" dxfId="288" priority="142" operator="containsText" text="Excluido">
      <formula>NOT(ISERROR(SEARCH("Excluido",E91)))</formula>
    </cfRule>
  </conditionalFormatting>
  <conditionalFormatting sqref="E96:E98">
    <cfRule type="containsText" dxfId="287" priority="141" operator="containsText" text="Sublimite">
      <formula>NOT(ISERROR(SEARCH("Sublimite",E96)))</formula>
    </cfRule>
    <cfRule type="containsText" dxfId="286" priority="140" operator="containsText" text="Sublimite">
      <formula>NOT(ISERROR(SEARCH("Sublimite",E96)))</formula>
    </cfRule>
    <cfRule type="containsText" dxfId="285" priority="139" operator="containsText" text="Excluido">
      <formula>NOT(ISERROR(SEARCH("Excluido",E96)))</formula>
    </cfRule>
    <cfRule type="containsText" dxfId="284" priority="138" operator="containsText" text="Sublimite">
      <formula>NOT(ISERROR(SEARCH("Sublimite",E96)))</formula>
    </cfRule>
    <cfRule type="containsText" dxfId="283" priority="137" operator="containsText" text="Excluido">
      <formula>NOT(ISERROR(SEARCH("Excluido",E96)))</formula>
    </cfRule>
  </conditionalFormatting>
  <conditionalFormatting sqref="E101:E102">
    <cfRule type="containsText" dxfId="282" priority="463" operator="containsText" text="Adicional">
      <formula>NOT(ISERROR(SEARCH("Adicional",E101)))</formula>
    </cfRule>
    <cfRule type="containsText" dxfId="281" priority="462" operator="containsText" text="Sublimite">
      <formula>NOT(ISERROR(SEARCH("Sublimite",E101)))</formula>
    </cfRule>
    <cfRule type="containsText" dxfId="280" priority="460" operator="containsText" text="Excluido">
      <formula>NOT(ISERROR(SEARCH("Excluido",E101)))</formula>
    </cfRule>
    <cfRule type="containsText" dxfId="279" priority="461" operator="containsText" text="Sublimite">
      <formula>NOT(ISERROR(SEARCH("Sublimite",E101)))</formula>
    </cfRule>
    <cfRule type="containsText" dxfId="278" priority="459" operator="containsText" text="Sublimite">
      <formula>NOT(ISERROR(SEARCH("Sublimite",E101)))</formula>
    </cfRule>
    <cfRule type="containsText" dxfId="277" priority="458" operator="containsText" text="Excluido">
      <formula>NOT(ISERROR(SEARCH("Excluido",E101)))</formula>
    </cfRule>
  </conditionalFormatting>
  <conditionalFormatting sqref="E105:E106">
    <cfRule type="containsText" dxfId="276" priority="450" operator="containsText" text="Sublimite">
      <formula>NOT(ISERROR(SEARCH("Sublimite",E105)))</formula>
    </cfRule>
    <cfRule type="containsText" dxfId="275" priority="447" operator="containsText" text="Sublimite">
      <formula>NOT(ISERROR(SEARCH("Sublimite",E105)))</formula>
    </cfRule>
    <cfRule type="containsText" dxfId="274" priority="448" operator="containsText" text="Excluido">
      <formula>NOT(ISERROR(SEARCH("Excluido",E105)))</formula>
    </cfRule>
    <cfRule type="containsText" dxfId="273" priority="449" operator="containsText" text="Sublimite">
      <formula>NOT(ISERROR(SEARCH("Sublimite",E105)))</formula>
    </cfRule>
    <cfRule type="containsText" dxfId="272" priority="451" operator="containsText" text="Adicional">
      <formula>NOT(ISERROR(SEARCH("Adicional",E105)))</formula>
    </cfRule>
    <cfRule type="containsText" dxfId="271" priority="446" operator="containsText" text="Excluido">
      <formula>NOT(ISERROR(SEARCH("Excluido",E105)))</formula>
    </cfRule>
  </conditionalFormatting>
  <conditionalFormatting sqref="E109:E110">
    <cfRule type="containsText" dxfId="270" priority="435" operator="containsText" text="Sublimite">
      <formula>NOT(ISERROR(SEARCH("Sublimite",E109)))</formula>
    </cfRule>
    <cfRule type="containsText" dxfId="269" priority="436" operator="containsText" text="Excluido">
      <formula>NOT(ISERROR(SEARCH("Excluido",E109)))</formula>
    </cfRule>
    <cfRule type="containsText" dxfId="268" priority="437" operator="containsText" text="Sublimite">
      <formula>NOT(ISERROR(SEARCH("Sublimite",E109)))</formula>
    </cfRule>
    <cfRule type="containsText" dxfId="267" priority="438" operator="containsText" text="Sublimite">
      <formula>NOT(ISERROR(SEARCH("Sublimite",E109)))</formula>
    </cfRule>
    <cfRule type="containsText" dxfId="266" priority="434" operator="containsText" text="Excluido">
      <formula>NOT(ISERROR(SEARCH("Excluido",E109)))</formula>
    </cfRule>
    <cfRule type="containsText" dxfId="265" priority="439" operator="containsText" text="Adicional">
      <formula>NOT(ISERROR(SEARCH("Adicional",E109)))</formula>
    </cfRule>
  </conditionalFormatting>
  <conditionalFormatting sqref="E113:E114">
    <cfRule type="containsText" dxfId="264" priority="422" operator="containsText" text="Excluido">
      <formula>NOT(ISERROR(SEARCH("Excluido",E113)))</formula>
    </cfRule>
    <cfRule type="containsText" dxfId="263" priority="427" operator="containsText" text="Adicional">
      <formula>NOT(ISERROR(SEARCH("Adicional",E113)))</formula>
    </cfRule>
    <cfRule type="containsText" dxfId="262" priority="425" operator="containsText" text="Sublimite">
      <formula>NOT(ISERROR(SEARCH("Sublimite",E113)))</formula>
    </cfRule>
    <cfRule type="containsText" dxfId="261" priority="424" operator="containsText" text="Excluido">
      <formula>NOT(ISERROR(SEARCH("Excluido",E113)))</formula>
    </cfRule>
    <cfRule type="containsText" dxfId="260" priority="423" operator="containsText" text="Sublimite">
      <formula>NOT(ISERROR(SEARCH("Sublimite",E113)))</formula>
    </cfRule>
    <cfRule type="containsText" dxfId="259" priority="426" operator="containsText" text="Sublimite">
      <formula>NOT(ISERROR(SEARCH("Sublimite",E113)))</formula>
    </cfRule>
  </conditionalFormatting>
  <conditionalFormatting sqref="E117">
    <cfRule type="containsText" dxfId="258" priority="12" operator="containsText" text="Adicional">
      <formula>NOT(ISERROR(SEARCH("Adicional",E117)))</formula>
    </cfRule>
    <cfRule type="containsText" dxfId="257" priority="11" operator="containsText" text="Sublimite">
      <formula>NOT(ISERROR(SEARCH("Sublimite",E117)))</formula>
    </cfRule>
  </conditionalFormatting>
  <conditionalFormatting sqref="E117:E121">
    <cfRule type="containsText" dxfId="256" priority="10" operator="containsText" text="Sublimite">
      <formula>NOT(ISERROR(SEARCH("Sublimite",E117)))</formula>
    </cfRule>
    <cfRule type="containsText" dxfId="255" priority="9" operator="containsText" text="Excluido">
      <formula>NOT(ISERROR(SEARCH("Excluido",E117)))</formula>
    </cfRule>
    <cfRule type="containsText" dxfId="254" priority="8" operator="containsText" text="Sublimite">
      <formula>NOT(ISERROR(SEARCH("Sublimite",E117)))</formula>
    </cfRule>
    <cfRule type="containsText" dxfId="253" priority="7" operator="containsText" text="Excluido">
      <formula>NOT(ISERROR(SEARCH("Excluido",E117)))</formula>
    </cfRule>
  </conditionalFormatting>
  <conditionalFormatting sqref="E118:E121">
    <cfRule type="containsText" dxfId="252" priority="136" operator="containsText" text="Sublimite">
      <formula>NOT(ISERROR(SEARCH("Sublimite",E118)))</formula>
    </cfRule>
  </conditionalFormatting>
  <conditionalFormatting sqref="E124">
    <cfRule type="containsText" dxfId="251" priority="5" operator="containsText" text="Sublimite">
      <formula>NOT(ISERROR(SEARCH("Sublimite",E124)))</formula>
    </cfRule>
    <cfRule type="containsText" dxfId="250" priority="6" operator="containsText" text="Adicional">
      <formula>NOT(ISERROR(SEARCH("Adicional",E124)))</formula>
    </cfRule>
  </conditionalFormatting>
  <conditionalFormatting sqref="E124:E128">
    <cfRule type="containsText" dxfId="249" priority="3" operator="containsText" text="Excluido">
      <formula>NOT(ISERROR(SEARCH("Excluido",E124)))</formula>
    </cfRule>
    <cfRule type="containsText" dxfId="248" priority="4" operator="containsText" text="Sublimite">
      <formula>NOT(ISERROR(SEARCH("Sublimite",E124)))</formula>
    </cfRule>
    <cfRule type="containsText" dxfId="247" priority="1" operator="containsText" text="Excluido">
      <formula>NOT(ISERROR(SEARCH("Excluido",E124)))</formula>
    </cfRule>
    <cfRule type="containsText" dxfId="246" priority="2" operator="containsText" text="Sublimite">
      <formula>NOT(ISERROR(SEARCH("Sublimite",E124)))</formula>
    </cfRule>
  </conditionalFormatting>
  <conditionalFormatting sqref="E125:E128">
    <cfRule type="containsText" dxfId="245" priority="131" operator="containsText" text="Sublimite">
      <formula>NOT(ISERROR(SEARCH("Sublimite",E125)))</formula>
    </cfRule>
  </conditionalFormatting>
  <conditionalFormatting sqref="E131:E136">
    <cfRule type="containsText" dxfId="244" priority="349" operator="containsText" text="Adicional">
      <formula>NOT(ISERROR(SEARCH("Adicional",E131)))</formula>
    </cfRule>
    <cfRule type="containsText" dxfId="243" priority="348" operator="containsText" text="Sublimite">
      <formula>NOT(ISERROR(SEARCH("Sublimite",E131)))</formula>
    </cfRule>
    <cfRule type="containsText" dxfId="242" priority="347" operator="containsText" text="Sublimite">
      <formula>NOT(ISERROR(SEARCH("Sublimite",E131)))</formula>
    </cfRule>
    <cfRule type="containsText" dxfId="241" priority="346" operator="containsText" text="Excluido">
      <formula>NOT(ISERROR(SEARCH("Excluido",E131)))</formula>
    </cfRule>
    <cfRule type="containsText" dxfId="240" priority="345" operator="containsText" text="Sublimite">
      <formula>NOT(ISERROR(SEARCH("Sublimite",E131)))</formula>
    </cfRule>
    <cfRule type="containsText" dxfId="239" priority="344" operator="containsText" text="Excluido">
      <formula>NOT(ISERROR(SEARCH("Excluido",E131)))</formula>
    </cfRule>
  </conditionalFormatting>
  <conditionalFormatting sqref="E139:E144">
    <cfRule type="containsText" dxfId="238" priority="339" operator="containsText" text="Sublimite">
      <formula>NOT(ISERROR(SEARCH("Sublimite",E139)))</formula>
    </cfRule>
    <cfRule type="containsText" dxfId="237" priority="338" operator="containsText" text="Excluido">
      <formula>NOT(ISERROR(SEARCH("Excluido",E139)))</formula>
    </cfRule>
    <cfRule type="containsText" dxfId="236" priority="342" operator="containsText" text="Sublimite">
      <formula>NOT(ISERROR(SEARCH("Sublimite",E139)))</formula>
    </cfRule>
    <cfRule type="containsText" dxfId="235" priority="341" operator="containsText" text="Sublimite">
      <formula>NOT(ISERROR(SEARCH("Sublimite",E139)))</formula>
    </cfRule>
    <cfRule type="containsText" dxfId="234" priority="340" operator="containsText" text="Excluido">
      <formula>NOT(ISERROR(SEARCH("Excluido",E139)))</formula>
    </cfRule>
    <cfRule type="containsText" dxfId="233" priority="343" operator="containsText" text="Adicional">
      <formula>NOT(ISERROR(SEARCH("Adicional",E139)))</formula>
    </cfRule>
  </conditionalFormatting>
  <conditionalFormatting sqref="E147">
    <cfRule type="containsText" dxfId="232" priority="336" operator="containsText" text="Sublimite">
      <formula>NOT(ISERROR(SEARCH("Sublimite",E147)))</formula>
    </cfRule>
    <cfRule type="containsText" dxfId="231" priority="335" operator="containsText" text="Sublimite">
      <formula>NOT(ISERROR(SEARCH("Sublimite",E147)))</formula>
    </cfRule>
    <cfRule type="containsText" dxfId="230" priority="334" operator="containsText" text="Excluido">
      <formula>NOT(ISERROR(SEARCH("Excluido",E147)))</formula>
    </cfRule>
    <cfRule type="containsText" dxfId="229" priority="333" operator="containsText" text="Sublimite">
      <formula>NOT(ISERROR(SEARCH("Sublimite",E147)))</formula>
    </cfRule>
    <cfRule type="containsText" dxfId="228" priority="332" operator="containsText" text="Excluido">
      <formula>NOT(ISERROR(SEARCH("Excluido",E147)))</formula>
    </cfRule>
    <cfRule type="containsText" dxfId="227" priority="337" operator="containsText" text="Adicional">
      <formula>NOT(ISERROR(SEARCH("Adicional",E147)))</formula>
    </cfRule>
  </conditionalFormatting>
  <conditionalFormatting sqref="E150">
    <cfRule type="containsText" dxfId="226" priority="327" operator="containsText" text="Sublimite">
      <formula>NOT(ISERROR(SEARCH("Sublimite",E150)))</formula>
    </cfRule>
    <cfRule type="containsText" dxfId="225" priority="331" operator="containsText" text="Adicional">
      <formula>NOT(ISERROR(SEARCH("Adicional",E150)))</formula>
    </cfRule>
    <cfRule type="containsText" dxfId="224" priority="326" operator="containsText" text="Excluido">
      <formula>NOT(ISERROR(SEARCH("Excluido",E150)))</formula>
    </cfRule>
    <cfRule type="containsText" dxfId="223" priority="330" operator="containsText" text="Sublimite">
      <formula>NOT(ISERROR(SEARCH("Sublimite",E150)))</formula>
    </cfRule>
    <cfRule type="containsText" dxfId="222" priority="329" operator="containsText" text="Sublimite">
      <formula>NOT(ISERROR(SEARCH("Sublimite",E150)))</formula>
    </cfRule>
    <cfRule type="containsText" dxfId="221" priority="328" operator="containsText" text="Excluido">
      <formula>NOT(ISERROR(SEARCH("Excluido",E150)))</formula>
    </cfRule>
  </conditionalFormatting>
  <conditionalFormatting sqref="E153">
    <cfRule type="containsText" dxfId="220" priority="325" operator="containsText" text="Adicional">
      <formula>NOT(ISERROR(SEARCH("Adicional",E153)))</formula>
    </cfRule>
    <cfRule type="containsText" dxfId="219" priority="324" operator="containsText" text="Sublimite">
      <formula>NOT(ISERROR(SEARCH("Sublimite",E153)))</formula>
    </cfRule>
    <cfRule type="containsText" dxfId="218" priority="323" operator="containsText" text="Sublimite">
      <formula>NOT(ISERROR(SEARCH("Sublimite",E153)))</formula>
    </cfRule>
    <cfRule type="containsText" dxfId="217" priority="320" operator="containsText" text="Excluido">
      <formula>NOT(ISERROR(SEARCH("Excluido",E153)))</formula>
    </cfRule>
    <cfRule type="containsText" dxfId="216" priority="321" operator="containsText" text="Sublimite">
      <formula>NOT(ISERROR(SEARCH("Sublimite",E153)))</formula>
    </cfRule>
    <cfRule type="containsText" dxfId="215" priority="322" operator="containsText" text="Excluido">
      <formula>NOT(ISERROR(SEARCH("Excluido",E153)))</formula>
    </cfRule>
  </conditionalFormatting>
  <conditionalFormatting sqref="E156">
    <cfRule type="containsText" dxfId="214" priority="317" operator="containsText" text="Sublimite">
      <formula>NOT(ISERROR(SEARCH("Sublimite",E156)))</formula>
    </cfRule>
    <cfRule type="containsText" dxfId="213" priority="319" operator="containsText" text="Adicional">
      <formula>NOT(ISERROR(SEARCH("Adicional",E156)))</formula>
    </cfRule>
    <cfRule type="containsText" dxfId="212" priority="318" operator="containsText" text="Sublimite">
      <formula>NOT(ISERROR(SEARCH("Sublimite",E156)))</formula>
    </cfRule>
    <cfRule type="containsText" dxfId="211" priority="316" operator="containsText" text="Excluido">
      <formula>NOT(ISERROR(SEARCH("Excluido",E156)))</formula>
    </cfRule>
    <cfRule type="containsText" dxfId="210" priority="315" operator="containsText" text="Sublimite">
      <formula>NOT(ISERROR(SEARCH("Sublimite",E156)))</formula>
    </cfRule>
    <cfRule type="containsText" dxfId="209" priority="314" operator="containsText" text="Excluido">
      <formula>NOT(ISERROR(SEARCH("Excluido",E156)))</formula>
    </cfRule>
  </conditionalFormatting>
  <conditionalFormatting sqref="E159">
    <cfRule type="containsText" dxfId="208" priority="313" operator="containsText" text="Adicional">
      <formula>NOT(ISERROR(SEARCH("Adicional",E159)))</formula>
    </cfRule>
    <cfRule type="containsText" dxfId="207" priority="311" operator="containsText" text="Sublimite">
      <formula>NOT(ISERROR(SEARCH("Sublimite",E159)))</formula>
    </cfRule>
    <cfRule type="containsText" dxfId="206" priority="312" operator="containsText" text="Sublimite">
      <formula>NOT(ISERROR(SEARCH("Sublimite",E159)))</formula>
    </cfRule>
    <cfRule type="containsText" dxfId="205" priority="310" operator="containsText" text="Excluido">
      <formula>NOT(ISERROR(SEARCH("Excluido",E159)))</formula>
    </cfRule>
    <cfRule type="containsText" dxfId="204" priority="309" operator="containsText" text="Sublimite">
      <formula>NOT(ISERROR(SEARCH("Sublimite",E159)))</formula>
    </cfRule>
    <cfRule type="containsText" dxfId="203" priority="308" operator="containsText" text="Excluido">
      <formula>NOT(ISERROR(SEARCH("Excluido",E159)))</formula>
    </cfRule>
  </conditionalFormatting>
  <conditionalFormatting sqref="E162:E163">
    <cfRule type="containsText" dxfId="202" priority="414" operator="containsText" text="Sublimite">
      <formula>NOT(ISERROR(SEARCH("Sublimite",E162)))</formula>
    </cfRule>
    <cfRule type="containsText" dxfId="201" priority="415" operator="containsText" text="Adicional">
      <formula>NOT(ISERROR(SEARCH("Adicional",E162)))</formula>
    </cfRule>
  </conditionalFormatting>
  <conditionalFormatting sqref="E162:E165">
    <cfRule type="containsText" dxfId="200" priority="410" operator="containsText" text="Excluido">
      <formula>NOT(ISERROR(SEARCH("Excluido",E162)))</formula>
    </cfRule>
    <cfRule type="containsText" dxfId="199" priority="411" operator="containsText" text="Sublimite">
      <formula>NOT(ISERROR(SEARCH("Sublimite",E162)))</formula>
    </cfRule>
    <cfRule type="containsText" dxfId="198" priority="412" operator="containsText" text="Excluido">
      <formula>NOT(ISERROR(SEARCH("Excluido",E162)))</formula>
    </cfRule>
    <cfRule type="containsText" dxfId="197" priority="413" operator="containsText" text="Sublimite">
      <formula>NOT(ISERROR(SEARCH("Sublimite",E162)))</formula>
    </cfRule>
  </conditionalFormatting>
  <conditionalFormatting sqref="E164:E165">
    <cfRule type="containsText" dxfId="196" priority="590" operator="containsText" text="Sublimite">
      <formula>NOT(ISERROR(SEARCH("Sublimite",E164)))</formula>
    </cfRule>
  </conditionalFormatting>
  <conditionalFormatting sqref="E168:E169">
    <cfRule type="containsText" dxfId="195" priority="402" operator="containsText" text="Sublimite">
      <formula>NOT(ISERROR(SEARCH("Sublimite",E168)))</formula>
    </cfRule>
    <cfRule type="containsText" dxfId="194" priority="403" operator="containsText" text="Adicional">
      <formula>NOT(ISERROR(SEARCH("Adicional",E168)))</formula>
    </cfRule>
  </conditionalFormatting>
  <conditionalFormatting sqref="E168:E171">
    <cfRule type="containsText" dxfId="193" priority="398" operator="containsText" text="Excluido">
      <formula>NOT(ISERROR(SEARCH("Excluido",E168)))</formula>
    </cfRule>
    <cfRule type="containsText" dxfId="192" priority="399" operator="containsText" text="Sublimite">
      <formula>NOT(ISERROR(SEARCH("Sublimite",E168)))</formula>
    </cfRule>
    <cfRule type="containsText" dxfId="191" priority="400" operator="containsText" text="Excluido">
      <formula>NOT(ISERROR(SEARCH("Excluido",E168)))</formula>
    </cfRule>
    <cfRule type="containsText" dxfId="190" priority="401" operator="containsText" text="Sublimite">
      <formula>NOT(ISERROR(SEARCH("Sublimite",E168)))</formula>
    </cfRule>
  </conditionalFormatting>
  <conditionalFormatting sqref="E170:E171">
    <cfRule type="containsText" dxfId="189" priority="580" operator="containsText" text="Sublimite">
      <formula>NOT(ISERROR(SEARCH("Sublimite",E170)))</formula>
    </cfRule>
  </conditionalFormatting>
  <conditionalFormatting sqref="E174:E175">
    <cfRule type="containsText" dxfId="188" priority="390" operator="containsText" text="Sublimite">
      <formula>NOT(ISERROR(SEARCH("Sublimite",E174)))</formula>
    </cfRule>
    <cfRule type="containsText" dxfId="187" priority="391" operator="containsText" text="Adicional">
      <formula>NOT(ISERROR(SEARCH("Adicional",E174)))</formula>
    </cfRule>
  </conditionalFormatting>
  <conditionalFormatting sqref="E174:E177">
    <cfRule type="containsText" dxfId="186" priority="386" operator="containsText" text="Excluido">
      <formula>NOT(ISERROR(SEARCH("Excluido",E174)))</formula>
    </cfRule>
    <cfRule type="containsText" dxfId="185" priority="387" operator="containsText" text="Sublimite">
      <formula>NOT(ISERROR(SEARCH("Sublimite",E174)))</formula>
    </cfRule>
    <cfRule type="containsText" dxfId="184" priority="388" operator="containsText" text="Excluido">
      <formula>NOT(ISERROR(SEARCH("Excluido",E174)))</formula>
    </cfRule>
    <cfRule type="containsText" dxfId="183" priority="389" operator="containsText" text="Sublimite">
      <formula>NOT(ISERROR(SEARCH("Sublimite",E174)))</formula>
    </cfRule>
  </conditionalFormatting>
  <conditionalFormatting sqref="E176:E177">
    <cfRule type="containsText" dxfId="182" priority="570" operator="containsText" text="Sublimite">
      <formula>NOT(ISERROR(SEARCH("Sublimite",E176)))</formula>
    </cfRule>
  </conditionalFormatting>
  <conditionalFormatting sqref="E180:E181">
    <cfRule type="containsText" dxfId="181" priority="559" operator="containsText" text="Sublimite">
      <formula>NOT(ISERROR(SEARCH("Sublimite",E180)))</formula>
    </cfRule>
    <cfRule type="containsText" dxfId="180" priority="560" operator="containsText" text="Sublimite">
      <formula>NOT(ISERROR(SEARCH("Sublimite",E180)))</formula>
    </cfRule>
    <cfRule type="containsText" dxfId="179" priority="556" operator="containsText" text="Excluido">
      <formula>NOT(ISERROR(SEARCH("Excluido",E180)))</formula>
    </cfRule>
    <cfRule type="containsText" dxfId="178" priority="557" operator="containsText" text="Sublimite">
      <formula>NOT(ISERROR(SEARCH("Sublimite",E180)))</formula>
    </cfRule>
    <cfRule type="containsText" dxfId="177" priority="558" operator="containsText" text="Excluido">
      <formula>NOT(ISERROR(SEARCH("Excluido",E180)))</formula>
    </cfRule>
  </conditionalFormatting>
  <conditionalFormatting sqref="E184:E185">
    <cfRule type="containsText" dxfId="176" priority="550" operator="containsText" text="Sublimite">
      <formula>NOT(ISERROR(SEARCH("Sublimite",E184)))</formula>
    </cfRule>
    <cfRule type="containsText" dxfId="175" priority="549" operator="containsText" text="Sublimite">
      <formula>NOT(ISERROR(SEARCH("Sublimite",E184)))</formula>
    </cfRule>
    <cfRule type="containsText" dxfId="174" priority="548" operator="containsText" text="Excluido">
      <formula>NOT(ISERROR(SEARCH("Excluido",E184)))</formula>
    </cfRule>
    <cfRule type="containsText" dxfId="173" priority="547" operator="containsText" text="Sublimite">
      <formula>NOT(ISERROR(SEARCH("Sublimite",E184)))</formula>
    </cfRule>
    <cfRule type="containsText" dxfId="172" priority="546" operator="containsText" text="Excluido">
      <formula>NOT(ISERROR(SEARCH("Excluido",E184)))</formula>
    </cfRule>
  </conditionalFormatting>
  <conditionalFormatting sqref="E188:E191">
    <cfRule type="containsText" dxfId="171" priority="366" operator="containsText" text="Sublimite">
      <formula>NOT(ISERROR(SEARCH("Sublimite",E188)))</formula>
    </cfRule>
    <cfRule type="containsText" dxfId="170" priority="367" operator="containsText" text="Adicional">
      <formula>NOT(ISERROR(SEARCH("Adicional",E188)))</formula>
    </cfRule>
  </conditionalFormatting>
  <conditionalFormatting sqref="E188:E201">
    <cfRule type="containsText" dxfId="169" priority="363" operator="containsText" text="Sublimite">
      <formula>NOT(ISERROR(SEARCH("Sublimite",E188)))</formula>
    </cfRule>
    <cfRule type="containsText" dxfId="168" priority="364" operator="containsText" text="Excluido">
      <formula>NOT(ISERROR(SEARCH("Excluido",E188)))</formula>
    </cfRule>
    <cfRule type="containsText" dxfId="167" priority="365" operator="containsText" text="Sublimite">
      <formula>NOT(ISERROR(SEARCH("Sublimite",E188)))</formula>
    </cfRule>
    <cfRule type="containsText" dxfId="166" priority="362" operator="containsText" text="Excluido">
      <formula>NOT(ISERROR(SEARCH("Excluido",E188)))</formula>
    </cfRule>
  </conditionalFormatting>
  <conditionalFormatting sqref="E192:E201">
    <cfRule type="containsText" dxfId="165" priority="500" operator="containsText" text="Sublimite">
      <formula>NOT(ISERROR(SEARCH("Sublimite",E192)))</formula>
    </cfRule>
  </conditionalFormatting>
  <conditionalFormatting sqref="E204:E205">
    <cfRule type="containsText" dxfId="164" priority="490" operator="containsText" text="Sublimite">
      <formula>NOT(ISERROR(SEARCH("Sublimite",E204)))</formula>
    </cfRule>
    <cfRule type="containsText" dxfId="163" priority="489" operator="containsText" text="Sublimite">
      <formula>NOT(ISERROR(SEARCH("Sublimite",E204)))</formula>
    </cfRule>
    <cfRule type="containsText" dxfId="162" priority="488" operator="containsText" text="Excluido">
      <formula>NOT(ISERROR(SEARCH("Excluido",E204)))</formula>
    </cfRule>
    <cfRule type="containsText" dxfId="161" priority="487" operator="containsText" text="Sublimite">
      <formula>NOT(ISERROR(SEARCH("Sublimite",E204)))</formula>
    </cfRule>
    <cfRule type="containsText" dxfId="160" priority="486" operator="containsText" text="Excluido">
      <formula>NOT(ISERROR(SEARCH("Excluido",E204)))</formula>
    </cfRule>
  </conditionalFormatting>
  <conditionalFormatting sqref="E208:E209">
    <cfRule type="containsText" dxfId="159" priority="477" operator="containsText" text="Sublimite">
      <formula>NOT(ISERROR(SEARCH("Sublimite",E208)))</formula>
    </cfRule>
    <cfRule type="containsText" dxfId="158" priority="479" operator="containsText" text="Sublimite">
      <formula>NOT(ISERROR(SEARCH("Sublimite",E208)))</formula>
    </cfRule>
    <cfRule type="containsText" dxfId="157" priority="480" operator="containsText" text="Sublimite">
      <formula>NOT(ISERROR(SEARCH("Sublimite",E208)))</formula>
    </cfRule>
    <cfRule type="containsText" dxfId="156" priority="478" operator="containsText" text="Excluido">
      <formula>NOT(ISERROR(SEARCH("Excluido",E208)))</formula>
    </cfRule>
    <cfRule type="containsText" dxfId="155" priority="476" operator="containsText" text="Excluido">
      <formula>NOT(ISERROR(SEARCH("Excluido",E208)))</formula>
    </cfRule>
  </conditionalFormatting>
  <conditionalFormatting sqref="E212">
    <cfRule type="containsText" dxfId="154" priority="306" operator="containsText" text="Sublimite">
      <formula>NOT(ISERROR(SEARCH("Sublimite",E212)))</formula>
    </cfRule>
    <cfRule type="containsText" dxfId="153" priority="302" operator="containsText" text="Excluido">
      <formula>NOT(ISERROR(SEARCH("Excluido",E212)))</formula>
    </cfRule>
    <cfRule type="containsText" dxfId="152" priority="303" operator="containsText" text="Sublimite">
      <formula>NOT(ISERROR(SEARCH("Sublimite",E212)))</formula>
    </cfRule>
    <cfRule type="containsText" dxfId="151" priority="304" operator="containsText" text="Excluido">
      <formula>NOT(ISERROR(SEARCH("Excluido",E212)))</formula>
    </cfRule>
    <cfRule type="containsText" dxfId="150" priority="305" operator="containsText" text="Sublimite">
      <formula>NOT(ISERROR(SEARCH("Sublimite",E212)))</formula>
    </cfRule>
    <cfRule type="containsText" dxfId="149" priority="307" operator="containsText" text="Adicional">
      <formula>NOT(ISERROR(SEARCH("Adicional",E212)))</formula>
    </cfRule>
  </conditionalFormatting>
  <conditionalFormatting sqref="E215">
    <cfRule type="containsText" dxfId="148" priority="301" operator="containsText" text="Adicional">
      <formula>NOT(ISERROR(SEARCH("Adicional",E215)))</formula>
    </cfRule>
    <cfRule type="containsText" dxfId="147" priority="299" operator="containsText" text="Sublimite">
      <formula>NOT(ISERROR(SEARCH("Sublimite",E215)))</formula>
    </cfRule>
    <cfRule type="containsText" dxfId="146" priority="298" operator="containsText" text="Excluido">
      <formula>NOT(ISERROR(SEARCH("Excluido",E215)))</formula>
    </cfRule>
    <cfRule type="containsText" dxfId="145" priority="297" operator="containsText" text="Sublimite">
      <formula>NOT(ISERROR(SEARCH("Sublimite",E215)))</formula>
    </cfRule>
    <cfRule type="containsText" dxfId="144" priority="296" operator="containsText" text="Excluido">
      <formula>NOT(ISERROR(SEARCH("Excluido",E215)))</formula>
    </cfRule>
    <cfRule type="containsText" dxfId="143" priority="300" operator="containsText" text="Sublimite">
      <formula>NOT(ISERROR(SEARCH("Sublimite",E215)))</formula>
    </cfRule>
  </conditionalFormatting>
  <conditionalFormatting sqref="E218">
    <cfRule type="containsText" dxfId="142" priority="295" operator="containsText" text="Adicional">
      <formula>NOT(ISERROR(SEARCH("Adicional",E218)))</formula>
    </cfRule>
    <cfRule type="containsText" dxfId="141" priority="294" operator="containsText" text="Sublimite">
      <formula>NOT(ISERROR(SEARCH("Sublimite",E218)))</formula>
    </cfRule>
  </conditionalFormatting>
  <conditionalFormatting sqref="E218:E219">
    <cfRule type="containsText" dxfId="140" priority="122" operator="containsText" text="Excluido">
      <formula>NOT(ISERROR(SEARCH("Excluido",E218)))</formula>
    </cfRule>
    <cfRule type="containsText" dxfId="139" priority="125" operator="containsText" text="Sublimite">
      <formula>NOT(ISERROR(SEARCH("Sublimite",E218)))</formula>
    </cfRule>
    <cfRule type="containsText" dxfId="138" priority="123" operator="containsText" text="Sublimite">
      <formula>NOT(ISERROR(SEARCH("Sublimite",E218)))</formula>
    </cfRule>
    <cfRule type="containsText" dxfId="137" priority="124" operator="containsText" text="Excluido">
      <formula>NOT(ISERROR(SEARCH("Excluido",E218)))</formula>
    </cfRule>
  </conditionalFormatting>
  <conditionalFormatting sqref="E219">
    <cfRule type="containsText" dxfId="136" priority="126" operator="containsText" text="Sublimite">
      <formula>NOT(ISERROR(SEARCH("Sublimite",E219)))</formula>
    </cfRule>
  </conditionalFormatting>
  <conditionalFormatting sqref="E222">
    <cfRule type="containsText" dxfId="135" priority="121" operator="containsText" text="Sublimite">
      <formula>NOT(ISERROR(SEARCH("Sublimite",E222)))</formula>
    </cfRule>
    <cfRule type="containsText" dxfId="134" priority="120" operator="containsText" text="Sublimite">
      <formula>NOT(ISERROR(SEARCH("Sublimite",E222)))</formula>
    </cfRule>
    <cfRule type="containsText" dxfId="133" priority="119" operator="containsText" text="Excluido">
      <formula>NOT(ISERROR(SEARCH("Excluido",E222)))</formula>
    </cfRule>
    <cfRule type="containsText" dxfId="132" priority="118" operator="containsText" text="Sublimite">
      <formula>NOT(ISERROR(SEARCH("Sublimite",E222)))</formula>
    </cfRule>
    <cfRule type="containsText" dxfId="131" priority="117" operator="containsText" text="Excluido">
      <formula>NOT(ISERROR(SEARCH("Excluido",E222)))</formula>
    </cfRule>
  </conditionalFormatting>
  <conditionalFormatting sqref="E225">
    <cfRule type="containsText" dxfId="130" priority="112" operator="containsText" text="Excluido">
      <formula>NOT(ISERROR(SEARCH("Excluido",E225)))</formula>
    </cfRule>
    <cfRule type="containsText" dxfId="129" priority="113" operator="containsText" text="Sublimite">
      <formula>NOT(ISERROR(SEARCH("Sublimite",E225)))</formula>
    </cfRule>
    <cfRule type="containsText" dxfId="128" priority="116" operator="containsText" text="Sublimite">
      <formula>NOT(ISERROR(SEARCH("Sublimite",E225)))</formula>
    </cfRule>
    <cfRule type="containsText" dxfId="127" priority="115" operator="containsText" text="Sublimite">
      <formula>NOT(ISERROR(SEARCH("Sublimite",E225)))</formula>
    </cfRule>
    <cfRule type="containsText" dxfId="126" priority="114" operator="containsText" text="Excluido">
      <formula>NOT(ISERROR(SEARCH("Excluido",E225)))</formula>
    </cfRule>
  </conditionalFormatting>
  <conditionalFormatting sqref="E228">
    <cfRule type="containsText" dxfId="125" priority="288" operator="containsText" text="Sublimite">
      <formula>NOT(ISERROR(SEARCH("Sublimite",E228)))</formula>
    </cfRule>
    <cfRule type="containsText" dxfId="124" priority="289" operator="containsText" text="Adicional">
      <formula>NOT(ISERROR(SEARCH("Adicional",E228)))</formula>
    </cfRule>
  </conditionalFormatting>
  <conditionalFormatting sqref="E228:E229">
    <cfRule type="containsText" dxfId="123" priority="107" operator="containsText" text="Excluido">
      <formula>NOT(ISERROR(SEARCH("Excluido",E228)))</formula>
    </cfRule>
    <cfRule type="containsText" dxfId="122" priority="108" operator="containsText" text="Sublimite">
      <formula>NOT(ISERROR(SEARCH("Sublimite",E228)))</formula>
    </cfRule>
    <cfRule type="containsText" dxfId="121" priority="110" operator="containsText" text="Sublimite">
      <formula>NOT(ISERROR(SEARCH("Sublimite",E228)))</formula>
    </cfRule>
    <cfRule type="containsText" dxfId="120" priority="109" operator="containsText" text="Excluido">
      <formula>NOT(ISERROR(SEARCH("Excluido",E228)))</formula>
    </cfRule>
  </conditionalFormatting>
  <conditionalFormatting sqref="E229">
    <cfRule type="containsText" dxfId="119" priority="111" operator="containsText" text="Sublimite">
      <formula>NOT(ISERROR(SEARCH("Sublimite",E229)))</formula>
    </cfRule>
  </conditionalFormatting>
  <conditionalFormatting sqref="E232">
    <cfRule type="containsText" dxfId="118" priority="102" operator="containsText" text="Excluido">
      <formula>NOT(ISERROR(SEARCH("Excluido",E232)))</formula>
    </cfRule>
    <cfRule type="containsText" dxfId="117" priority="104" operator="containsText" text="Excluido">
      <formula>NOT(ISERROR(SEARCH("Excluido",E232)))</formula>
    </cfRule>
    <cfRule type="containsText" dxfId="116" priority="105" operator="containsText" text="Sublimite">
      <formula>NOT(ISERROR(SEARCH("Sublimite",E232)))</formula>
    </cfRule>
    <cfRule type="containsText" dxfId="115" priority="106" operator="containsText" text="Sublimite">
      <formula>NOT(ISERROR(SEARCH("Sublimite",E232)))</formula>
    </cfRule>
    <cfRule type="containsText" dxfId="114" priority="103" operator="containsText" text="Sublimite">
      <formula>NOT(ISERROR(SEARCH("Sublimite",E232)))</formula>
    </cfRule>
  </conditionalFormatting>
  <conditionalFormatting sqref="E235">
    <cfRule type="containsText" dxfId="113" priority="97" operator="containsText" text="Excluido">
      <formula>NOT(ISERROR(SEARCH("Excluido",E235)))</formula>
    </cfRule>
    <cfRule type="containsText" dxfId="112" priority="98" operator="containsText" text="Sublimite">
      <formula>NOT(ISERROR(SEARCH("Sublimite",E235)))</formula>
    </cfRule>
    <cfRule type="containsText" dxfId="111" priority="99" operator="containsText" text="Excluido">
      <formula>NOT(ISERROR(SEARCH("Excluido",E235)))</formula>
    </cfRule>
    <cfRule type="containsText" dxfId="110" priority="100" operator="containsText" text="Sublimite">
      <formula>NOT(ISERROR(SEARCH("Sublimite",E235)))</formula>
    </cfRule>
    <cfRule type="containsText" dxfId="109" priority="101" operator="containsText" text="Sublimite">
      <formula>NOT(ISERROR(SEARCH("Sublimite",E235)))</formula>
    </cfRule>
  </conditionalFormatting>
  <conditionalFormatting sqref="E238:E239">
    <cfRule type="containsText" dxfId="108" priority="279" operator="containsText" text="Sublimite">
      <formula>NOT(ISERROR(SEARCH("Sublimite",E238)))</formula>
    </cfRule>
    <cfRule type="containsText" dxfId="107" priority="278" operator="containsText" text="Excluido">
      <formula>NOT(ISERROR(SEARCH("Excluido",E238)))</formula>
    </cfRule>
    <cfRule type="containsText" dxfId="106" priority="280" operator="containsText" text="Excluido">
      <formula>NOT(ISERROR(SEARCH("Excluido",E238)))</formula>
    </cfRule>
    <cfRule type="containsText" dxfId="105" priority="281" operator="containsText" text="Sublimite">
      <formula>NOT(ISERROR(SEARCH("Sublimite",E238)))</formula>
    </cfRule>
    <cfRule type="containsText" dxfId="104" priority="282" operator="containsText" text="Sublimite">
      <formula>NOT(ISERROR(SEARCH("Sublimite",E238)))</formula>
    </cfRule>
    <cfRule type="containsText" dxfId="103" priority="283" operator="containsText" text="Adicional">
      <formula>NOT(ISERROR(SEARCH("Adicional",E238)))</formula>
    </cfRule>
  </conditionalFormatting>
  <conditionalFormatting sqref="E242:E243">
    <cfRule type="containsText" dxfId="102" priority="277" operator="containsText" text="Adicional">
      <formula>NOT(ISERROR(SEARCH("Adicional",E242)))</formula>
    </cfRule>
    <cfRule type="containsText" dxfId="101" priority="276" operator="containsText" text="Sublimite">
      <formula>NOT(ISERROR(SEARCH("Sublimite",E242)))</formula>
    </cfRule>
  </conditionalFormatting>
  <conditionalFormatting sqref="E242:E271">
    <cfRule type="containsText" dxfId="100" priority="84" operator="containsText" text="Excluido">
      <formula>NOT(ISERROR(SEARCH("Excluido",E242)))</formula>
    </cfRule>
    <cfRule type="containsText" dxfId="99" priority="85" operator="containsText" text="Sublimite">
      <formula>NOT(ISERROR(SEARCH("Sublimite",E242)))</formula>
    </cfRule>
    <cfRule type="containsText" dxfId="98" priority="82" operator="containsText" text="Excluido">
      <formula>NOT(ISERROR(SEARCH("Excluido",E242)))</formula>
    </cfRule>
    <cfRule type="containsText" dxfId="97" priority="83" operator="containsText" text="Sublimite">
      <formula>NOT(ISERROR(SEARCH("Sublimite",E242)))</formula>
    </cfRule>
  </conditionalFormatting>
  <conditionalFormatting sqref="E244:E265">
    <cfRule type="containsText" dxfId="96" priority="96" operator="containsText" text="Sublimite">
      <formula>NOT(ISERROR(SEARCH("Sublimite",E244)))</formula>
    </cfRule>
  </conditionalFormatting>
  <conditionalFormatting sqref="E266">
    <cfRule type="containsText" dxfId="95" priority="271" operator="containsText" text="Adicional">
      <formula>NOT(ISERROR(SEARCH("Adicional",E266)))</formula>
    </cfRule>
    <cfRule type="containsText" dxfId="94" priority="270" operator="containsText" text="Sublimite">
      <formula>NOT(ISERROR(SEARCH("Sublimite",E266)))</formula>
    </cfRule>
  </conditionalFormatting>
  <conditionalFormatting sqref="E267:E268">
    <cfRule type="containsText" dxfId="93" priority="91" operator="containsText" text="Sublimite">
      <formula>NOT(ISERROR(SEARCH("Sublimite",E267)))</formula>
    </cfRule>
  </conditionalFormatting>
  <conditionalFormatting sqref="E269">
    <cfRule type="containsText" dxfId="92" priority="265" operator="containsText" text="Adicional">
      <formula>NOT(ISERROR(SEARCH("Adicional",E269)))</formula>
    </cfRule>
    <cfRule type="containsText" dxfId="91" priority="264" operator="containsText" text="Sublimite">
      <formula>NOT(ISERROR(SEARCH("Sublimite",E269)))</formula>
    </cfRule>
  </conditionalFormatting>
  <conditionalFormatting sqref="E270:E271">
    <cfRule type="containsText" dxfId="90" priority="86" operator="containsText" text="Sublimite">
      <formula>NOT(ISERROR(SEARCH("Sublimite",E270)))</formula>
    </cfRule>
  </conditionalFormatting>
  <conditionalFormatting sqref="E274">
    <cfRule type="containsText" dxfId="89" priority="259" operator="containsText" text="Adicional">
      <formula>NOT(ISERROR(SEARCH("Adicional",E274)))</formula>
    </cfRule>
    <cfRule type="containsText" dxfId="88" priority="258" operator="containsText" text="Sublimite">
      <formula>NOT(ISERROR(SEARCH("Sublimite",E274)))</formula>
    </cfRule>
  </conditionalFormatting>
  <conditionalFormatting sqref="E274:E275">
    <cfRule type="containsText" dxfId="87" priority="77" operator="containsText" text="Excluido">
      <formula>NOT(ISERROR(SEARCH("Excluido",E274)))</formula>
    </cfRule>
    <cfRule type="containsText" dxfId="86" priority="78" operator="containsText" text="Sublimite">
      <formula>NOT(ISERROR(SEARCH("Sublimite",E274)))</formula>
    </cfRule>
    <cfRule type="containsText" dxfId="85" priority="80" operator="containsText" text="Sublimite">
      <formula>NOT(ISERROR(SEARCH("Sublimite",E274)))</formula>
    </cfRule>
    <cfRule type="containsText" dxfId="84" priority="79" operator="containsText" text="Excluido">
      <formula>NOT(ISERROR(SEARCH("Excluido",E274)))</formula>
    </cfRule>
  </conditionalFormatting>
  <conditionalFormatting sqref="E275">
    <cfRule type="containsText" dxfId="83" priority="81" operator="containsText" text="Sublimite">
      <formula>NOT(ISERROR(SEARCH("Sublimite",E275)))</formula>
    </cfRule>
  </conditionalFormatting>
  <conditionalFormatting sqref="E278">
    <cfRule type="containsText" dxfId="82" priority="253" operator="containsText" text="Adicional">
      <formula>NOT(ISERROR(SEARCH("Adicional",E278)))</formula>
    </cfRule>
    <cfRule type="containsText" dxfId="81" priority="252" operator="containsText" text="Sublimite">
      <formula>NOT(ISERROR(SEARCH("Sublimite",E278)))</formula>
    </cfRule>
  </conditionalFormatting>
  <conditionalFormatting sqref="E278:E281">
    <cfRule type="containsText" dxfId="80" priority="75" operator="containsText" text="Sublimite">
      <formula>NOT(ISERROR(SEARCH("Sublimite",E278)))</formula>
    </cfRule>
    <cfRule type="containsText" dxfId="79" priority="74" operator="containsText" text="Excluido">
      <formula>NOT(ISERROR(SEARCH("Excluido",E278)))</formula>
    </cfRule>
    <cfRule type="containsText" dxfId="78" priority="73" operator="containsText" text="Sublimite">
      <formula>NOT(ISERROR(SEARCH("Sublimite",E278)))</formula>
    </cfRule>
    <cfRule type="containsText" dxfId="77" priority="72" operator="containsText" text="Excluido">
      <formula>NOT(ISERROR(SEARCH("Excluido",E278)))</formula>
    </cfRule>
  </conditionalFormatting>
  <conditionalFormatting sqref="E279:E281">
    <cfRule type="containsText" dxfId="76" priority="76" operator="containsText" text="Sublimite">
      <formula>NOT(ISERROR(SEARCH("Sublimite",E279)))</formula>
    </cfRule>
  </conditionalFormatting>
  <conditionalFormatting sqref="E284:E328">
    <cfRule type="containsText" dxfId="75" priority="246" operator="containsText" text="Sublimite">
      <formula>NOT(ISERROR(SEARCH("Sublimite",E284)))</formula>
    </cfRule>
    <cfRule type="containsText" dxfId="74" priority="247" operator="containsText" text="Adicional">
      <formula>NOT(ISERROR(SEARCH("Adicional",E284)))</formula>
    </cfRule>
    <cfRule type="containsText" dxfId="73" priority="242" operator="containsText" text="Excluido">
      <formula>NOT(ISERROR(SEARCH("Excluido",E284)))</formula>
    </cfRule>
    <cfRule type="containsText" dxfId="72" priority="243" operator="containsText" text="Sublimite">
      <formula>NOT(ISERROR(SEARCH("Sublimite",E284)))</formula>
    </cfRule>
    <cfRule type="containsText" dxfId="71" priority="244" operator="containsText" text="Excluido">
      <formula>NOT(ISERROR(SEARCH("Excluido",E284)))</formula>
    </cfRule>
    <cfRule type="containsText" dxfId="70" priority="245" operator="containsText" text="Sublimite">
      <formula>NOT(ISERROR(SEARCH("Sublimite",E284)))</formula>
    </cfRule>
  </conditionalFormatting>
  <conditionalFormatting sqref="E331">
    <cfRule type="containsText" dxfId="69" priority="240" operator="containsText" text="Sublimite">
      <formula>NOT(ISERROR(SEARCH("Sublimite",E331)))</formula>
    </cfRule>
    <cfRule type="containsText" dxfId="68" priority="241" operator="containsText" text="Adicional">
      <formula>NOT(ISERROR(SEARCH("Adicional",E331)))</formula>
    </cfRule>
  </conditionalFormatting>
  <conditionalFormatting sqref="E331:E335">
    <cfRule type="containsText" dxfId="67" priority="67" operator="containsText" text="Excluido">
      <formula>NOT(ISERROR(SEARCH("Excluido",E331)))</formula>
    </cfRule>
    <cfRule type="containsText" dxfId="66" priority="68" operator="containsText" text="Sublimite">
      <formula>NOT(ISERROR(SEARCH("Sublimite",E331)))</formula>
    </cfRule>
    <cfRule type="containsText" dxfId="65" priority="69" operator="containsText" text="Excluido">
      <formula>NOT(ISERROR(SEARCH("Excluido",E331)))</formula>
    </cfRule>
    <cfRule type="containsText" dxfId="64" priority="70" operator="containsText" text="Sublimite">
      <formula>NOT(ISERROR(SEARCH("Sublimite",E331)))</formula>
    </cfRule>
  </conditionalFormatting>
  <conditionalFormatting sqref="E332:E335">
    <cfRule type="containsText" dxfId="63" priority="71" operator="containsText" text="Sublimite">
      <formula>NOT(ISERROR(SEARCH("Sublimite",E332)))</formula>
    </cfRule>
  </conditionalFormatting>
  <conditionalFormatting sqref="E338">
    <cfRule type="containsText" dxfId="62" priority="235" operator="containsText" text="Adicional">
      <formula>NOT(ISERROR(SEARCH("Adicional",E338)))</formula>
    </cfRule>
    <cfRule type="containsText" dxfId="61" priority="234" operator="containsText" text="Sublimite">
      <formula>NOT(ISERROR(SEARCH("Sublimite",E338)))</formula>
    </cfRule>
  </conditionalFormatting>
  <conditionalFormatting sqref="E338:E343">
    <cfRule type="containsText" dxfId="60" priority="64" operator="containsText" text="Excluido">
      <formula>NOT(ISERROR(SEARCH("Excluido",E338)))</formula>
    </cfRule>
    <cfRule type="containsText" dxfId="59" priority="65" operator="containsText" text="Sublimite">
      <formula>NOT(ISERROR(SEARCH("Sublimite",E338)))</formula>
    </cfRule>
    <cfRule type="containsText" dxfId="58" priority="62" operator="containsText" text="Excluido">
      <formula>NOT(ISERROR(SEARCH("Excluido",E338)))</formula>
    </cfRule>
    <cfRule type="containsText" dxfId="57" priority="63" operator="containsText" text="Sublimite">
      <formula>NOT(ISERROR(SEARCH("Sublimite",E338)))</formula>
    </cfRule>
  </conditionalFormatting>
  <conditionalFormatting sqref="E339:E343">
    <cfRule type="containsText" dxfId="56" priority="66" operator="containsText" text="Sublimite">
      <formula>NOT(ISERROR(SEARCH("Sublimite",E339)))</formula>
    </cfRule>
  </conditionalFormatting>
  <conditionalFormatting sqref="E346:E348">
    <cfRule type="containsText" dxfId="55" priority="228" operator="containsText" text="Sublimite">
      <formula>NOT(ISERROR(SEARCH("Sublimite",E346)))</formula>
    </cfRule>
    <cfRule type="containsText" dxfId="54" priority="229" operator="containsText" text="Adicional">
      <formula>NOT(ISERROR(SEARCH("Adicional",E346)))</formula>
    </cfRule>
  </conditionalFormatting>
  <conditionalFormatting sqref="E346:E349">
    <cfRule type="containsText" dxfId="53" priority="227" operator="containsText" text="Sublimite">
      <formula>NOT(ISERROR(SEARCH("Sublimite",E346)))</formula>
    </cfRule>
    <cfRule type="containsText" dxfId="52" priority="224" operator="containsText" text="Excluido">
      <formula>NOT(ISERROR(SEARCH("Excluido",E346)))</formula>
    </cfRule>
    <cfRule type="containsText" dxfId="51" priority="225" operator="containsText" text="Sublimite">
      <formula>NOT(ISERROR(SEARCH("Sublimite",E346)))</formula>
    </cfRule>
    <cfRule type="containsText" dxfId="50" priority="226" operator="containsText" text="Excluido">
      <formula>NOT(ISERROR(SEARCH("Excluido",E346)))</formula>
    </cfRule>
  </conditionalFormatting>
  <conditionalFormatting sqref="E349">
    <cfRule type="containsText" dxfId="49" priority="749" operator="containsText" text="Sublimite">
      <formula>NOT(ISERROR(SEARCH("Sublimite",E349)))</formula>
    </cfRule>
  </conditionalFormatting>
  <conditionalFormatting sqref="E352:E362">
    <cfRule type="containsText" dxfId="48" priority="218" operator="containsText" text="Excluido">
      <formula>NOT(ISERROR(SEARCH("Excluido",E352)))</formula>
    </cfRule>
    <cfRule type="containsText" dxfId="47" priority="219" operator="containsText" text="Sublimite">
      <formula>NOT(ISERROR(SEARCH("Sublimite",E352)))</formula>
    </cfRule>
    <cfRule type="containsText" dxfId="46" priority="220" operator="containsText" text="Excluido">
      <formula>NOT(ISERROR(SEARCH("Excluido",E352)))</formula>
    </cfRule>
    <cfRule type="containsText" dxfId="45" priority="221" operator="containsText" text="Sublimite">
      <formula>NOT(ISERROR(SEARCH("Sublimite",E352)))</formula>
    </cfRule>
    <cfRule type="containsText" dxfId="44" priority="222" operator="containsText" text="Sublimite">
      <formula>NOT(ISERROR(SEARCH("Sublimite",E352)))</formula>
    </cfRule>
    <cfRule type="containsText" dxfId="43" priority="223" operator="containsText" text="Adicional">
      <formula>NOT(ISERROR(SEARCH("Adicional",E352)))</formula>
    </cfRule>
  </conditionalFormatting>
  <conditionalFormatting sqref="E365:E368">
    <cfRule type="containsText" dxfId="42" priority="215" operator="containsText" text="Sublimite">
      <formula>NOT(ISERROR(SEARCH("Sublimite",E365)))</formula>
    </cfRule>
    <cfRule type="containsText" dxfId="41" priority="217" operator="containsText" text="Adicional">
      <formula>NOT(ISERROR(SEARCH("Adicional",E365)))</formula>
    </cfRule>
    <cfRule type="containsText" dxfId="40" priority="213" operator="containsText" text="Sublimite">
      <formula>NOT(ISERROR(SEARCH("Sublimite",E365)))</formula>
    </cfRule>
    <cfRule type="containsText" dxfId="39" priority="212" operator="containsText" text="Excluido">
      <formula>NOT(ISERROR(SEARCH("Excluido",E365)))</formula>
    </cfRule>
    <cfRule type="containsText" dxfId="38" priority="216" operator="containsText" text="Sublimite">
      <formula>NOT(ISERROR(SEARCH("Sublimite",E365)))</formula>
    </cfRule>
    <cfRule type="containsText" dxfId="37" priority="214" operator="containsText" text="Excluido">
      <formula>NOT(ISERROR(SEARCH("Excluido",E365)))</formula>
    </cfRule>
  </conditionalFormatting>
  <conditionalFormatting sqref="E371">
    <cfRule type="containsText" dxfId="36" priority="211" operator="containsText" text="Adicional">
      <formula>NOT(ISERROR(SEARCH("Adicional",E371)))</formula>
    </cfRule>
    <cfRule type="containsText" dxfId="35" priority="210" operator="containsText" text="Sublimite">
      <formula>NOT(ISERROR(SEARCH("Sublimite",E371)))</formula>
    </cfRule>
  </conditionalFormatting>
  <conditionalFormatting sqref="E371:E378">
    <cfRule type="containsText" dxfId="34" priority="57" operator="containsText" text="Excluido">
      <formula>NOT(ISERROR(SEARCH("Excluido",E371)))</formula>
    </cfRule>
    <cfRule type="containsText" dxfId="33" priority="58" operator="containsText" text="Sublimite">
      <formula>NOT(ISERROR(SEARCH("Sublimite",E371)))</formula>
    </cfRule>
    <cfRule type="containsText" dxfId="32" priority="59" operator="containsText" text="Excluido">
      <formula>NOT(ISERROR(SEARCH("Excluido",E371)))</formula>
    </cfRule>
    <cfRule type="containsText" dxfId="31" priority="60" operator="containsText" text="Sublimite">
      <formula>NOT(ISERROR(SEARCH("Sublimite",E371)))</formula>
    </cfRule>
  </conditionalFormatting>
  <conditionalFormatting sqref="E372:E378">
    <cfRule type="containsText" dxfId="30" priority="61" operator="containsText" text="Sublimite">
      <formula>NOT(ISERROR(SEARCH("Sublimite",E372)))</formula>
    </cfRule>
  </conditionalFormatting>
  <conditionalFormatting sqref="E381:E393">
    <cfRule type="containsText" dxfId="29" priority="205" operator="containsText" text="Adicional">
      <formula>NOT(ISERROR(SEARCH("Adicional",E381)))</formula>
    </cfRule>
    <cfRule type="containsText" dxfId="28" priority="204" operator="containsText" text="Sublimite">
      <formula>NOT(ISERROR(SEARCH("Sublimite",E381)))</formula>
    </cfRule>
    <cfRule type="containsText" dxfId="27" priority="203" operator="containsText" text="Sublimite">
      <formula>NOT(ISERROR(SEARCH("Sublimite",E381)))</formula>
    </cfRule>
    <cfRule type="containsText" dxfId="26" priority="202" operator="containsText" text="Excluido">
      <formula>NOT(ISERROR(SEARCH("Excluido",E381)))</formula>
    </cfRule>
    <cfRule type="containsText" dxfId="25" priority="201" operator="containsText" text="Sublimite">
      <formula>NOT(ISERROR(SEARCH("Sublimite",E381)))</formula>
    </cfRule>
    <cfRule type="containsText" dxfId="24" priority="200" operator="containsText" text="Excluido">
      <formula>NOT(ISERROR(SEARCH("Excluido",E381)))</formula>
    </cfRule>
  </conditionalFormatting>
  <conditionalFormatting sqref="E396">
    <cfRule type="containsText" dxfId="23" priority="198" operator="containsText" text="Sublimite">
      <formula>NOT(ISERROR(SEARCH("Sublimite",E396)))</formula>
    </cfRule>
    <cfRule type="containsText" dxfId="22" priority="199" operator="containsText" text="Adicional">
      <formula>NOT(ISERROR(SEARCH("Adicional",E396)))</formula>
    </cfRule>
  </conditionalFormatting>
  <conditionalFormatting sqref="E396:E400">
    <cfRule type="containsText" dxfId="21" priority="52" operator="containsText" text="Excluido">
      <formula>NOT(ISERROR(SEARCH("Excluido",E396)))</formula>
    </cfRule>
    <cfRule type="containsText" dxfId="20" priority="53" operator="containsText" text="Sublimite">
      <formula>NOT(ISERROR(SEARCH("Sublimite",E396)))</formula>
    </cfRule>
    <cfRule type="containsText" dxfId="19" priority="54" operator="containsText" text="Excluido">
      <formula>NOT(ISERROR(SEARCH("Excluido",E396)))</formula>
    </cfRule>
    <cfRule type="containsText" dxfId="18" priority="55" operator="containsText" text="Sublimite">
      <formula>NOT(ISERROR(SEARCH("Sublimite",E396)))</formula>
    </cfRule>
  </conditionalFormatting>
  <conditionalFormatting sqref="E397:E400">
    <cfRule type="containsText" dxfId="17" priority="56" operator="containsText" text="Sublimite">
      <formula>NOT(ISERROR(SEARCH("Sublimite",E397)))</formula>
    </cfRule>
  </conditionalFormatting>
  <conditionalFormatting sqref="E403">
    <cfRule type="containsText" dxfId="16" priority="193" operator="containsText" text="Adicional">
      <formula>NOT(ISERROR(SEARCH("Adicional",E403)))</formula>
    </cfRule>
    <cfRule type="containsText" dxfId="15" priority="191" operator="containsText" text="Sublimite">
      <formula>NOT(ISERROR(SEARCH("Sublimite",E403)))</formula>
    </cfRule>
    <cfRule type="containsText" dxfId="14" priority="189" operator="containsText" text="Sublimite">
      <formula>NOT(ISERROR(SEARCH("Sublimite",E403)))</formula>
    </cfRule>
    <cfRule type="containsText" dxfId="13" priority="190" operator="containsText" text="Excluido">
      <formula>NOT(ISERROR(SEARCH("Excluido",E403)))</formula>
    </cfRule>
    <cfRule type="containsText" dxfId="12" priority="188" operator="containsText" text="Excluido">
      <formula>NOT(ISERROR(SEARCH("Excluido",E403)))</formula>
    </cfRule>
    <cfRule type="containsText" dxfId="11" priority="192" operator="containsText" text="Sublimite">
      <formula>NOT(ISERROR(SEARCH("Sublimite",E403)))</formula>
    </cfRule>
  </conditionalFormatting>
  <conditionalFormatting sqref="E406">
    <cfRule type="containsText" dxfId="10" priority="187" operator="containsText" text="Adicional">
      <formula>NOT(ISERROR(SEARCH("Adicional",E406)))</formula>
    </cfRule>
    <cfRule type="containsText" dxfId="9" priority="186" operator="containsText" text="Sublimite">
      <formula>NOT(ISERROR(SEARCH("Sublimite",E406)))</formula>
    </cfRule>
  </conditionalFormatting>
  <conditionalFormatting sqref="E406:E409">
    <cfRule type="containsText" dxfId="8" priority="47" operator="containsText" text="Excluido">
      <formula>NOT(ISERROR(SEARCH("Excluido",E406)))</formula>
    </cfRule>
    <cfRule type="containsText" dxfId="7" priority="49" operator="containsText" text="Excluido">
      <formula>NOT(ISERROR(SEARCH("Excluido",E406)))</formula>
    </cfRule>
    <cfRule type="containsText" dxfId="6" priority="50" operator="containsText" text="Sublimite">
      <formula>NOT(ISERROR(SEARCH("Sublimite",E406)))</formula>
    </cfRule>
    <cfRule type="containsText" dxfId="5" priority="48" operator="containsText" text="Sublimite">
      <formula>NOT(ISERROR(SEARCH("Sublimite",E406)))</formula>
    </cfRule>
  </conditionalFormatting>
  <conditionalFormatting sqref="E407:E409">
    <cfRule type="containsText" dxfId="4" priority="51" operator="containsText" text="Sublimite">
      <formula>NOT(ISERROR(SEARCH("Sublimite",E407)))</formula>
    </cfRule>
  </conditionalFormatting>
  <conditionalFormatting sqref="L7:O7">
    <cfRule type="containsText" dxfId="3" priority="19" operator="containsText" text="POLIZA A VALORES TOTALES">
      <formula>NOT(ISERROR(SEARCH("POLIZA A VALORES TOTALES",L7)))</formula>
    </cfRule>
    <cfRule type="containsText" dxfId="2" priority="20" operator="containsText" text="POLIZA SIN PRIMER RIESGO">
      <formula>NOT(ISERROR(SEARCH("POLIZA SIN PRIMER RIESGO",L7)))</formula>
    </cfRule>
  </conditionalFormatting>
  <dataValidations count="10">
    <dataValidation type="list" allowBlank="1" showInputMessage="1" showErrorMessage="1" sqref="L7:O7" xr:uid="{CF6E9A04-C519-484C-9475-DD384991FF1C}">
      <formula1>"POLIZA CON COASEGURO CONVENIDO, POLIZA A PRIMER RIESGO, POLIZA A VALORES TOTALES"</formula1>
    </dataValidation>
    <dataValidation type="list" allowBlank="1" showInputMessage="1" showErrorMessage="1" sqref="E18 E42 E24 E242" xr:uid="{7E233CE1-B534-4AB6-9BBC-65E015ED5AEF}">
      <formula1>"Adicional, Sublimite"</formula1>
    </dataValidation>
    <dataValidation type="list" allowBlank="1" showInputMessage="1" showErrorMessage="1" sqref="F12" xr:uid="{11D417AE-5DCD-4A93-BCC6-7E2087139EEF}">
      <formula1>"ORDINARIO, COMERCIAL E INDUSTRIAL, GRANDES RIESGOS, HABITACIONAL"</formula1>
    </dataValidation>
    <dataValidation type="list" allowBlank="1" showInputMessage="1" showErrorMessage="1" sqref="E37 E235 E25 E407:E409 E29:E30 E32:E33 E44:E58 E62:E63 E39 E70 E72 E74 E76 E87:E89 E91:E94 E96:E98 E118:E121 E65:E66 E164:E165 E170:E171 E176:E177 E180:E181 E397:E400 E192:E201 E204:E205 E125:E128 E219 E222 E225 E229 E232 E184:E185 E244:E265 E267:E268 E270:E271 E332:E335 E275 E279:E281 E339:E343 E372:E378 E208:E209 E349 E20:E23" xr:uid="{032A33BC-D17B-44FB-A9E5-879E700D8AD0}">
      <formula1>"Sublimite, Excluido"</formula1>
    </dataValidation>
    <dataValidation type="list" allowBlank="1" showInputMessage="1" showErrorMessage="1" sqref="E406 E396 E168:E169 E365:E368 E26:E27 E188:E191 E68 E19 E101:E102 E105:E106 E109:E110 E79:E86 E331 E43 E131:E136 E139:E144 E147 E150 E153 E156 E174:E175 E59:E60 E113:E114 E381:E393 E162:E163 E371 E403 E159 E212 E215 E218 E228 E278 E269 E274 E124 E338 E346:E348 E352:E362 E238:E239 E266 E243 E35 E117 E284:E328" xr:uid="{C579B247-9307-4558-8F8D-E1A6596C7BB3}">
      <formula1>"Adicional, Sublimite, Excluido"</formula1>
    </dataValidation>
    <dataValidation type="list" allowBlank="1" showInputMessage="1" showErrorMessage="1" sqref="N9:O9" xr:uid="{9462F134-D20D-4307-9DBC-71C45858B70A}">
      <formula1>"POLIZA NUEVA, RENOVACION, CANCELACION, ENDOSO DE AUMENTO, ENDOSO DE DISMINUCION, ENDOSO DE DECLARACION, ENDOSO DE EXTENSIÓN DE VIGENCIA, ENDOSO DE REDUCCIÓN DE VIGENCIA, CAMBIO DE FORMA DE PAGO, ANULACIÓN DE PÓLIZA, ANULACIÓN DE ENDOSO"</formula1>
    </dataValidation>
    <dataValidation type="list" allowBlank="1" showInputMessage="1" showErrorMessage="1" sqref="H14" xr:uid="{A484C491-419F-4429-B7CE-325588B5E32D}">
      <formula1>"PRORRATA, DIRECTA"</formula1>
    </dataValidation>
    <dataValidation type="list" allowBlank="1" showInputMessage="1" showErrorMessage="1" sqref="N10" xr:uid="{9559A6CC-4958-49FE-9292-702D878E58E7}">
      <formula1>"TODO RIESGO, RIESGOS NOMBRADOS"</formula1>
    </dataValidation>
    <dataValidation type="list" allowBlank="1" showInputMessage="1" showErrorMessage="1" sqref="F13" xr:uid="{9415305F-9F9C-48CF-A6ED-3877313FD8D7}">
      <formula1>"NACIONAL, DÓLARES"</formula1>
    </dataValidation>
    <dataValidation type="list" allowBlank="1" showInputMessage="1" showErrorMessage="1" sqref="I29:I30 I32:I33 I35 I37 I39 I18:I27 I62:I63 I65:I66 I68 I70 I235 I76 I91:I94 I96:I98 I101:I102 I105:I106 I109:I110 I113:I114 I117:I121 I124:I128 I131:I136 I139:I144 I147 I150 I153 I156 I159 I174:I177 I162:I165 I168:I171 I180:I181 I184:I185 I284:I328 I204:I205 I208:I209 I212 I215 I218:I219 I222 I225 I228:I229 I232 I238:I239 I242:I271 I274:I275 I278:I281 I331:I335 I338:I343 I352:I362 I365:I368 I371:I378 I381:I393 I396:I400 I403 I406:I409 I72 I74 I42:I60 I79:I89 I188:I201 I346:I349" xr:uid="{EE3BE380-3B2B-4886-A568-311B6B028748}">
      <formula1>"%o Al Millar,% Al Porciento,$ Prima"</formula1>
    </dataValidation>
  </dataValidations>
  <hyperlinks>
    <hyperlink ref="K416" r:id="rId1" display="juliop@arvida.com.mx" xr:uid="{33D82CB5-BC40-422E-9F9A-BBDC1328509C}"/>
  </hyperlinks>
  <pageMargins left="0.51181102362204722" right="0.31496062992125984" top="0.35433070866141736" bottom="0.35433070866141736" header="0.31496062992125984" footer="0.31496062992125984"/>
  <pageSetup scale="50" orientation="landscape" r:id="rId2"/>
  <headerFooter>
    <oddFooter>&amp;CPágina &amp;P de &amp;F &amp;RBRENDA PEREZ]</oddFooter>
  </headerFooter>
  <drawing r:id="rId3"/>
  <legacyDrawing r:id="rId4"/>
  <mc:AlternateContent xmlns:mc="http://schemas.openxmlformats.org/markup-compatibility/2006">
    <mc:Choice Requires="x14">
      <controls>
        <mc:AlternateContent xmlns:mc="http://schemas.openxmlformats.org/markup-compatibility/2006">
          <mc:Choice Requires="x14">
            <control shapeId="49153" r:id="rId5" name="Drop Down 25">
              <controlPr defaultSize="0" autoLine="0" autoPict="0">
                <anchor moveWithCells="1">
                  <from>
                    <xdr:col>5</xdr:col>
                    <xdr:colOff>7620</xdr:colOff>
                    <xdr:row>13</xdr:row>
                    <xdr:rowOff>0</xdr:rowOff>
                  </from>
                  <to>
                    <xdr:col>5</xdr:col>
                    <xdr:colOff>1546860</xdr:colOff>
                    <xdr:row>14</xdr:row>
                    <xdr:rowOff>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containsText" priority="21" operator="containsText" id="{26B066A2-A3D7-48F0-B400-0BDF95702AF6}">
            <xm:f>NOT(ISERROR(SEARCH($L$8,L7)))</xm:f>
            <xm:f>$L$8</xm:f>
            <x14:dxf>
              <font>
                <b/>
                <i val="0"/>
                <color theme="0"/>
              </font>
              <fill>
                <patternFill>
                  <bgColor rgb="FFFF0000"/>
                </patternFill>
              </fill>
            </x14:dxf>
          </x14:cfRule>
          <x14:cfRule type="containsText" priority="22" operator="containsText" id="{7F379034-9589-4584-BE3D-C6F626DF4F00}">
            <xm:f>NOT(ISERROR(SEARCH($L$8,L7)))</xm:f>
            <xm:f>$L$8</xm:f>
            <x14:dxf>
              <font>
                <color rgb="FF9C0006"/>
              </font>
              <fill>
                <patternFill>
                  <bgColor rgb="FFFFC7CE"/>
                </patternFill>
              </fill>
            </x14:dxf>
          </x14:cfRule>
          <xm:sqref>L7:O8</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2164B3D1-6A8B-42AB-9015-42359B9FCD6F}">
          <x14:formula1>
            <xm:f>Hoja3!$F$2:$F$39</xm:f>
          </x14:formula1>
          <xm:sqref>G8:K8</xm:sqref>
        </x14:dataValidation>
        <x14:dataValidation type="list" allowBlank="1" showInputMessage="1" showErrorMessage="1" xr:uid="{C8E0B116-B7A6-4CC2-94BA-4BBE90AFBA05}">
          <x14:formula1>
            <xm:f>Hoja1!$B$4653:$B$4730</xm:f>
          </x14:formula1>
          <xm:sqref>C7:J7</xm:sqref>
        </x14:dataValidation>
        <x14:dataValidation type="list" allowBlank="1" showInputMessage="1" showErrorMessage="1" xr:uid="{044514AE-2C90-4F0E-A083-AC0DDC1FA822}">
          <x14:formula1>
            <xm:f>Hoja1!$J$3:$J$134</xm:f>
          </x14:formula1>
          <xm:sqref>C8</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5A2D88-2285-4676-90F4-63C8F7E0C54C}">
  <sheetPr>
    <pageSetUpPr fitToPage="1"/>
  </sheetPr>
  <dimension ref="A1:D63"/>
  <sheetViews>
    <sheetView tabSelected="1" workbookViewId="0">
      <selection activeCell="B2" sqref="B2"/>
    </sheetView>
  </sheetViews>
  <sheetFormatPr baseColWidth="10" defaultColWidth="11.44140625" defaultRowHeight="12" x14ac:dyDescent="0.25"/>
  <cols>
    <col min="1" max="1" width="36" style="1" customWidth="1"/>
    <col min="2" max="2" width="47.6640625" style="1" customWidth="1"/>
    <col min="3" max="3" width="27.33203125" style="1" customWidth="1"/>
    <col min="4" max="4" width="28.109375" style="1" customWidth="1"/>
    <col min="5" max="16384" width="11.44140625" style="1"/>
  </cols>
  <sheetData>
    <row r="1" spans="1:2" x14ac:dyDescent="0.25">
      <c r="A1" s="120" t="s">
        <v>1485</v>
      </c>
      <c r="B1" s="121" t="s">
        <v>1486</v>
      </c>
    </row>
    <row r="2" spans="1:2" x14ac:dyDescent="0.25">
      <c r="A2" s="122" t="s">
        <v>1487</v>
      </c>
      <c r="B2" s="123" t="s">
        <v>1488</v>
      </c>
    </row>
    <row r="3" spans="1:2" x14ac:dyDescent="0.25">
      <c r="A3" s="122" t="s">
        <v>1489</v>
      </c>
      <c r="B3" s="123" t="s">
        <v>1490</v>
      </c>
    </row>
    <row r="5" spans="1:2" x14ac:dyDescent="0.25">
      <c r="A5" s="120" t="s">
        <v>1491</v>
      </c>
      <c r="B5" s="121" t="s">
        <v>1486</v>
      </c>
    </row>
    <row r="6" spans="1:2" x14ac:dyDescent="0.25">
      <c r="A6" s="122" t="s">
        <v>1492</v>
      </c>
      <c r="B6" s="123" t="s">
        <v>1493</v>
      </c>
    </row>
    <row r="7" spans="1:2" x14ac:dyDescent="0.25">
      <c r="A7" s="122" t="s">
        <v>1494</v>
      </c>
      <c r="B7" s="123" t="s">
        <v>1495</v>
      </c>
    </row>
    <row r="8" spans="1:2" x14ac:dyDescent="0.25">
      <c r="A8" s="122" t="s">
        <v>1496</v>
      </c>
      <c r="B8" s="123" t="s">
        <v>1497</v>
      </c>
    </row>
    <row r="9" spans="1:2" x14ac:dyDescent="0.25">
      <c r="A9" s="122" t="s">
        <v>1498</v>
      </c>
      <c r="B9" s="123">
        <v>2000</v>
      </c>
    </row>
    <row r="10" spans="1:2" x14ac:dyDescent="0.25">
      <c r="A10" s="122" t="s">
        <v>1499</v>
      </c>
      <c r="B10" s="123">
        <v>1</v>
      </c>
    </row>
    <row r="11" spans="1:2" x14ac:dyDescent="0.25">
      <c r="A11" s="122" t="s">
        <v>1500</v>
      </c>
      <c r="B11" s="123">
        <v>0</v>
      </c>
    </row>
    <row r="12" spans="1:2" x14ac:dyDescent="0.25">
      <c r="A12" s="122" t="s">
        <v>1501</v>
      </c>
      <c r="B12" s="123">
        <v>1</v>
      </c>
    </row>
    <row r="13" spans="1:2" x14ac:dyDescent="0.25">
      <c r="A13" s="122" t="s">
        <v>1502</v>
      </c>
      <c r="B13" s="123"/>
    </row>
    <row r="14" spans="1:2" x14ac:dyDescent="0.25">
      <c r="A14" s="122" t="s">
        <v>1503</v>
      </c>
      <c r="B14" s="123"/>
    </row>
    <row r="16" spans="1:2" x14ac:dyDescent="0.25">
      <c r="A16" s="120" t="s">
        <v>1504</v>
      </c>
      <c r="B16" s="121" t="s">
        <v>1486</v>
      </c>
    </row>
    <row r="17" spans="1:4" x14ac:dyDescent="0.25">
      <c r="A17" s="122" t="s">
        <v>1505</v>
      </c>
      <c r="B17" s="123" t="s">
        <v>1437</v>
      </c>
    </row>
    <row r="18" spans="1:4" x14ac:dyDescent="0.25">
      <c r="A18" s="122" t="s">
        <v>1506</v>
      </c>
      <c r="B18" s="123" t="s">
        <v>1462</v>
      </c>
    </row>
    <row r="19" spans="1:4" x14ac:dyDescent="0.25">
      <c r="A19" s="122" t="s">
        <v>1507</v>
      </c>
      <c r="B19" s="123" t="s">
        <v>1508</v>
      </c>
    </row>
    <row r="20" spans="1:4" x14ac:dyDescent="0.25">
      <c r="A20" s="122" t="s">
        <v>1509</v>
      </c>
      <c r="B20" s="123" t="s">
        <v>1510</v>
      </c>
    </row>
    <row r="21" spans="1:4" x14ac:dyDescent="0.25">
      <c r="A21" s="122" t="s">
        <v>1511</v>
      </c>
      <c r="B21" s="123" t="s">
        <v>1512</v>
      </c>
    </row>
    <row r="22" spans="1:4" x14ac:dyDescent="0.25">
      <c r="A22" s="122" t="s">
        <v>1513</v>
      </c>
      <c r="B22" s="123" t="s">
        <v>1514</v>
      </c>
    </row>
    <row r="23" spans="1:4" x14ac:dyDescent="0.25">
      <c r="A23" s="122" t="s">
        <v>1515</v>
      </c>
      <c r="B23" s="123" t="s">
        <v>1516</v>
      </c>
    </row>
    <row r="24" spans="1:4" x14ac:dyDescent="0.25">
      <c r="A24" s="122" t="s">
        <v>1517</v>
      </c>
      <c r="B24" s="123" t="s">
        <v>1518</v>
      </c>
    </row>
    <row r="25" spans="1:4" x14ac:dyDescent="0.25">
      <c r="A25" s="122" t="s">
        <v>1519</v>
      </c>
      <c r="B25" s="123" t="s">
        <v>1520</v>
      </c>
    </row>
    <row r="26" spans="1:4" x14ac:dyDescent="0.25">
      <c r="A26" s="122" t="s">
        <v>1521</v>
      </c>
      <c r="B26" s="123" t="s">
        <v>1522</v>
      </c>
    </row>
    <row r="27" spans="1:4" x14ac:dyDescent="0.25">
      <c r="A27" s="122" t="s">
        <v>1523</v>
      </c>
      <c r="B27" s="123" t="s">
        <v>1524</v>
      </c>
    </row>
    <row r="29" spans="1:4" x14ac:dyDescent="0.25">
      <c r="A29" s="120" t="s">
        <v>1525</v>
      </c>
      <c r="B29" s="121" t="s">
        <v>1486</v>
      </c>
      <c r="D29" s="124"/>
    </row>
    <row r="30" spans="1:4" x14ac:dyDescent="0.25">
      <c r="A30" s="122" t="s">
        <v>1526</v>
      </c>
      <c r="B30" s="125" t="s">
        <v>1527</v>
      </c>
      <c r="D30" s="124"/>
    </row>
    <row r="31" spans="1:4" x14ac:dyDescent="0.25">
      <c r="A31" s="122" t="s">
        <v>1528</v>
      </c>
      <c r="B31" s="125" t="s">
        <v>1529</v>
      </c>
      <c r="D31" s="124"/>
    </row>
    <row r="32" spans="1:4" x14ac:dyDescent="0.25">
      <c r="A32" s="122" t="s">
        <v>1530</v>
      </c>
      <c r="B32" s="125" t="s">
        <v>1531</v>
      </c>
      <c r="D32" s="124"/>
    </row>
    <row r="33" spans="1:4" x14ac:dyDescent="0.25">
      <c r="A33" s="122" t="s">
        <v>1532</v>
      </c>
      <c r="B33" s="125" t="s">
        <v>1533</v>
      </c>
      <c r="D33" s="124"/>
    </row>
    <row r="34" spans="1:4" x14ac:dyDescent="0.25">
      <c r="A34" s="122" t="s">
        <v>1534</v>
      </c>
      <c r="B34" s="125" t="s">
        <v>1535</v>
      </c>
      <c r="D34" s="124"/>
    </row>
    <row r="35" spans="1:4" x14ac:dyDescent="0.25">
      <c r="A35" s="122" t="s">
        <v>1536</v>
      </c>
      <c r="B35" s="125" t="s">
        <v>1535</v>
      </c>
      <c r="D35" s="124"/>
    </row>
    <row r="36" spans="1:4" x14ac:dyDescent="0.25">
      <c r="A36" s="122" t="s">
        <v>1537</v>
      </c>
      <c r="B36" s="125" t="s">
        <v>1538</v>
      </c>
      <c r="D36" s="124"/>
    </row>
    <row r="37" spans="1:4" x14ac:dyDescent="0.25">
      <c r="A37" s="122" t="s">
        <v>1539</v>
      </c>
      <c r="B37" s="125" t="s">
        <v>1540</v>
      </c>
      <c r="D37" s="124"/>
    </row>
    <row r="38" spans="1:4" x14ac:dyDescent="0.25">
      <c r="A38" s="122" t="s">
        <v>1541</v>
      </c>
      <c r="B38" s="125" t="s">
        <v>1542</v>
      </c>
      <c r="D38" s="124"/>
    </row>
    <row r="39" spans="1:4" x14ac:dyDescent="0.25">
      <c r="A39" s="122" t="s">
        <v>1543</v>
      </c>
      <c r="B39" s="125" t="s">
        <v>1544</v>
      </c>
      <c r="D39" s="124"/>
    </row>
    <row r="40" spans="1:4" x14ac:dyDescent="0.25">
      <c r="A40" s="122" t="s">
        <v>1545</v>
      </c>
      <c r="B40" s="125">
        <v>0</v>
      </c>
      <c r="D40" s="124"/>
    </row>
    <row r="41" spans="1:4" x14ac:dyDescent="0.25">
      <c r="A41" s="122" t="s">
        <v>1546</v>
      </c>
      <c r="B41" s="125" t="s">
        <v>1547</v>
      </c>
      <c r="D41" s="124"/>
    </row>
    <row r="42" spans="1:4" x14ac:dyDescent="0.25">
      <c r="D42" s="124"/>
    </row>
    <row r="43" spans="1:4" x14ac:dyDescent="0.25">
      <c r="A43" s="120" t="s">
        <v>1548</v>
      </c>
      <c r="B43" s="121" t="s">
        <v>1486</v>
      </c>
      <c r="D43" s="124"/>
    </row>
    <row r="44" spans="1:4" x14ac:dyDescent="0.25">
      <c r="A44" s="122" t="s">
        <v>1549</v>
      </c>
      <c r="B44" s="123" t="s">
        <v>1550</v>
      </c>
      <c r="D44" s="124"/>
    </row>
    <row r="45" spans="1:4" x14ac:dyDescent="0.25">
      <c r="A45" s="122" t="s">
        <v>1551</v>
      </c>
      <c r="B45" s="123" t="s">
        <v>1550</v>
      </c>
      <c r="D45" s="124"/>
    </row>
    <row r="46" spans="1:4" x14ac:dyDescent="0.25">
      <c r="A46" s="122" t="s">
        <v>1552</v>
      </c>
      <c r="B46" s="123"/>
    </row>
    <row r="47" spans="1:4" x14ac:dyDescent="0.25">
      <c r="A47" s="122" t="s">
        <v>1553</v>
      </c>
      <c r="B47" s="123" t="s">
        <v>1554</v>
      </c>
    </row>
    <row r="49" spans="1:2" x14ac:dyDescent="0.25">
      <c r="A49" s="120" t="s">
        <v>1555</v>
      </c>
      <c r="B49" s="121" t="s">
        <v>1486</v>
      </c>
    </row>
    <row r="50" spans="1:2" x14ac:dyDescent="0.25">
      <c r="A50" s="126" t="s">
        <v>1556</v>
      </c>
      <c r="B50" s="127" t="s">
        <v>1557</v>
      </c>
    </row>
    <row r="51" spans="1:2" x14ac:dyDescent="0.25">
      <c r="A51" s="126" t="s">
        <v>1558</v>
      </c>
      <c r="B51" s="127"/>
    </row>
    <row r="52" spans="1:2" x14ac:dyDescent="0.25">
      <c r="A52" s="126" t="s">
        <v>1559</v>
      </c>
      <c r="B52" s="127" t="s">
        <v>1560</v>
      </c>
    </row>
    <row r="53" spans="1:2" x14ac:dyDescent="0.25">
      <c r="A53" s="126" t="s">
        <v>1561</v>
      </c>
      <c r="B53" s="127" t="s">
        <v>1535</v>
      </c>
    </row>
    <row r="54" spans="1:2" ht="24" x14ac:dyDescent="0.25">
      <c r="A54" s="126" t="s">
        <v>1562</v>
      </c>
      <c r="B54" s="127" t="s">
        <v>1563</v>
      </c>
    </row>
    <row r="55" spans="1:2" x14ac:dyDescent="0.25">
      <c r="A55" s="126" t="s">
        <v>1564</v>
      </c>
      <c r="B55" s="127" t="s">
        <v>1563</v>
      </c>
    </row>
    <row r="56" spans="1:2" x14ac:dyDescent="0.25">
      <c r="A56" s="126" t="s">
        <v>1565</v>
      </c>
      <c r="B56" s="127" t="s">
        <v>1566</v>
      </c>
    </row>
    <row r="57" spans="1:2" ht="24" x14ac:dyDescent="0.25">
      <c r="A57" s="126" t="s">
        <v>1567</v>
      </c>
      <c r="B57" s="127" t="s">
        <v>1568</v>
      </c>
    </row>
    <row r="58" spans="1:2" x14ac:dyDescent="0.25">
      <c r="A58" s="126" t="s">
        <v>1569</v>
      </c>
      <c r="B58" s="127" t="s">
        <v>1570</v>
      </c>
    </row>
    <row r="59" spans="1:2" x14ac:dyDescent="0.25">
      <c r="A59" s="126" t="s">
        <v>1571</v>
      </c>
      <c r="B59" s="127" t="s">
        <v>1572</v>
      </c>
    </row>
    <row r="60" spans="1:2" x14ac:dyDescent="0.25">
      <c r="A60" s="126" t="s">
        <v>1573</v>
      </c>
      <c r="B60" s="127" t="s">
        <v>1574</v>
      </c>
    </row>
    <row r="61" spans="1:2" x14ac:dyDescent="0.25">
      <c r="A61" s="126" t="s">
        <v>1575</v>
      </c>
      <c r="B61" s="127" t="s">
        <v>1576</v>
      </c>
    </row>
    <row r="62" spans="1:2" x14ac:dyDescent="0.25">
      <c r="A62" s="126" t="s">
        <v>1577</v>
      </c>
      <c r="B62" s="127" t="s">
        <v>1578</v>
      </c>
    </row>
    <row r="63" spans="1:2" x14ac:dyDescent="0.25">
      <c r="A63" s="126" t="s">
        <v>1579</v>
      </c>
      <c r="B63" s="127" t="s">
        <v>1580</v>
      </c>
    </row>
  </sheetData>
  <dataConsolidate/>
  <dataValidations count="1">
    <dataValidation type="list" allowBlank="1" showInputMessage="1" showErrorMessage="1" sqref="B17:B18" xr:uid="{C5AAF068-2EF3-4C1C-AEEE-26B55AE930F8}">
      <formula1>"SI, NO"</formula1>
    </dataValidation>
  </dataValidations>
  <pageMargins left="0.70866141732283472" right="0.70866141732283472" top="0.74803149606299213" bottom="0.74803149606299213" header="0.31496062992125984" footer="0.31496062992125984"/>
  <pageSetup scale="91" orientation="portrait" r:id="rId1"/>
  <extLst>
    <ext xmlns:x14="http://schemas.microsoft.com/office/spreadsheetml/2009/9/main" uri="{CCE6A557-97BC-4b89-ADB6-D9C93CAAB3DF}">
      <x14:dataValidations xmlns:xm="http://schemas.microsoft.com/office/excel/2006/main" count="39">
        <x14:dataValidation type="list" allowBlank="1" showInputMessage="1" showErrorMessage="1" xr:uid="{D5551660-D4E2-468E-A7DD-D5041D4D6F56}">
          <x14:formula1>
            <xm:f>'D TEV y FHM'!$B$53:$B$56</xm:f>
          </x14:formula1>
          <xm:sqref>D29:D45 B41</xm:sqref>
        </x14:dataValidation>
        <x14:dataValidation type="list" allowBlank="1" showInputMessage="1" showErrorMessage="1" xr:uid="{7E9B59E2-FA18-4005-A26A-F547C8D33E22}">
          <x14:formula1>
            <xm:f>'D TEV y FHM'!$A$84:$A$87</xm:f>
          </x14:formula1>
          <xm:sqref>B63</xm:sqref>
        </x14:dataValidation>
        <x14:dataValidation type="list" allowBlank="1" showInputMessage="1" showErrorMessage="1" xr:uid="{89D5848E-703C-4549-AA2A-2922D687F78E}">
          <x14:formula1>
            <xm:f>'D TEV y FHM'!$C$78:$C$81</xm:f>
          </x14:formula1>
          <xm:sqref>B62</xm:sqref>
        </x14:dataValidation>
        <x14:dataValidation type="list" allowBlank="1" showInputMessage="1" showErrorMessage="1" xr:uid="{323CF4E7-F556-4D2A-BED2-55AA7474BD98}">
          <x14:formula1>
            <xm:f>'D TEV y FHM'!$F$74:$F$77</xm:f>
          </x14:formula1>
          <xm:sqref>B61</xm:sqref>
        </x14:dataValidation>
        <x14:dataValidation type="list" allowBlank="1" showInputMessage="1" showErrorMessage="1" xr:uid="{AB1B28E4-5FD0-4333-9957-E06AEAFDC0AF}">
          <x14:formula1>
            <xm:f>'D TEV y FHM'!$C$74:$C$76</xm:f>
          </x14:formula1>
          <xm:sqref>B60</xm:sqref>
        </x14:dataValidation>
        <x14:dataValidation type="list" allowBlank="1" showInputMessage="1" showErrorMessage="1" xr:uid="{24E8CC63-0373-4D71-BD62-09DD431CDD23}">
          <x14:formula1>
            <xm:f>'D TEV y FHM'!$C$70:$C$72</xm:f>
          </x14:formula1>
          <xm:sqref>B59</xm:sqref>
        </x14:dataValidation>
        <x14:dataValidation type="list" allowBlank="1" showInputMessage="1" showErrorMessage="1" xr:uid="{7941DE44-2958-4A99-97EE-117EF8E04865}">
          <x14:formula1>
            <xm:f>'D TEV y FHM'!$A$78:$A$81</xm:f>
          </x14:formula1>
          <xm:sqref>B58</xm:sqref>
        </x14:dataValidation>
        <x14:dataValidation type="list" allowBlank="1" showInputMessage="1" showErrorMessage="1" xr:uid="{20EC17A6-8C2A-4BC8-9476-C276ECFE52A9}">
          <x14:formula1>
            <xm:f>'D TEV y FHM'!$A$74:$A$76</xm:f>
          </x14:formula1>
          <xm:sqref>B57</xm:sqref>
        </x14:dataValidation>
        <x14:dataValidation type="list" allowBlank="1" showInputMessage="1" showErrorMessage="1" xr:uid="{E393EE63-9125-4CD4-926A-43B9E1A79444}">
          <x14:formula1>
            <xm:f>'D TEV y FHM'!$A$70:$A$72</xm:f>
          </x14:formula1>
          <xm:sqref>B56</xm:sqref>
        </x14:dataValidation>
        <x14:dataValidation type="list" allowBlank="1" showInputMessage="1" showErrorMessage="1" xr:uid="{85011F6E-34DD-47BB-9EF9-A0CF52B77593}">
          <x14:formula1>
            <xm:f>'D TEV y FHM'!$D$67:$D$68</xm:f>
          </x14:formula1>
          <xm:sqref>B54:B55</xm:sqref>
        </x14:dataValidation>
        <x14:dataValidation type="list" allowBlank="1" showInputMessage="1" showErrorMessage="1" xr:uid="{E7D83438-4063-434C-909C-286A23919759}">
          <x14:formula1>
            <xm:f>'D TEV y FHM'!$D$63:$D$65</xm:f>
          </x14:formula1>
          <xm:sqref>B53</xm:sqref>
        </x14:dataValidation>
        <x14:dataValidation type="list" allowBlank="1" showInputMessage="1" showErrorMessage="1" xr:uid="{71A79BA0-BE39-4059-B420-BF0B75213E0D}">
          <x14:formula1>
            <xm:f>'D TEV y FHM'!$B$63:$B$67</xm:f>
          </x14:formula1>
          <xm:sqref>B52</xm:sqref>
        </x14:dataValidation>
        <x14:dataValidation type="list" allowBlank="1" showInputMessage="1" showErrorMessage="1" xr:uid="{DF724B16-7C23-4A69-A2AF-DD05870E6814}">
          <x14:formula1>
            <xm:f>'D TEV y FHM'!$D$58:$D$61</xm:f>
          </x14:formula1>
          <xm:sqref>B50</xm:sqref>
        </x14:dataValidation>
        <x14:dataValidation type="list" allowBlank="1" showInputMessage="1" showErrorMessage="1" xr:uid="{51162565-E41B-4AB6-A681-C181ABBB6179}">
          <x14:formula1>
            <xm:f>'D TEV y FHM'!$D$53:$D$56</xm:f>
          </x14:formula1>
          <xm:sqref>B47</xm:sqref>
        </x14:dataValidation>
        <x14:dataValidation type="list" allowBlank="1" showInputMessage="1" showErrorMessage="1" xr:uid="{20A0C58B-C170-4F4D-837D-AD677FBD0326}">
          <x14:formula1>
            <xm:f>'D TEV y FHM'!$B$58:$B$59</xm:f>
          </x14:formula1>
          <xm:sqref>B44:B45</xm:sqref>
        </x14:dataValidation>
        <x14:dataValidation type="list" allowBlank="1" showInputMessage="1" showErrorMessage="1" xr:uid="{641A9F0E-FE61-4282-A6FF-458AD3769A9E}">
          <x14:formula1>
            <xm:f>'D TEV y FHM'!$D$50:$D$51</xm:f>
          </x14:formula1>
          <xm:sqref>B39</xm:sqref>
        </x14:dataValidation>
        <x14:dataValidation type="list" allowBlank="1" showInputMessage="1" showErrorMessage="1" xr:uid="{6FDFAD23-E15A-427C-A2A9-A6AD4B8AE1CE}">
          <x14:formula1>
            <xm:f>'D TEV y FHM'!$B$50:$B$51</xm:f>
          </x14:formula1>
          <xm:sqref>B38</xm:sqref>
        </x14:dataValidation>
        <x14:dataValidation type="list" allowBlank="1" showInputMessage="1" showErrorMessage="1" xr:uid="{C3E55350-C52C-40B1-9311-98BB7FEE429D}">
          <x14:formula1>
            <xm:f>'D TEV y FHM'!$D$47:$D$49</xm:f>
          </x14:formula1>
          <xm:sqref>B37</xm:sqref>
        </x14:dataValidation>
        <x14:dataValidation type="list" allowBlank="1" showInputMessage="1" showErrorMessage="1" xr:uid="{5116BFA9-B652-40CF-BEFE-5B808E685F3E}">
          <x14:formula1>
            <xm:f>'D TEV y FHM'!$B$47:$B$48</xm:f>
          </x14:formula1>
          <xm:sqref>B36</xm:sqref>
        </x14:dataValidation>
        <x14:dataValidation type="list" allowBlank="1" showInputMessage="1" showErrorMessage="1" xr:uid="{BEF68A80-7642-44A3-A0E0-0B8734703ABE}">
          <x14:formula1>
            <xm:f>'D TEV y FHM'!$D$43:$D$45</xm:f>
          </x14:formula1>
          <xm:sqref>B35</xm:sqref>
        </x14:dataValidation>
        <x14:dataValidation type="list" allowBlank="1" showInputMessage="1" showErrorMessage="1" xr:uid="{B4C50AB6-5DE9-4D88-9730-5C152942BE71}">
          <x14:formula1>
            <xm:f>'D TEV y FHM'!$C$43:$C$45</xm:f>
          </x14:formula1>
          <xm:sqref>B34</xm:sqref>
        </x14:dataValidation>
        <x14:dataValidation type="list" allowBlank="1" showInputMessage="1" showErrorMessage="1" xr:uid="{6B87A395-25AE-49DB-A7FC-01B63B6CE55A}">
          <x14:formula1>
            <xm:f>'D TEV y FHM'!$B$43:$B$44</xm:f>
          </x14:formula1>
          <xm:sqref>B33</xm:sqref>
        </x14:dataValidation>
        <x14:dataValidation type="list" allowBlank="1" showInputMessage="1" showErrorMessage="1" xr:uid="{1A5D5300-7581-44A8-A6BE-1A84B00BD1E6}">
          <x14:formula1>
            <xm:f>'D TEV y FHM'!$C$38:$C$41</xm:f>
          </x14:formula1>
          <xm:sqref>B32</xm:sqref>
        </x14:dataValidation>
        <x14:dataValidation type="list" allowBlank="1" showInputMessage="1" showErrorMessage="1" xr:uid="{39A55D8C-6B76-4CCB-94D1-CAD407376893}">
          <x14:formula1>
            <xm:f>'D TEV y FHM'!$B$38:$B$39</xm:f>
          </x14:formula1>
          <xm:sqref>B31</xm:sqref>
        </x14:dataValidation>
        <x14:dataValidation type="list" allowBlank="1" showInputMessage="1" showErrorMessage="1" xr:uid="{C75758B3-DC05-4F1A-8D2B-F2350180615C}">
          <x14:formula1>
            <xm:f>'D TEV y FHM'!$C$35:$C$36</xm:f>
          </x14:formula1>
          <xm:sqref>B30</xm:sqref>
        </x14:dataValidation>
        <x14:dataValidation type="list" allowBlank="1" showInputMessage="1" showErrorMessage="1" xr:uid="{C4B07774-468C-44F8-8404-1D060D97DFE3}">
          <x14:formula1>
            <xm:f>'D TEV y FHM'!$B$35:$B$36</xm:f>
          </x14:formula1>
          <xm:sqref>B27</xm:sqref>
        </x14:dataValidation>
        <x14:dataValidation type="list" allowBlank="1" showInputMessage="1" showErrorMessage="1" xr:uid="{828FB283-845C-4EE3-92BE-617B663D8170}">
          <x14:formula1>
            <xm:f>'D TEV y FHM'!$C$31:$C$32</xm:f>
          </x14:formula1>
          <xm:sqref>B26</xm:sqref>
        </x14:dataValidation>
        <x14:dataValidation type="list" allowBlank="1" showInputMessage="1" showErrorMessage="1" xr:uid="{84D51129-5227-49C0-8426-EA96D45297C0}">
          <x14:formula1>
            <xm:f>'D TEV y FHM'!$B$31:$B$33</xm:f>
          </x14:formula1>
          <xm:sqref>B25</xm:sqref>
        </x14:dataValidation>
        <x14:dataValidation type="list" allowBlank="1" showInputMessage="1" showErrorMessage="1" xr:uid="{D92B5A88-57CC-454F-BB5A-15F3CA8B3664}">
          <x14:formula1>
            <xm:f>'D TEV y FHM'!$B$28:$B$29</xm:f>
          </x14:formula1>
          <xm:sqref>B24</xm:sqref>
        </x14:dataValidation>
        <x14:dataValidation type="list" allowBlank="1" showInputMessage="1" showErrorMessage="1" xr:uid="{32968CEB-BB5D-4833-84E7-B968E16F911A}">
          <x14:formula1>
            <xm:f>'D TEV y FHM'!$C$28:$C$29</xm:f>
          </x14:formula1>
          <xm:sqref>B23</xm:sqref>
        </x14:dataValidation>
        <x14:dataValidation type="list" allowBlank="1" showInputMessage="1" showErrorMessage="1" xr:uid="{8E3EBF02-FCEC-44D9-8E95-655504B85C5B}">
          <x14:formula1>
            <xm:f>'D TEV y FHM'!$C$24:$C$26</xm:f>
          </x14:formula1>
          <xm:sqref>B22</xm:sqref>
        </x14:dataValidation>
        <x14:dataValidation type="list" allowBlank="1" showInputMessage="1" showErrorMessage="1" xr:uid="{B055AA48-2220-4984-B7AB-81FEE1A51EF5}">
          <x14:formula1>
            <xm:f>'D TEV y FHM'!$C$20:$C$22</xm:f>
          </x14:formula1>
          <xm:sqref>B21</xm:sqref>
        </x14:dataValidation>
        <x14:dataValidation type="list" allowBlank="1" showInputMessage="1" showErrorMessage="1" xr:uid="{7E0FC448-7547-482C-84C2-97DEAD01F8F0}">
          <x14:formula1>
            <xm:f>'D TEV y FHM'!$A$31:$A$59</xm:f>
          </x14:formula1>
          <xm:sqref>B20</xm:sqref>
        </x14:dataValidation>
        <x14:dataValidation type="list" allowBlank="1" showInputMessage="1" showErrorMessage="1" xr:uid="{F423EFC2-B9B5-4F95-858A-B4466B32CAB8}">
          <x14:formula1>
            <xm:f>'D TEV y FHM'!$B$20:$B$23</xm:f>
          </x14:formula1>
          <xm:sqref>B19</xm:sqref>
        </x14:dataValidation>
        <x14:dataValidation type="list" allowBlank="1" showInputMessage="1" showErrorMessage="1" xr:uid="{5D3EFC05-BE95-4DA5-BC9C-5008AE930F23}">
          <x14:formula1>
            <xm:f>'D TEV y FHM'!$C$14:$C$15</xm:f>
          </x14:formula1>
          <xm:sqref>B8</xm:sqref>
        </x14:dataValidation>
        <x14:dataValidation type="list" allowBlank="1" showInputMessage="1" showErrorMessage="1" xr:uid="{9FF0CC64-3F27-4C84-B7BA-CA9390A1DB62}">
          <x14:formula1>
            <xm:f>'D TEV y FHM'!$C$7:$C$12</xm:f>
          </x14:formula1>
          <xm:sqref>B7</xm:sqref>
        </x14:dataValidation>
        <x14:dataValidation type="list" allowBlank="1" showInputMessage="1" showErrorMessage="1" xr:uid="{28A52D91-97BE-4169-B5CA-8BADDDB99557}">
          <x14:formula1>
            <xm:f>'D TEV y FHM'!$B$7:$B$18</xm:f>
          </x14:formula1>
          <xm:sqref>B6</xm:sqref>
        </x14:dataValidation>
        <x14:dataValidation type="list" allowBlank="1" showInputMessage="1" showErrorMessage="1" xr:uid="{C628E876-F584-4D57-98FB-E6C944E5667D}">
          <x14:formula1>
            <xm:f>'D TEV y FHM'!$B$2:$B$4</xm:f>
          </x14:formula1>
          <xm:sqref>B3</xm:sqref>
        </x14:dataValidation>
        <x14:dataValidation type="list" allowBlank="1" showInputMessage="1" showErrorMessage="1" xr:uid="{619A1BB6-DC81-42C9-8595-C51B1B8133CD}">
          <x14:formula1>
            <xm:f>'D TEV y FHM'!$A$2:$A$29</xm:f>
          </x14:formula1>
          <xm:sqref>B2</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F87"/>
  <sheetViews>
    <sheetView topLeftCell="A67" workbookViewId="0">
      <selection activeCell="A16" sqref="A16"/>
    </sheetView>
  </sheetViews>
  <sheetFormatPr baseColWidth="10" defaultColWidth="11.44140625" defaultRowHeight="14.4" x14ac:dyDescent="0.3"/>
  <cols>
    <col min="1" max="1" width="42.5546875" bestFit="1" customWidth="1"/>
  </cols>
  <sheetData>
    <row r="2" spans="1:3" x14ac:dyDescent="0.3">
      <c r="A2" t="s">
        <v>1581</v>
      </c>
      <c r="B2" t="s">
        <v>1582</v>
      </c>
    </row>
    <row r="3" spans="1:3" x14ac:dyDescent="0.3">
      <c r="A3" t="s">
        <v>1583</v>
      </c>
      <c r="B3" t="s">
        <v>1584</v>
      </c>
    </row>
    <row r="4" spans="1:3" x14ac:dyDescent="0.3">
      <c r="A4" t="s">
        <v>1585</v>
      </c>
      <c r="B4" t="s">
        <v>1490</v>
      </c>
    </row>
    <row r="5" spans="1:3" x14ac:dyDescent="0.3">
      <c r="A5" t="s">
        <v>1586</v>
      </c>
    </row>
    <row r="6" spans="1:3" x14ac:dyDescent="0.3">
      <c r="A6" t="s">
        <v>1587</v>
      </c>
    </row>
    <row r="7" spans="1:3" x14ac:dyDescent="0.3">
      <c r="A7" t="s">
        <v>1588</v>
      </c>
      <c r="B7" t="s">
        <v>1589</v>
      </c>
      <c r="C7" t="s">
        <v>1590</v>
      </c>
    </row>
    <row r="8" spans="1:3" x14ac:dyDescent="0.3">
      <c r="A8" t="s">
        <v>1591</v>
      </c>
      <c r="B8" t="s">
        <v>1592</v>
      </c>
      <c r="C8" t="s">
        <v>718</v>
      </c>
    </row>
    <row r="9" spans="1:3" x14ac:dyDescent="0.3">
      <c r="A9" t="s">
        <v>1593</v>
      </c>
      <c r="B9" t="s">
        <v>1594</v>
      </c>
      <c r="C9" t="s">
        <v>1595</v>
      </c>
    </row>
    <row r="10" spans="1:3" x14ac:dyDescent="0.3">
      <c r="A10" t="s">
        <v>1596</v>
      </c>
      <c r="B10" t="s">
        <v>1597</v>
      </c>
      <c r="C10" t="s">
        <v>1598</v>
      </c>
    </row>
    <row r="11" spans="1:3" x14ac:dyDescent="0.3">
      <c r="A11" t="s">
        <v>1488</v>
      </c>
      <c r="B11" t="s">
        <v>1599</v>
      </c>
      <c r="C11" t="s">
        <v>1600</v>
      </c>
    </row>
    <row r="12" spans="1:3" x14ac:dyDescent="0.3">
      <c r="A12" t="s">
        <v>1601</v>
      </c>
      <c r="B12" t="s">
        <v>1493</v>
      </c>
      <c r="C12" t="s">
        <v>1495</v>
      </c>
    </row>
    <row r="13" spans="1:3" x14ac:dyDescent="0.3">
      <c r="A13" t="s">
        <v>1602</v>
      </c>
      <c r="B13" t="s">
        <v>1603</v>
      </c>
    </row>
    <row r="14" spans="1:3" x14ac:dyDescent="0.3">
      <c r="A14" t="s">
        <v>1604</v>
      </c>
      <c r="B14" t="s">
        <v>1605</v>
      </c>
      <c r="C14" t="s">
        <v>1497</v>
      </c>
    </row>
    <row r="15" spans="1:3" x14ac:dyDescent="0.3">
      <c r="A15" t="s">
        <v>1606</v>
      </c>
      <c r="B15" t="s">
        <v>1607</v>
      </c>
      <c r="C15" t="s">
        <v>1608</v>
      </c>
    </row>
    <row r="16" spans="1:3" x14ac:dyDescent="0.3">
      <c r="A16" t="s">
        <v>1609</v>
      </c>
      <c r="B16" t="s">
        <v>1610</v>
      </c>
    </row>
    <row r="17" spans="1:3" x14ac:dyDescent="0.3">
      <c r="A17" t="s">
        <v>1611</v>
      </c>
      <c r="B17" t="s">
        <v>1612</v>
      </c>
    </row>
    <row r="18" spans="1:3" x14ac:dyDescent="0.3">
      <c r="A18" t="s">
        <v>1613</v>
      </c>
      <c r="B18" t="s">
        <v>1614</v>
      </c>
    </row>
    <row r="19" spans="1:3" x14ac:dyDescent="0.3">
      <c r="A19" t="s">
        <v>1615</v>
      </c>
    </row>
    <row r="20" spans="1:3" x14ac:dyDescent="0.3">
      <c r="A20" t="s">
        <v>1616</v>
      </c>
      <c r="B20" t="s">
        <v>1617</v>
      </c>
      <c r="C20" t="s">
        <v>1512</v>
      </c>
    </row>
    <row r="21" spans="1:3" x14ac:dyDescent="0.3">
      <c r="A21" t="s">
        <v>1618</v>
      </c>
      <c r="B21" t="s">
        <v>1508</v>
      </c>
      <c r="C21" t="s">
        <v>1619</v>
      </c>
    </row>
    <row r="22" spans="1:3" x14ac:dyDescent="0.3">
      <c r="A22" t="s">
        <v>1620</v>
      </c>
      <c r="B22" t="s">
        <v>1621</v>
      </c>
      <c r="C22" t="s">
        <v>1622</v>
      </c>
    </row>
    <row r="23" spans="1:3" x14ac:dyDescent="0.3">
      <c r="A23" t="s">
        <v>1623</v>
      </c>
      <c r="B23" t="s">
        <v>1624</v>
      </c>
    </row>
    <row r="24" spans="1:3" x14ac:dyDescent="0.3">
      <c r="A24" t="s">
        <v>1625</v>
      </c>
      <c r="C24" t="s">
        <v>1514</v>
      </c>
    </row>
    <row r="25" spans="1:3" x14ac:dyDescent="0.3">
      <c r="A25" t="s">
        <v>1626</v>
      </c>
      <c r="C25" t="s">
        <v>1627</v>
      </c>
    </row>
    <row r="26" spans="1:3" x14ac:dyDescent="0.3">
      <c r="A26" t="s">
        <v>1628</v>
      </c>
      <c r="C26" t="s">
        <v>1629</v>
      </c>
    </row>
    <row r="27" spans="1:3" x14ac:dyDescent="0.3">
      <c r="A27" t="s">
        <v>1630</v>
      </c>
    </row>
    <row r="28" spans="1:3" x14ac:dyDescent="0.3">
      <c r="A28" t="s">
        <v>1631</v>
      </c>
      <c r="B28" t="s">
        <v>1518</v>
      </c>
      <c r="C28" t="s">
        <v>1516</v>
      </c>
    </row>
    <row r="29" spans="1:3" x14ac:dyDescent="0.3">
      <c r="A29" t="s">
        <v>1632</v>
      </c>
      <c r="B29" t="s">
        <v>1633</v>
      </c>
      <c r="C29" t="s">
        <v>1634</v>
      </c>
    </row>
    <row r="31" spans="1:3" x14ac:dyDescent="0.3">
      <c r="A31" t="s">
        <v>1635</v>
      </c>
      <c r="B31" t="s">
        <v>1636</v>
      </c>
      <c r="C31" t="s">
        <v>1637</v>
      </c>
    </row>
    <row r="32" spans="1:3" x14ac:dyDescent="0.3">
      <c r="A32" t="s">
        <v>1638</v>
      </c>
      <c r="B32" t="s">
        <v>1520</v>
      </c>
      <c r="C32" t="s">
        <v>1522</v>
      </c>
    </row>
    <row r="33" spans="1:4" x14ac:dyDescent="0.3">
      <c r="A33" t="s">
        <v>1639</v>
      </c>
      <c r="B33" t="s">
        <v>1640</v>
      </c>
    </row>
    <row r="34" spans="1:4" x14ac:dyDescent="0.3">
      <c r="A34" t="s">
        <v>1641</v>
      </c>
    </row>
    <row r="35" spans="1:4" x14ac:dyDescent="0.3">
      <c r="A35" t="s">
        <v>1642</v>
      </c>
      <c r="B35" t="s">
        <v>1643</v>
      </c>
      <c r="C35" t="s">
        <v>1644</v>
      </c>
    </row>
    <row r="36" spans="1:4" x14ac:dyDescent="0.3">
      <c r="A36" t="s">
        <v>1645</v>
      </c>
      <c r="B36" t="s">
        <v>1524</v>
      </c>
      <c r="C36" t="s">
        <v>1527</v>
      </c>
    </row>
    <row r="37" spans="1:4" x14ac:dyDescent="0.3">
      <c r="A37" t="s">
        <v>1646</v>
      </c>
    </row>
    <row r="38" spans="1:4" x14ac:dyDescent="0.3">
      <c r="A38" t="s">
        <v>1647</v>
      </c>
      <c r="B38" t="s">
        <v>1648</v>
      </c>
      <c r="C38" t="s">
        <v>1649</v>
      </c>
    </row>
    <row r="39" spans="1:4" x14ac:dyDescent="0.3">
      <c r="A39" t="s">
        <v>1650</v>
      </c>
      <c r="B39" t="s">
        <v>1529</v>
      </c>
      <c r="C39" t="s">
        <v>1651</v>
      </c>
    </row>
    <row r="40" spans="1:4" x14ac:dyDescent="0.3">
      <c r="A40" t="s">
        <v>1652</v>
      </c>
      <c r="C40" t="s">
        <v>1653</v>
      </c>
    </row>
    <row r="41" spans="1:4" x14ac:dyDescent="0.3">
      <c r="A41" t="s">
        <v>1654</v>
      </c>
      <c r="C41" t="s">
        <v>1531</v>
      </c>
    </row>
    <row r="42" spans="1:4" x14ac:dyDescent="0.3">
      <c r="A42" t="s">
        <v>1655</v>
      </c>
    </row>
    <row r="43" spans="1:4" x14ac:dyDescent="0.3">
      <c r="A43" t="s">
        <v>1656</v>
      </c>
      <c r="B43" t="s">
        <v>1657</v>
      </c>
      <c r="C43" t="s">
        <v>1535</v>
      </c>
      <c r="D43" t="s">
        <v>1535</v>
      </c>
    </row>
    <row r="44" spans="1:4" x14ac:dyDescent="0.3">
      <c r="A44" t="s">
        <v>1658</v>
      </c>
      <c r="B44" t="s">
        <v>1533</v>
      </c>
      <c r="C44" t="s">
        <v>1659</v>
      </c>
      <c r="D44" t="s">
        <v>1659</v>
      </c>
    </row>
    <row r="45" spans="1:4" x14ac:dyDescent="0.3">
      <c r="A45" t="s">
        <v>1660</v>
      </c>
      <c r="C45" t="s">
        <v>1661</v>
      </c>
      <c r="D45" t="s">
        <v>1661</v>
      </c>
    </row>
    <row r="46" spans="1:4" x14ac:dyDescent="0.3">
      <c r="A46" t="s">
        <v>1662</v>
      </c>
    </row>
    <row r="47" spans="1:4" x14ac:dyDescent="0.3">
      <c r="A47" t="s">
        <v>1510</v>
      </c>
      <c r="B47" t="s">
        <v>1663</v>
      </c>
      <c r="D47" t="s">
        <v>1540</v>
      </c>
    </row>
    <row r="48" spans="1:4" x14ac:dyDescent="0.3">
      <c r="A48" t="s">
        <v>1664</v>
      </c>
      <c r="B48" t="s">
        <v>1538</v>
      </c>
      <c r="D48" t="s">
        <v>1665</v>
      </c>
    </row>
    <row r="49" spans="1:4" x14ac:dyDescent="0.3">
      <c r="A49" t="s">
        <v>1666</v>
      </c>
      <c r="D49" t="s">
        <v>1667</v>
      </c>
    </row>
    <row r="50" spans="1:4" x14ac:dyDescent="0.3">
      <c r="A50" t="s">
        <v>1668</v>
      </c>
      <c r="B50" t="s">
        <v>1542</v>
      </c>
      <c r="D50" t="s">
        <v>1669</v>
      </c>
    </row>
    <row r="51" spans="1:4" x14ac:dyDescent="0.3">
      <c r="A51" t="s">
        <v>1670</v>
      </c>
      <c r="B51" t="s">
        <v>1671</v>
      </c>
      <c r="D51" t="s">
        <v>1544</v>
      </c>
    </row>
    <row r="52" spans="1:4" x14ac:dyDescent="0.3">
      <c r="A52" t="s">
        <v>1672</v>
      </c>
    </row>
    <row r="53" spans="1:4" x14ac:dyDescent="0.3">
      <c r="A53" t="s">
        <v>1673</v>
      </c>
      <c r="B53" t="s">
        <v>1547</v>
      </c>
      <c r="D53" t="s">
        <v>1674</v>
      </c>
    </row>
    <row r="54" spans="1:4" x14ac:dyDescent="0.3">
      <c r="A54" t="s">
        <v>1675</v>
      </c>
      <c r="B54" t="s">
        <v>1676</v>
      </c>
      <c r="D54" t="s">
        <v>1554</v>
      </c>
    </row>
    <row r="55" spans="1:4" x14ac:dyDescent="0.3">
      <c r="A55" t="s">
        <v>1677</v>
      </c>
      <c r="B55" t="s">
        <v>1678</v>
      </c>
      <c r="D55" t="s">
        <v>1679</v>
      </c>
    </row>
    <row r="56" spans="1:4" x14ac:dyDescent="0.3">
      <c r="A56" t="s">
        <v>1680</v>
      </c>
      <c r="B56" t="s">
        <v>1681</v>
      </c>
      <c r="D56" t="s">
        <v>1682</v>
      </c>
    </row>
    <row r="57" spans="1:4" x14ac:dyDescent="0.3">
      <c r="A57" t="s">
        <v>1683</v>
      </c>
    </row>
    <row r="58" spans="1:4" x14ac:dyDescent="0.3">
      <c r="A58" t="s">
        <v>1684</v>
      </c>
      <c r="B58" t="s">
        <v>1550</v>
      </c>
      <c r="D58" t="s">
        <v>1685</v>
      </c>
    </row>
    <row r="59" spans="1:4" x14ac:dyDescent="0.3">
      <c r="A59" t="s">
        <v>1686</v>
      </c>
      <c r="B59" t="s">
        <v>1687</v>
      </c>
      <c r="D59" t="s">
        <v>1557</v>
      </c>
    </row>
    <row r="60" spans="1:4" x14ac:dyDescent="0.3">
      <c r="D60" t="s">
        <v>1688</v>
      </c>
    </row>
    <row r="61" spans="1:4" x14ac:dyDescent="0.3">
      <c r="D61" t="s">
        <v>1689</v>
      </c>
    </row>
    <row r="63" spans="1:4" x14ac:dyDescent="0.3">
      <c r="B63" t="s">
        <v>1560</v>
      </c>
      <c r="D63" t="s">
        <v>1535</v>
      </c>
    </row>
    <row r="64" spans="1:4" x14ac:dyDescent="0.3">
      <c r="B64" t="s">
        <v>1690</v>
      </c>
      <c r="D64" t="s">
        <v>1659</v>
      </c>
    </row>
    <row r="65" spans="1:6" x14ac:dyDescent="0.3">
      <c r="B65" t="s">
        <v>1691</v>
      </c>
      <c r="D65" t="s">
        <v>1661</v>
      </c>
    </row>
    <row r="66" spans="1:6" x14ac:dyDescent="0.3">
      <c r="B66" t="s">
        <v>1692</v>
      </c>
    </row>
    <row r="67" spans="1:6" x14ac:dyDescent="0.3">
      <c r="B67" t="s">
        <v>1693</v>
      </c>
      <c r="D67" t="s">
        <v>1694</v>
      </c>
    </row>
    <row r="68" spans="1:6" x14ac:dyDescent="0.3">
      <c r="D68" t="s">
        <v>1563</v>
      </c>
    </row>
    <row r="70" spans="1:6" x14ac:dyDescent="0.3">
      <c r="A70" t="s">
        <v>1695</v>
      </c>
      <c r="C70" t="s">
        <v>1696</v>
      </c>
    </row>
    <row r="71" spans="1:6" x14ac:dyDescent="0.3">
      <c r="A71" t="s">
        <v>1566</v>
      </c>
      <c r="C71" t="s">
        <v>1572</v>
      </c>
    </row>
    <row r="72" spans="1:6" x14ac:dyDescent="0.3">
      <c r="A72" t="s">
        <v>1697</v>
      </c>
      <c r="C72" t="s">
        <v>1698</v>
      </c>
    </row>
    <row r="74" spans="1:6" x14ac:dyDescent="0.3">
      <c r="A74" t="s">
        <v>1699</v>
      </c>
      <c r="C74" t="s">
        <v>1574</v>
      </c>
      <c r="F74" t="s">
        <v>1576</v>
      </c>
    </row>
    <row r="75" spans="1:6" x14ac:dyDescent="0.3">
      <c r="A75" t="s">
        <v>1568</v>
      </c>
      <c r="C75" t="s">
        <v>1700</v>
      </c>
      <c r="F75" t="s">
        <v>1701</v>
      </c>
    </row>
    <row r="76" spans="1:6" x14ac:dyDescent="0.3">
      <c r="A76" t="s">
        <v>1702</v>
      </c>
      <c r="C76" t="s">
        <v>1703</v>
      </c>
      <c r="F76" t="s">
        <v>1704</v>
      </c>
    </row>
    <row r="77" spans="1:6" x14ac:dyDescent="0.3">
      <c r="F77" t="s">
        <v>1705</v>
      </c>
    </row>
    <row r="78" spans="1:6" x14ac:dyDescent="0.3">
      <c r="A78" t="s">
        <v>1570</v>
      </c>
      <c r="C78" t="s">
        <v>1578</v>
      </c>
    </row>
    <row r="79" spans="1:6" x14ac:dyDescent="0.3">
      <c r="A79" t="s">
        <v>1706</v>
      </c>
      <c r="C79" t="s">
        <v>1707</v>
      </c>
    </row>
    <row r="80" spans="1:6" x14ac:dyDescent="0.3">
      <c r="A80" t="s">
        <v>1708</v>
      </c>
      <c r="C80" t="s">
        <v>1709</v>
      </c>
    </row>
    <row r="81" spans="1:3" x14ac:dyDescent="0.3">
      <c r="A81" t="s">
        <v>1710</v>
      </c>
      <c r="C81" t="s">
        <v>1711</v>
      </c>
    </row>
    <row r="84" spans="1:3" x14ac:dyDescent="0.3">
      <c r="A84" t="s">
        <v>1712</v>
      </c>
    </row>
    <row r="85" spans="1:3" x14ac:dyDescent="0.3">
      <c r="A85" t="s">
        <v>1713</v>
      </c>
    </row>
    <row r="86" spans="1:3" x14ac:dyDescent="0.3">
      <c r="A86" t="s">
        <v>1714</v>
      </c>
    </row>
    <row r="87" spans="1:3" x14ac:dyDescent="0.3">
      <c r="A87" t="s">
        <v>1580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1"/>
  <sheetViews>
    <sheetView workbookViewId="0">
      <selection activeCell="A16" sqref="A16"/>
    </sheetView>
  </sheetViews>
  <sheetFormatPr baseColWidth="10" defaultColWidth="11.44140625" defaultRowHeight="12" x14ac:dyDescent="0.25"/>
  <cols>
    <col min="1" max="1" width="31.88671875" style="1" customWidth="1"/>
    <col min="2" max="2" width="50" style="1" customWidth="1"/>
    <col min="3" max="16384" width="11.44140625" style="1"/>
  </cols>
  <sheetData>
    <row r="1" spans="1:2" x14ac:dyDescent="0.25">
      <c r="A1" s="120" t="s">
        <v>1715</v>
      </c>
      <c r="B1" s="121" t="s">
        <v>1486</v>
      </c>
    </row>
    <row r="2" spans="1:2" x14ac:dyDescent="0.25">
      <c r="A2" s="122" t="s">
        <v>1716</v>
      </c>
      <c r="B2" s="128" t="s">
        <v>1717</v>
      </c>
    </row>
    <row r="3" spans="1:2" x14ac:dyDescent="0.25">
      <c r="A3" s="122" t="s">
        <v>1718</v>
      </c>
      <c r="B3" s="128" t="s">
        <v>1719</v>
      </c>
    </row>
    <row r="4" spans="1:2" x14ac:dyDescent="0.25">
      <c r="A4" s="122" t="s">
        <v>1720</v>
      </c>
      <c r="B4" s="128" t="s">
        <v>1721</v>
      </c>
    </row>
    <row r="5" spans="1:2" ht="48" x14ac:dyDescent="0.25">
      <c r="A5" s="129" t="s">
        <v>1722</v>
      </c>
      <c r="B5" s="128" t="s">
        <v>1723</v>
      </c>
    </row>
    <row r="6" spans="1:2" x14ac:dyDescent="0.25">
      <c r="A6" s="122" t="s">
        <v>1724</v>
      </c>
      <c r="B6" s="128" t="s">
        <v>1725</v>
      </c>
    </row>
    <row r="7" spans="1:2" x14ac:dyDescent="0.25">
      <c r="A7" s="122" t="s">
        <v>1726</v>
      </c>
      <c r="B7" s="128" t="s">
        <v>1727</v>
      </c>
    </row>
    <row r="8" spans="1:2" x14ac:dyDescent="0.25">
      <c r="A8" s="122" t="s">
        <v>1728</v>
      </c>
      <c r="B8" s="128">
        <v>5</v>
      </c>
    </row>
    <row r="9" spans="1:2" x14ac:dyDescent="0.25">
      <c r="A9" s="122" t="s">
        <v>1729</v>
      </c>
      <c r="B9" s="128">
        <v>1</v>
      </c>
    </row>
    <row r="10" spans="1:2" x14ac:dyDescent="0.25">
      <c r="A10" s="122" t="s">
        <v>1730</v>
      </c>
      <c r="B10" s="128" t="s">
        <v>1731</v>
      </c>
    </row>
    <row r="11" spans="1:2" x14ac:dyDescent="0.25">
      <c r="A11" s="122" t="s">
        <v>1732</v>
      </c>
      <c r="B11" s="128">
        <v>1990</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600-000000000000}">
          <x14:formula1>
            <xm:f>'D Aviones'!$C$11:$C$13</xm:f>
          </x14:formula1>
          <xm:sqref>B7</xm:sqref>
        </x14:dataValidation>
        <x14:dataValidation type="list" allowBlank="1" showInputMessage="1" showErrorMessage="1" xr:uid="{00000000-0002-0000-0600-000001000000}">
          <x14:formula1>
            <xm:f>'D Aviones'!$C$3:$C$8</xm:f>
          </x14:formula1>
          <xm:sqref>B6</xm:sqref>
        </x14:dataValidation>
        <x14:dataValidation type="list" allowBlank="1" showInputMessage="1" showErrorMessage="1" xr:uid="{00000000-0002-0000-0600-000002000000}">
          <x14:formula1>
            <xm:f>'D Aviones'!$C$33:$C$39</xm:f>
          </x14:formula1>
          <xm:sqref>B5</xm:sqref>
        </x14:dataValidation>
        <x14:dataValidation type="list" allowBlank="1" showInputMessage="1" showErrorMessage="1" xr:uid="{00000000-0002-0000-0600-000003000000}">
          <x14:formula1>
            <xm:f>'D Aviones'!$A$33:$A$82</xm:f>
          </x14:formula1>
          <xm:sqref>B4</xm:sqref>
        </x14:dataValidation>
        <x14:dataValidation type="list" allowBlank="1" showInputMessage="1" showErrorMessage="1" xr:uid="{00000000-0002-0000-0600-000004000000}">
          <x14:formula1>
            <xm:f>'D Aviones'!$A$11:$A$30</xm:f>
          </x14:formula1>
          <xm:sqref>B3</xm:sqref>
        </x14:dataValidation>
        <x14:dataValidation type="list" allowBlank="1" showInputMessage="1" showErrorMessage="1" xr:uid="{00000000-0002-0000-0600-000005000000}">
          <x14:formula1>
            <xm:f>'D Aviones'!$A$2:$A$8</xm:f>
          </x14:formula1>
          <xm:sqref>B2</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C82"/>
  <sheetViews>
    <sheetView workbookViewId="0">
      <selection activeCell="A16" sqref="A16"/>
    </sheetView>
  </sheetViews>
  <sheetFormatPr baseColWidth="10" defaultColWidth="11.44140625" defaultRowHeight="14.4" x14ac:dyDescent="0.3"/>
  <cols>
    <col min="1" max="1" width="30.109375" bestFit="1" customWidth="1"/>
  </cols>
  <sheetData>
    <row r="2" spans="1:3" x14ac:dyDescent="0.3">
      <c r="A2" t="s">
        <v>1733</v>
      </c>
      <c r="C2" t="s">
        <v>1734</v>
      </c>
    </row>
    <row r="3" spans="1:3" x14ac:dyDescent="0.3">
      <c r="A3" t="s">
        <v>1735</v>
      </c>
      <c r="C3" t="s">
        <v>1736</v>
      </c>
    </row>
    <row r="4" spans="1:3" x14ac:dyDescent="0.3">
      <c r="A4" t="s">
        <v>1737</v>
      </c>
      <c r="C4" t="s">
        <v>1738</v>
      </c>
    </row>
    <row r="5" spans="1:3" x14ac:dyDescent="0.3">
      <c r="A5" t="s">
        <v>1739</v>
      </c>
      <c r="C5" t="s">
        <v>1740</v>
      </c>
    </row>
    <row r="6" spans="1:3" x14ac:dyDescent="0.3">
      <c r="A6" t="s">
        <v>1741</v>
      </c>
      <c r="C6" t="s">
        <v>1725</v>
      </c>
    </row>
    <row r="7" spans="1:3" x14ac:dyDescent="0.3">
      <c r="A7" t="s">
        <v>1742</v>
      </c>
      <c r="C7" t="s">
        <v>1743</v>
      </c>
    </row>
    <row r="8" spans="1:3" x14ac:dyDescent="0.3">
      <c r="A8" t="s">
        <v>1717</v>
      </c>
      <c r="C8" t="s">
        <v>1744</v>
      </c>
    </row>
    <row r="10" spans="1:3" x14ac:dyDescent="0.3">
      <c r="A10" s="119" t="s">
        <v>1745</v>
      </c>
      <c r="C10" t="s">
        <v>1726</v>
      </c>
    </row>
    <row r="11" spans="1:3" x14ac:dyDescent="0.3">
      <c r="A11" t="s">
        <v>1746</v>
      </c>
      <c r="C11" t="s">
        <v>1747</v>
      </c>
    </row>
    <row r="12" spans="1:3" x14ac:dyDescent="0.3">
      <c r="A12" t="s">
        <v>1748</v>
      </c>
      <c r="C12" t="s">
        <v>1727</v>
      </c>
    </row>
    <row r="13" spans="1:3" x14ac:dyDescent="0.3">
      <c r="A13" t="s">
        <v>1749</v>
      </c>
      <c r="C13" t="s">
        <v>1750</v>
      </c>
    </row>
    <row r="14" spans="1:3" x14ac:dyDescent="0.3">
      <c r="A14" t="s">
        <v>1751</v>
      </c>
    </row>
    <row r="15" spans="1:3" x14ac:dyDescent="0.3">
      <c r="A15" t="s">
        <v>1752</v>
      </c>
    </row>
    <row r="16" spans="1:3" x14ac:dyDescent="0.3">
      <c r="A16" t="s">
        <v>1753</v>
      </c>
    </row>
    <row r="17" spans="1:3" x14ac:dyDescent="0.3">
      <c r="A17" t="s">
        <v>1754</v>
      </c>
    </row>
    <row r="18" spans="1:3" x14ac:dyDescent="0.3">
      <c r="A18" t="s">
        <v>1755</v>
      </c>
    </row>
    <row r="19" spans="1:3" x14ac:dyDescent="0.3">
      <c r="A19" t="s">
        <v>1756</v>
      </c>
    </row>
    <row r="20" spans="1:3" x14ac:dyDescent="0.3">
      <c r="A20" t="s">
        <v>1757</v>
      </c>
    </row>
    <row r="21" spans="1:3" x14ac:dyDescent="0.3">
      <c r="A21" t="s">
        <v>1758</v>
      </c>
    </row>
    <row r="22" spans="1:3" x14ac:dyDescent="0.3">
      <c r="A22" t="s">
        <v>1759</v>
      </c>
    </row>
    <row r="23" spans="1:3" x14ac:dyDescent="0.3">
      <c r="A23" t="s">
        <v>1719</v>
      </c>
    </row>
    <row r="24" spans="1:3" x14ac:dyDescent="0.3">
      <c r="A24" t="s">
        <v>1760</v>
      </c>
    </row>
    <row r="25" spans="1:3" x14ac:dyDescent="0.3">
      <c r="A25" t="s">
        <v>1761</v>
      </c>
    </row>
    <row r="26" spans="1:3" x14ac:dyDescent="0.3">
      <c r="A26" t="s">
        <v>1762</v>
      </c>
    </row>
    <row r="27" spans="1:3" x14ac:dyDescent="0.3">
      <c r="A27" t="s">
        <v>1763</v>
      </c>
    </row>
    <row r="28" spans="1:3" x14ac:dyDescent="0.3">
      <c r="A28" t="s">
        <v>1764</v>
      </c>
    </row>
    <row r="29" spans="1:3" x14ac:dyDescent="0.3">
      <c r="A29" t="s">
        <v>1765</v>
      </c>
    </row>
    <row r="30" spans="1:3" x14ac:dyDescent="0.3">
      <c r="A30" t="s">
        <v>1766</v>
      </c>
    </row>
    <row r="32" spans="1:3" x14ac:dyDescent="0.3">
      <c r="A32" s="119" t="s">
        <v>1720</v>
      </c>
      <c r="C32" s="119" t="s">
        <v>1767</v>
      </c>
    </row>
    <row r="33" spans="1:3" x14ac:dyDescent="0.3">
      <c r="A33" t="s">
        <v>1768</v>
      </c>
      <c r="C33" t="s">
        <v>1723</v>
      </c>
    </row>
    <row r="34" spans="1:3" x14ac:dyDescent="0.3">
      <c r="A34" t="s">
        <v>1769</v>
      </c>
      <c r="C34" t="s">
        <v>1770</v>
      </c>
    </row>
    <row r="35" spans="1:3" x14ac:dyDescent="0.3">
      <c r="A35" t="s">
        <v>1771</v>
      </c>
      <c r="C35" t="s">
        <v>1772</v>
      </c>
    </row>
    <row r="36" spans="1:3" x14ac:dyDescent="0.3">
      <c r="A36" t="s">
        <v>1773</v>
      </c>
      <c r="C36" t="s">
        <v>1774</v>
      </c>
    </row>
    <row r="37" spans="1:3" x14ac:dyDescent="0.3">
      <c r="A37" t="s">
        <v>1775</v>
      </c>
      <c r="C37" t="s">
        <v>1776</v>
      </c>
    </row>
    <row r="38" spans="1:3" x14ac:dyDescent="0.3">
      <c r="A38" t="s">
        <v>1777</v>
      </c>
      <c r="C38" t="s">
        <v>1778</v>
      </c>
    </row>
    <row r="39" spans="1:3" x14ac:dyDescent="0.3">
      <c r="A39" t="s">
        <v>1779</v>
      </c>
      <c r="C39" t="s">
        <v>1780</v>
      </c>
    </row>
    <row r="40" spans="1:3" x14ac:dyDescent="0.3">
      <c r="A40" t="s">
        <v>1781</v>
      </c>
    </row>
    <row r="41" spans="1:3" x14ac:dyDescent="0.3">
      <c r="A41" t="s">
        <v>1782</v>
      </c>
    </row>
    <row r="42" spans="1:3" x14ac:dyDescent="0.3">
      <c r="A42" t="s">
        <v>1783</v>
      </c>
    </row>
    <row r="43" spans="1:3" x14ac:dyDescent="0.3">
      <c r="A43" t="s">
        <v>1784</v>
      </c>
    </row>
    <row r="44" spans="1:3" x14ac:dyDescent="0.3">
      <c r="A44" t="s">
        <v>1785</v>
      </c>
    </row>
    <row r="45" spans="1:3" x14ac:dyDescent="0.3">
      <c r="A45" t="s">
        <v>1786</v>
      </c>
    </row>
    <row r="46" spans="1:3" x14ac:dyDescent="0.3">
      <c r="A46" t="s">
        <v>1787</v>
      </c>
    </row>
    <row r="47" spans="1:3" x14ac:dyDescent="0.3">
      <c r="A47" t="s">
        <v>1788</v>
      </c>
    </row>
    <row r="48" spans="1:3" x14ac:dyDescent="0.3">
      <c r="A48" t="s">
        <v>1789</v>
      </c>
    </row>
    <row r="49" spans="1:1" x14ac:dyDescent="0.3">
      <c r="A49" t="s">
        <v>1790</v>
      </c>
    </row>
    <row r="50" spans="1:1" x14ac:dyDescent="0.3">
      <c r="A50" t="s">
        <v>1791</v>
      </c>
    </row>
    <row r="51" spans="1:1" x14ac:dyDescent="0.3">
      <c r="A51" t="s">
        <v>1792</v>
      </c>
    </row>
    <row r="52" spans="1:1" x14ac:dyDescent="0.3">
      <c r="A52" t="s">
        <v>1793</v>
      </c>
    </row>
    <row r="53" spans="1:1" x14ac:dyDescent="0.3">
      <c r="A53" t="s">
        <v>1794</v>
      </c>
    </row>
    <row r="54" spans="1:1" x14ac:dyDescent="0.3">
      <c r="A54" t="s">
        <v>1795</v>
      </c>
    </row>
    <row r="55" spans="1:1" x14ac:dyDescent="0.3">
      <c r="A55" t="s">
        <v>1796</v>
      </c>
    </row>
    <row r="56" spans="1:1" x14ac:dyDescent="0.3">
      <c r="A56" t="s">
        <v>1797</v>
      </c>
    </row>
    <row r="57" spans="1:1" x14ac:dyDescent="0.3">
      <c r="A57" t="s">
        <v>1798</v>
      </c>
    </row>
    <row r="58" spans="1:1" x14ac:dyDescent="0.3">
      <c r="A58" t="s">
        <v>1799</v>
      </c>
    </row>
    <row r="59" spans="1:1" x14ac:dyDescent="0.3">
      <c r="A59" t="s">
        <v>1800</v>
      </c>
    </row>
    <row r="60" spans="1:1" x14ac:dyDescent="0.3">
      <c r="A60" t="s">
        <v>1801</v>
      </c>
    </row>
    <row r="61" spans="1:1" x14ac:dyDescent="0.3">
      <c r="A61" t="s">
        <v>1802</v>
      </c>
    </row>
    <row r="62" spans="1:1" x14ac:dyDescent="0.3">
      <c r="A62" t="s">
        <v>1803</v>
      </c>
    </row>
    <row r="63" spans="1:1" x14ac:dyDescent="0.3">
      <c r="A63" t="s">
        <v>1804</v>
      </c>
    </row>
    <row r="64" spans="1:1" x14ac:dyDescent="0.3">
      <c r="A64" t="s">
        <v>1805</v>
      </c>
    </row>
    <row r="65" spans="1:1" x14ac:dyDescent="0.3">
      <c r="A65" t="s">
        <v>1806</v>
      </c>
    </row>
    <row r="66" spans="1:1" x14ac:dyDescent="0.3">
      <c r="A66" t="s">
        <v>1807</v>
      </c>
    </row>
    <row r="67" spans="1:1" x14ac:dyDescent="0.3">
      <c r="A67" t="s">
        <v>1808</v>
      </c>
    </row>
    <row r="68" spans="1:1" x14ac:dyDescent="0.3">
      <c r="A68" t="s">
        <v>1809</v>
      </c>
    </row>
    <row r="69" spans="1:1" x14ac:dyDescent="0.3">
      <c r="A69" t="s">
        <v>1721</v>
      </c>
    </row>
    <row r="70" spans="1:1" x14ac:dyDescent="0.3">
      <c r="A70" t="s">
        <v>1810</v>
      </c>
    </row>
    <row r="71" spans="1:1" x14ac:dyDescent="0.3">
      <c r="A71" t="s">
        <v>1811</v>
      </c>
    </row>
    <row r="72" spans="1:1" x14ac:dyDescent="0.3">
      <c r="A72" t="s">
        <v>1812</v>
      </c>
    </row>
    <row r="73" spans="1:1" x14ac:dyDescent="0.3">
      <c r="A73" t="s">
        <v>1813</v>
      </c>
    </row>
    <row r="74" spans="1:1" x14ac:dyDescent="0.3">
      <c r="A74" t="s">
        <v>1814</v>
      </c>
    </row>
    <row r="75" spans="1:1" x14ac:dyDescent="0.3">
      <c r="A75" t="s">
        <v>1815</v>
      </c>
    </row>
    <row r="76" spans="1:1" x14ac:dyDescent="0.3">
      <c r="A76" t="s">
        <v>1816</v>
      </c>
    </row>
    <row r="77" spans="1:1" x14ac:dyDescent="0.3">
      <c r="A77" t="s">
        <v>1817</v>
      </c>
    </row>
    <row r="78" spans="1:1" x14ac:dyDescent="0.3">
      <c r="A78" t="s">
        <v>1818</v>
      </c>
    </row>
    <row r="79" spans="1:1" x14ac:dyDescent="0.3">
      <c r="A79" t="s">
        <v>1819</v>
      </c>
    </row>
    <row r="80" spans="1:1" x14ac:dyDescent="0.3">
      <c r="A80" t="s">
        <v>1820</v>
      </c>
    </row>
    <row r="81" spans="1:1" x14ac:dyDescent="0.3">
      <c r="A81" t="s">
        <v>1821</v>
      </c>
    </row>
    <row r="82" spans="1:1" x14ac:dyDescent="0.3">
      <c r="A82" t="s">
        <v>1822</v>
      </c>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9"/>
  <sheetViews>
    <sheetView workbookViewId="0">
      <selection activeCell="A16" sqref="A16"/>
    </sheetView>
  </sheetViews>
  <sheetFormatPr baseColWidth="10" defaultColWidth="11.44140625" defaultRowHeight="14.4" x14ac:dyDescent="0.3"/>
  <cols>
    <col min="1" max="1" width="26.88671875" customWidth="1"/>
    <col min="2" max="2" width="50.109375" customWidth="1"/>
  </cols>
  <sheetData>
    <row r="1" spans="1:2" x14ac:dyDescent="0.3">
      <c r="A1" s="120" t="s">
        <v>1715</v>
      </c>
      <c r="B1" s="121" t="s">
        <v>1486</v>
      </c>
    </row>
    <row r="2" spans="1:2" x14ac:dyDescent="0.3">
      <c r="A2" s="122" t="s">
        <v>1823</v>
      </c>
      <c r="B2" s="128" t="s">
        <v>1824</v>
      </c>
    </row>
    <row r="3" spans="1:2" x14ac:dyDescent="0.3">
      <c r="A3" s="122" t="s">
        <v>1825</v>
      </c>
      <c r="B3" s="128" t="s">
        <v>1826</v>
      </c>
    </row>
    <row r="4" spans="1:2" x14ac:dyDescent="0.3">
      <c r="A4" s="122" t="s">
        <v>1827</v>
      </c>
      <c r="B4" s="128" t="s">
        <v>1828</v>
      </c>
    </row>
    <row r="5" spans="1:2" x14ac:dyDescent="0.3">
      <c r="A5" s="129" t="s">
        <v>1829</v>
      </c>
      <c r="B5" s="128" t="s">
        <v>1830</v>
      </c>
    </row>
    <row r="6" spans="1:2" x14ac:dyDescent="0.3">
      <c r="A6" s="122" t="s">
        <v>1831</v>
      </c>
      <c r="B6" s="128" t="s">
        <v>1832</v>
      </c>
    </row>
    <row r="7" spans="1:2" x14ac:dyDescent="0.3">
      <c r="A7" s="122" t="s">
        <v>1833</v>
      </c>
      <c r="B7" s="128" t="s">
        <v>1834</v>
      </c>
    </row>
    <row r="8" spans="1:2" x14ac:dyDescent="0.3">
      <c r="A8" s="122" t="s">
        <v>1732</v>
      </c>
      <c r="B8" s="128">
        <v>1980</v>
      </c>
    </row>
    <row r="9" spans="1:2" x14ac:dyDescent="0.3">
      <c r="A9" s="122" t="s">
        <v>1835</v>
      </c>
      <c r="B9" s="128" t="s">
        <v>1437</v>
      </c>
    </row>
  </sheetData>
  <dataValidations count="1">
    <dataValidation type="list" allowBlank="1" showInputMessage="1" showErrorMessage="1" sqref="B9" xr:uid="{00000000-0002-0000-0800-000000000000}">
      <formula1>"SI, NO"</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800-000001000000}">
          <x14:formula1>
            <xm:f>'D Embarcaciones'!$A$51:$A$58</xm:f>
          </x14:formula1>
          <xm:sqref>B7</xm:sqref>
        </x14:dataValidation>
        <x14:dataValidation type="list" allowBlank="1" showInputMessage="1" showErrorMessage="1" xr:uid="{00000000-0002-0000-0800-000002000000}">
          <x14:formula1>
            <xm:f>'D Embarcaciones'!$C$12:$C$125</xm:f>
          </x14:formula1>
          <xm:sqref>B6</xm:sqref>
        </x14:dataValidation>
        <x14:dataValidation type="list" allowBlank="1" showInputMessage="1" showErrorMessage="1" xr:uid="{00000000-0002-0000-0800-000003000000}">
          <x14:formula1>
            <xm:f>'D Embarcaciones'!$C$4:$C$9</xm:f>
          </x14:formula1>
          <xm:sqref>B5</xm:sqref>
        </x14:dataValidation>
        <x14:dataValidation type="list" allowBlank="1" showInputMessage="1" showErrorMessage="1" xr:uid="{00000000-0002-0000-0800-000004000000}">
          <x14:formula1>
            <xm:f>'D Embarcaciones'!$A$45:$A$48</xm:f>
          </x14:formula1>
          <xm:sqref>B4</xm:sqref>
        </x14:dataValidation>
        <x14:dataValidation type="list" allowBlank="1" showInputMessage="1" showErrorMessage="1" xr:uid="{00000000-0002-0000-0800-000005000000}">
          <x14:formula1>
            <xm:f>'D Embarcaciones'!$A$38:$A$42</xm:f>
          </x14:formula1>
          <xm:sqref>B3</xm:sqref>
        </x14:dataValidation>
        <x14:dataValidation type="list" allowBlank="1" showInputMessage="1" showErrorMessage="1" xr:uid="{00000000-0002-0000-0800-000006000000}">
          <x14:formula1>
            <xm:f>'D Embarcaciones'!$A$3:$A$35</xm:f>
          </x14:formula1>
          <xm:sqref>B2</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C125"/>
  <sheetViews>
    <sheetView topLeftCell="A47" workbookViewId="0">
      <selection activeCell="A16" sqref="A16"/>
    </sheetView>
  </sheetViews>
  <sheetFormatPr baseColWidth="10" defaultColWidth="11.44140625" defaultRowHeight="14.4" x14ac:dyDescent="0.3"/>
  <cols>
    <col min="1" max="1" width="33.88671875" customWidth="1"/>
    <col min="3" max="3" width="38" customWidth="1"/>
  </cols>
  <sheetData>
    <row r="2" spans="1:3" x14ac:dyDescent="0.3">
      <c r="A2" t="s">
        <v>1836</v>
      </c>
    </row>
    <row r="3" spans="1:3" x14ac:dyDescent="0.3">
      <c r="A3" t="s">
        <v>1837</v>
      </c>
      <c r="C3" t="s">
        <v>1838</v>
      </c>
    </row>
    <row r="4" spans="1:3" x14ac:dyDescent="0.3">
      <c r="A4" t="s">
        <v>1839</v>
      </c>
      <c r="C4" t="s">
        <v>1830</v>
      </c>
    </row>
    <row r="5" spans="1:3" x14ac:dyDescent="0.3">
      <c r="A5" t="s">
        <v>1840</v>
      </c>
      <c r="C5" t="s">
        <v>1841</v>
      </c>
    </row>
    <row r="6" spans="1:3" x14ac:dyDescent="0.3">
      <c r="A6" t="s">
        <v>1842</v>
      </c>
      <c r="C6" t="s">
        <v>1843</v>
      </c>
    </row>
    <row r="7" spans="1:3" x14ac:dyDescent="0.3">
      <c r="A7" t="s">
        <v>1844</v>
      </c>
      <c r="C7" t="s">
        <v>1845</v>
      </c>
    </row>
    <row r="8" spans="1:3" x14ac:dyDescent="0.3">
      <c r="A8" t="s">
        <v>1846</v>
      </c>
      <c r="C8" t="s">
        <v>1847</v>
      </c>
    </row>
    <row r="9" spans="1:3" x14ac:dyDescent="0.3">
      <c r="A9" t="s">
        <v>1848</v>
      </c>
      <c r="C9" t="s">
        <v>1849</v>
      </c>
    </row>
    <row r="10" spans="1:3" x14ac:dyDescent="0.3">
      <c r="A10" t="s">
        <v>1850</v>
      </c>
    </row>
    <row r="11" spans="1:3" x14ac:dyDescent="0.3">
      <c r="A11" t="s">
        <v>1851</v>
      </c>
      <c r="C11" t="s">
        <v>1852</v>
      </c>
    </row>
    <row r="12" spans="1:3" x14ac:dyDescent="0.3">
      <c r="A12" t="s">
        <v>1853</v>
      </c>
      <c r="C12" t="s">
        <v>1832</v>
      </c>
    </row>
    <row r="13" spans="1:3" x14ac:dyDescent="0.3">
      <c r="A13" t="s">
        <v>1854</v>
      </c>
      <c r="C13" t="s">
        <v>1855</v>
      </c>
    </row>
    <row r="14" spans="1:3" x14ac:dyDescent="0.3">
      <c r="A14" t="s">
        <v>1856</v>
      </c>
      <c r="C14" t="s">
        <v>1857</v>
      </c>
    </row>
    <row r="15" spans="1:3" x14ac:dyDescent="0.3">
      <c r="A15" t="s">
        <v>1858</v>
      </c>
      <c r="C15" t="s">
        <v>1859</v>
      </c>
    </row>
    <row r="16" spans="1:3" x14ac:dyDescent="0.3">
      <c r="A16" t="s">
        <v>1860</v>
      </c>
      <c r="C16" t="s">
        <v>1861</v>
      </c>
    </row>
    <row r="17" spans="1:3" x14ac:dyDescent="0.3">
      <c r="A17" t="s">
        <v>1862</v>
      </c>
      <c r="C17" t="s">
        <v>1863</v>
      </c>
    </row>
    <row r="18" spans="1:3" x14ac:dyDescent="0.3">
      <c r="A18" t="s">
        <v>1864</v>
      </c>
      <c r="C18" t="s">
        <v>1865</v>
      </c>
    </row>
    <row r="19" spans="1:3" x14ac:dyDescent="0.3">
      <c r="A19" t="s">
        <v>1866</v>
      </c>
      <c r="C19" t="s">
        <v>1867</v>
      </c>
    </row>
    <row r="20" spans="1:3" x14ac:dyDescent="0.3">
      <c r="A20" t="s">
        <v>1868</v>
      </c>
      <c r="C20" t="s">
        <v>1869</v>
      </c>
    </row>
    <row r="21" spans="1:3" x14ac:dyDescent="0.3">
      <c r="A21" t="s">
        <v>1870</v>
      </c>
      <c r="C21" t="s">
        <v>1871</v>
      </c>
    </row>
    <row r="22" spans="1:3" x14ac:dyDescent="0.3">
      <c r="A22" t="s">
        <v>1872</v>
      </c>
      <c r="C22" t="s">
        <v>1873</v>
      </c>
    </row>
    <row r="23" spans="1:3" x14ac:dyDescent="0.3">
      <c r="A23" t="s">
        <v>1874</v>
      </c>
      <c r="C23" t="s">
        <v>1875</v>
      </c>
    </row>
    <row r="24" spans="1:3" x14ac:dyDescent="0.3">
      <c r="A24" t="s">
        <v>1876</v>
      </c>
      <c r="C24" t="s">
        <v>1877</v>
      </c>
    </row>
    <row r="25" spans="1:3" x14ac:dyDescent="0.3">
      <c r="A25" t="s">
        <v>1878</v>
      </c>
      <c r="C25" t="s">
        <v>1879</v>
      </c>
    </row>
    <row r="26" spans="1:3" x14ac:dyDescent="0.3">
      <c r="A26" t="s">
        <v>1880</v>
      </c>
      <c r="C26" t="s">
        <v>1881</v>
      </c>
    </row>
    <row r="27" spans="1:3" x14ac:dyDescent="0.3">
      <c r="A27" t="s">
        <v>1882</v>
      </c>
      <c r="C27" t="s">
        <v>1883</v>
      </c>
    </row>
    <row r="28" spans="1:3" x14ac:dyDescent="0.3">
      <c r="A28" t="s">
        <v>1824</v>
      </c>
      <c r="C28" t="s">
        <v>1884</v>
      </c>
    </row>
    <row r="29" spans="1:3" x14ac:dyDescent="0.3">
      <c r="A29" t="s">
        <v>1885</v>
      </c>
      <c r="C29" t="s">
        <v>1886</v>
      </c>
    </row>
    <row r="30" spans="1:3" x14ac:dyDescent="0.3">
      <c r="A30" t="s">
        <v>1887</v>
      </c>
      <c r="C30" t="s">
        <v>1888</v>
      </c>
    </row>
    <row r="31" spans="1:3" x14ac:dyDescent="0.3">
      <c r="A31" t="s">
        <v>1889</v>
      </c>
      <c r="C31" t="s">
        <v>1890</v>
      </c>
    </row>
    <row r="32" spans="1:3" x14ac:dyDescent="0.3">
      <c r="A32" t="s">
        <v>1891</v>
      </c>
      <c r="C32" t="s">
        <v>1892</v>
      </c>
    </row>
    <row r="33" spans="1:3" x14ac:dyDescent="0.3">
      <c r="A33" t="s">
        <v>1893</v>
      </c>
      <c r="C33" t="s">
        <v>1894</v>
      </c>
    </row>
    <row r="34" spans="1:3" x14ac:dyDescent="0.3">
      <c r="A34" t="s">
        <v>1895</v>
      </c>
      <c r="C34" t="s">
        <v>1896</v>
      </c>
    </row>
    <row r="35" spans="1:3" x14ac:dyDescent="0.3">
      <c r="A35" t="s">
        <v>1897</v>
      </c>
      <c r="C35" t="s">
        <v>1898</v>
      </c>
    </row>
    <row r="36" spans="1:3" x14ac:dyDescent="0.3">
      <c r="C36" t="s">
        <v>1899</v>
      </c>
    </row>
    <row r="37" spans="1:3" x14ac:dyDescent="0.3">
      <c r="A37" t="s">
        <v>1900</v>
      </c>
      <c r="C37" t="s">
        <v>1901</v>
      </c>
    </row>
    <row r="38" spans="1:3" x14ac:dyDescent="0.3">
      <c r="A38" t="s">
        <v>1902</v>
      </c>
      <c r="C38" t="s">
        <v>1903</v>
      </c>
    </row>
    <row r="39" spans="1:3" x14ac:dyDescent="0.3">
      <c r="A39" t="s">
        <v>1904</v>
      </c>
      <c r="C39" t="s">
        <v>1905</v>
      </c>
    </row>
    <row r="40" spans="1:3" x14ac:dyDescent="0.3">
      <c r="A40" t="s">
        <v>1906</v>
      </c>
      <c r="C40" t="s">
        <v>1907</v>
      </c>
    </row>
    <row r="41" spans="1:3" x14ac:dyDescent="0.3">
      <c r="A41" t="s">
        <v>1826</v>
      </c>
      <c r="C41" t="s">
        <v>1908</v>
      </c>
    </row>
    <row r="42" spans="1:3" x14ac:dyDescent="0.3">
      <c r="A42" t="s">
        <v>1909</v>
      </c>
      <c r="C42" t="s">
        <v>1910</v>
      </c>
    </row>
    <row r="43" spans="1:3" x14ac:dyDescent="0.3">
      <c r="C43" t="s">
        <v>1911</v>
      </c>
    </row>
    <row r="44" spans="1:3" x14ac:dyDescent="0.3">
      <c r="A44" t="s">
        <v>1912</v>
      </c>
      <c r="C44" t="s">
        <v>1913</v>
      </c>
    </row>
    <row r="45" spans="1:3" x14ac:dyDescent="0.3">
      <c r="A45" t="s">
        <v>1828</v>
      </c>
      <c r="C45" t="s">
        <v>1914</v>
      </c>
    </row>
    <row r="46" spans="1:3" x14ac:dyDescent="0.3">
      <c r="A46" t="s">
        <v>1915</v>
      </c>
      <c r="C46" t="s">
        <v>1916</v>
      </c>
    </row>
    <row r="47" spans="1:3" x14ac:dyDescent="0.3">
      <c r="A47" t="s">
        <v>1917</v>
      </c>
      <c r="C47" t="s">
        <v>1918</v>
      </c>
    </row>
    <row r="48" spans="1:3" x14ac:dyDescent="0.3">
      <c r="A48" t="s">
        <v>1919</v>
      </c>
      <c r="C48" t="s">
        <v>1920</v>
      </c>
    </row>
    <row r="49" spans="1:3" x14ac:dyDescent="0.3">
      <c r="C49" t="s">
        <v>1921</v>
      </c>
    </row>
    <row r="50" spans="1:3" x14ac:dyDescent="0.3">
      <c r="A50" t="s">
        <v>1922</v>
      </c>
      <c r="C50" t="s">
        <v>1923</v>
      </c>
    </row>
    <row r="51" spans="1:3" x14ac:dyDescent="0.3">
      <c r="A51" t="s">
        <v>1834</v>
      </c>
      <c r="C51" t="s">
        <v>1924</v>
      </c>
    </row>
    <row r="52" spans="1:3" x14ac:dyDescent="0.3">
      <c r="A52" t="s">
        <v>1925</v>
      </c>
      <c r="C52" t="s">
        <v>1926</v>
      </c>
    </row>
    <row r="53" spans="1:3" x14ac:dyDescent="0.3">
      <c r="A53" t="s">
        <v>1927</v>
      </c>
      <c r="C53" t="s">
        <v>1928</v>
      </c>
    </row>
    <row r="54" spans="1:3" x14ac:dyDescent="0.3">
      <c r="A54" t="s">
        <v>1929</v>
      </c>
      <c r="C54" t="s">
        <v>1930</v>
      </c>
    </row>
    <row r="55" spans="1:3" x14ac:dyDescent="0.3">
      <c r="A55" t="s">
        <v>1931</v>
      </c>
      <c r="C55" t="s">
        <v>1932</v>
      </c>
    </row>
    <row r="56" spans="1:3" x14ac:dyDescent="0.3">
      <c r="A56" t="s">
        <v>1933</v>
      </c>
      <c r="C56" t="s">
        <v>1934</v>
      </c>
    </row>
    <row r="57" spans="1:3" x14ac:dyDescent="0.3">
      <c r="A57" t="s">
        <v>1935</v>
      </c>
      <c r="C57" t="s">
        <v>1936</v>
      </c>
    </row>
    <row r="58" spans="1:3" x14ac:dyDescent="0.3">
      <c r="A58" t="s">
        <v>1937</v>
      </c>
      <c r="C58" t="s">
        <v>1938</v>
      </c>
    </row>
    <row r="59" spans="1:3" x14ac:dyDescent="0.3">
      <c r="C59" t="s">
        <v>1939</v>
      </c>
    </row>
    <row r="60" spans="1:3" x14ac:dyDescent="0.3">
      <c r="C60" t="s">
        <v>1940</v>
      </c>
    </row>
    <row r="61" spans="1:3" x14ac:dyDescent="0.3">
      <c r="C61" t="s">
        <v>1941</v>
      </c>
    </row>
    <row r="62" spans="1:3" x14ac:dyDescent="0.3">
      <c r="C62" t="s">
        <v>1942</v>
      </c>
    </row>
    <row r="63" spans="1:3" x14ac:dyDescent="0.3">
      <c r="C63" t="s">
        <v>1943</v>
      </c>
    </row>
    <row r="64" spans="1:3" x14ac:dyDescent="0.3">
      <c r="C64" t="s">
        <v>1944</v>
      </c>
    </row>
    <row r="65" spans="3:3" x14ac:dyDescent="0.3">
      <c r="C65" t="s">
        <v>1945</v>
      </c>
    </row>
    <row r="66" spans="3:3" x14ac:dyDescent="0.3">
      <c r="C66" t="s">
        <v>1946</v>
      </c>
    </row>
    <row r="67" spans="3:3" x14ac:dyDescent="0.3">
      <c r="C67" t="s">
        <v>1947</v>
      </c>
    </row>
    <row r="68" spans="3:3" x14ac:dyDescent="0.3">
      <c r="C68" t="s">
        <v>1948</v>
      </c>
    </row>
    <row r="69" spans="3:3" x14ac:dyDescent="0.3">
      <c r="C69" t="s">
        <v>1949</v>
      </c>
    </row>
    <row r="70" spans="3:3" x14ac:dyDescent="0.3">
      <c r="C70" t="s">
        <v>1950</v>
      </c>
    </row>
    <row r="71" spans="3:3" x14ac:dyDescent="0.3">
      <c r="C71" t="s">
        <v>1951</v>
      </c>
    </row>
    <row r="72" spans="3:3" x14ac:dyDescent="0.3">
      <c r="C72" t="s">
        <v>1952</v>
      </c>
    </row>
    <row r="73" spans="3:3" x14ac:dyDescent="0.3">
      <c r="C73" t="s">
        <v>1953</v>
      </c>
    </row>
    <row r="74" spans="3:3" x14ac:dyDescent="0.3">
      <c r="C74" t="s">
        <v>1954</v>
      </c>
    </row>
    <row r="75" spans="3:3" x14ac:dyDescent="0.3">
      <c r="C75" t="s">
        <v>1955</v>
      </c>
    </row>
    <row r="76" spans="3:3" x14ac:dyDescent="0.3">
      <c r="C76" t="s">
        <v>1956</v>
      </c>
    </row>
    <row r="77" spans="3:3" x14ac:dyDescent="0.3">
      <c r="C77" t="s">
        <v>1957</v>
      </c>
    </row>
    <row r="78" spans="3:3" x14ac:dyDescent="0.3">
      <c r="C78" t="s">
        <v>1958</v>
      </c>
    </row>
    <row r="79" spans="3:3" x14ac:dyDescent="0.3">
      <c r="C79" t="s">
        <v>1959</v>
      </c>
    </row>
    <row r="80" spans="3:3" x14ac:dyDescent="0.3">
      <c r="C80" t="s">
        <v>1960</v>
      </c>
    </row>
    <row r="81" spans="3:3" x14ac:dyDescent="0.3">
      <c r="C81" t="s">
        <v>1961</v>
      </c>
    </row>
    <row r="82" spans="3:3" x14ac:dyDescent="0.3">
      <c r="C82" t="s">
        <v>1962</v>
      </c>
    </row>
    <row r="83" spans="3:3" x14ac:dyDescent="0.3">
      <c r="C83" t="s">
        <v>1963</v>
      </c>
    </row>
    <row r="84" spans="3:3" x14ac:dyDescent="0.3">
      <c r="C84" t="s">
        <v>1964</v>
      </c>
    </row>
    <row r="85" spans="3:3" x14ac:dyDescent="0.3">
      <c r="C85" t="s">
        <v>1965</v>
      </c>
    </row>
    <row r="86" spans="3:3" x14ac:dyDescent="0.3">
      <c r="C86" t="s">
        <v>1966</v>
      </c>
    </row>
    <row r="87" spans="3:3" x14ac:dyDescent="0.3">
      <c r="C87" t="s">
        <v>1967</v>
      </c>
    </row>
    <row r="88" spans="3:3" x14ac:dyDescent="0.3">
      <c r="C88" t="s">
        <v>1968</v>
      </c>
    </row>
    <row r="89" spans="3:3" x14ac:dyDescent="0.3">
      <c r="C89" t="s">
        <v>1969</v>
      </c>
    </row>
    <row r="90" spans="3:3" x14ac:dyDescent="0.3">
      <c r="C90" t="s">
        <v>1970</v>
      </c>
    </row>
    <row r="91" spans="3:3" x14ac:dyDescent="0.3">
      <c r="C91" t="s">
        <v>1971</v>
      </c>
    </row>
    <row r="92" spans="3:3" x14ac:dyDescent="0.3">
      <c r="C92" t="s">
        <v>1972</v>
      </c>
    </row>
    <row r="93" spans="3:3" x14ac:dyDescent="0.3">
      <c r="C93" t="s">
        <v>1973</v>
      </c>
    </row>
    <row r="94" spans="3:3" x14ac:dyDescent="0.3">
      <c r="C94" t="s">
        <v>1974</v>
      </c>
    </row>
    <row r="95" spans="3:3" x14ac:dyDescent="0.3">
      <c r="C95" t="s">
        <v>1975</v>
      </c>
    </row>
    <row r="96" spans="3:3" x14ac:dyDescent="0.3">
      <c r="C96" t="s">
        <v>1976</v>
      </c>
    </row>
    <row r="97" spans="3:3" x14ac:dyDescent="0.3">
      <c r="C97" t="s">
        <v>1977</v>
      </c>
    </row>
    <row r="98" spans="3:3" x14ac:dyDescent="0.3">
      <c r="C98" t="s">
        <v>1978</v>
      </c>
    </row>
    <row r="99" spans="3:3" x14ac:dyDescent="0.3">
      <c r="C99" t="s">
        <v>1979</v>
      </c>
    </row>
    <row r="100" spans="3:3" x14ac:dyDescent="0.3">
      <c r="C100" t="s">
        <v>1980</v>
      </c>
    </row>
    <row r="101" spans="3:3" x14ac:dyDescent="0.3">
      <c r="C101" t="s">
        <v>1981</v>
      </c>
    </row>
    <row r="102" spans="3:3" x14ac:dyDescent="0.3">
      <c r="C102" t="s">
        <v>1982</v>
      </c>
    </row>
    <row r="103" spans="3:3" x14ac:dyDescent="0.3">
      <c r="C103" t="s">
        <v>1983</v>
      </c>
    </row>
    <row r="104" spans="3:3" x14ac:dyDescent="0.3">
      <c r="C104" t="s">
        <v>1984</v>
      </c>
    </row>
    <row r="105" spans="3:3" x14ac:dyDescent="0.3">
      <c r="C105" t="s">
        <v>1985</v>
      </c>
    </row>
    <row r="106" spans="3:3" x14ac:dyDescent="0.3">
      <c r="C106" t="s">
        <v>1986</v>
      </c>
    </row>
    <row r="107" spans="3:3" x14ac:dyDescent="0.3">
      <c r="C107" t="s">
        <v>1987</v>
      </c>
    </row>
    <row r="108" spans="3:3" x14ac:dyDescent="0.3">
      <c r="C108" t="s">
        <v>1988</v>
      </c>
    </row>
    <row r="109" spans="3:3" x14ac:dyDescent="0.3">
      <c r="C109" t="s">
        <v>1989</v>
      </c>
    </row>
    <row r="110" spans="3:3" x14ac:dyDescent="0.3">
      <c r="C110" t="s">
        <v>1990</v>
      </c>
    </row>
    <row r="111" spans="3:3" x14ac:dyDescent="0.3">
      <c r="C111" t="s">
        <v>1991</v>
      </c>
    </row>
    <row r="112" spans="3:3" x14ac:dyDescent="0.3">
      <c r="C112" t="s">
        <v>1992</v>
      </c>
    </row>
    <row r="113" spans="3:3" x14ac:dyDescent="0.3">
      <c r="C113" t="s">
        <v>1993</v>
      </c>
    </row>
    <row r="114" spans="3:3" x14ac:dyDescent="0.3">
      <c r="C114" t="s">
        <v>1994</v>
      </c>
    </row>
    <row r="115" spans="3:3" x14ac:dyDescent="0.3">
      <c r="C115" t="s">
        <v>1995</v>
      </c>
    </row>
    <row r="116" spans="3:3" x14ac:dyDescent="0.3">
      <c r="C116" t="s">
        <v>1996</v>
      </c>
    </row>
    <row r="117" spans="3:3" x14ac:dyDescent="0.3">
      <c r="C117" t="s">
        <v>1997</v>
      </c>
    </row>
    <row r="118" spans="3:3" x14ac:dyDescent="0.3">
      <c r="C118" t="s">
        <v>1998</v>
      </c>
    </row>
    <row r="119" spans="3:3" x14ac:dyDescent="0.3">
      <c r="C119" t="s">
        <v>1999</v>
      </c>
    </row>
    <row r="120" spans="3:3" x14ac:dyDescent="0.3">
      <c r="C120" t="s">
        <v>2000</v>
      </c>
    </row>
    <row r="121" spans="3:3" x14ac:dyDescent="0.3">
      <c r="C121" t="s">
        <v>2001</v>
      </c>
    </row>
    <row r="122" spans="3:3" x14ac:dyDescent="0.3">
      <c r="C122" t="s">
        <v>2002</v>
      </c>
    </row>
    <row r="123" spans="3:3" x14ac:dyDescent="0.3">
      <c r="C123" t="s">
        <v>2003</v>
      </c>
    </row>
    <row r="124" spans="3:3" x14ac:dyDescent="0.3">
      <c r="C124" t="s">
        <v>2004</v>
      </c>
    </row>
    <row r="125" spans="3:3" x14ac:dyDescent="0.3">
      <c r="C125" t="s">
        <v>2005</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7"/>
  <sheetViews>
    <sheetView workbookViewId="0">
      <selection activeCell="A16" sqref="A16"/>
    </sheetView>
  </sheetViews>
  <sheetFormatPr baseColWidth="10" defaultColWidth="11.44140625" defaultRowHeight="14.4" x14ac:dyDescent="0.3"/>
  <cols>
    <col min="1" max="1" width="31.5546875" customWidth="1"/>
    <col min="2" max="2" width="33.33203125" customWidth="1"/>
  </cols>
  <sheetData>
    <row r="1" spans="1:2" x14ac:dyDescent="0.3">
      <c r="A1" s="120" t="s">
        <v>781</v>
      </c>
      <c r="B1" s="121" t="s">
        <v>1486</v>
      </c>
    </row>
    <row r="2" spans="1:2" x14ac:dyDescent="0.3">
      <c r="A2" s="122" t="s">
        <v>2006</v>
      </c>
      <c r="B2" s="128" t="s">
        <v>2007</v>
      </c>
    </row>
    <row r="3" spans="1:2" x14ac:dyDescent="0.3">
      <c r="A3" s="122" t="s">
        <v>2008</v>
      </c>
      <c r="B3" s="128" t="s">
        <v>2009</v>
      </c>
    </row>
    <row r="4" spans="1:2" x14ac:dyDescent="0.3">
      <c r="A4" s="122" t="s">
        <v>2010</v>
      </c>
      <c r="B4" s="128" t="s">
        <v>2011</v>
      </c>
    </row>
    <row r="5" spans="1:2" x14ac:dyDescent="0.3">
      <c r="A5" s="129" t="s">
        <v>2012</v>
      </c>
      <c r="B5" s="128" t="s">
        <v>1830</v>
      </c>
    </row>
    <row r="6" spans="1:2" x14ac:dyDescent="0.3">
      <c r="A6" s="122" t="s">
        <v>2013</v>
      </c>
      <c r="B6" s="128" t="s">
        <v>2014</v>
      </c>
    </row>
    <row r="7" spans="1:2" x14ac:dyDescent="0.3">
      <c r="A7" s="122" t="s">
        <v>2015</v>
      </c>
      <c r="B7" s="130">
        <v>0</v>
      </c>
    </row>
    <row r="8" spans="1:2" x14ac:dyDescent="0.3">
      <c r="A8" s="122" t="s">
        <v>2016</v>
      </c>
      <c r="B8" s="128"/>
    </row>
    <row r="9" spans="1:2" x14ac:dyDescent="0.3">
      <c r="A9" s="122" t="s">
        <v>2017</v>
      </c>
      <c r="B9" s="128"/>
    </row>
    <row r="10" spans="1:2" x14ac:dyDescent="0.3">
      <c r="A10" s="122" t="s">
        <v>2018</v>
      </c>
      <c r="B10" s="128"/>
    </row>
    <row r="11" spans="1:2" x14ac:dyDescent="0.3">
      <c r="A11" s="122" t="s">
        <v>2019</v>
      </c>
      <c r="B11" s="128"/>
    </row>
    <row r="12" spans="1:2" x14ac:dyDescent="0.3">
      <c r="A12" s="122" t="s">
        <v>2020</v>
      </c>
      <c r="B12" s="128"/>
    </row>
    <row r="13" spans="1:2" x14ac:dyDescent="0.3">
      <c r="A13" s="122" t="s">
        <v>2021</v>
      </c>
      <c r="B13" s="128"/>
    </row>
    <row r="14" spans="1:2" x14ac:dyDescent="0.3">
      <c r="A14" s="122" t="s">
        <v>2022</v>
      </c>
      <c r="B14" s="128"/>
    </row>
    <row r="15" spans="1:2" x14ac:dyDescent="0.3">
      <c r="A15" s="122" t="s">
        <v>2023</v>
      </c>
      <c r="B15" s="128"/>
    </row>
    <row r="16" spans="1:2" x14ac:dyDescent="0.3">
      <c r="A16" s="122" t="s">
        <v>765</v>
      </c>
      <c r="B16" s="128"/>
    </row>
    <row r="17" spans="1:2" x14ac:dyDescent="0.3">
      <c r="A17" s="122" t="s">
        <v>2024</v>
      </c>
      <c r="B17" s="128"/>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A00-000000000000}">
          <x14:formula1>
            <xm:f>'D Transporte'!$C$3:$C$17</xm:f>
          </x14:formula1>
          <xm:sqref>B6</xm:sqref>
        </x14:dataValidation>
        <x14:dataValidation type="list" allowBlank="1" showInputMessage="1" showErrorMessage="1" xr:uid="{00000000-0002-0000-0A00-000001000000}">
          <x14:formula1>
            <xm:f>'D Transporte'!$C$21:$C$27</xm:f>
          </x14:formula1>
          <xm:sqref>B5</xm:sqref>
        </x14:dataValidation>
        <x14:dataValidation type="list" allowBlank="1" showInputMessage="1" showErrorMessage="1" xr:uid="{00000000-0002-0000-0A00-000002000000}">
          <x14:formula1>
            <xm:f>'D Transporte'!$A$8:$A$180</xm:f>
          </x14:formula1>
          <xm:sqref>B4</xm:sqref>
        </x14:dataValidation>
        <x14:dataValidation type="list" allowBlank="1" showInputMessage="1" showErrorMessage="1" xr:uid="{00000000-0002-0000-0A00-000003000000}">
          <x14:formula1>
            <xm:f>'D Transporte'!$C$30:$C$32</xm:f>
          </x14:formula1>
          <xm:sqref>B3</xm:sqref>
        </x14:dataValidation>
        <x14:dataValidation type="list" allowBlank="1" showInputMessage="1" showErrorMessage="1" xr:uid="{00000000-0002-0000-0A00-000004000000}">
          <x14:formula1>
            <xm:f>'D Transporte'!$A$3:$A$5</xm:f>
          </x14:formula1>
          <xm:sqref>B2</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C180"/>
  <sheetViews>
    <sheetView workbookViewId="0">
      <selection activeCell="A16" sqref="A16"/>
    </sheetView>
  </sheetViews>
  <sheetFormatPr baseColWidth="10" defaultColWidth="11.44140625" defaultRowHeight="14.4" x14ac:dyDescent="0.3"/>
  <cols>
    <col min="1" max="1" width="51.44140625" customWidth="1"/>
    <col min="3" max="3" width="39.88671875" customWidth="1"/>
  </cols>
  <sheetData>
    <row r="2" spans="1:3" x14ac:dyDescent="0.3">
      <c r="A2" t="s">
        <v>2025</v>
      </c>
      <c r="C2" t="s">
        <v>2026</v>
      </c>
    </row>
    <row r="3" spans="1:3" x14ac:dyDescent="0.3">
      <c r="A3" t="s">
        <v>2007</v>
      </c>
      <c r="C3" t="s">
        <v>2027</v>
      </c>
    </row>
    <row r="4" spans="1:3" x14ac:dyDescent="0.3">
      <c r="A4" t="s">
        <v>2028</v>
      </c>
      <c r="C4" t="s">
        <v>2029</v>
      </c>
    </row>
    <row r="5" spans="1:3" x14ac:dyDescent="0.3">
      <c r="A5" t="s">
        <v>2030</v>
      </c>
      <c r="C5" t="s">
        <v>2031</v>
      </c>
    </row>
    <row r="6" spans="1:3" x14ac:dyDescent="0.3">
      <c r="C6" t="s">
        <v>2014</v>
      </c>
    </row>
    <row r="7" spans="1:3" x14ac:dyDescent="0.3">
      <c r="A7" t="s">
        <v>2032</v>
      </c>
      <c r="C7" t="s">
        <v>2033</v>
      </c>
    </row>
    <row r="8" spans="1:3" x14ac:dyDescent="0.3">
      <c r="A8" t="s">
        <v>2034</v>
      </c>
      <c r="C8" t="s">
        <v>2035</v>
      </c>
    </row>
    <row r="9" spans="1:3" x14ac:dyDescent="0.3">
      <c r="A9" t="s">
        <v>2036</v>
      </c>
      <c r="C9" t="s">
        <v>2037</v>
      </c>
    </row>
    <row r="10" spans="1:3" x14ac:dyDescent="0.3">
      <c r="A10" t="s">
        <v>2038</v>
      </c>
      <c r="C10" t="s">
        <v>2039</v>
      </c>
    </row>
    <row r="11" spans="1:3" x14ac:dyDescent="0.3">
      <c r="A11" t="s">
        <v>2040</v>
      </c>
      <c r="C11" t="s">
        <v>2041</v>
      </c>
    </row>
    <row r="12" spans="1:3" x14ac:dyDescent="0.3">
      <c r="A12" t="s">
        <v>2011</v>
      </c>
      <c r="C12" t="s">
        <v>2042</v>
      </c>
    </row>
    <row r="13" spans="1:3" x14ac:dyDescent="0.3">
      <c r="A13" t="s">
        <v>2043</v>
      </c>
      <c r="C13" t="s">
        <v>2044</v>
      </c>
    </row>
    <row r="14" spans="1:3" x14ac:dyDescent="0.3">
      <c r="A14" t="s">
        <v>2045</v>
      </c>
      <c r="C14" t="s">
        <v>2046</v>
      </c>
    </row>
    <row r="15" spans="1:3" x14ac:dyDescent="0.3">
      <c r="A15" t="s">
        <v>2047</v>
      </c>
      <c r="C15" t="s">
        <v>2048</v>
      </c>
    </row>
    <row r="16" spans="1:3" x14ac:dyDescent="0.3">
      <c r="A16" t="s">
        <v>2049</v>
      </c>
      <c r="C16" t="s">
        <v>2050</v>
      </c>
    </row>
    <row r="17" spans="1:3" x14ac:dyDescent="0.3">
      <c r="A17" t="s">
        <v>2051</v>
      </c>
      <c r="C17" t="s">
        <v>2052</v>
      </c>
    </row>
    <row r="18" spans="1:3" x14ac:dyDescent="0.3">
      <c r="A18" t="s">
        <v>2053</v>
      </c>
    </row>
    <row r="19" spans="1:3" x14ac:dyDescent="0.3">
      <c r="A19" t="s">
        <v>2054</v>
      </c>
    </row>
    <row r="20" spans="1:3" x14ac:dyDescent="0.3">
      <c r="A20" t="s">
        <v>2055</v>
      </c>
      <c r="C20" t="s">
        <v>2012</v>
      </c>
    </row>
    <row r="21" spans="1:3" x14ac:dyDescent="0.3">
      <c r="A21" t="s">
        <v>2056</v>
      </c>
      <c r="C21" t="s">
        <v>1830</v>
      </c>
    </row>
    <row r="22" spans="1:3" x14ac:dyDescent="0.3">
      <c r="A22" t="s">
        <v>2057</v>
      </c>
      <c r="C22" t="s">
        <v>2058</v>
      </c>
    </row>
    <row r="23" spans="1:3" x14ac:dyDescent="0.3">
      <c r="A23" t="s">
        <v>2059</v>
      </c>
      <c r="C23" t="s">
        <v>2060</v>
      </c>
    </row>
    <row r="24" spans="1:3" x14ac:dyDescent="0.3">
      <c r="A24" t="s">
        <v>2061</v>
      </c>
      <c r="C24" t="s">
        <v>2062</v>
      </c>
    </row>
    <row r="25" spans="1:3" x14ac:dyDescent="0.3">
      <c r="A25" t="s">
        <v>2063</v>
      </c>
      <c r="C25" t="s">
        <v>2064</v>
      </c>
    </row>
    <row r="26" spans="1:3" x14ac:dyDescent="0.3">
      <c r="A26" t="s">
        <v>2065</v>
      </c>
      <c r="C26" t="s">
        <v>2066</v>
      </c>
    </row>
    <row r="27" spans="1:3" x14ac:dyDescent="0.3">
      <c r="A27" t="s">
        <v>2067</v>
      </c>
      <c r="C27" t="s">
        <v>2068</v>
      </c>
    </row>
    <row r="28" spans="1:3" x14ac:dyDescent="0.3">
      <c r="A28" t="s">
        <v>2069</v>
      </c>
    </row>
    <row r="29" spans="1:3" x14ac:dyDescent="0.3">
      <c r="A29" t="s">
        <v>2070</v>
      </c>
      <c r="C29" t="s">
        <v>2025</v>
      </c>
    </row>
    <row r="30" spans="1:3" x14ac:dyDescent="0.3">
      <c r="A30" t="s">
        <v>2071</v>
      </c>
      <c r="C30" t="s">
        <v>2009</v>
      </c>
    </row>
    <row r="31" spans="1:3" x14ac:dyDescent="0.3">
      <c r="A31" t="s">
        <v>2072</v>
      </c>
      <c r="C31" t="s">
        <v>2073</v>
      </c>
    </row>
    <row r="32" spans="1:3" x14ac:dyDescent="0.3">
      <c r="A32" t="s">
        <v>2074</v>
      </c>
      <c r="C32" t="s">
        <v>2075</v>
      </c>
    </row>
    <row r="33" spans="1:1" x14ac:dyDescent="0.3">
      <c r="A33" t="s">
        <v>2076</v>
      </c>
    </row>
    <row r="34" spans="1:1" x14ac:dyDescent="0.3">
      <c r="A34" t="s">
        <v>2077</v>
      </c>
    </row>
    <row r="35" spans="1:1" x14ac:dyDescent="0.3">
      <c r="A35" t="s">
        <v>2078</v>
      </c>
    </row>
    <row r="36" spans="1:1" x14ac:dyDescent="0.3">
      <c r="A36" t="s">
        <v>2079</v>
      </c>
    </row>
    <row r="37" spans="1:1" x14ac:dyDescent="0.3">
      <c r="A37" t="s">
        <v>2080</v>
      </c>
    </row>
    <row r="38" spans="1:1" x14ac:dyDescent="0.3">
      <c r="A38" t="s">
        <v>2081</v>
      </c>
    </row>
    <row r="39" spans="1:1" x14ac:dyDescent="0.3">
      <c r="A39" t="s">
        <v>2082</v>
      </c>
    </row>
    <row r="40" spans="1:1" x14ac:dyDescent="0.3">
      <c r="A40" t="s">
        <v>2083</v>
      </c>
    </row>
    <row r="41" spans="1:1" x14ac:dyDescent="0.3">
      <c r="A41" t="s">
        <v>2084</v>
      </c>
    </row>
    <row r="42" spans="1:1" x14ac:dyDescent="0.3">
      <c r="A42" t="s">
        <v>2085</v>
      </c>
    </row>
    <row r="43" spans="1:1" x14ac:dyDescent="0.3">
      <c r="A43" t="s">
        <v>2086</v>
      </c>
    </row>
    <row r="44" spans="1:1" x14ac:dyDescent="0.3">
      <c r="A44" t="s">
        <v>2087</v>
      </c>
    </row>
    <row r="45" spans="1:1" x14ac:dyDescent="0.3">
      <c r="A45" t="s">
        <v>2088</v>
      </c>
    </row>
    <row r="46" spans="1:1" x14ac:dyDescent="0.3">
      <c r="A46" t="s">
        <v>2089</v>
      </c>
    </row>
    <row r="47" spans="1:1" x14ac:dyDescent="0.3">
      <c r="A47" t="s">
        <v>2090</v>
      </c>
    </row>
    <row r="48" spans="1:1" x14ac:dyDescent="0.3">
      <c r="A48" t="s">
        <v>2091</v>
      </c>
    </row>
    <row r="49" spans="1:1" x14ac:dyDescent="0.3">
      <c r="A49" t="s">
        <v>2092</v>
      </c>
    </row>
    <row r="50" spans="1:1" x14ac:dyDescent="0.3">
      <c r="A50" t="s">
        <v>2093</v>
      </c>
    </row>
    <row r="51" spans="1:1" x14ac:dyDescent="0.3">
      <c r="A51" t="s">
        <v>2094</v>
      </c>
    </row>
    <row r="52" spans="1:1" x14ac:dyDescent="0.3">
      <c r="A52" t="s">
        <v>2095</v>
      </c>
    </row>
    <row r="53" spans="1:1" x14ac:dyDescent="0.3">
      <c r="A53" t="s">
        <v>2096</v>
      </c>
    </row>
    <row r="54" spans="1:1" x14ac:dyDescent="0.3">
      <c r="A54" t="s">
        <v>2097</v>
      </c>
    </row>
    <row r="55" spans="1:1" x14ac:dyDescent="0.3">
      <c r="A55" t="s">
        <v>2098</v>
      </c>
    </row>
    <row r="56" spans="1:1" x14ac:dyDescent="0.3">
      <c r="A56" t="s">
        <v>2099</v>
      </c>
    </row>
    <row r="57" spans="1:1" x14ac:dyDescent="0.3">
      <c r="A57" t="s">
        <v>2100</v>
      </c>
    </row>
    <row r="58" spans="1:1" x14ac:dyDescent="0.3">
      <c r="A58" t="s">
        <v>2101</v>
      </c>
    </row>
    <row r="59" spans="1:1" x14ac:dyDescent="0.3">
      <c r="A59" t="s">
        <v>2102</v>
      </c>
    </row>
    <row r="60" spans="1:1" x14ac:dyDescent="0.3">
      <c r="A60" t="s">
        <v>2103</v>
      </c>
    </row>
    <row r="61" spans="1:1" x14ac:dyDescent="0.3">
      <c r="A61" t="s">
        <v>2104</v>
      </c>
    </row>
    <row r="62" spans="1:1" x14ac:dyDescent="0.3">
      <c r="A62" t="s">
        <v>2105</v>
      </c>
    </row>
    <row r="63" spans="1:1" x14ac:dyDescent="0.3">
      <c r="A63" t="s">
        <v>2106</v>
      </c>
    </row>
    <row r="64" spans="1:1" x14ac:dyDescent="0.3">
      <c r="A64" t="s">
        <v>2107</v>
      </c>
    </row>
    <row r="65" spans="1:1" x14ac:dyDescent="0.3">
      <c r="A65" t="s">
        <v>2108</v>
      </c>
    </row>
    <row r="66" spans="1:1" x14ac:dyDescent="0.3">
      <c r="A66" t="s">
        <v>2109</v>
      </c>
    </row>
    <row r="67" spans="1:1" x14ac:dyDescent="0.3">
      <c r="A67" t="s">
        <v>2110</v>
      </c>
    </row>
    <row r="68" spans="1:1" x14ac:dyDescent="0.3">
      <c r="A68" t="s">
        <v>2111</v>
      </c>
    </row>
    <row r="69" spans="1:1" x14ac:dyDescent="0.3">
      <c r="A69" t="s">
        <v>2112</v>
      </c>
    </row>
    <row r="70" spans="1:1" x14ac:dyDescent="0.3">
      <c r="A70" t="s">
        <v>2113</v>
      </c>
    </row>
    <row r="71" spans="1:1" x14ac:dyDescent="0.3">
      <c r="A71" t="s">
        <v>2114</v>
      </c>
    </row>
    <row r="72" spans="1:1" x14ac:dyDescent="0.3">
      <c r="A72" t="s">
        <v>2115</v>
      </c>
    </row>
    <row r="73" spans="1:1" x14ac:dyDescent="0.3">
      <c r="A73" t="s">
        <v>2116</v>
      </c>
    </row>
    <row r="74" spans="1:1" x14ac:dyDescent="0.3">
      <c r="A74" t="s">
        <v>2117</v>
      </c>
    </row>
    <row r="75" spans="1:1" x14ac:dyDescent="0.3">
      <c r="A75" t="s">
        <v>2118</v>
      </c>
    </row>
    <row r="76" spans="1:1" x14ac:dyDescent="0.3">
      <c r="A76" t="s">
        <v>2119</v>
      </c>
    </row>
    <row r="77" spans="1:1" x14ac:dyDescent="0.3">
      <c r="A77" t="s">
        <v>2120</v>
      </c>
    </row>
    <row r="78" spans="1:1" x14ac:dyDescent="0.3">
      <c r="A78" t="s">
        <v>2121</v>
      </c>
    </row>
    <row r="79" spans="1:1" x14ac:dyDescent="0.3">
      <c r="A79" t="s">
        <v>2122</v>
      </c>
    </row>
    <row r="80" spans="1:1" x14ac:dyDescent="0.3">
      <c r="A80" t="s">
        <v>2123</v>
      </c>
    </row>
    <row r="81" spans="1:1" x14ac:dyDescent="0.3">
      <c r="A81" t="s">
        <v>2124</v>
      </c>
    </row>
    <row r="82" spans="1:1" x14ac:dyDescent="0.3">
      <c r="A82" t="s">
        <v>2125</v>
      </c>
    </row>
    <row r="83" spans="1:1" x14ac:dyDescent="0.3">
      <c r="A83" t="s">
        <v>2126</v>
      </c>
    </row>
    <row r="84" spans="1:1" x14ac:dyDescent="0.3">
      <c r="A84" t="s">
        <v>2127</v>
      </c>
    </row>
    <row r="85" spans="1:1" x14ac:dyDescent="0.3">
      <c r="A85" t="s">
        <v>2128</v>
      </c>
    </row>
    <row r="86" spans="1:1" x14ac:dyDescent="0.3">
      <c r="A86" t="s">
        <v>2129</v>
      </c>
    </row>
    <row r="87" spans="1:1" x14ac:dyDescent="0.3">
      <c r="A87" t="s">
        <v>2130</v>
      </c>
    </row>
    <row r="88" spans="1:1" x14ac:dyDescent="0.3">
      <c r="A88" t="s">
        <v>2131</v>
      </c>
    </row>
    <row r="89" spans="1:1" x14ac:dyDescent="0.3">
      <c r="A89" t="s">
        <v>2132</v>
      </c>
    </row>
    <row r="90" spans="1:1" x14ac:dyDescent="0.3">
      <c r="A90" t="s">
        <v>2133</v>
      </c>
    </row>
    <row r="91" spans="1:1" x14ac:dyDescent="0.3">
      <c r="A91" t="s">
        <v>2134</v>
      </c>
    </row>
    <row r="92" spans="1:1" x14ac:dyDescent="0.3">
      <c r="A92" t="s">
        <v>2135</v>
      </c>
    </row>
    <row r="93" spans="1:1" x14ac:dyDescent="0.3">
      <c r="A93" t="s">
        <v>2136</v>
      </c>
    </row>
    <row r="94" spans="1:1" x14ac:dyDescent="0.3">
      <c r="A94" t="s">
        <v>2137</v>
      </c>
    </row>
    <row r="95" spans="1:1" x14ac:dyDescent="0.3">
      <c r="A95" t="s">
        <v>2138</v>
      </c>
    </row>
    <row r="96" spans="1:1" x14ac:dyDescent="0.3">
      <c r="A96" t="s">
        <v>2139</v>
      </c>
    </row>
    <row r="97" spans="1:1" x14ac:dyDescent="0.3">
      <c r="A97" t="s">
        <v>2140</v>
      </c>
    </row>
    <row r="98" spans="1:1" x14ac:dyDescent="0.3">
      <c r="A98" t="s">
        <v>2141</v>
      </c>
    </row>
    <row r="99" spans="1:1" x14ac:dyDescent="0.3">
      <c r="A99" t="s">
        <v>2142</v>
      </c>
    </row>
    <row r="100" spans="1:1" x14ac:dyDescent="0.3">
      <c r="A100" t="s">
        <v>2143</v>
      </c>
    </row>
    <row r="101" spans="1:1" x14ac:dyDescent="0.3">
      <c r="A101" t="s">
        <v>2144</v>
      </c>
    </row>
    <row r="102" spans="1:1" x14ac:dyDescent="0.3">
      <c r="A102" t="s">
        <v>2145</v>
      </c>
    </row>
    <row r="103" spans="1:1" x14ac:dyDescent="0.3">
      <c r="A103" t="s">
        <v>2146</v>
      </c>
    </row>
    <row r="104" spans="1:1" x14ac:dyDescent="0.3">
      <c r="A104" t="s">
        <v>2147</v>
      </c>
    </row>
    <row r="105" spans="1:1" x14ac:dyDescent="0.3">
      <c r="A105" t="s">
        <v>2148</v>
      </c>
    </row>
    <row r="106" spans="1:1" x14ac:dyDescent="0.3">
      <c r="A106" t="s">
        <v>2149</v>
      </c>
    </row>
    <row r="107" spans="1:1" x14ac:dyDescent="0.3">
      <c r="A107" t="s">
        <v>2150</v>
      </c>
    </row>
    <row r="108" spans="1:1" x14ac:dyDescent="0.3">
      <c r="A108" t="s">
        <v>2151</v>
      </c>
    </row>
    <row r="109" spans="1:1" x14ac:dyDescent="0.3">
      <c r="A109" t="s">
        <v>2152</v>
      </c>
    </row>
    <row r="110" spans="1:1" x14ac:dyDescent="0.3">
      <c r="A110" t="s">
        <v>2153</v>
      </c>
    </row>
    <row r="111" spans="1:1" x14ac:dyDescent="0.3">
      <c r="A111" t="s">
        <v>2154</v>
      </c>
    </row>
    <row r="112" spans="1:1" x14ac:dyDescent="0.3">
      <c r="A112" t="s">
        <v>2155</v>
      </c>
    </row>
    <row r="113" spans="1:1" x14ac:dyDescent="0.3">
      <c r="A113" t="s">
        <v>2156</v>
      </c>
    </row>
    <row r="114" spans="1:1" x14ac:dyDescent="0.3">
      <c r="A114" t="s">
        <v>2157</v>
      </c>
    </row>
    <row r="115" spans="1:1" x14ac:dyDescent="0.3">
      <c r="A115" t="s">
        <v>2158</v>
      </c>
    </row>
    <row r="116" spans="1:1" x14ac:dyDescent="0.3">
      <c r="A116" t="s">
        <v>2159</v>
      </c>
    </row>
    <row r="117" spans="1:1" x14ac:dyDescent="0.3">
      <c r="A117" t="s">
        <v>2160</v>
      </c>
    </row>
    <row r="118" spans="1:1" x14ac:dyDescent="0.3">
      <c r="A118" t="s">
        <v>2161</v>
      </c>
    </row>
    <row r="119" spans="1:1" x14ac:dyDescent="0.3">
      <c r="A119" t="s">
        <v>2162</v>
      </c>
    </row>
    <row r="120" spans="1:1" x14ac:dyDescent="0.3">
      <c r="A120" t="s">
        <v>2163</v>
      </c>
    </row>
    <row r="121" spans="1:1" x14ac:dyDescent="0.3">
      <c r="A121" t="s">
        <v>2164</v>
      </c>
    </row>
    <row r="122" spans="1:1" x14ac:dyDescent="0.3">
      <c r="A122" t="s">
        <v>2165</v>
      </c>
    </row>
    <row r="123" spans="1:1" x14ac:dyDescent="0.3">
      <c r="A123" t="s">
        <v>2166</v>
      </c>
    </row>
    <row r="124" spans="1:1" x14ac:dyDescent="0.3">
      <c r="A124" t="s">
        <v>2167</v>
      </c>
    </row>
    <row r="125" spans="1:1" x14ac:dyDescent="0.3">
      <c r="A125" t="s">
        <v>2168</v>
      </c>
    </row>
    <row r="126" spans="1:1" x14ac:dyDescent="0.3">
      <c r="A126" t="s">
        <v>2169</v>
      </c>
    </row>
    <row r="127" spans="1:1" x14ac:dyDescent="0.3">
      <c r="A127" t="s">
        <v>2170</v>
      </c>
    </row>
    <row r="128" spans="1:1" x14ac:dyDescent="0.3">
      <c r="A128" t="s">
        <v>2171</v>
      </c>
    </row>
    <row r="129" spans="1:1" x14ac:dyDescent="0.3">
      <c r="A129" t="s">
        <v>2172</v>
      </c>
    </row>
    <row r="130" spans="1:1" x14ac:dyDescent="0.3">
      <c r="A130" t="s">
        <v>2173</v>
      </c>
    </row>
    <row r="131" spans="1:1" x14ac:dyDescent="0.3">
      <c r="A131" t="s">
        <v>2174</v>
      </c>
    </row>
    <row r="132" spans="1:1" x14ac:dyDescent="0.3">
      <c r="A132" t="s">
        <v>2175</v>
      </c>
    </row>
    <row r="133" spans="1:1" x14ac:dyDescent="0.3">
      <c r="A133" t="s">
        <v>2176</v>
      </c>
    </row>
    <row r="134" spans="1:1" x14ac:dyDescent="0.3">
      <c r="A134" t="s">
        <v>2177</v>
      </c>
    </row>
    <row r="135" spans="1:1" x14ac:dyDescent="0.3">
      <c r="A135" t="s">
        <v>2178</v>
      </c>
    </row>
    <row r="136" spans="1:1" x14ac:dyDescent="0.3">
      <c r="A136" t="s">
        <v>2179</v>
      </c>
    </row>
    <row r="137" spans="1:1" x14ac:dyDescent="0.3">
      <c r="A137" t="s">
        <v>2180</v>
      </c>
    </row>
    <row r="138" spans="1:1" x14ac:dyDescent="0.3">
      <c r="A138" t="s">
        <v>2181</v>
      </c>
    </row>
    <row r="139" spans="1:1" x14ac:dyDescent="0.3">
      <c r="A139" t="s">
        <v>2182</v>
      </c>
    </row>
    <row r="140" spans="1:1" x14ac:dyDescent="0.3">
      <c r="A140" t="s">
        <v>2183</v>
      </c>
    </row>
    <row r="141" spans="1:1" x14ac:dyDescent="0.3">
      <c r="A141" t="s">
        <v>2184</v>
      </c>
    </row>
    <row r="142" spans="1:1" x14ac:dyDescent="0.3">
      <c r="A142" t="s">
        <v>2185</v>
      </c>
    </row>
    <row r="143" spans="1:1" x14ac:dyDescent="0.3">
      <c r="A143" t="s">
        <v>2186</v>
      </c>
    </row>
    <row r="144" spans="1:1" x14ac:dyDescent="0.3">
      <c r="A144" t="s">
        <v>2187</v>
      </c>
    </row>
    <row r="145" spans="1:1" x14ac:dyDescent="0.3">
      <c r="A145" t="s">
        <v>2188</v>
      </c>
    </row>
    <row r="146" spans="1:1" x14ac:dyDescent="0.3">
      <c r="A146" t="s">
        <v>2189</v>
      </c>
    </row>
    <row r="147" spans="1:1" x14ac:dyDescent="0.3">
      <c r="A147" t="s">
        <v>2190</v>
      </c>
    </row>
    <row r="148" spans="1:1" x14ac:dyDescent="0.3">
      <c r="A148" t="s">
        <v>2191</v>
      </c>
    </row>
    <row r="149" spans="1:1" x14ac:dyDescent="0.3">
      <c r="A149" t="s">
        <v>2192</v>
      </c>
    </row>
    <row r="150" spans="1:1" x14ac:dyDescent="0.3">
      <c r="A150" t="s">
        <v>2193</v>
      </c>
    </row>
    <row r="151" spans="1:1" x14ac:dyDescent="0.3">
      <c r="A151" t="s">
        <v>2194</v>
      </c>
    </row>
    <row r="152" spans="1:1" x14ac:dyDescent="0.3">
      <c r="A152" t="s">
        <v>2195</v>
      </c>
    </row>
    <row r="153" spans="1:1" x14ac:dyDescent="0.3">
      <c r="A153" t="s">
        <v>2196</v>
      </c>
    </row>
    <row r="154" spans="1:1" x14ac:dyDescent="0.3">
      <c r="A154" t="s">
        <v>2197</v>
      </c>
    </row>
    <row r="155" spans="1:1" x14ac:dyDescent="0.3">
      <c r="A155" t="s">
        <v>2198</v>
      </c>
    </row>
    <row r="156" spans="1:1" x14ac:dyDescent="0.3">
      <c r="A156" t="s">
        <v>2199</v>
      </c>
    </row>
    <row r="157" spans="1:1" x14ac:dyDescent="0.3">
      <c r="A157" t="s">
        <v>2200</v>
      </c>
    </row>
    <row r="158" spans="1:1" x14ac:dyDescent="0.3">
      <c r="A158" t="s">
        <v>2201</v>
      </c>
    </row>
    <row r="159" spans="1:1" x14ac:dyDescent="0.3">
      <c r="A159" t="s">
        <v>2202</v>
      </c>
    </row>
    <row r="160" spans="1:1" x14ac:dyDescent="0.3">
      <c r="A160" t="s">
        <v>2203</v>
      </c>
    </row>
    <row r="161" spans="1:1" x14ac:dyDescent="0.3">
      <c r="A161" t="s">
        <v>2204</v>
      </c>
    </row>
    <row r="162" spans="1:1" x14ac:dyDescent="0.3">
      <c r="A162" t="s">
        <v>2205</v>
      </c>
    </row>
    <row r="163" spans="1:1" x14ac:dyDescent="0.3">
      <c r="A163" t="s">
        <v>2206</v>
      </c>
    </row>
    <row r="164" spans="1:1" x14ac:dyDescent="0.3">
      <c r="A164" t="s">
        <v>2207</v>
      </c>
    </row>
    <row r="165" spans="1:1" x14ac:dyDescent="0.3">
      <c r="A165" t="s">
        <v>2208</v>
      </c>
    </row>
    <row r="166" spans="1:1" x14ac:dyDescent="0.3">
      <c r="A166" t="s">
        <v>2209</v>
      </c>
    </row>
    <row r="167" spans="1:1" x14ac:dyDescent="0.3">
      <c r="A167" t="s">
        <v>2210</v>
      </c>
    </row>
    <row r="168" spans="1:1" x14ac:dyDescent="0.3">
      <c r="A168" t="s">
        <v>2211</v>
      </c>
    </row>
    <row r="169" spans="1:1" x14ac:dyDescent="0.3">
      <c r="A169" t="s">
        <v>2212</v>
      </c>
    </row>
    <row r="170" spans="1:1" x14ac:dyDescent="0.3">
      <c r="A170" t="s">
        <v>2213</v>
      </c>
    </row>
    <row r="171" spans="1:1" x14ac:dyDescent="0.3">
      <c r="A171" t="s">
        <v>2214</v>
      </c>
    </row>
    <row r="172" spans="1:1" x14ac:dyDescent="0.3">
      <c r="A172" t="s">
        <v>2215</v>
      </c>
    </row>
    <row r="173" spans="1:1" x14ac:dyDescent="0.3">
      <c r="A173" t="s">
        <v>2216</v>
      </c>
    </row>
    <row r="174" spans="1:1" x14ac:dyDescent="0.3">
      <c r="A174" t="s">
        <v>2217</v>
      </c>
    </row>
    <row r="175" spans="1:1" x14ac:dyDescent="0.3">
      <c r="A175" t="s">
        <v>2218</v>
      </c>
    </row>
    <row r="176" spans="1:1" x14ac:dyDescent="0.3">
      <c r="A176" t="s">
        <v>2219</v>
      </c>
    </row>
    <row r="177" spans="1:1" x14ac:dyDescent="0.3">
      <c r="A177" t="s">
        <v>2220</v>
      </c>
    </row>
    <row r="178" spans="1:1" x14ac:dyDescent="0.3">
      <c r="A178" t="s">
        <v>2221</v>
      </c>
    </row>
    <row r="179" spans="1:1" x14ac:dyDescent="0.3">
      <c r="A179" t="s">
        <v>2222</v>
      </c>
    </row>
    <row r="180" spans="1:1" x14ac:dyDescent="0.3">
      <c r="A180" t="s">
        <v>2223</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8"/>
  <sheetViews>
    <sheetView workbookViewId="0">
      <selection activeCell="B19" sqref="B19"/>
    </sheetView>
  </sheetViews>
  <sheetFormatPr baseColWidth="10" defaultColWidth="11.44140625" defaultRowHeight="14.4" x14ac:dyDescent="0.3"/>
  <cols>
    <col min="1" max="1" width="30.88671875" customWidth="1"/>
    <col min="2" max="2" width="30.6640625" customWidth="1"/>
  </cols>
  <sheetData>
    <row r="1" spans="1:2" x14ac:dyDescent="0.3">
      <c r="A1" s="120" t="s">
        <v>2224</v>
      </c>
      <c r="B1" s="121" t="s">
        <v>1486</v>
      </c>
    </row>
    <row r="2" spans="1:2" ht="24.6" x14ac:dyDescent="0.3">
      <c r="A2" s="122" t="s">
        <v>2225</v>
      </c>
      <c r="B2" s="128" t="s">
        <v>2226</v>
      </c>
    </row>
    <row r="3" spans="1:2" x14ac:dyDescent="0.3">
      <c r="A3" s="122" t="s">
        <v>2025</v>
      </c>
      <c r="B3" s="128" t="s">
        <v>2227</v>
      </c>
    </row>
    <row r="4" spans="1:2" x14ac:dyDescent="0.3">
      <c r="A4" s="122" t="s">
        <v>2228</v>
      </c>
      <c r="B4" s="128" t="s">
        <v>2229</v>
      </c>
    </row>
    <row r="5" spans="1:2" x14ac:dyDescent="0.3">
      <c r="A5" s="129" t="s">
        <v>2230</v>
      </c>
      <c r="B5" s="130">
        <v>10000000</v>
      </c>
    </row>
    <row r="6" spans="1:2" x14ac:dyDescent="0.3">
      <c r="A6" s="122" t="s">
        <v>2231</v>
      </c>
      <c r="B6" s="130">
        <v>0</v>
      </c>
    </row>
    <row r="7" spans="1:2" x14ac:dyDescent="0.3">
      <c r="A7" s="122" t="s">
        <v>2232</v>
      </c>
      <c r="B7" s="130">
        <v>0</v>
      </c>
    </row>
    <row r="8" spans="1:2" x14ac:dyDescent="0.3">
      <c r="A8" s="122" t="s">
        <v>2233</v>
      </c>
      <c r="B8" s="131">
        <f>SUM(B5:B7)</f>
        <v>10000000</v>
      </c>
    </row>
  </sheetData>
  <pageMargins left="0.7" right="0.7" top="0.75" bottom="0.75" header="0.3" footer="0.3"/>
  <pageSetup orientation="portrait" horizontalDpi="0"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C00-000000000000}">
          <x14:formula1>
            <xm:f>'D Obra Civil'!$C$3:$C$6</xm:f>
          </x14:formula1>
          <xm:sqref>B4</xm:sqref>
        </x14:dataValidation>
        <x14:dataValidation type="list" allowBlank="1" showInputMessage="1" showErrorMessage="1" xr:uid="{00000000-0002-0000-0C00-000001000000}">
          <x14:formula1>
            <xm:f>'D Obra Civil'!$C$9:$C$10</xm:f>
          </x14:formula1>
          <xm:sqref>B3</xm:sqref>
        </x14:dataValidation>
        <x14:dataValidation type="list" allowBlank="1" showInputMessage="1" showErrorMessage="1" xr:uid="{00000000-0002-0000-0C00-000002000000}">
          <x14:formula1>
            <xm:f>'D Obra Civil'!$A$3:$A$134</xm:f>
          </x14:formula1>
          <xm:sqref>B2</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C134"/>
  <sheetViews>
    <sheetView workbookViewId="0">
      <selection activeCell="A16" sqref="A16"/>
    </sheetView>
  </sheetViews>
  <sheetFormatPr baseColWidth="10" defaultColWidth="11.44140625" defaultRowHeight="14.4" x14ac:dyDescent="0.3"/>
  <cols>
    <col min="1" max="1" width="47.6640625" customWidth="1"/>
    <col min="3" max="3" width="24.44140625" customWidth="1"/>
  </cols>
  <sheetData>
    <row r="2" spans="1:3" x14ac:dyDescent="0.3">
      <c r="A2" t="s">
        <v>2234</v>
      </c>
      <c r="C2" t="s">
        <v>2228</v>
      </c>
    </row>
    <row r="3" spans="1:3" x14ac:dyDescent="0.3">
      <c r="A3" t="s">
        <v>2235</v>
      </c>
      <c r="C3" t="s">
        <v>2236</v>
      </c>
    </row>
    <row r="4" spans="1:3" x14ac:dyDescent="0.3">
      <c r="A4" t="s">
        <v>2237</v>
      </c>
      <c r="C4" t="s">
        <v>2229</v>
      </c>
    </row>
    <row r="5" spans="1:3" x14ac:dyDescent="0.3">
      <c r="A5" t="s">
        <v>2238</v>
      </c>
      <c r="C5" t="s">
        <v>2239</v>
      </c>
    </row>
    <row r="6" spans="1:3" x14ac:dyDescent="0.3">
      <c r="A6" t="s">
        <v>2240</v>
      </c>
      <c r="C6" t="s">
        <v>2241</v>
      </c>
    </row>
    <row r="7" spans="1:3" x14ac:dyDescent="0.3">
      <c r="A7" t="s">
        <v>2242</v>
      </c>
    </row>
    <row r="8" spans="1:3" x14ac:dyDescent="0.3">
      <c r="A8" t="s">
        <v>2243</v>
      </c>
      <c r="C8" t="s">
        <v>2025</v>
      </c>
    </row>
    <row r="9" spans="1:3" x14ac:dyDescent="0.3">
      <c r="A9" t="s">
        <v>2244</v>
      </c>
      <c r="C9" t="s">
        <v>2227</v>
      </c>
    </row>
    <row r="10" spans="1:3" x14ac:dyDescent="0.3">
      <c r="A10" t="s">
        <v>2245</v>
      </c>
      <c r="C10" t="s">
        <v>2246</v>
      </c>
    </row>
    <row r="11" spans="1:3" x14ac:dyDescent="0.3">
      <c r="A11" t="s">
        <v>2247</v>
      </c>
    </row>
    <row r="12" spans="1:3" x14ac:dyDescent="0.3">
      <c r="A12" t="s">
        <v>2248</v>
      </c>
    </row>
    <row r="13" spans="1:3" x14ac:dyDescent="0.3">
      <c r="A13" t="s">
        <v>2249</v>
      </c>
    </row>
    <row r="14" spans="1:3" x14ac:dyDescent="0.3">
      <c r="A14" t="s">
        <v>2250</v>
      </c>
    </row>
    <row r="15" spans="1:3" x14ac:dyDescent="0.3">
      <c r="A15" t="s">
        <v>2251</v>
      </c>
    </row>
    <row r="16" spans="1:3" x14ac:dyDescent="0.3">
      <c r="A16" t="s">
        <v>2252</v>
      </c>
    </row>
    <row r="17" spans="1:1" x14ac:dyDescent="0.3">
      <c r="A17" t="s">
        <v>2253</v>
      </c>
    </row>
    <row r="18" spans="1:1" x14ac:dyDescent="0.3">
      <c r="A18" t="s">
        <v>2254</v>
      </c>
    </row>
    <row r="19" spans="1:1" x14ac:dyDescent="0.3">
      <c r="A19" t="s">
        <v>2255</v>
      </c>
    </row>
    <row r="20" spans="1:1" x14ac:dyDescent="0.3">
      <c r="A20" t="s">
        <v>2256</v>
      </c>
    </row>
    <row r="21" spans="1:1" x14ac:dyDescent="0.3">
      <c r="A21" t="s">
        <v>2257</v>
      </c>
    </row>
    <row r="22" spans="1:1" x14ac:dyDescent="0.3">
      <c r="A22" t="s">
        <v>2258</v>
      </c>
    </row>
    <row r="23" spans="1:1" x14ac:dyDescent="0.3">
      <c r="A23" t="s">
        <v>2259</v>
      </c>
    </row>
    <row r="24" spans="1:1" x14ac:dyDescent="0.3">
      <c r="A24" t="s">
        <v>2260</v>
      </c>
    </row>
    <row r="25" spans="1:1" x14ac:dyDescent="0.3">
      <c r="A25" t="s">
        <v>2261</v>
      </c>
    </row>
    <row r="26" spans="1:1" x14ac:dyDescent="0.3">
      <c r="A26" t="s">
        <v>2262</v>
      </c>
    </row>
    <row r="27" spans="1:1" x14ac:dyDescent="0.3">
      <c r="A27" t="s">
        <v>2263</v>
      </c>
    </row>
    <row r="28" spans="1:1" x14ac:dyDescent="0.3">
      <c r="A28" t="s">
        <v>2264</v>
      </c>
    </row>
    <row r="29" spans="1:1" x14ac:dyDescent="0.3">
      <c r="A29" t="s">
        <v>2265</v>
      </c>
    </row>
    <row r="30" spans="1:1" x14ac:dyDescent="0.3">
      <c r="A30" t="s">
        <v>2266</v>
      </c>
    </row>
    <row r="31" spans="1:1" x14ac:dyDescent="0.3">
      <c r="A31" t="s">
        <v>2267</v>
      </c>
    </row>
    <row r="32" spans="1:1" x14ac:dyDescent="0.3">
      <c r="A32" t="s">
        <v>2268</v>
      </c>
    </row>
    <row r="33" spans="1:1" x14ac:dyDescent="0.3">
      <c r="A33" t="s">
        <v>2269</v>
      </c>
    </row>
    <row r="34" spans="1:1" x14ac:dyDescent="0.3">
      <c r="A34" t="s">
        <v>2270</v>
      </c>
    </row>
    <row r="35" spans="1:1" x14ac:dyDescent="0.3">
      <c r="A35" t="s">
        <v>2271</v>
      </c>
    </row>
    <row r="36" spans="1:1" x14ac:dyDescent="0.3">
      <c r="A36" t="s">
        <v>2272</v>
      </c>
    </row>
    <row r="37" spans="1:1" x14ac:dyDescent="0.3">
      <c r="A37" t="s">
        <v>2273</v>
      </c>
    </row>
    <row r="38" spans="1:1" x14ac:dyDescent="0.3">
      <c r="A38" t="s">
        <v>2274</v>
      </c>
    </row>
    <row r="39" spans="1:1" x14ac:dyDescent="0.3">
      <c r="A39" t="s">
        <v>2275</v>
      </c>
    </row>
    <row r="40" spans="1:1" x14ac:dyDescent="0.3">
      <c r="A40" t="s">
        <v>2276</v>
      </c>
    </row>
    <row r="41" spans="1:1" x14ac:dyDescent="0.3">
      <c r="A41" t="s">
        <v>2277</v>
      </c>
    </row>
    <row r="42" spans="1:1" x14ac:dyDescent="0.3">
      <c r="A42" t="s">
        <v>2278</v>
      </c>
    </row>
    <row r="43" spans="1:1" x14ac:dyDescent="0.3">
      <c r="A43" t="s">
        <v>2279</v>
      </c>
    </row>
    <row r="44" spans="1:1" x14ac:dyDescent="0.3">
      <c r="A44" t="s">
        <v>2280</v>
      </c>
    </row>
    <row r="45" spans="1:1" x14ac:dyDescent="0.3">
      <c r="A45" t="s">
        <v>2281</v>
      </c>
    </row>
    <row r="46" spans="1:1" x14ac:dyDescent="0.3">
      <c r="A46" t="s">
        <v>2282</v>
      </c>
    </row>
    <row r="47" spans="1:1" x14ac:dyDescent="0.3">
      <c r="A47" t="s">
        <v>2283</v>
      </c>
    </row>
    <row r="48" spans="1:1" x14ac:dyDescent="0.3">
      <c r="A48" t="s">
        <v>2284</v>
      </c>
    </row>
    <row r="49" spans="1:1" x14ac:dyDescent="0.3">
      <c r="A49" t="s">
        <v>2285</v>
      </c>
    </row>
    <row r="50" spans="1:1" x14ac:dyDescent="0.3">
      <c r="A50" t="s">
        <v>2286</v>
      </c>
    </row>
    <row r="51" spans="1:1" x14ac:dyDescent="0.3">
      <c r="A51" t="s">
        <v>2287</v>
      </c>
    </row>
    <row r="52" spans="1:1" x14ac:dyDescent="0.3">
      <c r="A52" t="s">
        <v>2288</v>
      </c>
    </row>
    <row r="53" spans="1:1" x14ac:dyDescent="0.3">
      <c r="A53" t="s">
        <v>2289</v>
      </c>
    </row>
    <row r="54" spans="1:1" x14ac:dyDescent="0.3">
      <c r="A54" t="s">
        <v>2290</v>
      </c>
    </row>
    <row r="55" spans="1:1" x14ac:dyDescent="0.3">
      <c r="A55" t="s">
        <v>2291</v>
      </c>
    </row>
    <row r="56" spans="1:1" x14ac:dyDescent="0.3">
      <c r="A56" t="s">
        <v>2292</v>
      </c>
    </row>
    <row r="57" spans="1:1" x14ac:dyDescent="0.3">
      <c r="A57" t="s">
        <v>2293</v>
      </c>
    </row>
    <row r="58" spans="1:1" x14ac:dyDescent="0.3">
      <c r="A58" t="s">
        <v>2294</v>
      </c>
    </row>
    <row r="59" spans="1:1" x14ac:dyDescent="0.3">
      <c r="A59" t="s">
        <v>2295</v>
      </c>
    </row>
    <row r="60" spans="1:1" x14ac:dyDescent="0.3">
      <c r="A60" t="s">
        <v>2296</v>
      </c>
    </row>
    <row r="61" spans="1:1" x14ac:dyDescent="0.3">
      <c r="A61" t="s">
        <v>2297</v>
      </c>
    </row>
    <row r="62" spans="1:1" x14ac:dyDescent="0.3">
      <c r="A62" t="s">
        <v>2298</v>
      </c>
    </row>
    <row r="63" spans="1:1" x14ac:dyDescent="0.3">
      <c r="A63" t="s">
        <v>2226</v>
      </c>
    </row>
    <row r="64" spans="1:1" x14ac:dyDescent="0.3">
      <c r="A64" t="s">
        <v>2299</v>
      </c>
    </row>
    <row r="65" spans="1:1" x14ac:dyDescent="0.3">
      <c r="A65" t="s">
        <v>2300</v>
      </c>
    </row>
    <row r="66" spans="1:1" x14ac:dyDescent="0.3">
      <c r="A66" t="s">
        <v>2301</v>
      </c>
    </row>
    <row r="67" spans="1:1" x14ac:dyDescent="0.3">
      <c r="A67" t="s">
        <v>2302</v>
      </c>
    </row>
    <row r="68" spans="1:1" x14ac:dyDescent="0.3">
      <c r="A68" t="s">
        <v>2303</v>
      </c>
    </row>
    <row r="69" spans="1:1" x14ac:dyDescent="0.3">
      <c r="A69" t="s">
        <v>2304</v>
      </c>
    </row>
    <row r="70" spans="1:1" x14ac:dyDescent="0.3">
      <c r="A70" t="s">
        <v>2305</v>
      </c>
    </row>
    <row r="71" spans="1:1" x14ac:dyDescent="0.3">
      <c r="A71" t="s">
        <v>2306</v>
      </c>
    </row>
    <row r="72" spans="1:1" x14ac:dyDescent="0.3">
      <c r="A72" t="s">
        <v>2307</v>
      </c>
    </row>
    <row r="73" spans="1:1" x14ac:dyDescent="0.3">
      <c r="A73" t="s">
        <v>2308</v>
      </c>
    </row>
    <row r="74" spans="1:1" x14ac:dyDescent="0.3">
      <c r="A74" t="s">
        <v>2309</v>
      </c>
    </row>
    <row r="75" spans="1:1" x14ac:dyDescent="0.3">
      <c r="A75" t="s">
        <v>2310</v>
      </c>
    </row>
    <row r="76" spans="1:1" x14ac:dyDescent="0.3">
      <c r="A76" t="s">
        <v>2311</v>
      </c>
    </row>
    <row r="77" spans="1:1" x14ac:dyDescent="0.3">
      <c r="A77" t="s">
        <v>2312</v>
      </c>
    </row>
    <row r="78" spans="1:1" x14ac:dyDescent="0.3">
      <c r="A78" t="s">
        <v>2313</v>
      </c>
    </row>
    <row r="79" spans="1:1" x14ac:dyDescent="0.3">
      <c r="A79" t="s">
        <v>2314</v>
      </c>
    </row>
    <row r="80" spans="1:1" x14ac:dyDescent="0.3">
      <c r="A80" t="s">
        <v>2315</v>
      </c>
    </row>
    <row r="81" spans="1:1" x14ac:dyDescent="0.3">
      <c r="A81" t="s">
        <v>2316</v>
      </c>
    </row>
    <row r="82" spans="1:1" x14ac:dyDescent="0.3">
      <c r="A82" t="s">
        <v>2317</v>
      </c>
    </row>
    <row r="83" spans="1:1" x14ac:dyDescent="0.3">
      <c r="A83" t="s">
        <v>2318</v>
      </c>
    </row>
    <row r="84" spans="1:1" x14ac:dyDescent="0.3">
      <c r="A84" t="s">
        <v>2319</v>
      </c>
    </row>
    <row r="85" spans="1:1" x14ac:dyDescent="0.3">
      <c r="A85" t="s">
        <v>2320</v>
      </c>
    </row>
    <row r="86" spans="1:1" x14ac:dyDescent="0.3">
      <c r="A86" t="s">
        <v>2321</v>
      </c>
    </row>
    <row r="87" spans="1:1" x14ac:dyDescent="0.3">
      <c r="A87" t="s">
        <v>2322</v>
      </c>
    </row>
    <row r="88" spans="1:1" x14ac:dyDescent="0.3">
      <c r="A88" t="s">
        <v>2323</v>
      </c>
    </row>
    <row r="89" spans="1:1" x14ac:dyDescent="0.3">
      <c r="A89" t="s">
        <v>2324</v>
      </c>
    </row>
    <row r="90" spans="1:1" x14ac:dyDescent="0.3">
      <c r="A90" t="s">
        <v>2325</v>
      </c>
    </row>
    <row r="91" spans="1:1" x14ac:dyDescent="0.3">
      <c r="A91" t="s">
        <v>2326</v>
      </c>
    </row>
    <row r="92" spans="1:1" x14ac:dyDescent="0.3">
      <c r="A92" t="s">
        <v>2327</v>
      </c>
    </row>
    <row r="93" spans="1:1" x14ac:dyDescent="0.3">
      <c r="A93" t="s">
        <v>2328</v>
      </c>
    </row>
    <row r="94" spans="1:1" x14ac:dyDescent="0.3">
      <c r="A94" t="s">
        <v>2329</v>
      </c>
    </row>
    <row r="95" spans="1:1" x14ac:dyDescent="0.3">
      <c r="A95" t="s">
        <v>2330</v>
      </c>
    </row>
    <row r="96" spans="1:1" x14ac:dyDescent="0.3">
      <c r="A96" t="s">
        <v>2331</v>
      </c>
    </row>
    <row r="97" spans="1:1" x14ac:dyDescent="0.3">
      <c r="A97" t="s">
        <v>2332</v>
      </c>
    </row>
    <row r="98" spans="1:1" x14ac:dyDescent="0.3">
      <c r="A98" t="s">
        <v>2333</v>
      </c>
    </row>
    <row r="99" spans="1:1" x14ac:dyDescent="0.3">
      <c r="A99" t="s">
        <v>2334</v>
      </c>
    </row>
    <row r="100" spans="1:1" x14ac:dyDescent="0.3">
      <c r="A100" t="s">
        <v>2335</v>
      </c>
    </row>
    <row r="101" spans="1:1" x14ac:dyDescent="0.3">
      <c r="A101" t="s">
        <v>2336</v>
      </c>
    </row>
    <row r="102" spans="1:1" x14ac:dyDescent="0.3">
      <c r="A102" t="s">
        <v>2337</v>
      </c>
    </row>
    <row r="103" spans="1:1" x14ac:dyDescent="0.3">
      <c r="A103" t="s">
        <v>2338</v>
      </c>
    </row>
    <row r="104" spans="1:1" x14ac:dyDescent="0.3">
      <c r="A104" t="s">
        <v>2339</v>
      </c>
    </row>
    <row r="105" spans="1:1" x14ac:dyDescent="0.3">
      <c r="A105" t="s">
        <v>2340</v>
      </c>
    </row>
    <row r="106" spans="1:1" x14ac:dyDescent="0.3">
      <c r="A106" t="s">
        <v>2341</v>
      </c>
    </row>
    <row r="107" spans="1:1" x14ac:dyDescent="0.3">
      <c r="A107" t="s">
        <v>2342</v>
      </c>
    </row>
    <row r="108" spans="1:1" x14ac:dyDescent="0.3">
      <c r="A108" t="s">
        <v>2343</v>
      </c>
    </row>
    <row r="109" spans="1:1" x14ac:dyDescent="0.3">
      <c r="A109" t="s">
        <v>2344</v>
      </c>
    </row>
    <row r="110" spans="1:1" x14ac:dyDescent="0.3">
      <c r="A110" t="s">
        <v>2345</v>
      </c>
    </row>
    <row r="111" spans="1:1" x14ac:dyDescent="0.3">
      <c r="A111" t="s">
        <v>2346</v>
      </c>
    </row>
    <row r="112" spans="1:1" x14ac:dyDescent="0.3">
      <c r="A112" t="s">
        <v>2347</v>
      </c>
    </row>
    <row r="113" spans="1:1" x14ac:dyDescent="0.3">
      <c r="A113" t="s">
        <v>2348</v>
      </c>
    </row>
    <row r="114" spans="1:1" x14ac:dyDescent="0.3">
      <c r="A114" t="s">
        <v>2349</v>
      </c>
    </row>
    <row r="115" spans="1:1" x14ac:dyDescent="0.3">
      <c r="A115" t="s">
        <v>2350</v>
      </c>
    </row>
    <row r="116" spans="1:1" x14ac:dyDescent="0.3">
      <c r="A116" t="s">
        <v>2351</v>
      </c>
    </row>
    <row r="117" spans="1:1" x14ac:dyDescent="0.3">
      <c r="A117" t="s">
        <v>2352</v>
      </c>
    </row>
    <row r="118" spans="1:1" x14ac:dyDescent="0.3">
      <c r="A118" t="s">
        <v>2353</v>
      </c>
    </row>
    <row r="119" spans="1:1" x14ac:dyDescent="0.3">
      <c r="A119" t="s">
        <v>2354</v>
      </c>
    </row>
    <row r="120" spans="1:1" x14ac:dyDescent="0.3">
      <c r="A120" t="s">
        <v>2355</v>
      </c>
    </row>
    <row r="121" spans="1:1" x14ac:dyDescent="0.3">
      <c r="A121" t="s">
        <v>2356</v>
      </c>
    </row>
    <row r="122" spans="1:1" x14ac:dyDescent="0.3">
      <c r="A122" t="s">
        <v>2357</v>
      </c>
    </row>
    <row r="123" spans="1:1" x14ac:dyDescent="0.3">
      <c r="A123" t="s">
        <v>2358</v>
      </c>
    </row>
    <row r="124" spans="1:1" x14ac:dyDescent="0.3">
      <c r="A124" t="s">
        <v>2359</v>
      </c>
    </row>
    <row r="125" spans="1:1" x14ac:dyDescent="0.3">
      <c r="A125" t="s">
        <v>2360</v>
      </c>
    </row>
    <row r="126" spans="1:1" x14ac:dyDescent="0.3">
      <c r="A126" t="s">
        <v>2361</v>
      </c>
    </row>
    <row r="127" spans="1:1" x14ac:dyDescent="0.3">
      <c r="A127" t="s">
        <v>2362</v>
      </c>
    </row>
    <row r="128" spans="1:1" x14ac:dyDescent="0.3">
      <c r="A128" t="s">
        <v>2363</v>
      </c>
    </row>
    <row r="129" spans="1:1" x14ac:dyDescent="0.3">
      <c r="A129" t="s">
        <v>2364</v>
      </c>
    </row>
    <row r="130" spans="1:1" x14ac:dyDescent="0.3">
      <c r="A130" t="s">
        <v>2365</v>
      </c>
    </row>
    <row r="131" spans="1:1" x14ac:dyDescent="0.3">
      <c r="A131" t="s">
        <v>2366</v>
      </c>
    </row>
    <row r="132" spans="1:1" x14ac:dyDescent="0.3">
      <c r="A132" t="s">
        <v>2367</v>
      </c>
    </row>
    <row r="133" spans="1:1" x14ac:dyDescent="0.3">
      <c r="A133" t="s">
        <v>2368</v>
      </c>
    </row>
    <row r="134" spans="1:1" x14ac:dyDescent="0.3">
      <c r="A134" t="s">
        <v>2369</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2"/>
  <dimension ref="A1:E197"/>
  <sheetViews>
    <sheetView topLeftCell="A147" zoomScaleNormal="100" workbookViewId="0">
      <selection activeCell="A165" sqref="A165"/>
    </sheetView>
  </sheetViews>
  <sheetFormatPr baseColWidth="10" defaultColWidth="11.44140625" defaultRowHeight="10.199999999999999" x14ac:dyDescent="0.2"/>
  <cols>
    <col min="1" max="1" width="7" style="39" customWidth="1"/>
    <col min="2" max="2" width="46.5546875" style="39" customWidth="1"/>
    <col min="3" max="3" width="22.33203125" style="39" customWidth="1"/>
    <col min="4" max="4" width="13.109375" style="39" customWidth="1"/>
    <col min="5" max="16384" width="11.44140625" style="39"/>
  </cols>
  <sheetData>
    <row r="1" spans="1:4" x14ac:dyDescent="0.2">
      <c r="A1" s="39" t="s">
        <v>2370</v>
      </c>
      <c r="B1" s="39" t="s">
        <v>1094</v>
      </c>
    </row>
    <row r="2" spans="1:4" x14ac:dyDescent="0.2">
      <c r="A2" s="44">
        <v>1</v>
      </c>
      <c r="B2" s="39" t="s">
        <v>2371</v>
      </c>
      <c r="C2" s="39" t="s">
        <v>2372</v>
      </c>
      <c r="D2" s="39" t="s">
        <v>2373</v>
      </c>
    </row>
    <row r="3" spans="1:4" x14ac:dyDescent="0.2">
      <c r="A3" s="44">
        <v>2</v>
      </c>
      <c r="B3" s="39" t="s">
        <v>2374</v>
      </c>
      <c r="C3" s="39" t="s">
        <v>2372</v>
      </c>
      <c r="D3" s="39" t="s">
        <v>2375</v>
      </c>
    </row>
    <row r="4" spans="1:4" x14ac:dyDescent="0.2">
      <c r="A4" s="44">
        <v>3</v>
      </c>
      <c r="B4" s="39" t="s">
        <v>2376</v>
      </c>
      <c r="C4" s="39" t="s">
        <v>2372</v>
      </c>
      <c r="D4" s="39" t="s">
        <v>2377</v>
      </c>
    </row>
    <row r="5" spans="1:4" x14ac:dyDescent="0.2">
      <c r="A5" s="44">
        <v>4</v>
      </c>
      <c r="B5" s="39" t="s">
        <v>2378</v>
      </c>
      <c r="C5" s="39" t="s">
        <v>2372</v>
      </c>
      <c r="D5" s="39" t="s">
        <v>2379</v>
      </c>
    </row>
    <row r="6" spans="1:4" x14ac:dyDescent="0.2">
      <c r="A6" s="44">
        <v>5</v>
      </c>
      <c r="B6" s="39" t="s">
        <v>2380</v>
      </c>
      <c r="C6" s="39" t="s">
        <v>2372</v>
      </c>
      <c r="D6" s="39" t="s">
        <v>2381</v>
      </c>
    </row>
    <row r="7" spans="1:4" x14ac:dyDescent="0.2">
      <c r="A7" s="44">
        <v>6</v>
      </c>
      <c r="B7" s="39" t="s">
        <v>2382</v>
      </c>
      <c r="C7" s="39" t="s">
        <v>2372</v>
      </c>
      <c r="D7" s="39" t="s">
        <v>2383</v>
      </c>
    </row>
    <row r="8" spans="1:4" x14ac:dyDescent="0.2">
      <c r="A8" s="44">
        <v>7</v>
      </c>
      <c r="B8" s="39" t="s">
        <v>2384</v>
      </c>
      <c r="C8" s="39" t="s">
        <v>2372</v>
      </c>
      <c r="D8" s="39" t="s">
        <v>2385</v>
      </c>
    </row>
    <row r="9" spans="1:4" x14ac:dyDescent="0.2">
      <c r="A9" s="44">
        <v>8</v>
      </c>
      <c r="B9" s="39" t="s">
        <v>2386</v>
      </c>
      <c r="C9" s="39" t="s">
        <v>2372</v>
      </c>
      <c r="D9" s="39" t="s">
        <v>2387</v>
      </c>
    </row>
    <row r="10" spans="1:4" x14ac:dyDescent="0.2">
      <c r="A10" s="44">
        <v>9</v>
      </c>
      <c r="B10" s="39" t="s">
        <v>2388</v>
      </c>
      <c r="C10" s="39" t="s">
        <v>2372</v>
      </c>
      <c r="D10" s="39" t="s">
        <v>2389</v>
      </c>
    </row>
    <row r="11" spans="1:4" x14ac:dyDescent="0.2">
      <c r="A11" s="44">
        <v>10</v>
      </c>
      <c r="B11" s="39" t="s">
        <v>2390</v>
      </c>
      <c r="C11" s="39" t="s">
        <v>2372</v>
      </c>
      <c r="D11" s="39" t="s">
        <v>2391</v>
      </c>
    </row>
    <row r="12" spans="1:4" x14ac:dyDescent="0.2">
      <c r="A12" s="44">
        <v>11</v>
      </c>
      <c r="B12" s="39" t="s">
        <v>2392</v>
      </c>
      <c r="C12" s="39" t="s">
        <v>2372</v>
      </c>
      <c r="D12" s="39" t="s">
        <v>2393</v>
      </c>
    </row>
    <row r="13" spans="1:4" x14ac:dyDescent="0.2">
      <c r="A13" s="44">
        <v>12</v>
      </c>
      <c r="B13" s="39" t="s">
        <v>2394</v>
      </c>
      <c r="C13" s="39" t="s">
        <v>2372</v>
      </c>
      <c r="D13" s="39" t="s">
        <v>2395</v>
      </c>
    </row>
    <row r="14" spans="1:4" x14ac:dyDescent="0.2">
      <c r="A14" s="44">
        <v>13</v>
      </c>
      <c r="B14" s="39" t="s">
        <v>2396</v>
      </c>
      <c r="C14" s="39" t="s">
        <v>2372</v>
      </c>
      <c r="D14" s="39" t="s">
        <v>2397</v>
      </c>
    </row>
    <row r="15" spans="1:4" x14ac:dyDescent="0.2">
      <c r="A15" s="44">
        <v>14</v>
      </c>
      <c r="B15" s="39" t="s">
        <v>2398</v>
      </c>
      <c r="C15" s="39" t="s">
        <v>2372</v>
      </c>
      <c r="D15" s="39" t="s">
        <v>2399</v>
      </c>
    </row>
    <row r="16" spans="1:4" x14ac:dyDescent="0.2">
      <c r="A16" s="44">
        <v>15</v>
      </c>
      <c r="B16" s="39" t="s">
        <v>2400</v>
      </c>
      <c r="C16" s="39" t="s">
        <v>2372</v>
      </c>
      <c r="D16" s="39" t="s">
        <v>2401</v>
      </c>
    </row>
    <row r="17" spans="1:4" x14ac:dyDescent="0.2">
      <c r="A17" s="44">
        <v>16</v>
      </c>
      <c r="B17" s="39" t="s">
        <v>2402</v>
      </c>
      <c r="C17" s="39" t="s">
        <v>2372</v>
      </c>
      <c r="D17" s="39" t="s">
        <v>2403</v>
      </c>
    </row>
    <row r="18" spans="1:4" x14ac:dyDescent="0.2">
      <c r="A18" s="44">
        <v>17</v>
      </c>
      <c r="B18" s="39" t="s">
        <v>2404</v>
      </c>
      <c r="C18" s="39" t="s">
        <v>2405</v>
      </c>
      <c r="D18" s="39" t="s">
        <v>2406</v>
      </c>
    </row>
    <row r="19" spans="1:4" x14ac:dyDescent="0.2">
      <c r="A19" s="44">
        <v>18</v>
      </c>
      <c r="B19" s="39" t="s">
        <v>2407</v>
      </c>
      <c r="C19" s="39" t="s">
        <v>2405</v>
      </c>
      <c r="D19" s="39" t="s">
        <v>2408</v>
      </c>
    </row>
    <row r="20" spans="1:4" x14ac:dyDescent="0.2">
      <c r="A20" s="44">
        <v>19</v>
      </c>
      <c r="B20" s="39" t="s">
        <v>2409</v>
      </c>
      <c r="C20" s="39" t="s">
        <v>2405</v>
      </c>
      <c r="D20" s="39" t="s">
        <v>2410</v>
      </c>
    </row>
    <row r="21" spans="1:4" x14ac:dyDescent="0.2">
      <c r="A21" s="44">
        <v>20</v>
      </c>
      <c r="B21" s="39" t="s">
        <v>2411</v>
      </c>
      <c r="C21" s="39" t="s">
        <v>2405</v>
      </c>
      <c r="D21" s="39" t="s">
        <v>2412</v>
      </c>
    </row>
    <row r="22" spans="1:4" x14ac:dyDescent="0.2">
      <c r="A22" s="44">
        <v>21</v>
      </c>
      <c r="B22" s="39" t="s">
        <v>2413</v>
      </c>
      <c r="C22" s="39" t="s">
        <v>2405</v>
      </c>
      <c r="D22" s="39" t="s">
        <v>2414</v>
      </c>
    </row>
    <row r="23" spans="1:4" x14ac:dyDescent="0.2">
      <c r="A23" s="44">
        <v>22</v>
      </c>
      <c r="B23" s="39" t="s">
        <v>2415</v>
      </c>
      <c r="C23" s="39" t="s">
        <v>2405</v>
      </c>
      <c r="D23" s="39" t="s">
        <v>2416</v>
      </c>
    </row>
    <row r="24" spans="1:4" x14ac:dyDescent="0.2">
      <c r="A24" s="44">
        <v>23</v>
      </c>
      <c r="B24" s="39" t="s">
        <v>2417</v>
      </c>
      <c r="C24" s="39" t="s">
        <v>2405</v>
      </c>
      <c r="D24" s="39" t="s">
        <v>2418</v>
      </c>
    </row>
    <row r="25" spans="1:4" x14ac:dyDescent="0.2">
      <c r="A25" s="44">
        <v>24</v>
      </c>
      <c r="B25" s="39" t="s">
        <v>2419</v>
      </c>
      <c r="C25" s="39" t="s">
        <v>2405</v>
      </c>
      <c r="D25" s="39" t="s">
        <v>2420</v>
      </c>
    </row>
    <row r="26" spans="1:4" x14ac:dyDescent="0.2">
      <c r="A26" s="44">
        <v>25</v>
      </c>
      <c r="B26" s="39" t="s">
        <v>2421</v>
      </c>
      <c r="C26" s="39" t="s">
        <v>2405</v>
      </c>
      <c r="D26" s="39" t="s">
        <v>2422</v>
      </c>
    </row>
    <row r="27" spans="1:4" x14ac:dyDescent="0.2">
      <c r="A27" s="44">
        <v>26</v>
      </c>
      <c r="B27" s="39" t="s">
        <v>2423</v>
      </c>
      <c r="C27" s="39" t="s">
        <v>2405</v>
      </c>
      <c r="D27" s="39" t="s">
        <v>2424</v>
      </c>
    </row>
    <row r="28" spans="1:4" x14ac:dyDescent="0.2">
      <c r="A28" s="44">
        <v>27</v>
      </c>
      <c r="B28" s="39" t="s">
        <v>2425</v>
      </c>
      <c r="C28" s="39" t="s">
        <v>2405</v>
      </c>
      <c r="D28" s="39" t="s">
        <v>2426</v>
      </c>
    </row>
    <row r="29" spans="1:4" x14ac:dyDescent="0.2">
      <c r="A29" s="44">
        <v>28</v>
      </c>
      <c r="B29" s="39" t="s">
        <v>2427</v>
      </c>
      <c r="C29" s="39" t="s">
        <v>2405</v>
      </c>
      <c r="D29" s="39" t="s">
        <v>2428</v>
      </c>
    </row>
    <row r="30" spans="1:4" x14ac:dyDescent="0.2">
      <c r="A30" s="44">
        <v>29</v>
      </c>
      <c r="B30" s="39" t="s">
        <v>2429</v>
      </c>
      <c r="C30" s="39" t="s">
        <v>2405</v>
      </c>
      <c r="D30" s="39" t="s">
        <v>2430</v>
      </c>
    </row>
    <row r="31" spans="1:4" x14ac:dyDescent="0.2">
      <c r="A31" s="44">
        <v>30</v>
      </c>
      <c r="B31" s="39" t="s">
        <v>2431</v>
      </c>
      <c r="C31" s="39" t="s">
        <v>2431</v>
      </c>
      <c r="D31" s="39" t="s">
        <v>2432</v>
      </c>
    </row>
    <row r="32" spans="1:4" x14ac:dyDescent="0.2">
      <c r="A32" s="44">
        <v>31</v>
      </c>
      <c r="B32" s="39" t="s">
        <v>2433</v>
      </c>
      <c r="C32" s="39" t="s">
        <v>2434</v>
      </c>
      <c r="D32" s="39" t="s">
        <v>2435</v>
      </c>
    </row>
    <row r="33" spans="1:4" x14ac:dyDescent="0.2">
      <c r="A33" s="44">
        <v>32</v>
      </c>
      <c r="B33" s="39" t="s">
        <v>2436</v>
      </c>
      <c r="C33" s="39" t="s">
        <v>2437</v>
      </c>
      <c r="D33" s="39" t="s">
        <v>2438</v>
      </c>
    </row>
    <row r="34" spans="1:4" x14ac:dyDescent="0.2">
      <c r="A34" s="44">
        <v>33</v>
      </c>
      <c r="B34" s="39" t="s">
        <v>2439</v>
      </c>
      <c r="C34" s="39" t="s">
        <v>2437</v>
      </c>
      <c r="D34" s="39" t="s">
        <v>2440</v>
      </c>
    </row>
    <row r="35" spans="1:4" x14ac:dyDescent="0.2">
      <c r="A35" s="44">
        <v>34</v>
      </c>
      <c r="B35" s="39" t="s">
        <v>2441</v>
      </c>
      <c r="C35" s="39" t="s">
        <v>2437</v>
      </c>
      <c r="D35" s="39" t="s">
        <v>2442</v>
      </c>
    </row>
    <row r="36" spans="1:4" x14ac:dyDescent="0.2">
      <c r="A36" s="44">
        <v>35</v>
      </c>
      <c r="B36" s="39" t="s">
        <v>2443</v>
      </c>
      <c r="C36" s="39" t="s">
        <v>2443</v>
      </c>
      <c r="D36" s="39" t="s">
        <v>2444</v>
      </c>
    </row>
    <row r="37" spans="1:4" x14ac:dyDescent="0.2">
      <c r="A37" s="44">
        <v>36</v>
      </c>
      <c r="B37" s="39" t="s">
        <v>1264</v>
      </c>
      <c r="C37" s="39" t="s">
        <v>1264</v>
      </c>
      <c r="D37" s="39" t="s">
        <v>2445</v>
      </c>
    </row>
    <row r="38" spans="1:4" x14ac:dyDescent="0.2">
      <c r="A38" s="44">
        <v>37</v>
      </c>
      <c r="B38" s="39" t="s">
        <v>2446</v>
      </c>
      <c r="C38" s="39" t="s">
        <v>2446</v>
      </c>
      <c r="D38" s="39" t="s">
        <v>2447</v>
      </c>
    </row>
    <row r="39" spans="1:4" x14ac:dyDescent="0.2">
      <c r="A39" s="44">
        <v>38</v>
      </c>
      <c r="B39" s="39" t="s">
        <v>2448</v>
      </c>
      <c r="C39" s="39" t="s">
        <v>2448</v>
      </c>
      <c r="D39" s="39" t="s">
        <v>2449</v>
      </c>
    </row>
    <row r="40" spans="1:4" x14ac:dyDescent="0.2">
      <c r="A40" s="44">
        <v>39</v>
      </c>
      <c r="B40" s="39" t="s">
        <v>1430</v>
      </c>
      <c r="C40" s="39" t="s">
        <v>1430</v>
      </c>
      <c r="D40" s="39" t="s">
        <v>2450</v>
      </c>
    </row>
    <row r="41" spans="1:4" x14ac:dyDescent="0.2">
      <c r="A41" s="44">
        <v>40</v>
      </c>
      <c r="B41" s="39" t="s">
        <v>1283</v>
      </c>
      <c r="C41" s="39" t="s">
        <v>2451</v>
      </c>
      <c r="D41" s="39" t="s">
        <v>2452</v>
      </c>
    </row>
    <row r="42" spans="1:4" x14ac:dyDescent="0.2">
      <c r="A42" s="44">
        <v>41</v>
      </c>
      <c r="B42" s="39" t="s">
        <v>1286</v>
      </c>
      <c r="C42" s="39" t="s">
        <v>1286</v>
      </c>
      <c r="D42" s="39" t="s">
        <v>2453</v>
      </c>
    </row>
    <row r="43" spans="1:4" x14ac:dyDescent="0.2">
      <c r="A43" s="44">
        <v>42</v>
      </c>
      <c r="B43" s="39" t="s">
        <v>2454</v>
      </c>
      <c r="C43" s="39" t="s">
        <v>2455</v>
      </c>
      <c r="D43" s="39" t="s">
        <v>2456</v>
      </c>
    </row>
    <row r="44" spans="1:4" x14ac:dyDescent="0.2">
      <c r="A44" s="44">
        <v>43</v>
      </c>
      <c r="B44" s="39" t="s">
        <v>2457</v>
      </c>
      <c r="C44" s="39" t="s">
        <v>2458</v>
      </c>
      <c r="D44" s="39" t="s">
        <v>2459</v>
      </c>
    </row>
    <row r="45" spans="1:4" x14ac:dyDescent="0.2">
      <c r="A45" s="44">
        <v>44</v>
      </c>
      <c r="B45" s="39" t="s">
        <v>2460</v>
      </c>
      <c r="C45" s="39" t="s">
        <v>2461</v>
      </c>
      <c r="D45" s="39" t="s">
        <v>2462</v>
      </c>
    </row>
    <row r="46" spans="1:4" x14ac:dyDescent="0.2">
      <c r="A46" s="44">
        <v>45</v>
      </c>
      <c r="B46" s="39" t="s">
        <v>2463</v>
      </c>
      <c r="C46" s="39" t="s">
        <v>2464</v>
      </c>
      <c r="D46" s="39" t="s">
        <v>2465</v>
      </c>
    </row>
    <row r="47" spans="1:4" x14ac:dyDescent="0.2">
      <c r="A47" s="44">
        <v>46</v>
      </c>
      <c r="B47" s="39" t="s">
        <v>2466</v>
      </c>
      <c r="C47" s="39" t="s">
        <v>2467</v>
      </c>
      <c r="D47" s="39" t="s">
        <v>2468</v>
      </c>
    </row>
    <row r="48" spans="1:4" x14ac:dyDescent="0.2">
      <c r="A48" s="44">
        <v>47</v>
      </c>
      <c r="B48" s="39" t="s">
        <v>2469</v>
      </c>
      <c r="C48" s="39" t="s">
        <v>2470</v>
      </c>
      <c r="D48" s="39" t="s">
        <v>2471</v>
      </c>
    </row>
    <row r="49" spans="1:4" x14ac:dyDescent="0.2">
      <c r="A49" s="44">
        <v>48</v>
      </c>
      <c r="B49" s="39" t="s">
        <v>2472</v>
      </c>
      <c r="C49" s="39" t="s">
        <v>2473</v>
      </c>
      <c r="D49" s="39" t="s">
        <v>2474</v>
      </c>
    </row>
    <row r="50" spans="1:4" x14ac:dyDescent="0.2">
      <c r="A50" s="44">
        <v>49</v>
      </c>
      <c r="B50" s="39" t="s">
        <v>2475</v>
      </c>
      <c r="C50" s="39" t="s">
        <v>2476</v>
      </c>
      <c r="D50" s="39" t="s">
        <v>2477</v>
      </c>
    </row>
    <row r="51" spans="1:4" x14ac:dyDescent="0.2">
      <c r="A51" s="44">
        <v>50</v>
      </c>
      <c r="B51" s="39" t="s">
        <v>2478</v>
      </c>
      <c r="C51" s="39" t="s">
        <v>2479</v>
      </c>
      <c r="D51" s="39" t="s">
        <v>2480</v>
      </c>
    </row>
    <row r="52" spans="1:4" x14ac:dyDescent="0.2">
      <c r="A52" s="44">
        <v>51</v>
      </c>
      <c r="B52" s="39" t="s">
        <v>1330</v>
      </c>
      <c r="C52" s="39" t="s">
        <v>2481</v>
      </c>
      <c r="D52" s="39" t="s">
        <v>2482</v>
      </c>
    </row>
    <row r="53" spans="1:4" x14ac:dyDescent="0.2">
      <c r="A53" s="44">
        <v>52</v>
      </c>
      <c r="B53" s="39" t="s">
        <v>2483</v>
      </c>
      <c r="C53" s="39" t="s">
        <v>2484</v>
      </c>
      <c r="D53" s="39" t="s">
        <v>2485</v>
      </c>
    </row>
    <row r="54" spans="1:4" x14ac:dyDescent="0.2">
      <c r="A54" s="44">
        <v>53</v>
      </c>
      <c r="B54" s="39" t="s">
        <v>2486</v>
      </c>
      <c r="C54" s="39" t="s">
        <v>2487</v>
      </c>
      <c r="D54" s="39" t="s">
        <v>2488</v>
      </c>
    </row>
    <row r="55" spans="1:4" x14ac:dyDescent="0.2">
      <c r="A55" s="44">
        <v>54</v>
      </c>
      <c r="B55" s="39" t="s">
        <v>2489</v>
      </c>
      <c r="C55" s="39" t="s">
        <v>1408</v>
      </c>
      <c r="D55" s="39" t="s">
        <v>2490</v>
      </c>
    </row>
    <row r="56" spans="1:4" x14ac:dyDescent="0.2">
      <c r="A56" s="44">
        <v>55</v>
      </c>
      <c r="B56" s="39" t="s">
        <v>2491</v>
      </c>
      <c r="C56" s="39" t="s">
        <v>2492</v>
      </c>
      <c r="D56" s="39" t="s">
        <v>2493</v>
      </c>
    </row>
    <row r="57" spans="1:4" x14ac:dyDescent="0.2">
      <c r="A57" s="44">
        <v>56</v>
      </c>
      <c r="B57" s="39" t="s">
        <v>2494</v>
      </c>
      <c r="C57" s="39" t="s">
        <v>2495</v>
      </c>
      <c r="D57" s="39" t="s">
        <v>2496</v>
      </c>
    </row>
    <row r="58" spans="1:4" x14ac:dyDescent="0.2">
      <c r="A58" s="44">
        <v>57</v>
      </c>
      <c r="B58" s="39" t="s">
        <v>2497</v>
      </c>
      <c r="C58" s="39" t="s">
        <v>2498</v>
      </c>
      <c r="D58" s="39" t="s">
        <v>2499</v>
      </c>
    </row>
    <row r="59" spans="1:4" x14ac:dyDescent="0.2">
      <c r="A59" s="44">
        <v>58</v>
      </c>
      <c r="B59" s="39" t="s">
        <v>2500</v>
      </c>
      <c r="C59" s="39" t="s">
        <v>2481</v>
      </c>
      <c r="D59" s="39" t="s">
        <v>2501</v>
      </c>
    </row>
    <row r="60" spans="1:4" x14ac:dyDescent="0.2">
      <c r="A60" s="44">
        <v>59</v>
      </c>
      <c r="B60" s="39" t="s">
        <v>2502</v>
      </c>
      <c r="C60" s="39" t="s">
        <v>2503</v>
      </c>
      <c r="D60" s="39" t="s">
        <v>2504</v>
      </c>
    </row>
    <row r="61" spans="1:4" x14ac:dyDescent="0.2">
      <c r="A61" s="44">
        <v>60</v>
      </c>
      <c r="B61" s="39" t="s">
        <v>2505</v>
      </c>
      <c r="C61" s="39" t="s">
        <v>2506</v>
      </c>
      <c r="D61" s="39" t="s">
        <v>2507</v>
      </c>
    </row>
    <row r="62" spans="1:4" x14ac:dyDescent="0.2">
      <c r="A62" s="44">
        <v>61</v>
      </c>
      <c r="B62" s="39" t="s">
        <v>2508</v>
      </c>
      <c r="C62" s="39" t="s">
        <v>2509</v>
      </c>
      <c r="D62" s="39" t="s">
        <v>2510</v>
      </c>
    </row>
    <row r="63" spans="1:4" x14ac:dyDescent="0.2">
      <c r="A63" s="44">
        <v>62</v>
      </c>
      <c r="B63" s="39" t="s">
        <v>2511</v>
      </c>
      <c r="C63" s="39" t="s">
        <v>2481</v>
      </c>
      <c r="D63" s="39" t="s">
        <v>2512</v>
      </c>
    </row>
    <row r="64" spans="1:4" x14ac:dyDescent="0.2">
      <c r="A64" s="44">
        <v>63</v>
      </c>
      <c r="B64" s="39" t="s">
        <v>2513</v>
      </c>
      <c r="C64" s="39" t="s">
        <v>2481</v>
      </c>
      <c r="D64" s="39" t="s">
        <v>2512</v>
      </c>
    </row>
    <row r="65" spans="1:4" x14ac:dyDescent="0.2">
      <c r="A65" s="44">
        <v>64</v>
      </c>
      <c r="B65" s="39" t="s">
        <v>2514</v>
      </c>
      <c r="C65" s="39" t="s">
        <v>2481</v>
      </c>
      <c r="D65" s="39" t="s">
        <v>2515</v>
      </c>
    </row>
    <row r="66" spans="1:4" x14ac:dyDescent="0.2">
      <c r="A66" s="44">
        <v>65</v>
      </c>
      <c r="B66" s="39" t="s">
        <v>2516</v>
      </c>
      <c r="C66" s="39" t="s">
        <v>2481</v>
      </c>
      <c r="D66" s="39" t="s">
        <v>2515</v>
      </c>
    </row>
    <row r="67" spans="1:4" x14ac:dyDescent="0.2">
      <c r="A67" s="44">
        <v>66</v>
      </c>
      <c r="B67" s="39" t="s">
        <v>2517</v>
      </c>
      <c r="C67" s="39" t="s">
        <v>2481</v>
      </c>
      <c r="D67" s="39" t="s">
        <v>2518</v>
      </c>
    </row>
    <row r="68" spans="1:4" x14ac:dyDescent="0.2">
      <c r="A68" s="44">
        <v>67</v>
      </c>
      <c r="B68" s="39" t="s">
        <v>2519</v>
      </c>
      <c r="C68" s="39" t="s">
        <v>2481</v>
      </c>
      <c r="D68" s="39" t="s">
        <v>2518</v>
      </c>
    </row>
    <row r="69" spans="1:4" x14ac:dyDescent="0.2">
      <c r="A69" s="44">
        <v>68</v>
      </c>
      <c r="B69" s="39" t="s">
        <v>2520</v>
      </c>
      <c r="C69" s="39" t="s">
        <v>2481</v>
      </c>
      <c r="D69" s="39" t="s">
        <v>2521</v>
      </c>
    </row>
    <row r="70" spans="1:4" x14ac:dyDescent="0.2">
      <c r="A70" s="44">
        <v>69</v>
      </c>
      <c r="B70" s="39" t="s">
        <v>2522</v>
      </c>
      <c r="C70" s="39" t="s">
        <v>2481</v>
      </c>
      <c r="D70" s="39" t="s">
        <v>2523</v>
      </c>
    </row>
    <row r="71" spans="1:4" x14ac:dyDescent="0.2">
      <c r="A71" s="44">
        <v>70</v>
      </c>
      <c r="B71" s="39" t="s">
        <v>2524</v>
      </c>
      <c r="C71" s="39" t="s">
        <v>2525</v>
      </c>
      <c r="D71" s="39" t="s">
        <v>2526</v>
      </c>
    </row>
    <row r="72" spans="1:4" x14ac:dyDescent="0.2">
      <c r="A72" s="44">
        <v>71</v>
      </c>
      <c r="B72" s="39" t="s">
        <v>2527</v>
      </c>
      <c r="C72" s="39" t="s">
        <v>2481</v>
      </c>
      <c r="D72" s="39" t="s">
        <v>2528</v>
      </c>
    </row>
    <row r="73" spans="1:4" x14ac:dyDescent="0.2">
      <c r="A73" s="44">
        <v>72</v>
      </c>
      <c r="B73" s="39" t="s">
        <v>2529</v>
      </c>
      <c r="C73" s="39" t="s">
        <v>2372</v>
      </c>
      <c r="D73" s="39" t="s">
        <v>2530</v>
      </c>
    </row>
    <row r="74" spans="1:4" x14ac:dyDescent="0.2">
      <c r="A74" s="44">
        <v>73</v>
      </c>
      <c r="B74" s="39" t="s">
        <v>2531</v>
      </c>
      <c r="C74" s="39" t="s">
        <v>2372</v>
      </c>
      <c r="D74" s="39" t="s">
        <v>2532</v>
      </c>
    </row>
    <row r="75" spans="1:4" x14ac:dyDescent="0.2">
      <c r="A75" s="44">
        <v>74</v>
      </c>
      <c r="B75" s="39" t="s">
        <v>1396</v>
      </c>
      <c r="C75" s="39" t="s">
        <v>2533</v>
      </c>
      <c r="D75" s="39" t="s">
        <v>2534</v>
      </c>
    </row>
    <row r="76" spans="1:4" x14ac:dyDescent="0.2">
      <c r="A76" s="44">
        <v>75</v>
      </c>
      <c r="B76" s="39" t="s">
        <v>2535</v>
      </c>
      <c r="C76" s="39" t="s">
        <v>2536</v>
      </c>
      <c r="D76" s="39" t="s">
        <v>2537</v>
      </c>
    </row>
    <row r="77" spans="1:4" x14ac:dyDescent="0.2">
      <c r="A77" s="44">
        <v>76</v>
      </c>
      <c r="B77" s="39" t="s">
        <v>2538</v>
      </c>
      <c r="C77" s="39" t="s">
        <v>2539</v>
      </c>
      <c r="D77" s="39" t="s">
        <v>2537</v>
      </c>
    </row>
    <row r="78" spans="1:4" x14ac:dyDescent="0.2">
      <c r="A78" s="44">
        <v>77</v>
      </c>
      <c r="B78" s="39" t="s">
        <v>2540</v>
      </c>
      <c r="C78" s="39" t="s">
        <v>2541</v>
      </c>
      <c r="D78" s="39" t="s">
        <v>2537</v>
      </c>
    </row>
    <row r="79" spans="1:4" x14ac:dyDescent="0.2">
      <c r="A79" s="44">
        <v>78</v>
      </c>
      <c r="B79" s="39" t="s">
        <v>2542</v>
      </c>
      <c r="C79" s="39" t="s">
        <v>2543</v>
      </c>
      <c r="D79" s="39" t="s">
        <v>2544</v>
      </c>
    </row>
    <row r="80" spans="1:4" x14ac:dyDescent="0.2">
      <c r="A80" s="44">
        <v>79</v>
      </c>
      <c r="B80" s="39" t="s">
        <v>2545</v>
      </c>
      <c r="C80" s="39" t="s">
        <v>2546</v>
      </c>
      <c r="D80" s="39" t="s">
        <v>2546</v>
      </c>
    </row>
    <row r="81" spans="1:3" x14ac:dyDescent="0.2">
      <c r="A81" s="44"/>
    </row>
    <row r="82" spans="1:3" ht="10.8" thickBot="1" x14ac:dyDescent="0.25">
      <c r="A82" s="44"/>
    </row>
    <row r="83" spans="1:3" ht="10.8" thickBot="1" x14ac:dyDescent="0.25">
      <c r="A83" s="118">
        <f>'Hoja Contable'!K7</f>
        <v>20</v>
      </c>
      <c r="B83" s="105" t="str">
        <f>VLOOKUP(A83,A2:B78,2)</f>
        <v>SME 1ER RIESGO - ESPARCIMIENTO</v>
      </c>
      <c r="C83" s="39">
        <v>0</v>
      </c>
    </row>
    <row r="84" spans="1:3" x14ac:dyDescent="0.2">
      <c r="A84" s="106">
        <f>A83+0.01</f>
        <v>20.010000000000002</v>
      </c>
      <c r="B84" s="39" t="str">
        <f>CONCATENATE(VLOOKUP(A84,RamoTec!$A$4:$F$1073,5)," - ",VLOOKUP(A84,RamoTec!$A$4:$F$1073,6))</f>
        <v>1 - INCENDIO EDIFICIO</v>
      </c>
      <c r="C84" s="39">
        <f>VLOOKUP(A84,RamoTec!$A$4:$F$1073,5)</f>
        <v>1</v>
      </c>
    </row>
    <row r="85" spans="1:3" x14ac:dyDescent="0.2">
      <c r="A85" s="106">
        <f t="shared" ref="A85:A119" si="0">A84+0.01</f>
        <v>20.020000000000003</v>
      </c>
      <c r="B85" s="39" t="str">
        <f>CONCATENATE(VLOOKUP(A85,RamoTec!$A$4:$F$1073,5)," - ",VLOOKUP(A85,RamoTec!$A$4:$F$1073,6))</f>
        <v>2 - TERREMOTO EDIFICIO</v>
      </c>
      <c r="C85" s="39">
        <f>VLOOKUP(A85,RamoTec!$A$4:$F$1073,5)</f>
        <v>2</v>
      </c>
    </row>
    <row r="86" spans="1:3" x14ac:dyDescent="0.2">
      <c r="A86" s="106">
        <f t="shared" si="0"/>
        <v>20.030000000000005</v>
      </c>
      <c r="B86" s="39" t="str">
        <f>CONCATENATE(VLOOKUP(A86,RamoTec!$A$4:$F$1073,5)," - ",VLOOKUP(A86,RamoTec!$A$4:$F$1073,6))</f>
        <v>3 - HIDROMETEOROLOGICO EDIFICIO</v>
      </c>
      <c r="C86" s="39">
        <f>VLOOKUP(A86,RamoTec!$A$4:$F$1073,5)</f>
        <v>3</v>
      </c>
    </row>
    <row r="87" spans="1:3" x14ac:dyDescent="0.2">
      <c r="A87" s="106">
        <f t="shared" si="0"/>
        <v>20.040000000000006</v>
      </c>
      <c r="B87" s="39" t="str">
        <f>CONCATENATE(VLOOKUP(A87,RamoTec!$A$4:$F$1073,5)," - ",VLOOKUP(A87,RamoTec!$A$4:$F$1073,6))</f>
        <v>4 - INCENDIO CONTENIDOS</v>
      </c>
      <c r="C87" s="39">
        <f>VLOOKUP(A87,RamoTec!$A$4:$F$1073,5)</f>
        <v>4</v>
      </c>
    </row>
    <row r="88" spans="1:3" x14ac:dyDescent="0.2">
      <c r="A88" s="106">
        <f t="shared" si="0"/>
        <v>20.050000000000008</v>
      </c>
      <c r="B88" s="39" t="str">
        <f>CONCATENATE(VLOOKUP(A88,RamoTec!$A$4:$F$1073,5)," - ",VLOOKUP(A88,RamoTec!$A$4:$F$1073,6))</f>
        <v>5 - TERREMOTO CONTENIDOS</v>
      </c>
      <c r="C88" s="39">
        <f>VLOOKUP(A88,RamoTec!$A$4:$F$1073,5)</f>
        <v>5</v>
      </c>
    </row>
    <row r="89" spans="1:3" x14ac:dyDescent="0.2">
      <c r="A89" s="106">
        <f t="shared" si="0"/>
        <v>20.060000000000009</v>
      </c>
      <c r="B89" s="39" t="str">
        <f>CONCATENATE(VLOOKUP(A89,RamoTec!$A$4:$F$1073,5)," - ",VLOOKUP(A89,RamoTec!$A$4:$F$1073,6))</f>
        <v>6 - HIDROMETEOROLOGICO CONTENIDOS</v>
      </c>
      <c r="C89" s="39">
        <f>VLOOKUP(A89,RamoTec!$A$4:$F$1073,5)</f>
        <v>6</v>
      </c>
    </row>
    <row r="90" spans="1:3" x14ac:dyDescent="0.2">
      <c r="A90" s="106">
        <f t="shared" si="0"/>
        <v>20.070000000000011</v>
      </c>
      <c r="B90" s="39" t="str">
        <f>CONCATENATE(VLOOKUP(A90,RamoTec!$A$4:$F$1073,5)," - ",VLOOKUP(A90,RamoTec!$A$4:$F$1073,6))</f>
        <v>7 - PERDIDAS CONSECUENCIALES INCENDIO</v>
      </c>
      <c r="C90" s="39">
        <f>VLOOKUP(A90,RamoTec!$A$4:$F$1073,5)</f>
        <v>7</v>
      </c>
    </row>
    <row r="91" spans="1:3" x14ac:dyDescent="0.2">
      <c r="A91" s="106">
        <f t="shared" si="0"/>
        <v>20.080000000000013</v>
      </c>
      <c r="B91" s="39" t="str">
        <f>CONCATENATE(VLOOKUP(A91,RamoTec!$A$4:$F$1073,5)," - ",VLOOKUP(A91,RamoTec!$A$4:$F$1073,6))</f>
        <v>8 - PERDIDAS CONSECUENCIALES TEV</v>
      </c>
      <c r="C91" s="39">
        <f>VLOOKUP(A91,RamoTec!$A$4:$F$1073,5)</f>
        <v>8</v>
      </c>
    </row>
    <row r="92" spans="1:3" x14ac:dyDescent="0.2">
      <c r="A92" s="106">
        <f t="shared" si="0"/>
        <v>20.090000000000014</v>
      </c>
      <c r="B92" s="39" t="str">
        <f>CONCATENATE(VLOOKUP(A92,RamoTec!$A$4:$F$1073,5)," - ",VLOOKUP(A92,RamoTec!$A$4:$F$1073,6))</f>
        <v>9 - PERDIDAS CONSECUENCIALES FHM</v>
      </c>
      <c r="C92" s="39">
        <f>VLOOKUP(A92,RamoTec!$A$4:$F$1073,5)</f>
        <v>9</v>
      </c>
    </row>
    <row r="93" spans="1:3" x14ac:dyDescent="0.2">
      <c r="A93" s="106">
        <f t="shared" si="0"/>
        <v>20.100000000000016</v>
      </c>
      <c r="B93" s="39" t="str">
        <f>CONCATENATE(VLOOKUP(A93,RamoTec!$A$4:$F$1073,5)," - ",VLOOKUP(A93,RamoTec!$A$4:$F$1073,6))</f>
        <v>10 - CRISTALES</v>
      </c>
      <c r="C93" s="39">
        <f>VLOOKUP(A93,RamoTec!$A$4:$F$1073,5)</f>
        <v>10</v>
      </c>
    </row>
    <row r="94" spans="1:3" x14ac:dyDescent="0.2">
      <c r="A94" s="106">
        <f t="shared" si="0"/>
        <v>20.110000000000017</v>
      </c>
      <c r="B94" s="39" t="str">
        <f>CONCATENATE(VLOOKUP(A94,RamoTec!$A$4:$F$1073,5)," - ",VLOOKUP(A94,RamoTec!$A$4:$F$1073,6))</f>
        <v>11 - CRISTALES LUC</v>
      </c>
      <c r="C94" s="39">
        <f>VLOOKUP(A94,RamoTec!$A$4:$F$1073,5)</f>
        <v>11</v>
      </c>
    </row>
    <row r="95" spans="1:3" x14ac:dyDescent="0.2">
      <c r="A95" s="106">
        <f t="shared" si="0"/>
        <v>20.120000000000019</v>
      </c>
      <c r="B95" s="39" t="str">
        <f>CONCATENATE(VLOOKUP(A95,RamoTec!$A$4:$F$1073,5)," - ",VLOOKUP(A95,RamoTec!$A$4:$F$1073,6))</f>
        <v>12 - ANUNCIOS LUMINOSOS</v>
      </c>
      <c r="C95" s="39">
        <f>VLOOKUP(A95,RamoTec!$A$4:$F$1073,5)</f>
        <v>12</v>
      </c>
    </row>
    <row r="96" spans="1:3" x14ac:dyDescent="0.2">
      <c r="A96" s="106">
        <f t="shared" si="0"/>
        <v>20.13000000000002</v>
      </c>
      <c r="B96" s="39" t="str">
        <f>CONCATENATE(VLOOKUP(A96,RamoTec!$A$4:$F$1073,5)," - ",VLOOKUP(A96,RamoTec!$A$4:$F$1073,6))</f>
        <v>13 - ANUNCIOS LUMINOSOS LUC</v>
      </c>
      <c r="C96" s="39">
        <f>VLOOKUP(A96,RamoTec!$A$4:$F$1073,5)</f>
        <v>13</v>
      </c>
    </row>
    <row r="97" spans="1:3" x14ac:dyDescent="0.2">
      <c r="A97" s="106">
        <f t="shared" si="0"/>
        <v>20.140000000000022</v>
      </c>
      <c r="B97" s="39" t="str">
        <f>CONCATENATE(VLOOKUP(A97,RamoTec!$A$4:$F$1073,5)," - ",VLOOKUP(A97,RamoTec!$A$4:$F$1073,6))</f>
        <v>14 - ROBO CON VIOLENCIA Y ASALTO</v>
      </c>
      <c r="C97" s="39">
        <f>VLOOKUP(A97,RamoTec!$A$4:$F$1073,5)</f>
        <v>14</v>
      </c>
    </row>
    <row r="98" spans="1:3" x14ac:dyDescent="0.2">
      <c r="A98" s="106">
        <f t="shared" si="0"/>
        <v>20.150000000000023</v>
      </c>
      <c r="B98" s="39" t="str">
        <f>CONCATENATE(VLOOKUP(A98,RamoTec!$A$4:$F$1073,5)," - ",VLOOKUP(A98,RamoTec!$A$4:$F$1073,6))</f>
        <v>15 - ROBO CON VIOLENCIA Y ASALTO LUC</v>
      </c>
      <c r="C98" s="39">
        <f>VLOOKUP(A98,RamoTec!$A$4:$F$1073,5)</f>
        <v>15</v>
      </c>
    </row>
    <row r="99" spans="1:3" x14ac:dyDescent="0.2">
      <c r="A99" s="106">
        <f t="shared" si="0"/>
        <v>20.160000000000025</v>
      </c>
      <c r="B99" s="39" t="str">
        <f>CONCATENATE(VLOOKUP(A99,RamoTec!$A$4:$F$1073,5)," - ",VLOOKUP(A99,RamoTec!$A$4:$F$1073,6))</f>
        <v>16 - DINERO Y/O VALORES</v>
      </c>
      <c r="C99" s="39">
        <f>VLOOKUP(A99,RamoTec!$A$4:$F$1073,5)</f>
        <v>16</v>
      </c>
    </row>
    <row r="100" spans="1:3" x14ac:dyDescent="0.2">
      <c r="A100" s="106">
        <f t="shared" si="0"/>
        <v>20.170000000000027</v>
      </c>
      <c r="B100" s="39" t="str">
        <f>CONCATENATE(VLOOKUP(A100,RamoTec!$A$4:$F$1073,5)," - ",VLOOKUP(A100,RamoTec!$A$4:$F$1073,6))</f>
        <v>17 - DINERO Y/O VALORES LUC</v>
      </c>
      <c r="C100" s="39">
        <f>VLOOKUP(A100,RamoTec!$A$4:$F$1073,5)</f>
        <v>17</v>
      </c>
    </row>
    <row r="101" spans="1:3" x14ac:dyDescent="0.2">
      <c r="A101" s="106">
        <f t="shared" si="0"/>
        <v>20.180000000000028</v>
      </c>
      <c r="B101" s="39" t="str">
        <f>CONCATENATE(VLOOKUP(A101,RamoTec!$A$4:$F$1073,5)," - ",VLOOKUP(A101,RamoTec!$A$4:$F$1073,6))</f>
        <v>20 - CALDERAS Y APARATOS SUJETOS A PRESIÓN</v>
      </c>
      <c r="C101" s="39">
        <f>VLOOKUP(A101,RamoTec!$A$4:$F$1073,5)</f>
        <v>20</v>
      </c>
    </row>
    <row r="102" spans="1:3" x14ac:dyDescent="0.2">
      <c r="A102" s="106">
        <f t="shared" si="0"/>
        <v>20.19000000000003</v>
      </c>
      <c r="B102" s="39" t="str">
        <f>CONCATENATE(VLOOKUP(A102,RamoTec!$A$4:$F$1073,5)," - ",VLOOKUP(A102,RamoTec!$A$4:$F$1073,6))</f>
        <v>21 - ROTURA DE MAQUINARIA</v>
      </c>
      <c r="C102" s="39">
        <f>VLOOKUP(A102,RamoTec!$A$4:$F$1073,5)</f>
        <v>21</v>
      </c>
    </row>
    <row r="103" spans="1:3" x14ac:dyDescent="0.2">
      <c r="A103" s="106">
        <f t="shared" si="0"/>
        <v>20.200000000000031</v>
      </c>
      <c r="B103" s="39" t="str">
        <f>CONCATENATE(VLOOKUP(A103,RamoTec!$A$4:$F$1073,5)," - ",VLOOKUP(A103,RamoTec!$A$4:$F$1073,6))</f>
        <v>22 - EQUIPO DE CONTRATISTAS</v>
      </c>
      <c r="C103" s="39">
        <f>VLOOKUP(A103,RamoTec!$A$4:$F$1073,5)</f>
        <v>22</v>
      </c>
    </row>
    <row r="104" spans="1:3" x14ac:dyDescent="0.2">
      <c r="A104" s="106">
        <f t="shared" si="0"/>
        <v>20.210000000000033</v>
      </c>
      <c r="B104" s="39" t="str">
        <f>CONCATENATE(VLOOKUP(A104,RamoTec!$A$4:$F$1073,5)," - ",VLOOKUP(A104,RamoTec!$A$4:$F$1073,6))</f>
        <v>23 - EQUIPO DE CONTRATISTAS TEV</v>
      </c>
      <c r="C104" s="39">
        <f>VLOOKUP(A104,RamoTec!$A$4:$F$1073,5)</f>
        <v>23</v>
      </c>
    </row>
    <row r="105" spans="1:3" x14ac:dyDescent="0.2">
      <c r="A105" s="106">
        <f t="shared" si="0"/>
        <v>20.220000000000034</v>
      </c>
      <c r="B105" s="39" t="str">
        <f>CONCATENATE(VLOOKUP(A105,RamoTec!$A$4:$F$1073,5)," - ",VLOOKUP(A105,RamoTec!$A$4:$F$1073,6))</f>
        <v>24 - EQUIPO DE CONTRATISTAS FHM</v>
      </c>
      <c r="C105" s="39">
        <f>VLOOKUP(A105,RamoTec!$A$4:$F$1073,5)</f>
        <v>24</v>
      </c>
    </row>
    <row r="106" spans="1:3" x14ac:dyDescent="0.2">
      <c r="A106" s="106">
        <f t="shared" si="0"/>
        <v>20.230000000000036</v>
      </c>
      <c r="B106" s="39" t="str">
        <f>CONCATENATE(VLOOKUP(A106,RamoTec!$A$4:$F$1073,5)," - ",VLOOKUP(A106,RamoTec!$A$4:$F$1073,6))</f>
        <v>25 - EQUIPO ELECTRONICO</v>
      </c>
      <c r="C106" s="39">
        <f>VLOOKUP(A106,RamoTec!$A$4:$F$1073,5)</f>
        <v>25</v>
      </c>
    </row>
    <row r="107" spans="1:3" x14ac:dyDescent="0.2">
      <c r="A107" s="106">
        <f t="shared" si="0"/>
        <v>20.240000000000038</v>
      </c>
      <c r="B107" s="39" t="str">
        <f>CONCATENATE(VLOOKUP(A107,RamoTec!$A$4:$F$1073,5)," - ",VLOOKUP(A107,RamoTec!$A$4:$F$1073,6))</f>
        <v>26 - EQUIPO ELECTRONICO TEV</v>
      </c>
      <c r="C107" s="39">
        <f>VLOOKUP(A107,RamoTec!$A$4:$F$1073,5)</f>
        <v>26</v>
      </c>
    </row>
    <row r="108" spans="1:3" x14ac:dyDescent="0.2">
      <c r="A108" s="106">
        <f t="shared" si="0"/>
        <v>20.250000000000039</v>
      </c>
      <c r="B108" s="39" t="str">
        <f>CONCATENATE(VLOOKUP(A108,RamoTec!$A$4:$F$1073,5)," - ",VLOOKUP(A108,RamoTec!$A$4:$F$1073,6))</f>
        <v>27 - EQUIPO ELECTRONICO FHM</v>
      </c>
      <c r="C108" s="39">
        <f>VLOOKUP(A108,RamoTec!$A$4:$F$1073,5)</f>
        <v>27</v>
      </c>
    </row>
    <row r="109" spans="1:3" x14ac:dyDescent="0.2">
      <c r="A109" s="106">
        <f t="shared" si="0"/>
        <v>20.260000000000041</v>
      </c>
      <c r="B109" s="39" t="str">
        <f>CONCATENATE(VLOOKUP(A109,RamoTec!$A$4:$F$1073,5)," - ",VLOOKUP(A109,RamoTec!$A$4:$F$1073,6))</f>
        <v>28 - EQUIPO ELECTRONICO SECC II</v>
      </c>
      <c r="C109" s="39">
        <f>VLOOKUP(A109,RamoTec!$A$4:$F$1073,5)</f>
        <v>28</v>
      </c>
    </row>
    <row r="110" spans="1:3" x14ac:dyDescent="0.2">
      <c r="A110" s="106">
        <f t="shared" si="0"/>
        <v>20.270000000000042</v>
      </c>
      <c r="B110" s="39" t="str">
        <f>CONCATENATE(VLOOKUP(A110,RamoTec!$A$4:$F$1073,5)," - ",VLOOKUP(A110,RamoTec!$A$4:$F$1073,6))</f>
        <v>29 - EQUIPO ELECTRONICO SECC III</v>
      </c>
      <c r="C110" s="39">
        <f>VLOOKUP(A110,RamoTec!$A$4:$F$1073,5)</f>
        <v>29</v>
      </c>
    </row>
    <row r="111" spans="1:3" x14ac:dyDescent="0.2">
      <c r="A111" s="106">
        <f t="shared" si="0"/>
        <v>20.280000000000044</v>
      </c>
      <c r="B111" s="39" t="str">
        <f>CONCATENATE(VLOOKUP(A111,RamoTec!$A$4:$F$1073,5)," - ",VLOOKUP(A111,RamoTec!$A$4:$F$1073,6))</f>
        <v>36 - RESPONSABILIDAD CIVIL GENERAL</v>
      </c>
      <c r="C111" s="39">
        <f>VLOOKUP(A111,RamoTec!$A$4:$F$1073,5)</f>
        <v>36</v>
      </c>
    </row>
    <row r="112" spans="1:3" x14ac:dyDescent="0.2">
      <c r="A112" s="106">
        <f t="shared" si="0"/>
        <v>20.290000000000045</v>
      </c>
      <c r="B112" s="39" t="str">
        <f>CONCATENATE(VLOOKUP(A112,RamoTec!$A$4:$F$1073,5)," - ",VLOOKUP(A112,RamoTec!$A$4:$F$1073,6))</f>
        <v>55 - RIESGO CONTINGENTE</v>
      </c>
      <c r="C112" s="39">
        <f>VLOOKUP(A112,RamoTec!$A$4:$F$1073,5)</f>
        <v>55</v>
      </c>
    </row>
    <row r="113" spans="1:4" x14ac:dyDescent="0.2">
      <c r="A113" s="106">
        <f t="shared" si="0"/>
        <v>20.300000000000047</v>
      </c>
      <c r="B113" s="39" t="str">
        <f>CONCATENATE(VLOOKUP(A113,RamoTec!$A$4:$F$1073,5)," - ",VLOOKUP(A113,RamoTec!$A$4:$F$1073,6))</f>
        <v>63 - SABOTAJE Y TERRORISMO</v>
      </c>
      <c r="C113" s="39">
        <f>VLOOKUP(A113,RamoTec!$A$4:$F$1073,5)</f>
        <v>63</v>
      </c>
    </row>
    <row r="114" spans="1:4" x14ac:dyDescent="0.2">
      <c r="A114" s="106">
        <f t="shared" si="0"/>
        <v>20.310000000000048</v>
      </c>
      <c r="B114" s="39" t="str">
        <f>CONCATENATE(VLOOKUP(A114,RamoTec!$A$4:$F$1073,5)," - ",VLOOKUP(A114,RamoTec!$A$4:$F$1073,6))</f>
        <v>99 - NO APLICA</v>
      </c>
      <c r="C114" s="39">
        <f>VLOOKUP(A114,RamoTec!$A$4:$F$1073,5)</f>
        <v>99</v>
      </c>
    </row>
    <row r="115" spans="1:4" x14ac:dyDescent="0.2">
      <c r="A115" s="106">
        <f t="shared" si="0"/>
        <v>20.32000000000005</v>
      </c>
      <c r="B115" s="39" t="str">
        <f>CONCATENATE(VLOOKUP(A115,RamoTec!$A$4:$F$1073,5)," - ",VLOOKUP(A115,RamoTec!$A$4:$F$1073,6))</f>
        <v>99 - NO APLICA</v>
      </c>
      <c r="C115" s="39">
        <f>VLOOKUP(A115,RamoTec!$A$4:$F$1073,5)</f>
        <v>99</v>
      </c>
    </row>
    <row r="116" spans="1:4" x14ac:dyDescent="0.2">
      <c r="A116" s="106">
        <f t="shared" si="0"/>
        <v>20.330000000000052</v>
      </c>
      <c r="B116" s="39" t="str">
        <f>CONCATENATE(VLOOKUP(A116,RamoTec!$A$4:$F$1073,5)," - ",VLOOKUP(A116,RamoTec!$A$4:$F$1073,6))</f>
        <v>99 - NO APLICA</v>
      </c>
      <c r="C116" s="39">
        <f>VLOOKUP(A116,RamoTec!$A$4:$F$1073,5)</f>
        <v>99</v>
      </c>
    </row>
    <row r="117" spans="1:4" x14ac:dyDescent="0.2">
      <c r="A117" s="106">
        <f t="shared" si="0"/>
        <v>20.340000000000053</v>
      </c>
      <c r="B117" s="39" t="str">
        <f>CONCATENATE(VLOOKUP(A117,RamoTec!$A$4:$F$1073,5)," - ",VLOOKUP(A117,RamoTec!$A$4:$F$1073,6))</f>
        <v>99 - NO APLICA</v>
      </c>
      <c r="C117" s="39">
        <f>VLOOKUP(A117,RamoTec!$A$4:$F$1073,5)</f>
        <v>99</v>
      </c>
    </row>
    <row r="118" spans="1:4" x14ac:dyDescent="0.2">
      <c r="A118" s="106">
        <f t="shared" si="0"/>
        <v>20.350000000000055</v>
      </c>
      <c r="B118" s="39" t="str">
        <f>CONCATENATE(VLOOKUP(A118,RamoTec!$A$4:$F$1073,5)," - ",VLOOKUP(A118,RamoTec!$A$4:$F$1073,6))</f>
        <v>99 - NO APLICA</v>
      </c>
      <c r="C118" s="39">
        <f>VLOOKUP(A118,RamoTec!$A$4:$F$1073,5)</f>
        <v>99</v>
      </c>
    </row>
    <row r="119" spans="1:4" x14ac:dyDescent="0.2">
      <c r="A119" s="106">
        <f t="shared" si="0"/>
        <v>20.360000000000056</v>
      </c>
      <c r="B119" s="39" t="str">
        <f>CONCATENATE(VLOOKUP(A119,RamoTec!$A$4:$F$1073,5)," - ",VLOOKUP(A119,RamoTec!$A$4:$F$1073,6))</f>
        <v>99 - NO APLICA</v>
      </c>
      <c r="C119" s="39">
        <f>VLOOKUP(A119,RamoTec!$A$4:$F$1073,5)</f>
        <v>99</v>
      </c>
    </row>
    <row r="120" spans="1:4" x14ac:dyDescent="0.2">
      <c r="A120" s="106"/>
    </row>
    <row r="121" spans="1:4" x14ac:dyDescent="0.2">
      <c r="A121" s="39">
        <v>1</v>
      </c>
      <c r="B121" s="39" t="s">
        <v>1149</v>
      </c>
      <c r="C121" s="39" t="str">
        <f>IF(D121=A121,"INCLUIDO","NO APLICA")</f>
        <v>INCLUIDO</v>
      </c>
      <c r="D121" s="107">
        <f>VLOOKUP(A121,$C$83:$C$119,1)</f>
        <v>1</v>
      </c>
    </row>
    <row r="122" spans="1:4" x14ac:dyDescent="0.2">
      <c r="A122" s="39">
        <v>2</v>
      </c>
      <c r="B122" s="39" t="s">
        <v>1167</v>
      </c>
      <c r="C122" s="39" t="str">
        <f t="shared" ref="C122:C181" si="1">IF(D122=A122,"INCLUIDO","NO APLICA")</f>
        <v>INCLUIDO</v>
      </c>
      <c r="D122" s="107">
        <f t="shared" ref="D122:D181" si="2">VLOOKUP(A122,$C$83:$C$119,1)</f>
        <v>2</v>
      </c>
    </row>
    <row r="123" spans="1:4" x14ac:dyDescent="0.2">
      <c r="A123" s="39">
        <v>3</v>
      </c>
      <c r="B123" s="39" t="s">
        <v>1163</v>
      </c>
      <c r="C123" s="39" t="str">
        <f t="shared" si="1"/>
        <v>INCLUIDO</v>
      </c>
      <c r="D123" s="107">
        <f t="shared" si="2"/>
        <v>3</v>
      </c>
    </row>
    <row r="124" spans="1:4" x14ac:dyDescent="0.2">
      <c r="A124" s="39">
        <v>4</v>
      </c>
      <c r="B124" s="39" t="s">
        <v>1179</v>
      </c>
      <c r="C124" s="39" t="str">
        <f t="shared" si="1"/>
        <v>INCLUIDO</v>
      </c>
      <c r="D124" s="107">
        <f t="shared" si="2"/>
        <v>4</v>
      </c>
    </row>
    <row r="125" spans="1:4" x14ac:dyDescent="0.2">
      <c r="A125" s="39">
        <v>5</v>
      </c>
      <c r="B125" s="39" t="s">
        <v>1197</v>
      </c>
      <c r="C125" s="39" t="str">
        <f t="shared" si="1"/>
        <v>INCLUIDO</v>
      </c>
      <c r="D125" s="107">
        <f t="shared" si="2"/>
        <v>5</v>
      </c>
    </row>
    <row r="126" spans="1:4" x14ac:dyDescent="0.2">
      <c r="A126" s="39">
        <v>6</v>
      </c>
      <c r="B126" s="39" t="s">
        <v>1195</v>
      </c>
      <c r="C126" s="39" t="str">
        <f t="shared" si="1"/>
        <v>INCLUIDO</v>
      </c>
      <c r="D126" s="107">
        <f t="shared" si="2"/>
        <v>6</v>
      </c>
    </row>
    <row r="127" spans="1:4" x14ac:dyDescent="0.2">
      <c r="A127" s="39">
        <v>7</v>
      </c>
      <c r="B127" s="39" t="s">
        <v>1204</v>
      </c>
      <c r="C127" s="39" t="str">
        <f t="shared" si="1"/>
        <v>INCLUIDO</v>
      </c>
      <c r="D127" s="107">
        <f t="shared" si="2"/>
        <v>7</v>
      </c>
    </row>
    <row r="128" spans="1:4" x14ac:dyDescent="0.2">
      <c r="A128" s="39">
        <v>8</v>
      </c>
      <c r="B128" s="39" t="s">
        <v>1228</v>
      </c>
      <c r="C128" s="39" t="str">
        <f t="shared" si="1"/>
        <v>INCLUIDO</v>
      </c>
      <c r="D128" s="107">
        <f t="shared" si="2"/>
        <v>8</v>
      </c>
    </row>
    <row r="129" spans="1:4" x14ac:dyDescent="0.2">
      <c r="A129" s="39">
        <v>9</v>
      </c>
      <c r="B129" s="39" t="s">
        <v>1223</v>
      </c>
      <c r="C129" s="39" t="str">
        <f t="shared" si="1"/>
        <v>INCLUIDO</v>
      </c>
      <c r="D129" s="107">
        <f t="shared" si="2"/>
        <v>9</v>
      </c>
    </row>
    <row r="130" spans="1:4" x14ac:dyDescent="0.2">
      <c r="A130" s="39">
        <v>10</v>
      </c>
      <c r="B130" s="39" t="s">
        <v>1232</v>
      </c>
      <c r="C130" s="39" t="str">
        <f t="shared" si="1"/>
        <v>INCLUIDO</v>
      </c>
      <c r="D130" s="107">
        <f t="shared" si="2"/>
        <v>10</v>
      </c>
    </row>
    <row r="131" spans="1:4" x14ac:dyDescent="0.2">
      <c r="A131" s="39">
        <v>11</v>
      </c>
      <c r="B131" s="39" t="s">
        <v>1236</v>
      </c>
      <c r="C131" s="39" t="str">
        <f t="shared" si="1"/>
        <v>INCLUIDO</v>
      </c>
      <c r="D131" s="107">
        <f t="shared" si="2"/>
        <v>11</v>
      </c>
    </row>
    <row r="132" spans="1:4" x14ac:dyDescent="0.2">
      <c r="A132" s="39">
        <v>12</v>
      </c>
      <c r="B132" s="39" t="s">
        <v>1237</v>
      </c>
      <c r="C132" s="39" t="str">
        <f t="shared" si="1"/>
        <v>INCLUIDO</v>
      </c>
      <c r="D132" s="107">
        <f t="shared" si="2"/>
        <v>12</v>
      </c>
    </row>
    <row r="133" spans="1:4" x14ac:dyDescent="0.2">
      <c r="A133" s="39">
        <v>13</v>
      </c>
      <c r="B133" s="39" t="s">
        <v>1238</v>
      </c>
      <c r="C133" s="39" t="str">
        <f t="shared" si="1"/>
        <v>INCLUIDO</v>
      </c>
      <c r="D133" s="107">
        <f t="shared" si="2"/>
        <v>13</v>
      </c>
    </row>
    <row r="134" spans="1:4" x14ac:dyDescent="0.2">
      <c r="A134" s="39">
        <v>14</v>
      </c>
      <c r="B134" s="39" t="s">
        <v>1239</v>
      </c>
      <c r="C134" s="39" t="str">
        <f t="shared" si="1"/>
        <v>INCLUIDO</v>
      </c>
      <c r="D134" s="107">
        <f t="shared" si="2"/>
        <v>14</v>
      </c>
    </row>
    <row r="135" spans="1:4" x14ac:dyDescent="0.2">
      <c r="A135" s="39">
        <v>15</v>
      </c>
      <c r="B135" s="39" t="s">
        <v>1245</v>
      </c>
      <c r="C135" s="39" t="str">
        <f t="shared" si="1"/>
        <v>INCLUIDO</v>
      </c>
      <c r="D135" s="107">
        <f t="shared" si="2"/>
        <v>15</v>
      </c>
    </row>
    <row r="136" spans="1:4" x14ac:dyDescent="0.2">
      <c r="A136" s="39">
        <v>16</v>
      </c>
      <c r="B136" s="39" t="s">
        <v>1246</v>
      </c>
      <c r="C136" s="39" t="str">
        <f t="shared" si="1"/>
        <v>INCLUIDO</v>
      </c>
      <c r="D136" s="107">
        <f t="shared" si="2"/>
        <v>16</v>
      </c>
    </row>
    <row r="137" spans="1:4" x14ac:dyDescent="0.2">
      <c r="A137" s="39">
        <v>17</v>
      </c>
      <c r="B137" s="39" t="s">
        <v>1253</v>
      </c>
      <c r="C137" s="39" t="str">
        <f t="shared" si="1"/>
        <v>INCLUIDO</v>
      </c>
      <c r="D137" s="107">
        <f t="shared" si="2"/>
        <v>17</v>
      </c>
    </row>
    <row r="138" spans="1:4" x14ac:dyDescent="0.2">
      <c r="A138" s="39">
        <v>20</v>
      </c>
      <c r="B138" s="39" t="s">
        <v>1260</v>
      </c>
      <c r="C138" s="39" t="str">
        <f t="shared" si="1"/>
        <v>INCLUIDO</v>
      </c>
      <c r="D138" s="107">
        <f t="shared" si="2"/>
        <v>20</v>
      </c>
    </row>
    <row r="139" spans="1:4" x14ac:dyDescent="0.2">
      <c r="A139" s="39">
        <v>21</v>
      </c>
      <c r="B139" s="39" t="s">
        <v>1263</v>
      </c>
      <c r="C139" s="39" t="str">
        <f t="shared" si="1"/>
        <v>INCLUIDO</v>
      </c>
      <c r="D139" s="107">
        <f t="shared" si="2"/>
        <v>21</v>
      </c>
    </row>
    <row r="140" spans="1:4" x14ac:dyDescent="0.2">
      <c r="A140" s="39">
        <v>22</v>
      </c>
      <c r="B140" s="39" t="s">
        <v>1264</v>
      </c>
      <c r="C140" s="39" t="str">
        <f t="shared" si="1"/>
        <v>INCLUIDO</v>
      </c>
      <c r="D140" s="107">
        <f t="shared" si="2"/>
        <v>22</v>
      </c>
    </row>
    <row r="141" spans="1:4" x14ac:dyDescent="0.2">
      <c r="A141" s="39">
        <v>23</v>
      </c>
      <c r="B141" s="39" t="s">
        <v>1265</v>
      </c>
      <c r="C141" s="39" t="str">
        <f t="shared" si="1"/>
        <v>INCLUIDO</v>
      </c>
      <c r="D141" s="107">
        <f t="shared" si="2"/>
        <v>23</v>
      </c>
    </row>
    <row r="142" spans="1:4" x14ac:dyDescent="0.2">
      <c r="A142" s="39">
        <v>23</v>
      </c>
      <c r="B142" s="39" t="s">
        <v>1265</v>
      </c>
      <c r="C142" s="39" t="str">
        <f t="shared" si="1"/>
        <v>INCLUIDO</v>
      </c>
      <c r="D142" s="107">
        <f t="shared" si="2"/>
        <v>23</v>
      </c>
    </row>
    <row r="143" spans="1:4" x14ac:dyDescent="0.2">
      <c r="A143" s="39">
        <v>24</v>
      </c>
      <c r="B143" s="39" t="s">
        <v>1266</v>
      </c>
      <c r="C143" s="39" t="str">
        <f t="shared" si="1"/>
        <v>INCLUIDO</v>
      </c>
      <c r="D143" s="107">
        <f t="shared" si="2"/>
        <v>24</v>
      </c>
    </row>
    <row r="144" spans="1:4" x14ac:dyDescent="0.2">
      <c r="A144" s="39">
        <v>24</v>
      </c>
      <c r="B144" s="39" t="s">
        <v>1266</v>
      </c>
      <c r="C144" s="39" t="str">
        <f t="shared" si="1"/>
        <v>INCLUIDO</v>
      </c>
      <c r="D144" s="107">
        <f t="shared" si="2"/>
        <v>24</v>
      </c>
    </row>
    <row r="145" spans="1:4" x14ac:dyDescent="0.2">
      <c r="A145" s="39">
        <v>25</v>
      </c>
      <c r="B145" s="39" t="s">
        <v>1268</v>
      </c>
      <c r="C145" s="39" t="str">
        <f t="shared" si="1"/>
        <v>INCLUIDO</v>
      </c>
      <c r="D145" s="107">
        <f t="shared" si="2"/>
        <v>25</v>
      </c>
    </row>
    <row r="146" spans="1:4" x14ac:dyDescent="0.2">
      <c r="A146" s="39">
        <v>26</v>
      </c>
      <c r="B146" s="39" t="s">
        <v>1276</v>
      </c>
      <c r="C146" s="39" t="str">
        <f t="shared" si="1"/>
        <v>INCLUIDO</v>
      </c>
      <c r="D146" s="107">
        <f t="shared" si="2"/>
        <v>26</v>
      </c>
    </row>
    <row r="147" spans="1:4" x14ac:dyDescent="0.2">
      <c r="A147" s="39">
        <v>26</v>
      </c>
      <c r="B147" s="39" t="s">
        <v>1276</v>
      </c>
      <c r="C147" s="39" t="str">
        <f t="shared" si="1"/>
        <v>INCLUIDO</v>
      </c>
      <c r="D147" s="107">
        <f t="shared" si="2"/>
        <v>26</v>
      </c>
    </row>
    <row r="148" spans="1:4" x14ac:dyDescent="0.2">
      <c r="A148" s="39">
        <v>27</v>
      </c>
      <c r="B148" s="39" t="s">
        <v>1277</v>
      </c>
      <c r="C148" s="39" t="str">
        <f t="shared" si="1"/>
        <v>INCLUIDO</v>
      </c>
      <c r="D148" s="107">
        <f t="shared" si="2"/>
        <v>27</v>
      </c>
    </row>
    <row r="149" spans="1:4" x14ac:dyDescent="0.2">
      <c r="A149" s="39">
        <v>27</v>
      </c>
      <c r="B149" s="39" t="s">
        <v>1277</v>
      </c>
      <c r="C149" s="39" t="str">
        <f t="shared" si="1"/>
        <v>INCLUIDO</v>
      </c>
      <c r="D149" s="107">
        <f t="shared" si="2"/>
        <v>27</v>
      </c>
    </row>
    <row r="150" spans="1:4" x14ac:dyDescent="0.2">
      <c r="A150" s="39">
        <v>28</v>
      </c>
      <c r="B150" s="39" t="s">
        <v>1278</v>
      </c>
      <c r="C150" s="39" t="str">
        <f t="shared" si="1"/>
        <v>INCLUIDO</v>
      </c>
      <c r="D150" s="107">
        <f t="shared" si="2"/>
        <v>28</v>
      </c>
    </row>
    <row r="151" spans="1:4" x14ac:dyDescent="0.2">
      <c r="A151" s="39">
        <v>29</v>
      </c>
      <c r="B151" s="39" t="s">
        <v>1280</v>
      </c>
      <c r="C151" s="39" t="str">
        <f t="shared" si="1"/>
        <v>INCLUIDO</v>
      </c>
      <c r="D151" s="107">
        <f t="shared" si="2"/>
        <v>29</v>
      </c>
    </row>
    <row r="152" spans="1:4" x14ac:dyDescent="0.2">
      <c r="A152" s="39">
        <v>30</v>
      </c>
      <c r="B152" s="39" t="s">
        <v>1283</v>
      </c>
      <c r="C152" s="39" t="str">
        <f t="shared" si="1"/>
        <v>NO APLICA</v>
      </c>
      <c r="D152" s="107">
        <f t="shared" si="2"/>
        <v>29</v>
      </c>
    </row>
    <row r="153" spans="1:4" x14ac:dyDescent="0.2">
      <c r="A153" s="39">
        <v>31</v>
      </c>
      <c r="B153" s="39" t="s">
        <v>1284</v>
      </c>
      <c r="C153" s="39" t="str">
        <f t="shared" si="1"/>
        <v>NO APLICA</v>
      </c>
      <c r="D153" s="107">
        <f t="shared" si="2"/>
        <v>29</v>
      </c>
    </row>
    <row r="154" spans="1:4" x14ac:dyDescent="0.2">
      <c r="A154" s="39">
        <v>31</v>
      </c>
      <c r="B154" s="39" t="s">
        <v>1284</v>
      </c>
      <c r="C154" s="39" t="str">
        <f t="shared" si="1"/>
        <v>NO APLICA</v>
      </c>
      <c r="D154" s="107">
        <f t="shared" si="2"/>
        <v>29</v>
      </c>
    </row>
    <row r="155" spans="1:4" x14ac:dyDescent="0.2">
      <c r="A155" s="39">
        <v>32</v>
      </c>
      <c r="B155" s="39" t="s">
        <v>1285</v>
      </c>
      <c r="C155" s="39" t="str">
        <f t="shared" si="1"/>
        <v>NO APLICA</v>
      </c>
      <c r="D155" s="107">
        <f t="shared" si="2"/>
        <v>29</v>
      </c>
    </row>
    <row r="156" spans="1:4" x14ac:dyDescent="0.2">
      <c r="A156" s="39">
        <v>32</v>
      </c>
      <c r="B156" s="39" t="s">
        <v>1285</v>
      </c>
      <c r="C156" s="39" t="str">
        <f t="shared" si="1"/>
        <v>NO APLICA</v>
      </c>
      <c r="D156" s="107">
        <f t="shared" si="2"/>
        <v>29</v>
      </c>
    </row>
    <row r="157" spans="1:4" x14ac:dyDescent="0.2">
      <c r="A157" s="39">
        <v>33</v>
      </c>
      <c r="B157" s="39" t="s">
        <v>1286</v>
      </c>
      <c r="C157" s="39" t="str">
        <f t="shared" si="1"/>
        <v>NO APLICA</v>
      </c>
      <c r="D157" s="107">
        <f t="shared" si="2"/>
        <v>29</v>
      </c>
    </row>
    <row r="158" spans="1:4" x14ac:dyDescent="0.2">
      <c r="A158" s="39">
        <v>34</v>
      </c>
      <c r="B158" s="39" t="s">
        <v>1288</v>
      </c>
      <c r="C158" s="39" t="str">
        <f t="shared" si="1"/>
        <v>NO APLICA</v>
      </c>
      <c r="D158" s="107">
        <f t="shared" si="2"/>
        <v>29</v>
      </c>
    </row>
    <row r="159" spans="1:4" x14ac:dyDescent="0.2">
      <c r="A159" s="39">
        <v>34</v>
      </c>
      <c r="B159" s="39" t="s">
        <v>1288</v>
      </c>
      <c r="C159" s="39" t="str">
        <f t="shared" si="1"/>
        <v>NO APLICA</v>
      </c>
      <c r="D159" s="107">
        <f t="shared" si="2"/>
        <v>29</v>
      </c>
    </row>
    <row r="160" spans="1:4" x14ac:dyDescent="0.2">
      <c r="A160" s="39">
        <v>35</v>
      </c>
      <c r="B160" s="39" t="s">
        <v>1289</v>
      </c>
      <c r="C160" s="39" t="str">
        <f t="shared" si="1"/>
        <v>NO APLICA</v>
      </c>
      <c r="D160" s="107">
        <f t="shared" si="2"/>
        <v>29</v>
      </c>
    </row>
    <row r="161" spans="1:5" x14ac:dyDescent="0.2">
      <c r="A161" s="39">
        <v>35</v>
      </c>
      <c r="B161" s="39" t="s">
        <v>1289</v>
      </c>
      <c r="C161" s="39" t="str">
        <f t="shared" si="1"/>
        <v>NO APLICA</v>
      </c>
      <c r="D161" s="107">
        <f t="shared" si="2"/>
        <v>29</v>
      </c>
    </row>
    <row r="162" spans="1:5" x14ac:dyDescent="0.2">
      <c r="A162" s="39">
        <v>36</v>
      </c>
      <c r="B162" s="39" t="s">
        <v>1294</v>
      </c>
      <c r="C162" s="39" t="str">
        <f>IF(A83=37,"NO APLICA",IF(D162=A162,"INCLUIDO","NO APLICA"))</f>
        <v>INCLUIDO</v>
      </c>
      <c r="D162" s="107">
        <f t="shared" si="2"/>
        <v>36</v>
      </c>
      <c r="E162" s="39" t="str">
        <f>IF(D162=A162,"INCLUIDO","NO APLICA")</f>
        <v>INCLUIDO</v>
      </c>
    </row>
    <row r="163" spans="1:5" x14ac:dyDescent="0.2">
      <c r="A163" s="39">
        <v>38</v>
      </c>
      <c r="B163" s="39" t="s">
        <v>1325</v>
      </c>
      <c r="C163" s="39" t="str">
        <f t="shared" si="1"/>
        <v>NO APLICA</v>
      </c>
      <c r="D163" s="107">
        <f t="shared" si="2"/>
        <v>36</v>
      </c>
    </row>
    <row r="164" spans="1:5" x14ac:dyDescent="0.2">
      <c r="A164" s="39">
        <v>39</v>
      </c>
      <c r="B164" s="39" t="s">
        <v>1329</v>
      </c>
      <c r="C164" s="39" t="str">
        <f t="shared" si="1"/>
        <v>NO APLICA</v>
      </c>
      <c r="D164" s="107">
        <f t="shared" si="2"/>
        <v>36</v>
      </c>
    </row>
    <row r="165" spans="1:5" x14ac:dyDescent="0.2">
      <c r="A165" s="39">
        <v>42</v>
      </c>
      <c r="B165" s="39" t="s">
        <v>1330</v>
      </c>
      <c r="C165" s="39" t="str">
        <f t="shared" si="1"/>
        <v>NO APLICA</v>
      </c>
      <c r="D165" s="107">
        <f t="shared" si="2"/>
        <v>36</v>
      </c>
    </row>
    <row r="166" spans="1:5" x14ac:dyDescent="0.2">
      <c r="A166" s="39">
        <v>45</v>
      </c>
      <c r="B166" s="39" t="s">
        <v>1384</v>
      </c>
      <c r="C166" s="39" t="str">
        <f t="shared" si="1"/>
        <v>NO APLICA</v>
      </c>
      <c r="D166" s="107">
        <f t="shared" si="2"/>
        <v>36</v>
      </c>
    </row>
    <row r="167" spans="1:5" x14ac:dyDescent="0.2">
      <c r="A167" s="39">
        <v>47</v>
      </c>
      <c r="B167" s="39" t="s">
        <v>1395</v>
      </c>
      <c r="C167" s="39" t="str">
        <f t="shared" si="1"/>
        <v>NO APLICA</v>
      </c>
      <c r="D167" s="107">
        <f t="shared" si="2"/>
        <v>36</v>
      </c>
    </row>
    <row r="168" spans="1:5" x14ac:dyDescent="0.2">
      <c r="A168" s="39">
        <v>48</v>
      </c>
      <c r="B168" s="39" t="s">
        <v>1290</v>
      </c>
      <c r="C168" s="39" t="str">
        <f t="shared" si="1"/>
        <v>NO APLICA</v>
      </c>
      <c r="D168" s="107">
        <f t="shared" si="2"/>
        <v>36</v>
      </c>
    </row>
    <row r="169" spans="1:5" x14ac:dyDescent="0.2">
      <c r="A169" s="39">
        <v>50</v>
      </c>
      <c r="B169" s="39" t="s">
        <v>1407</v>
      </c>
      <c r="C169" s="39" t="str">
        <f t="shared" si="1"/>
        <v>NO APLICA</v>
      </c>
      <c r="D169" s="107">
        <f t="shared" si="2"/>
        <v>36</v>
      </c>
    </row>
    <row r="170" spans="1:5" x14ac:dyDescent="0.2">
      <c r="A170" s="39">
        <v>51</v>
      </c>
      <c r="B170" s="39" t="s">
        <v>1399</v>
      </c>
      <c r="C170" s="39" t="str">
        <f t="shared" si="1"/>
        <v>NO APLICA</v>
      </c>
      <c r="D170" s="107">
        <f t="shared" si="2"/>
        <v>36</v>
      </c>
    </row>
    <row r="171" spans="1:5" x14ac:dyDescent="0.2">
      <c r="A171" s="39">
        <v>52</v>
      </c>
      <c r="B171" s="39" t="s">
        <v>1421</v>
      </c>
      <c r="C171" s="39" t="str">
        <f t="shared" si="1"/>
        <v>NO APLICA</v>
      </c>
      <c r="D171" s="107">
        <f t="shared" si="2"/>
        <v>36</v>
      </c>
    </row>
    <row r="172" spans="1:5" x14ac:dyDescent="0.2">
      <c r="A172" s="39">
        <v>53</v>
      </c>
      <c r="B172" s="39" t="s">
        <v>1427</v>
      </c>
      <c r="C172" s="39" t="str">
        <f t="shared" si="1"/>
        <v>NO APLICA</v>
      </c>
      <c r="D172" s="107">
        <f t="shared" si="2"/>
        <v>36</v>
      </c>
    </row>
    <row r="173" spans="1:5" x14ac:dyDescent="0.2">
      <c r="A173" s="39">
        <v>54</v>
      </c>
      <c r="B173" s="39" t="s">
        <v>1430</v>
      </c>
      <c r="C173" s="39" t="str">
        <f t="shared" si="1"/>
        <v>NO APLICA</v>
      </c>
      <c r="D173" s="107">
        <f t="shared" si="2"/>
        <v>36</v>
      </c>
    </row>
    <row r="174" spans="1:5" x14ac:dyDescent="0.2">
      <c r="A174" s="39">
        <v>55</v>
      </c>
      <c r="B174" s="39" t="s">
        <v>1254</v>
      </c>
      <c r="C174" s="39" t="str">
        <f t="shared" si="1"/>
        <v>INCLUIDO</v>
      </c>
      <c r="D174" s="107">
        <f t="shared" si="2"/>
        <v>55</v>
      </c>
    </row>
    <row r="175" spans="1:5" x14ac:dyDescent="0.2">
      <c r="A175" s="39">
        <v>58</v>
      </c>
      <c r="B175" s="39" t="s">
        <v>1380</v>
      </c>
      <c r="C175" s="39" t="str">
        <f t="shared" si="1"/>
        <v>NO APLICA</v>
      </c>
      <c r="D175" s="107">
        <f t="shared" si="2"/>
        <v>55</v>
      </c>
    </row>
    <row r="176" spans="1:5" x14ac:dyDescent="0.2">
      <c r="A176" s="39">
        <v>59</v>
      </c>
      <c r="B176" s="39" t="s">
        <v>1256</v>
      </c>
      <c r="C176" s="39" t="str">
        <f t="shared" si="1"/>
        <v>NO APLICA</v>
      </c>
      <c r="D176" s="107">
        <f t="shared" si="2"/>
        <v>55</v>
      </c>
    </row>
    <row r="177" spans="1:4" x14ac:dyDescent="0.2">
      <c r="A177" s="39">
        <v>60</v>
      </c>
      <c r="B177" s="39" t="s">
        <v>1257</v>
      </c>
      <c r="C177" s="39" t="str">
        <f t="shared" si="1"/>
        <v>NO APLICA</v>
      </c>
      <c r="D177" s="107">
        <f t="shared" si="2"/>
        <v>55</v>
      </c>
    </row>
    <row r="178" spans="1:4" x14ac:dyDescent="0.2">
      <c r="A178" s="39">
        <v>61</v>
      </c>
      <c r="B178" s="39" t="s">
        <v>1374</v>
      </c>
      <c r="C178" s="39" t="str">
        <f t="shared" si="1"/>
        <v>NO APLICA</v>
      </c>
      <c r="D178" s="107">
        <f t="shared" si="2"/>
        <v>55</v>
      </c>
    </row>
    <row r="179" spans="1:4" x14ac:dyDescent="0.2">
      <c r="A179" s="39">
        <v>62</v>
      </c>
      <c r="B179" s="39" t="s">
        <v>1379</v>
      </c>
      <c r="C179" s="39" t="str">
        <f t="shared" si="1"/>
        <v>NO APLICA</v>
      </c>
      <c r="D179" s="107">
        <f t="shared" si="2"/>
        <v>55</v>
      </c>
    </row>
    <row r="180" spans="1:4" x14ac:dyDescent="0.2">
      <c r="A180" s="39">
        <v>63</v>
      </c>
      <c r="B180" s="39" t="s">
        <v>1259</v>
      </c>
      <c r="C180" s="39" t="str">
        <f t="shared" si="1"/>
        <v>INCLUIDO</v>
      </c>
      <c r="D180" s="107">
        <f t="shared" si="2"/>
        <v>63</v>
      </c>
    </row>
    <row r="181" spans="1:4" x14ac:dyDescent="0.2">
      <c r="A181" s="39">
        <v>64</v>
      </c>
      <c r="B181" s="39" t="s">
        <v>1258</v>
      </c>
      <c r="C181" s="39" t="str">
        <f t="shared" si="1"/>
        <v>NO APLICA</v>
      </c>
      <c r="D181" s="107">
        <f t="shared" si="2"/>
        <v>63</v>
      </c>
    </row>
    <row r="185" spans="1:4" x14ac:dyDescent="0.2">
      <c r="A185" s="39" t="s">
        <v>2547</v>
      </c>
    </row>
    <row r="186" spans="1:4" x14ac:dyDescent="0.2">
      <c r="A186" s="39">
        <v>1</v>
      </c>
      <c r="B186" s="108">
        <v>10000</v>
      </c>
      <c r="C186" s="108">
        <v>350</v>
      </c>
    </row>
    <row r="187" spans="1:4" x14ac:dyDescent="0.2">
      <c r="A187" s="39">
        <v>10001</v>
      </c>
      <c r="B187" s="108">
        <v>50000</v>
      </c>
      <c r="C187" s="108">
        <v>500</v>
      </c>
    </row>
    <row r="188" spans="1:4" x14ac:dyDescent="0.2">
      <c r="A188" s="39">
        <v>50001</v>
      </c>
      <c r="B188" s="108">
        <v>150000</v>
      </c>
      <c r="C188" s="108">
        <v>750</v>
      </c>
    </row>
    <row r="189" spans="1:4" x14ac:dyDescent="0.2">
      <c r="A189" s="39">
        <v>150001</v>
      </c>
      <c r="B189" s="108">
        <v>9999999999</v>
      </c>
      <c r="C189" s="108">
        <v>1000</v>
      </c>
    </row>
    <row r="190" spans="1:4" x14ac:dyDescent="0.2">
      <c r="B190" s="108"/>
      <c r="C190" s="108"/>
    </row>
    <row r="191" spans="1:4" x14ac:dyDescent="0.2">
      <c r="A191" s="39">
        <v>1</v>
      </c>
      <c r="B191" s="108">
        <v>1000</v>
      </c>
      <c r="C191" s="108">
        <v>35</v>
      </c>
    </row>
    <row r="192" spans="1:4" x14ac:dyDescent="0.2">
      <c r="A192" s="39">
        <v>1001</v>
      </c>
      <c r="B192" s="108">
        <v>5000</v>
      </c>
      <c r="C192" s="108">
        <v>50</v>
      </c>
    </row>
    <row r="193" spans="1:3" x14ac:dyDescent="0.2">
      <c r="A193" s="39">
        <v>5001</v>
      </c>
      <c r="B193" s="108">
        <v>15000</v>
      </c>
      <c r="C193" s="108">
        <v>75</v>
      </c>
    </row>
    <row r="194" spans="1:3" x14ac:dyDescent="0.2">
      <c r="A194" s="39">
        <v>15001</v>
      </c>
      <c r="B194" s="108">
        <v>99999999</v>
      </c>
      <c r="C194" s="108">
        <v>100</v>
      </c>
    </row>
    <row r="196" spans="1:3" x14ac:dyDescent="0.2">
      <c r="A196" s="39">
        <f>'Hoja Contable'!U1</f>
        <v>2</v>
      </c>
      <c r="B196" s="39">
        <f>IF(B197=0,0,IF(A196=1,VLOOKUP(B197,A186:C189,3),VLOOKUP(B197,A191:C194,3)))</f>
        <v>100</v>
      </c>
    </row>
    <row r="197" spans="1:3" x14ac:dyDescent="0.2">
      <c r="B197" s="46">
        <f>'Hoja Contable'!H411</f>
        <v>1088395.2387804075</v>
      </c>
    </row>
  </sheetData>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3"/>
  <dimension ref="A3:F1073"/>
  <sheetViews>
    <sheetView topLeftCell="A1022" workbookViewId="0">
      <selection activeCell="D1035" sqref="D1035:F1035"/>
    </sheetView>
  </sheetViews>
  <sheetFormatPr baseColWidth="10" defaultColWidth="11.44140625" defaultRowHeight="10.199999999999999" x14ac:dyDescent="0.2"/>
  <cols>
    <col min="1" max="1" width="6" style="39" bestFit="1" customWidth="1"/>
    <col min="2" max="2" width="4.5546875" style="39" customWidth="1"/>
    <col min="3" max="3" width="49.6640625" style="39" customWidth="1"/>
    <col min="4" max="4" width="6.109375" style="39" bestFit="1" customWidth="1"/>
    <col min="5" max="5" width="11" style="39" bestFit="1" customWidth="1"/>
    <col min="6" max="6" width="28.44140625" style="39" customWidth="1"/>
    <col min="7" max="8" width="11.44140625" style="39"/>
    <col min="9" max="9" width="30.44140625" style="39" customWidth="1"/>
    <col min="10" max="16384" width="11.44140625" style="39"/>
  </cols>
  <sheetData>
    <row r="3" spans="1:6" x14ac:dyDescent="0.2">
      <c r="A3" s="39" t="s">
        <v>2548</v>
      </c>
      <c r="B3" s="39" t="s">
        <v>2549</v>
      </c>
      <c r="C3" s="39" t="s">
        <v>2549</v>
      </c>
      <c r="D3" s="39" t="s">
        <v>2550</v>
      </c>
      <c r="E3" s="39" t="s">
        <v>2551</v>
      </c>
      <c r="F3" s="39" t="s">
        <v>2552</v>
      </c>
    </row>
    <row r="4" spans="1:6" x14ac:dyDescent="0.2">
      <c r="A4" s="92">
        <v>1.01</v>
      </c>
      <c r="B4" s="39">
        <v>1</v>
      </c>
      <c r="C4" s="45" t="s">
        <v>2371</v>
      </c>
      <c r="D4" s="39">
        <v>902</v>
      </c>
      <c r="E4" s="39">
        <v>1</v>
      </c>
      <c r="F4" s="39" t="s">
        <v>1149</v>
      </c>
    </row>
    <row r="5" spans="1:6" x14ac:dyDescent="0.2">
      <c r="A5" s="92">
        <v>1.02</v>
      </c>
      <c r="B5" s="39">
        <v>1</v>
      </c>
      <c r="C5" s="46" t="s">
        <v>2371</v>
      </c>
      <c r="D5" s="39">
        <v>904</v>
      </c>
      <c r="E5" s="39">
        <v>2</v>
      </c>
      <c r="F5" s="39" t="s">
        <v>1167</v>
      </c>
    </row>
    <row r="6" spans="1:6" x14ac:dyDescent="0.2">
      <c r="A6" s="92">
        <v>1.03</v>
      </c>
      <c r="B6" s="39">
        <v>1</v>
      </c>
      <c r="C6" s="46" t="s">
        <v>2371</v>
      </c>
      <c r="D6" s="39">
        <v>903</v>
      </c>
      <c r="E6" s="39">
        <v>3</v>
      </c>
      <c r="F6" s="39" t="s">
        <v>1163</v>
      </c>
    </row>
    <row r="7" spans="1:6" x14ac:dyDescent="0.2">
      <c r="A7" s="92">
        <v>1.04</v>
      </c>
      <c r="B7" s="39">
        <v>1</v>
      </c>
      <c r="C7" s="46" t="s">
        <v>2371</v>
      </c>
      <c r="D7" s="39">
        <v>902</v>
      </c>
      <c r="E7" s="39">
        <v>4</v>
      </c>
      <c r="F7" s="39" t="s">
        <v>1179</v>
      </c>
    </row>
    <row r="8" spans="1:6" x14ac:dyDescent="0.2">
      <c r="A8" s="92">
        <v>1.05</v>
      </c>
      <c r="B8" s="39">
        <v>1</v>
      </c>
      <c r="C8" s="46" t="s">
        <v>2371</v>
      </c>
      <c r="D8" s="39">
        <v>904</v>
      </c>
      <c r="E8" s="39">
        <v>5</v>
      </c>
      <c r="F8" s="39" t="s">
        <v>1197</v>
      </c>
    </row>
    <row r="9" spans="1:6" x14ac:dyDescent="0.2">
      <c r="A9" s="92">
        <v>1.06</v>
      </c>
      <c r="B9" s="39">
        <v>1</v>
      </c>
      <c r="C9" s="46" t="s">
        <v>2371</v>
      </c>
      <c r="D9" s="39">
        <v>903</v>
      </c>
      <c r="E9" s="39">
        <v>6</v>
      </c>
      <c r="F9" s="39" t="s">
        <v>1195</v>
      </c>
    </row>
    <row r="10" spans="1:6" x14ac:dyDescent="0.2">
      <c r="A10" s="92">
        <v>1.07</v>
      </c>
      <c r="B10" s="39">
        <v>1</v>
      </c>
      <c r="C10" s="46" t="s">
        <v>2371</v>
      </c>
      <c r="D10" s="39">
        <v>902</v>
      </c>
      <c r="E10" s="39">
        <v>7</v>
      </c>
      <c r="F10" s="39" t="s">
        <v>1204</v>
      </c>
    </row>
    <row r="11" spans="1:6" x14ac:dyDescent="0.2">
      <c r="A11" s="92">
        <v>1.08</v>
      </c>
      <c r="B11" s="39">
        <v>1</v>
      </c>
      <c r="C11" s="45" t="s">
        <v>2371</v>
      </c>
      <c r="D11" s="39">
        <v>904</v>
      </c>
      <c r="E11" s="39">
        <v>8</v>
      </c>
      <c r="F11" s="39" t="s">
        <v>1228</v>
      </c>
    </row>
    <row r="12" spans="1:6" x14ac:dyDescent="0.2">
      <c r="A12" s="92">
        <v>1.0900000000000001</v>
      </c>
      <c r="B12" s="39">
        <v>1</v>
      </c>
      <c r="C12" s="45" t="s">
        <v>2371</v>
      </c>
      <c r="D12" s="39">
        <v>903</v>
      </c>
      <c r="E12" s="39">
        <v>9</v>
      </c>
      <c r="F12" s="39" t="s">
        <v>1223</v>
      </c>
    </row>
    <row r="13" spans="1:6" x14ac:dyDescent="0.2">
      <c r="A13" s="92">
        <v>1.1000000000000001</v>
      </c>
      <c r="B13" s="39">
        <v>1</v>
      </c>
      <c r="C13" s="45" t="s">
        <v>2371</v>
      </c>
      <c r="D13" s="39">
        <v>905</v>
      </c>
      <c r="E13" s="39">
        <v>10</v>
      </c>
      <c r="F13" s="39" t="s">
        <v>1232</v>
      </c>
    </row>
    <row r="14" spans="1:6" x14ac:dyDescent="0.2">
      <c r="A14" s="92">
        <v>1.1100000000000001</v>
      </c>
      <c r="B14" s="39">
        <v>1</v>
      </c>
      <c r="C14" s="45" t="s">
        <v>2371</v>
      </c>
      <c r="D14" s="39">
        <v>905</v>
      </c>
      <c r="E14" s="39">
        <v>11</v>
      </c>
      <c r="F14" s="39" t="s">
        <v>1236</v>
      </c>
    </row>
    <row r="15" spans="1:6" x14ac:dyDescent="0.2">
      <c r="A15" s="92">
        <v>1.1200000000000001</v>
      </c>
      <c r="B15" s="39">
        <v>1</v>
      </c>
      <c r="C15" s="45" t="s">
        <v>2371</v>
      </c>
      <c r="D15" s="39">
        <v>905</v>
      </c>
      <c r="E15" s="39">
        <v>12</v>
      </c>
      <c r="F15" s="39" t="s">
        <v>1237</v>
      </c>
    </row>
    <row r="16" spans="1:6" x14ac:dyDescent="0.2">
      <c r="A16" s="92">
        <v>1.1300000000000001</v>
      </c>
      <c r="B16" s="39">
        <v>1</v>
      </c>
      <c r="C16" s="45" t="s">
        <v>2371</v>
      </c>
      <c r="D16" s="39">
        <v>905</v>
      </c>
      <c r="E16" s="39">
        <v>13</v>
      </c>
      <c r="F16" s="39" t="s">
        <v>1238</v>
      </c>
    </row>
    <row r="17" spans="1:6" x14ac:dyDescent="0.2">
      <c r="A17" s="92">
        <v>1.1400000000000001</v>
      </c>
      <c r="B17" s="39">
        <v>1</v>
      </c>
      <c r="C17" s="45" t="s">
        <v>2371</v>
      </c>
      <c r="D17" s="39">
        <v>905</v>
      </c>
      <c r="E17" s="39">
        <v>14</v>
      </c>
      <c r="F17" s="39" t="s">
        <v>1239</v>
      </c>
    </row>
    <row r="18" spans="1:6" x14ac:dyDescent="0.2">
      <c r="A18" s="92">
        <v>1.1500000000000001</v>
      </c>
      <c r="B18" s="39">
        <v>1</v>
      </c>
      <c r="C18" s="45" t="s">
        <v>2371</v>
      </c>
      <c r="D18" s="39">
        <v>905</v>
      </c>
      <c r="E18" s="39">
        <v>15</v>
      </c>
      <c r="F18" s="39" t="s">
        <v>1245</v>
      </c>
    </row>
    <row r="19" spans="1:6" x14ac:dyDescent="0.2">
      <c r="A19" s="92">
        <v>1.1600000000000001</v>
      </c>
      <c r="B19" s="39">
        <v>1</v>
      </c>
      <c r="C19" s="45" t="s">
        <v>2371</v>
      </c>
      <c r="D19" s="39">
        <v>905</v>
      </c>
      <c r="E19" s="39">
        <v>16</v>
      </c>
      <c r="F19" s="39" t="s">
        <v>1246</v>
      </c>
    </row>
    <row r="20" spans="1:6" x14ac:dyDescent="0.2">
      <c r="A20" s="92">
        <v>1.1700000000000002</v>
      </c>
      <c r="B20" s="39">
        <v>1</v>
      </c>
      <c r="C20" s="45" t="s">
        <v>2371</v>
      </c>
      <c r="D20" s="39">
        <v>905</v>
      </c>
      <c r="E20" s="39">
        <v>17</v>
      </c>
      <c r="F20" s="39" t="s">
        <v>1253</v>
      </c>
    </row>
    <row r="21" spans="1:6" x14ac:dyDescent="0.2">
      <c r="A21" s="92">
        <v>1.1800000000000002</v>
      </c>
      <c r="B21" s="39">
        <v>1</v>
      </c>
      <c r="C21" s="45" t="s">
        <v>2371</v>
      </c>
      <c r="D21" s="39">
        <v>906</v>
      </c>
      <c r="E21" s="39">
        <v>20</v>
      </c>
      <c r="F21" s="39" t="s">
        <v>1260</v>
      </c>
    </row>
    <row r="22" spans="1:6" x14ac:dyDescent="0.2">
      <c r="A22" s="92">
        <v>1.1900000000000002</v>
      </c>
      <c r="B22" s="39">
        <v>1</v>
      </c>
      <c r="C22" s="45" t="s">
        <v>2371</v>
      </c>
      <c r="D22" s="39">
        <v>906</v>
      </c>
      <c r="E22" s="39">
        <v>21</v>
      </c>
      <c r="F22" s="39" t="s">
        <v>1263</v>
      </c>
    </row>
    <row r="23" spans="1:6" x14ac:dyDescent="0.2">
      <c r="A23" s="92">
        <v>1.2000000000000002</v>
      </c>
      <c r="B23" s="39">
        <v>1</v>
      </c>
      <c r="C23" s="45" t="s">
        <v>2371</v>
      </c>
      <c r="D23" s="39">
        <v>906</v>
      </c>
      <c r="E23" s="39">
        <v>22</v>
      </c>
      <c r="F23" s="39" t="s">
        <v>1264</v>
      </c>
    </row>
    <row r="24" spans="1:6" x14ac:dyDescent="0.2">
      <c r="A24" s="92">
        <v>1.2100000000000002</v>
      </c>
      <c r="B24" s="39">
        <v>1</v>
      </c>
      <c r="C24" s="45" t="s">
        <v>2371</v>
      </c>
      <c r="D24" s="39">
        <v>906</v>
      </c>
      <c r="E24" s="39">
        <v>23</v>
      </c>
      <c r="F24" s="39" t="s">
        <v>1265</v>
      </c>
    </row>
    <row r="25" spans="1:6" x14ac:dyDescent="0.2">
      <c r="A25" s="92">
        <v>1.2200000000000002</v>
      </c>
      <c r="B25" s="39">
        <v>1</v>
      </c>
      <c r="C25" s="45" t="s">
        <v>2371</v>
      </c>
      <c r="D25" s="39">
        <v>906</v>
      </c>
      <c r="E25" s="39">
        <v>24</v>
      </c>
      <c r="F25" s="39" t="s">
        <v>1266</v>
      </c>
    </row>
    <row r="26" spans="1:6" x14ac:dyDescent="0.2">
      <c r="A26" s="92">
        <v>1.2300000000000002</v>
      </c>
      <c r="B26" s="39">
        <v>1</v>
      </c>
      <c r="C26" s="45" t="s">
        <v>2371</v>
      </c>
      <c r="D26" s="39">
        <v>906</v>
      </c>
      <c r="E26" s="39">
        <v>25</v>
      </c>
      <c r="F26" s="39" t="s">
        <v>1268</v>
      </c>
    </row>
    <row r="27" spans="1:6" x14ac:dyDescent="0.2">
      <c r="A27" s="92">
        <v>1.2400000000000002</v>
      </c>
      <c r="B27" s="39">
        <v>1</v>
      </c>
      <c r="C27" s="45" t="s">
        <v>2371</v>
      </c>
      <c r="D27" s="39">
        <v>906</v>
      </c>
      <c r="E27" s="39">
        <v>26</v>
      </c>
      <c r="F27" s="39" t="s">
        <v>1276</v>
      </c>
    </row>
    <row r="28" spans="1:6" x14ac:dyDescent="0.2">
      <c r="A28" s="92">
        <v>1.2500000000000002</v>
      </c>
      <c r="B28" s="39">
        <v>1</v>
      </c>
      <c r="C28" s="45" t="s">
        <v>2371</v>
      </c>
      <c r="D28" s="39">
        <v>906</v>
      </c>
      <c r="E28" s="39">
        <v>27</v>
      </c>
      <c r="F28" s="39" t="s">
        <v>1277</v>
      </c>
    </row>
    <row r="29" spans="1:6" x14ac:dyDescent="0.2">
      <c r="A29" s="92">
        <v>1.2600000000000002</v>
      </c>
      <c r="B29" s="39">
        <v>1</v>
      </c>
      <c r="C29" s="45" t="s">
        <v>2371</v>
      </c>
      <c r="D29" s="39">
        <v>906</v>
      </c>
      <c r="E29" s="39">
        <v>28</v>
      </c>
      <c r="F29" s="39" t="s">
        <v>1278</v>
      </c>
    </row>
    <row r="30" spans="1:6" x14ac:dyDescent="0.2">
      <c r="A30" s="92">
        <v>1.2700000000000002</v>
      </c>
      <c r="B30" s="39">
        <v>1</v>
      </c>
      <c r="C30" s="45" t="s">
        <v>2371</v>
      </c>
      <c r="D30" s="39">
        <v>906</v>
      </c>
      <c r="E30" s="39">
        <v>29</v>
      </c>
      <c r="F30" s="39" t="s">
        <v>1280</v>
      </c>
    </row>
    <row r="31" spans="1:6" x14ac:dyDescent="0.2">
      <c r="A31" s="92">
        <v>1.2800000000000002</v>
      </c>
      <c r="B31" s="39">
        <v>1</v>
      </c>
      <c r="C31" s="45" t="s">
        <v>2371</v>
      </c>
      <c r="D31" s="39">
        <v>909</v>
      </c>
      <c r="E31" s="39">
        <v>36</v>
      </c>
      <c r="F31" s="39" t="s">
        <v>1294</v>
      </c>
    </row>
    <row r="32" spans="1:6" x14ac:dyDescent="0.2">
      <c r="A32" s="92">
        <v>1.2900000000000003</v>
      </c>
      <c r="B32" s="39">
        <v>1</v>
      </c>
      <c r="C32" s="45" t="s">
        <v>2371</v>
      </c>
      <c r="D32" s="39">
        <v>905</v>
      </c>
      <c r="E32" s="39">
        <v>55</v>
      </c>
      <c r="F32" s="39" t="s">
        <v>1254</v>
      </c>
    </row>
    <row r="33" spans="1:6" x14ac:dyDescent="0.2">
      <c r="A33" s="92">
        <v>1.3000000000000003</v>
      </c>
      <c r="B33" s="39">
        <v>1</v>
      </c>
      <c r="C33" s="45" t="s">
        <v>2371</v>
      </c>
      <c r="D33" s="39">
        <v>905</v>
      </c>
      <c r="E33" s="39">
        <v>63</v>
      </c>
      <c r="F33" s="39" t="s">
        <v>1259</v>
      </c>
    </row>
    <row r="34" spans="1:6" x14ac:dyDescent="0.2">
      <c r="A34" s="92">
        <v>1.31</v>
      </c>
      <c r="B34" s="39">
        <v>1</v>
      </c>
      <c r="C34" s="45" t="s">
        <v>2371</v>
      </c>
      <c r="D34" s="39">
        <v>999</v>
      </c>
      <c r="E34" s="39">
        <v>99</v>
      </c>
      <c r="F34" s="39" t="s">
        <v>2553</v>
      </c>
    </row>
    <row r="35" spans="1:6" x14ac:dyDescent="0.2">
      <c r="A35" s="92">
        <v>2.0099999999999998</v>
      </c>
      <c r="B35" s="39">
        <v>2</v>
      </c>
      <c r="C35" s="45" t="s">
        <v>2374</v>
      </c>
      <c r="D35" s="39">
        <v>902</v>
      </c>
      <c r="E35" s="39">
        <v>1</v>
      </c>
      <c r="F35" s="39" t="s">
        <v>1149</v>
      </c>
    </row>
    <row r="36" spans="1:6" x14ac:dyDescent="0.2">
      <c r="A36" s="92">
        <v>2.0199999999999996</v>
      </c>
      <c r="B36" s="39">
        <v>2</v>
      </c>
      <c r="C36" s="45" t="s">
        <v>2374</v>
      </c>
      <c r="D36" s="39">
        <v>904</v>
      </c>
      <c r="E36" s="39">
        <v>2</v>
      </c>
      <c r="F36" s="39" t="s">
        <v>1167</v>
      </c>
    </row>
    <row r="37" spans="1:6" x14ac:dyDescent="0.2">
      <c r="A37" s="92">
        <v>2.0299999999999994</v>
      </c>
      <c r="B37" s="39">
        <v>2</v>
      </c>
      <c r="C37" s="45" t="s">
        <v>2374</v>
      </c>
      <c r="D37" s="39">
        <v>903</v>
      </c>
      <c r="E37" s="39">
        <v>3</v>
      </c>
      <c r="F37" s="39" t="s">
        <v>1163</v>
      </c>
    </row>
    <row r="38" spans="1:6" x14ac:dyDescent="0.2">
      <c r="A38" s="92">
        <v>2.0399999999999991</v>
      </c>
      <c r="B38" s="39">
        <v>2</v>
      </c>
      <c r="C38" s="45" t="s">
        <v>2374</v>
      </c>
      <c r="D38" s="39">
        <v>902</v>
      </c>
      <c r="E38" s="39">
        <v>4</v>
      </c>
      <c r="F38" s="39" t="s">
        <v>1179</v>
      </c>
    </row>
    <row r="39" spans="1:6" x14ac:dyDescent="0.2">
      <c r="A39" s="92">
        <v>2.0499999999999989</v>
      </c>
      <c r="B39" s="39">
        <v>2</v>
      </c>
      <c r="C39" s="45" t="s">
        <v>2374</v>
      </c>
      <c r="D39" s="39">
        <v>904</v>
      </c>
      <c r="E39" s="39">
        <v>5</v>
      </c>
      <c r="F39" s="39" t="s">
        <v>1197</v>
      </c>
    </row>
    <row r="40" spans="1:6" x14ac:dyDescent="0.2">
      <c r="A40" s="92">
        <v>2.0599999999999987</v>
      </c>
      <c r="B40" s="39">
        <v>2</v>
      </c>
      <c r="C40" s="45" t="s">
        <v>2374</v>
      </c>
      <c r="D40" s="39">
        <v>903</v>
      </c>
      <c r="E40" s="39">
        <v>6</v>
      </c>
      <c r="F40" s="39" t="s">
        <v>1195</v>
      </c>
    </row>
    <row r="41" spans="1:6" x14ac:dyDescent="0.2">
      <c r="A41" s="92">
        <v>2.0699999999999985</v>
      </c>
      <c r="B41" s="39">
        <v>2</v>
      </c>
      <c r="C41" s="45" t="s">
        <v>2374</v>
      </c>
      <c r="D41" s="39">
        <v>902</v>
      </c>
      <c r="E41" s="39">
        <v>7</v>
      </c>
      <c r="F41" s="39" t="s">
        <v>1204</v>
      </c>
    </row>
    <row r="42" spans="1:6" x14ac:dyDescent="0.2">
      <c r="A42" s="92">
        <v>2.0799999999999983</v>
      </c>
      <c r="B42" s="39">
        <v>2</v>
      </c>
      <c r="C42" s="45" t="s">
        <v>2374</v>
      </c>
      <c r="D42" s="39">
        <v>904</v>
      </c>
      <c r="E42" s="39">
        <v>8</v>
      </c>
      <c r="F42" s="39" t="s">
        <v>1228</v>
      </c>
    </row>
    <row r="43" spans="1:6" x14ac:dyDescent="0.2">
      <c r="A43" s="92">
        <v>2.0899999999999981</v>
      </c>
      <c r="B43" s="39">
        <v>2</v>
      </c>
      <c r="C43" s="45" t="s">
        <v>2374</v>
      </c>
      <c r="D43" s="39">
        <v>903</v>
      </c>
      <c r="E43" s="39">
        <v>9</v>
      </c>
      <c r="F43" s="39" t="s">
        <v>1223</v>
      </c>
    </row>
    <row r="44" spans="1:6" x14ac:dyDescent="0.2">
      <c r="A44" s="92">
        <v>2.0999999999999979</v>
      </c>
      <c r="B44" s="39">
        <v>2</v>
      </c>
      <c r="C44" s="45" t="s">
        <v>2374</v>
      </c>
      <c r="D44" s="39">
        <v>905</v>
      </c>
      <c r="E44" s="39">
        <v>10</v>
      </c>
      <c r="F44" s="39" t="s">
        <v>1232</v>
      </c>
    </row>
    <row r="45" spans="1:6" x14ac:dyDescent="0.2">
      <c r="A45" s="92">
        <v>2.1099999999999977</v>
      </c>
      <c r="B45" s="39">
        <v>2</v>
      </c>
      <c r="C45" s="45" t="s">
        <v>2374</v>
      </c>
      <c r="D45" s="39">
        <v>905</v>
      </c>
      <c r="E45" s="39">
        <v>11</v>
      </c>
      <c r="F45" s="39" t="s">
        <v>1236</v>
      </c>
    </row>
    <row r="46" spans="1:6" x14ac:dyDescent="0.2">
      <c r="A46" s="92">
        <v>2.1199999999999974</v>
      </c>
      <c r="B46" s="39">
        <v>2</v>
      </c>
      <c r="C46" s="45" t="s">
        <v>2374</v>
      </c>
      <c r="D46" s="39">
        <v>905</v>
      </c>
      <c r="E46" s="39">
        <v>12</v>
      </c>
      <c r="F46" s="39" t="s">
        <v>1237</v>
      </c>
    </row>
    <row r="47" spans="1:6" x14ac:dyDescent="0.2">
      <c r="A47" s="92">
        <v>2.1299999999999972</v>
      </c>
      <c r="B47" s="39">
        <v>2</v>
      </c>
      <c r="C47" s="45" t="s">
        <v>2374</v>
      </c>
      <c r="D47" s="39">
        <v>905</v>
      </c>
      <c r="E47" s="39">
        <v>13</v>
      </c>
      <c r="F47" s="39" t="s">
        <v>1238</v>
      </c>
    </row>
    <row r="48" spans="1:6" x14ac:dyDescent="0.2">
      <c r="A48" s="92">
        <v>2.139999999999997</v>
      </c>
      <c r="B48" s="39">
        <v>2</v>
      </c>
      <c r="C48" s="45" t="s">
        <v>2374</v>
      </c>
      <c r="D48" s="39">
        <v>905</v>
      </c>
      <c r="E48" s="39">
        <v>14</v>
      </c>
      <c r="F48" s="39" t="s">
        <v>1239</v>
      </c>
    </row>
    <row r="49" spans="1:6" x14ac:dyDescent="0.2">
      <c r="A49" s="92">
        <v>2.1499999999999968</v>
      </c>
      <c r="B49" s="39">
        <v>2</v>
      </c>
      <c r="C49" s="45" t="s">
        <v>2374</v>
      </c>
      <c r="D49" s="39">
        <v>905</v>
      </c>
      <c r="E49" s="39">
        <v>15</v>
      </c>
      <c r="F49" s="39" t="s">
        <v>1245</v>
      </c>
    </row>
    <row r="50" spans="1:6" x14ac:dyDescent="0.2">
      <c r="A50" s="92">
        <v>2.1599999999999966</v>
      </c>
      <c r="B50" s="39">
        <v>2</v>
      </c>
      <c r="C50" s="45" t="s">
        <v>2374</v>
      </c>
      <c r="D50" s="39">
        <v>905</v>
      </c>
      <c r="E50" s="39">
        <v>16</v>
      </c>
      <c r="F50" s="39" t="s">
        <v>1246</v>
      </c>
    </row>
    <row r="51" spans="1:6" x14ac:dyDescent="0.2">
      <c r="A51" s="92">
        <v>2.1699999999999964</v>
      </c>
      <c r="B51" s="39">
        <v>2</v>
      </c>
      <c r="C51" s="45" t="s">
        <v>2374</v>
      </c>
      <c r="D51" s="39">
        <v>905</v>
      </c>
      <c r="E51" s="39">
        <v>17</v>
      </c>
      <c r="F51" s="39" t="s">
        <v>1253</v>
      </c>
    </row>
    <row r="52" spans="1:6" x14ac:dyDescent="0.2">
      <c r="A52" s="92">
        <v>2.1799999999999962</v>
      </c>
      <c r="B52" s="39">
        <v>2</v>
      </c>
      <c r="C52" s="45" t="s">
        <v>2374</v>
      </c>
      <c r="D52" s="39">
        <v>906</v>
      </c>
      <c r="E52" s="39">
        <v>20</v>
      </c>
      <c r="F52" s="39" t="s">
        <v>1260</v>
      </c>
    </row>
    <row r="53" spans="1:6" x14ac:dyDescent="0.2">
      <c r="A53" s="92">
        <v>2.1899999999999959</v>
      </c>
      <c r="B53" s="39">
        <v>2</v>
      </c>
      <c r="C53" s="45" t="s">
        <v>2374</v>
      </c>
      <c r="D53" s="39">
        <v>906</v>
      </c>
      <c r="E53" s="39">
        <v>21</v>
      </c>
      <c r="F53" s="39" t="s">
        <v>1263</v>
      </c>
    </row>
    <row r="54" spans="1:6" x14ac:dyDescent="0.2">
      <c r="A54" s="92">
        <v>2.1999999999999957</v>
      </c>
      <c r="B54" s="39">
        <v>2</v>
      </c>
      <c r="C54" s="45" t="s">
        <v>2374</v>
      </c>
      <c r="D54" s="39">
        <v>906</v>
      </c>
      <c r="E54" s="39">
        <v>22</v>
      </c>
      <c r="F54" s="39" t="s">
        <v>1264</v>
      </c>
    </row>
    <row r="55" spans="1:6" x14ac:dyDescent="0.2">
      <c r="A55" s="92">
        <v>2.2099999999999955</v>
      </c>
      <c r="B55" s="39">
        <v>2</v>
      </c>
      <c r="C55" s="45" t="s">
        <v>2374</v>
      </c>
      <c r="D55" s="39">
        <v>906</v>
      </c>
      <c r="E55" s="39">
        <v>23</v>
      </c>
      <c r="F55" s="39" t="s">
        <v>1265</v>
      </c>
    </row>
    <row r="56" spans="1:6" x14ac:dyDescent="0.2">
      <c r="A56" s="92">
        <v>2.2199999999999953</v>
      </c>
      <c r="B56" s="39">
        <v>2</v>
      </c>
      <c r="C56" s="45" t="s">
        <v>2374</v>
      </c>
      <c r="D56" s="39">
        <v>906</v>
      </c>
      <c r="E56" s="39">
        <v>24</v>
      </c>
      <c r="F56" s="39" t="s">
        <v>1266</v>
      </c>
    </row>
    <row r="57" spans="1:6" x14ac:dyDescent="0.2">
      <c r="A57" s="92">
        <v>2.2299999999999951</v>
      </c>
      <c r="B57" s="39">
        <v>2</v>
      </c>
      <c r="C57" s="45" t="s">
        <v>2374</v>
      </c>
      <c r="D57" s="39">
        <v>906</v>
      </c>
      <c r="E57" s="39">
        <v>25</v>
      </c>
      <c r="F57" s="39" t="s">
        <v>1268</v>
      </c>
    </row>
    <row r="58" spans="1:6" x14ac:dyDescent="0.2">
      <c r="A58" s="92">
        <v>2.2399999999999949</v>
      </c>
      <c r="B58" s="39">
        <v>2</v>
      </c>
      <c r="C58" s="45" t="s">
        <v>2374</v>
      </c>
      <c r="D58" s="39">
        <v>906</v>
      </c>
      <c r="E58" s="39">
        <v>26</v>
      </c>
      <c r="F58" s="39" t="s">
        <v>1276</v>
      </c>
    </row>
    <row r="59" spans="1:6" x14ac:dyDescent="0.2">
      <c r="A59" s="92">
        <v>2.2499999999999947</v>
      </c>
      <c r="B59" s="39">
        <v>2</v>
      </c>
      <c r="C59" s="45" t="s">
        <v>2374</v>
      </c>
      <c r="D59" s="39">
        <v>906</v>
      </c>
      <c r="E59" s="39">
        <v>27</v>
      </c>
      <c r="F59" s="39" t="s">
        <v>1277</v>
      </c>
    </row>
    <row r="60" spans="1:6" x14ac:dyDescent="0.2">
      <c r="A60" s="92">
        <v>2.2599999999999945</v>
      </c>
      <c r="B60" s="39">
        <v>2</v>
      </c>
      <c r="C60" s="45" t="s">
        <v>2374</v>
      </c>
      <c r="D60" s="39">
        <v>906</v>
      </c>
      <c r="E60" s="39">
        <v>28</v>
      </c>
      <c r="F60" s="39" t="s">
        <v>1278</v>
      </c>
    </row>
    <row r="61" spans="1:6" x14ac:dyDescent="0.2">
      <c r="A61" s="92">
        <v>2.2699999999999942</v>
      </c>
      <c r="B61" s="39">
        <v>2</v>
      </c>
      <c r="C61" s="45" t="s">
        <v>2374</v>
      </c>
      <c r="D61" s="39">
        <v>906</v>
      </c>
      <c r="E61" s="39">
        <v>29</v>
      </c>
      <c r="F61" s="39" t="s">
        <v>1280</v>
      </c>
    </row>
    <row r="62" spans="1:6" x14ac:dyDescent="0.2">
      <c r="A62" s="92">
        <v>2.279999999999994</v>
      </c>
      <c r="B62" s="39">
        <v>2</v>
      </c>
      <c r="C62" s="45" t="s">
        <v>2374</v>
      </c>
      <c r="D62" s="39">
        <v>909</v>
      </c>
      <c r="E62" s="39">
        <v>36</v>
      </c>
      <c r="F62" s="39" t="s">
        <v>1294</v>
      </c>
    </row>
    <row r="63" spans="1:6" x14ac:dyDescent="0.2">
      <c r="A63" s="92">
        <v>2.2899999999999938</v>
      </c>
      <c r="B63" s="39">
        <v>2</v>
      </c>
      <c r="C63" s="45" t="s">
        <v>2374</v>
      </c>
      <c r="D63" s="39">
        <v>905</v>
      </c>
      <c r="E63" s="39">
        <v>63</v>
      </c>
      <c r="F63" s="39" t="s">
        <v>1259</v>
      </c>
    </row>
    <row r="64" spans="1:6" x14ac:dyDescent="0.2">
      <c r="A64" s="92">
        <v>2.2999999999999998</v>
      </c>
      <c r="B64" s="39">
        <v>1</v>
      </c>
      <c r="C64" s="45" t="s">
        <v>2374</v>
      </c>
      <c r="D64" s="39">
        <v>999</v>
      </c>
      <c r="E64" s="39">
        <v>99</v>
      </c>
      <c r="F64" s="39" t="s">
        <v>2553</v>
      </c>
    </row>
    <row r="65" spans="1:6" x14ac:dyDescent="0.2">
      <c r="A65" s="92">
        <v>3.01</v>
      </c>
      <c r="B65" s="39">
        <v>3</v>
      </c>
      <c r="C65" s="45" t="s">
        <v>2376</v>
      </c>
      <c r="D65" s="39">
        <v>902</v>
      </c>
      <c r="E65" s="39">
        <v>1</v>
      </c>
      <c r="F65" s="39" t="s">
        <v>1149</v>
      </c>
    </row>
    <row r="66" spans="1:6" x14ac:dyDescent="0.2">
      <c r="A66" s="92">
        <v>3.0199999999999996</v>
      </c>
      <c r="B66" s="39">
        <v>3</v>
      </c>
      <c r="C66" s="45" t="s">
        <v>2376</v>
      </c>
      <c r="D66" s="39">
        <v>904</v>
      </c>
      <c r="E66" s="39">
        <v>2</v>
      </c>
      <c r="F66" s="39" t="s">
        <v>1167</v>
      </c>
    </row>
    <row r="67" spans="1:6" x14ac:dyDescent="0.2">
      <c r="A67" s="92">
        <v>3.0299999999999994</v>
      </c>
      <c r="B67" s="39">
        <v>3</v>
      </c>
      <c r="C67" s="45" t="s">
        <v>2376</v>
      </c>
      <c r="D67" s="39">
        <v>903</v>
      </c>
      <c r="E67" s="39">
        <v>3</v>
      </c>
      <c r="F67" s="39" t="s">
        <v>1163</v>
      </c>
    </row>
    <row r="68" spans="1:6" x14ac:dyDescent="0.2">
      <c r="A68" s="92">
        <v>3.0399999999999991</v>
      </c>
      <c r="B68" s="39">
        <v>3</v>
      </c>
      <c r="C68" s="45" t="s">
        <v>2376</v>
      </c>
      <c r="D68" s="39">
        <v>902</v>
      </c>
      <c r="E68" s="39">
        <v>4</v>
      </c>
      <c r="F68" s="39" t="s">
        <v>1179</v>
      </c>
    </row>
    <row r="69" spans="1:6" x14ac:dyDescent="0.2">
      <c r="A69" s="92">
        <v>3.0499999999999989</v>
      </c>
      <c r="B69" s="39">
        <v>3</v>
      </c>
      <c r="C69" s="45" t="s">
        <v>2376</v>
      </c>
      <c r="D69" s="39">
        <v>904</v>
      </c>
      <c r="E69" s="39">
        <v>5</v>
      </c>
      <c r="F69" s="39" t="s">
        <v>1197</v>
      </c>
    </row>
    <row r="70" spans="1:6" x14ac:dyDescent="0.2">
      <c r="A70" s="92">
        <v>3.0599999999999987</v>
      </c>
      <c r="B70" s="39">
        <v>3</v>
      </c>
      <c r="C70" s="45" t="s">
        <v>2376</v>
      </c>
      <c r="D70" s="39">
        <v>903</v>
      </c>
      <c r="E70" s="39">
        <v>6</v>
      </c>
      <c r="F70" s="39" t="s">
        <v>1195</v>
      </c>
    </row>
    <row r="71" spans="1:6" x14ac:dyDescent="0.2">
      <c r="A71" s="92">
        <v>3.0699999999999985</v>
      </c>
      <c r="B71" s="39">
        <v>3</v>
      </c>
      <c r="C71" s="45" t="s">
        <v>2376</v>
      </c>
      <c r="D71" s="39">
        <v>902</v>
      </c>
      <c r="E71" s="39">
        <v>7</v>
      </c>
      <c r="F71" s="39" t="s">
        <v>1204</v>
      </c>
    </row>
    <row r="72" spans="1:6" x14ac:dyDescent="0.2">
      <c r="A72" s="92">
        <v>3.0799999999999983</v>
      </c>
      <c r="B72" s="39">
        <v>3</v>
      </c>
      <c r="C72" s="45" t="s">
        <v>2376</v>
      </c>
      <c r="D72" s="39">
        <v>904</v>
      </c>
      <c r="E72" s="39">
        <v>8</v>
      </c>
      <c r="F72" s="39" t="s">
        <v>1228</v>
      </c>
    </row>
    <row r="73" spans="1:6" x14ac:dyDescent="0.2">
      <c r="A73" s="92">
        <v>3.0899999999999981</v>
      </c>
      <c r="B73" s="39">
        <v>3</v>
      </c>
      <c r="C73" s="45" t="s">
        <v>2376</v>
      </c>
      <c r="D73" s="39">
        <v>903</v>
      </c>
      <c r="E73" s="39">
        <v>9</v>
      </c>
      <c r="F73" s="39" t="s">
        <v>1223</v>
      </c>
    </row>
    <row r="74" spans="1:6" x14ac:dyDescent="0.2">
      <c r="A74" s="92">
        <v>3.0999999999999979</v>
      </c>
      <c r="B74" s="39">
        <v>3</v>
      </c>
      <c r="C74" s="45" t="s">
        <v>2376</v>
      </c>
      <c r="D74" s="39">
        <v>905</v>
      </c>
      <c r="E74" s="39">
        <v>10</v>
      </c>
      <c r="F74" s="39" t="s">
        <v>1232</v>
      </c>
    </row>
    <row r="75" spans="1:6" x14ac:dyDescent="0.2">
      <c r="A75" s="92">
        <v>3.1099999999999977</v>
      </c>
      <c r="B75" s="39">
        <v>3</v>
      </c>
      <c r="C75" s="45" t="s">
        <v>2376</v>
      </c>
      <c r="D75" s="39">
        <v>905</v>
      </c>
      <c r="E75" s="39">
        <v>11</v>
      </c>
      <c r="F75" s="39" t="s">
        <v>1236</v>
      </c>
    </row>
    <row r="76" spans="1:6" x14ac:dyDescent="0.2">
      <c r="A76" s="92">
        <v>3.1199999999999974</v>
      </c>
      <c r="B76" s="39">
        <v>3</v>
      </c>
      <c r="C76" s="45" t="s">
        <v>2376</v>
      </c>
      <c r="D76" s="39">
        <v>905</v>
      </c>
      <c r="E76" s="39">
        <v>12</v>
      </c>
      <c r="F76" s="39" t="s">
        <v>1237</v>
      </c>
    </row>
    <row r="77" spans="1:6" x14ac:dyDescent="0.2">
      <c r="A77" s="92">
        <v>3.1299999999999972</v>
      </c>
      <c r="B77" s="39">
        <v>3</v>
      </c>
      <c r="C77" s="45" t="s">
        <v>2376</v>
      </c>
      <c r="D77" s="39">
        <v>905</v>
      </c>
      <c r="E77" s="39">
        <v>13</v>
      </c>
      <c r="F77" s="39" t="s">
        <v>1238</v>
      </c>
    </row>
    <row r="78" spans="1:6" x14ac:dyDescent="0.2">
      <c r="A78" s="92">
        <v>3.139999999999997</v>
      </c>
      <c r="B78" s="39">
        <v>3</v>
      </c>
      <c r="C78" s="45" t="s">
        <v>2376</v>
      </c>
      <c r="D78" s="39">
        <v>905</v>
      </c>
      <c r="E78" s="39">
        <v>14</v>
      </c>
      <c r="F78" s="39" t="s">
        <v>1239</v>
      </c>
    </row>
    <row r="79" spans="1:6" x14ac:dyDescent="0.2">
      <c r="A79" s="92">
        <v>3.1499999999999968</v>
      </c>
      <c r="B79" s="39">
        <v>3</v>
      </c>
      <c r="C79" s="45" t="s">
        <v>2376</v>
      </c>
      <c r="D79" s="39">
        <v>905</v>
      </c>
      <c r="E79" s="39">
        <v>15</v>
      </c>
      <c r="F79" s="39" t="s">
        <v>1245</v>
      </c>
    </row>
    <row r="80" spans="1:6" x14ac:dyDescent="0.2">
      <c r="A80" s="92">
        <v>3.1599999999999966</v>
      </c>
      <c r="B80" s="39">
        <v>3</v>
      </c>
      <c r="C80" s="45" t="s">
        <v>2376</v>
      </c>
      <c r="D80" s="39">
        <v>905</v>
      </c>
      <c r="E80" s="39">
        <v>16</v>
      </c>
      <c r="F80" s="39" t="s">
        <v>1246</v>
      </c>
    </row>
    <row r="81" spans="1:6" x14ac:dyDescent="0.2">
      <c r="A81" s="92">
        <v>3.1699999999999964</v>
      </c>
      <c r="B81" s="39">
        <v>3</v>
      </c>
      <c r="C81" s="45" t="s">
        <v>2376</v>
      </c>
      <c r="D81" s="39">
        <v>905</v>
      </c>
      <c r="E81" s="39">
        <v>17</v>
      </c>
      <c r="F81" s="39" t="s">
        <v>1253</v>
      </c>
    </row>
    <row r="82" spans="1:6" x14ac:dyDescent="0.2">
      <c r="A82" s="92">
        <v>3.1799999999999962</v>
      </c>
      <c r="B82" s="39">
        <v>3</v>
      </c>
      <c r="C82" s="45" t="s">
        <v>2376</v>
      </c>
      <c r="D82" s="39">
        <v>906</v>
      </c>
      <c r="E82" s="39">
        <v>20</v>
      </c>
      <c r="F82" s="39" t="s">
        <v>1260</v>
      </c>
    </row>
    <row r="83" spans="1:6" x14ac:dyDescent="0.2">
      <c r="A83" s="92">
        <v>3.1899999999999959</v>
      </c>
      <c r="B83" s="39">
        <v>3</v>
      </c>
      <c r="C83" s="45" t="s">
        <v>2376</v>
      </c>
      <c r="D83" s="39">
        <v>906</v>
      </c>
      <c r="E83" s="39">
        <v>21</v>
      </c>
      <c r="F83" s="39" t="s">
        <v>1263</v>
      </c>
    </row>
    <row r="84" spans="1:6" x14ac:dyDescent="0.2">
      <c r="A84" s="92">
        <v>3.1999999999999957</v>
      </c>
      <c r="B84" s="39">
        <v>3</v>
      </c>
      <c r="C84" s="45" t="s">
        <v>2376</v>
      </c>
      <c r="D84" s="39">
        <v>906</v>
      </c>
      <c r="E84" s="39">
        <v>22</v>
      </c>
      <c r="F84" s="39" t="s">
        <v>1264</v>
      </c>
    </row>
    <row r="85" spans="1:6" x14ac:dyDescent="0.2">
      <c r="A85" s="92">
        <v>3.2099999999999955</v>
      </c>
      <c r="B85" s="39">
        <v>3</v>
      </c>
      <c r="C85" s="45" t="s">
        <v>2376</v>
      </c>
      <c r="D85" s="39">
        <v>906</v>
      </c>
      <c r="E85" s="39">
        <v>23</v>
      </c>
      <c r="F85" s="39" t="s">
        <v>1265</v>
      </c>
    </row>
    <row r="86" spans="1:6" x14ac:dyDescent="0.2">
      <c r="A86" s="92">
        <v>3.2199999999999953</v>
      </c>
      <c r="B86" s="39">
        <v>3</v>
      </c>
      <c r="C86" s="45" t="s">
        <v>2376</v>
      </c>
      <c r="D86" s="39">
        <v>906</v>
      </c>
      <c r="E86" s="39">
        <v>24</v>
      </c>
      <c r="F86" s="39" t="s">
        <v>1266</v>
      </c>
    </row>
    <row r="87" spans="1:6" x14ac:dyDescent="0.2">
      <c r="A87" s="92">
        <v>3.2299999999999951</v>
      </c>
      <c r="B87" s="39">
        <v>3</v>
      </c>
      <c r="C87" s="45" t="s">
        <v>2376</v>
      </c>
      <c r="D87" s="39">
        <v>906</v>
      </c>
      <c r="E87" s="39">
        <v>25</v>
      </c>
      <c r="F87" s="39" t="s">
        <v>1268</v>
      </c>
    </row>
    <row r="88" spans="1:6" x14ac:dyDescent="0.2">
      <c r="A88" s="92">
        <v>3.2399999999999949</v>
      </c>
      <c r="B88" s="39">
        <v>3</v>
      </c>
      <c r="C88" s="45" t="s">
        <v>2376</v>
      </c>
      <c r="D88" s="39">
        <v>906</v>
      </c>
      <c r="E88" s="39">
        <v>26</v>
      </c>
      <c r="F88" s="39" t="s">
        <v>1276</v>
      </c>
    </row>
    <row r="89" spans="1:6" x14ac:dyDescent="0.2">
      <c r="A89" s="92">
        <v>3.2499999999999947</v>
      </c>
      <c r="B89" s="39">
        <v>3</v>
      </c>
      <c r="C89" s="45" t="s">
        <v>2376</v>
      </c>
      <c r="D89" s="39">
        <v>906</v>
      </c>
      <c r="E89" s="39">
        <v>27</v>
      </c>
      <c r="F89" s="39" t="s">
        <v>1277</v>
      </c>
    </row>
    <row r="90" spans="1:6" x14ac:dyDescent="0.2">
      <c r="A90" s="92">
        <v>3.2599999999999945</v>
      </c>
      <c r="B90" s="39">
        <v>3</v>
      </c>
      <c r="C90" s="45" t="s">
        <v>2376</v>
      </c>
      <c r="D90" s="39">
        <v>906</v>
      </c>
      <c r="E90" s="39">
        <v>28</v>
      </c>
      <c r="F90" s="39" t="s">
        <v>1278</v>
      </c>
    </row>
    <row r="91" spans="1:6" x14ac:dyDescent="0.2">
      <c r="A91" s="92">
        <v>3.2699999999999942</v>
      </c>
      <c r="B91" s="39">
        <v>3</v>
      </c>
      <c r="C91" s="45" t="s">
        <v>2376</v>
      </c>
      <c r="D91" s="39">
        <v>906</v>
      </c>
      <c r="E91" s="39">
        <v>29</v>
      </c>
      <c r="F91" s="39" t="s">
        <v>1280</v>
      </c>
    </row>
    <row r="92" spans="1:6" x14ac:dyDescent="0.2">
      <c r="A92" s="92">
        <v>3.279999999999994</v>
      </c>
      <c r="B92" s="39">
        <v>3</v>
      </c>
      <c r="C92" s="45" t="s">
        <v>2376</v>
      </c>
      <c r="D92" s="39">
        <v>906</v>
      </c>
      <c r="E92" s="39">
        <v>30</v>
      </c>
      <c r="F92" s="39" t="s">
        <v>1283</v>
      </c>
    </row>
    <row r="93" spans="1:6" x14ac:dyDescent="0.2">
      <c r="A93" s="92">
        <v>3.2899999999999938</v>
      </c>
      <c r="B93" s="39">
        <v>3</v>
      </c>
      <c r="C93" s="45" t="s">
        <v>2376</v>
      </c>
      <c r="D93" s="39">
        <v>906</v>
      </c>
      <c r="E93" s="39">
        <v>31</v>
      </c>
      <c r="F93" s="39" t="s">
        <v>1284</v>
      </c>
    </row>
    <row r="94" spans="1:6" x14ac:dyDescent="0.2">
      <c r="A94" s="92">
        <v>3.2999999999999936</v>
      </c>
      <c r="B94" s="39">
        <v>3</v>
      </c>
      <c r="C94" s="45" t="s">
        <v>2376</v>
      </c>
      <c r="D94" s="39">
        <v>906</v>
      </c>
      <c r="E94" s="39">
        <v>32</v>
      </c>
      <c r="F94" s="39" t="s">
        <v>1285</v>
      </c>
    </row>
    <row r="95" spans="1:6" x14ac:dyDescent="0.2">
      <c r="A95" s="92">
        <v>3.3099999999999934</v>
      </c>
      <c r="B95" s="39">
        <v>3</v>
      </c>
      <c r="C95" s="45" t="s">
        <v>2376</v>
      </c>
      <c r="D95" s="39">
        <v>906</v>
      </c>
      <c r="E95" s="39">
        <v>33</v>
      </c>
      <c r="F95" s="39" t="s">
        <v>1286</v>
      </c>
    </row>
    <row r="96" spans="1:6" x14ac:dyDescent="0.2">
      <c r="A96" s="92">
        <v>3.3199999999999932</v>
      </c>
      <c r="B96" s="39">
        <v>3</v>
      </c>
      <c r="C96" s="45" t="s">
        <v>2376</v>
      </c>
      <c r="D96" s="39">
        <v>906</v>
      </c>
      <c r="E96" s="39">
        <v>34</v>
      </c>
      <c r="F96" s="39" t="s">
        <v>1288</v>
      </c>
    </row>
    <row r="97" spans="1:6" x14ac:dyDescent="0.2">
      <c r="A97" s="92">
        <v>3.329999999999993</v>
      </c>
      <c r="B97" s="39">
        <v>3</v>
      </c>
      <c r="C97" s="45" t="s">
        <v>2376</v>
      </c>
      <c r="D97" s="39">
        <v>906</v>
      </c>
      <c r="E97" s="39">
        <v>35</v>
      </c>
      <c r="F97" s="39" t="s">
        <v>1289</v>
      </c>
    </row>
    <row r="98" spans="1:6" x14ac:dyDescent="0.2">
      <c r="A98" s="92">
        <v>3.3399999999999928</v>
      </c>
      <c r="B98" s="39">
        <v>3</v>
      </c>
      <c r="C98" s="45" t="s">
        <v>2376</v>
      </c>
      <c r="D98" s="39">
        <v>909</v>
      </c>
      <c r="E98" s="39">
        <v>36</v>
      </c>
      <c r="F98" s="39" t="s">
        <v>1294</v>
      </c>
    </row>
    <row r="99" spans="1:6" x14ac:dyDescent="0.2">
      <c r="A99" s="92">
        <v>3.3499999999999925</v>
      </c>
      <c r="B99" s="39">
        <v>3</v>
      </c>
      <c r="C99" s="45" t="s">
        <v>2376</v>
      </c>
      <c r="D99" s="39">
        <v>905</v>
      </c>
      <c r="E99" s="39">
        <v>63</v>
      </c>
      <c r="F99" s="39" t="s">
        <v>1259</v>
      </c>
    </row>
    <row r="100" spans="1:6" x14ac:dyDescent="0.2">
      <c r="A100" s="92">
        <v>3.36</v>
      </c>
      <c r="B100" s="39">
        <v>1</v>
      </c>
      <c r="C100" s="45" t="s">
        <v>2376</v>
      </c>
      <c r="D100" s="39">
        <v>999</v>
      </c>
      <c r="E100" s="39">
        <v>99</v>
      </c>
      <c r="F100" s="39" t="s">
        <v>2553</v>
      </c>
    </row>
    <row r="101" spans="1:6" x14ac:dyDescent="0.2">
      <c r="A101" s="92">
        <v>4.01</v>
      </c>
      <c r="B101" s="39">
        <v>4</v>
      </c>
      <c r="C101" s="45" t="s">
        <v>2378</v>
      </c>
      <c r="D101" s="39">
        <v>902</v>
      </c>
      <c r="E101" s="39">
        <v>1</v>
      </c>
      <c r="F101" s="39" t="s">
        <v>1149</v>
      </c>
    </row>
    <row r="102" spans="1:6" x14ac:dyDescent="0.2">
      <c r="A102" s="92">
        <v>4.0199999999999996</v>
      </c>
      <c r="B102" s="39">
        <v>4</v>
      </c>
      <c r="C102" s="45" t="s">
        <v>2378</v>
      </c>
      <c r="D102" s="39">
        <v>904</v>
      </c>
      <c r="E102" s="39">
        <v>2</v>
      </c>
      <c r="F102" s="39" t="s">
        <v>1167</v>
      </c>
    </row>
    <row r="103" spans="1:6" x14ac:dyDescent="0.2">
      <c r="A103" s="92">
        <v>4.0299999999999994</v>
      </c>
      <c r="B103" s="39">
        <v>4</v>
      </c>
      <c r="C103" s="45" t="s">
        <v>2378</v>
      </c>
      <c r="D103" s="39">
        <v>903</v>
      </c>
      <c r="E103" s="39">
        <v>3</v>
      </c>
      <c r="F103" s="39" t="s">
        <v>1163</v>
      </c>
    </row>
    <row r="104" spans="1:6" x14ac:dyDescent="0.2">
      <c r="A104" s="92">
        <v>4.0399999999999991</v>
      </c>
      <c r="B104" s="39">
        <v>4</v>
      </c>
      <c r="C104" s="45" t="s">
        <v>2378</v>
      </c>
      <c r="D104" s="39">
        <v>902</v>
      </c>
      <c r="E104" s="39">
        <v>4</v>
      </c>
      <c r="F104" s="39" t="s">
        <v>1179</v>
      </c>
    </row>
    <row r="105" spans="1:6" x14ac:dyDescent="0.2">
      <c r="A105" s="92">
        <v>4.0499999999999989</v>
      </c>
      <c r="B105" s="39">
        <v>4</v>
      </c>
      <c r="C105" s="45" t="s">
        <v>2378</v>
      </c>
      <c r="D105" s="39">
        <v>904</v>
      </c>
      <c r="E105" s="39">
        <v>5</v>
      </c>
      <c r="F105" s="39" t="s">
        <v>1197</v>
      </c>
    </row>
    <row r="106" spans="1:6" x14ac:dyDescent="0.2">
      <c r="A106" s="92">
        <v>4.0599999999999987</v>
      </c>
      <c r="B106" s="39">
        <v>4</v>
      </c>
      <c r="C106" s="45" t="s">
        <v>2378</v>
      </c>
      <c r="D106" s="39">
        <v>903</v>
      </c>
      <c r="E106" s="39">
        <v>6</v>
      </c>
      <c r="F106" s="39" t="s">
        <v>1195</v>
      </c>
    </row>
    <row r="107" spans="1:6" x14ac:dyDescent="0.2">
      <c r="A107" s="92">
        <v>4.0699999999999985</v>
      </c>
      <c r="B107" s="39">
        <v>4</v>
      </c>
      <c r="C107" s="45" t="s">
        <v>2378</v>
      </c>
      <c r="D107" s="39">
        <v>902</v>
      </c>
      <c r="E107" s="39">
        <v>7</v>
      </c>
      <c r="F107" s="39" t="s">
        <v>1204</v>
      </c>
    </row>
    <row r="108" spans="1:6" x14ac:dyDescent="0.2">
      <c r="A108" s="92">
        <v>4.0799999999999983</v>
      </c>
      <c r="B108" s="39">
        <v>4</v>
      </c>
      <c r="C108" s="45" t="s">
        <v>2378</v>
      </c>
      <c r="D108" s="39">
        <v>904</v>
      </c>
      <c r="E108" s="39">
        <v>8</v>
      </c>
      <c r="F108" s="39" t="s">
        <v>1228</v>
      </c>
    </row>
    <row r="109" spans="1:6" x14ac:dyDescent="0.2">
      <c r="A109" s="92">
        <v>4.0899999999999981</v>
      </c>
      <c r="B109" s="39">
        <v>4</v>
      </c>
      <c r="C109" s="45" t="s">
        <v>2378</v>
      </c>
      <c r="D109" s="39">
        <v>903</v>
      </c>
      <c r="E109" s="39">
        <v>9</v>
      </c>
      <c r="F109" s="39" t="s">
        <v>1223</v>
      </c>
    </row>
    <row r="110" spans="1:6" x14ac:dyDescent="0.2">
      <c r="A110" s="92">
        <v>4.0999999999999979</v>
      </c>
      <c r="B110" s="39">
        <v>4</v>
      </c>
      <c r="C110" s="45" t="s">
        <v>2378</v>
      </c>
      <c r="D110" s="39">
        <v>905</v>
      </c>
      <c r="E110" s="39">
        <v>10</v>
      </c>
      <c r="F110" s="39" t="s">
        <v>1232</v>
      </c>
    </row>
    <row r="111" spans="1:6" x14ac:dyDescent="0.2">
      <c r="A111" s="92">
        <v>4.1099999999999977</v>
      </c>
      <c r="B111" s="39">
        <v>4</v>
      </c>
      <c r="C111" s="45" t="s">
        <v>2378</v>
      </c>
      <c r="D111" s="39">
        <v>905</v>
      </c>
      <c r="E111" s="39">
        <v>11</v>
      </c>
      <c r="F111" s="39" t="s">
        <v>1236</v>
      </c>
    </row>
    <row r="112" spans="1:6" x14ac:dyDescent="0.2">
      <c r="A112" s="92">
        <v>4.1199999999999974</v>
      </c>
      <c r="B112" s="39">
        <v>4</v>
      </c>
      <c r="C112" s="45" t="s">
        <v>2378</v>
      </c>
      <c r="D112" s="39">
        <v>905</v>
      </c>
      <c r="E112" s="39">
        <v>12</v>
      </c>
      <c r="F112" s="39" t="s">
        <v>1237</v>
      </c>
    </row>
    <row r="113" spans="1:6" x14ac:dyDescent="0.2">
      <c r="A113" s="92">
        <v>4.1299999999999972</v>
      </c>
      <c r="B113" s="39">
        <v>4</v>
      </c>
      <c r="C113" s="45" t="s">
        <v>2378</v>
      </c>
      <c r="D113" s="39">
        <v>905</v>
      </c>
      <c r="E113" s="39">
        <v>13</v>
      </c>
      <c r="F113" s="39" t="s">
        <v>1238</v>
      </c>
    </row>
    <row r="114" spans="1:6" x14ac:dyDescent="0.2">
      <c r="A114" s="92">
        <v>4.139999999999997</v>
      </c>
      <c r="B114" s="39">
        <v>4</v>
      </c>
      <c r="C114" s="45" t="s">
        <v>2378</v>
      </c>
      <c r="D114" s="39">
        <v>905</v>
      </c>
      <c r="E114" s="39">
        <v>14</v>
      </c>
      <c r="F114" s="39" t="s">
        <v>1239</v>
      </c>
    </row>
    <row r="115" spans="1:6" x14ac:dyDescent="0.2">
      <c r="A115" s="92">
        <v>4.1499999999999968</v>
      </c>
      <c r="B115" s="39">
        <v>4</v>
      </c>
      <c r="C115" s="45" t="s">
        <v>2378</v>
      </c>
      <c r="D115" s="39">
        <v>905</v>
      </c>
      <c r="E115" s="39">
        <v>15</v>
      </c>
      <c r="F115" s="39" t="s">
        <v>1245</v>
      </c>
    </row>
    <row r="116" spans="1:6" x14ac:dyDescent="0.2">
      <c r="A116" s="92">
        <v>4.1599999999999966</v>
      </c>
      <c r="B116" s="39">
        <v>4</v>
      </c>
      <c r="C116" s="45" t="s">
        <v>2378</v>
      </c>
      <c r="D116" s="39">
        <v>905</v>
      </c>
      <c r="E116" s="39">
        <v>16</v>
      </c>
      <c r="F116" s="39" t="s">
        <v>1246</v>
      </c>
    </row>
    <row r="117" spans="1:6" x14ac:dyDescent="0.2">
      <c r="A117" s="92">
        <v>4.1699999999999964</v>
      </c>
      <c r="B117" s="39">
        <v>4</v>
      </c>
      <c r="C117" s="45" t="s">
        <v>2378</v>
      </c>
      <c r="D117" s="39">
        <v>905</v>
      </c>
      <c r="E117" s="39">
        <v>17</v>
      </c>
      <c r="F117" s="39" t="s">
        <v>1253</v>
      </c>
    </row>
    <row r="118" spans="1:6" x14ac:dyDescent="0.2">
      <c r="A118" s="92">
        <v>4.1799999999999962</v>
      </c>
      <c r="B118" s="39">
        <v>4</v>
      </c>
      <c r="C118" s="45" t="s">
        <v>2378</v>
      </c>
      <c r="D118" s="39">
        <v>906</v>
      </c>
      <c r="E118" s="39">
        <v>20</v>
      </c>
      <c r="F118" s="39" t="s">
        <v>1260</v>
      </c>
    </row>
    <row r="119" spans="1:6" x14ac:dyDescent="0.2">
      <c r="A119" s="92">
        <v>4.1899999999999959</v>
      </c>
      <c r="B119" s="39">
        <v>4</v>
      </c>
      <c r="C119" s="45" t="s">
        <v>2378</v>
      </c>
      <c r="D119" s="39">
        <v>906</v>
      </c>
      <c r="E119" s="39">
        <v>21</v>
      </c>
      <c r="F119" s="39" t="s">
        <v>1263</v>
      </c>
    </row>
    <row r="120" spans="1:6" x14ac:dyDescent="0.2">
      <c r="A120" s="92">
        <v>4.1999999999999957</v>
      </c>
      <c r="B120" s="39">
        <v>4</v>
      </c>
      <c r="C120" s="45" t="s">
        <v>2378</v>
      </c>
      <c r="D120" s="39">
        <v>906</v>
      </c>
      <c r="E120" s="39">
        <v>22</v>
      </c>
      <c r="F120" s="39" t="s">
        <v>1264</v>
      </c>
    </row>
    <row r="121" spans="1:6" x14ac:dyDescent="0.2">
      <c r="A121" s="92">
        <v>4.2099999999999955</v>
      </c>
      <c r="B121" s="39">
        <v>4</v>
      </c>
      <c r="C121" s="45" t="s">
        <v>2378</v>
      </c>
      <c r="D121" s="39">
        <v>906</v>
      </c>
      <c r="E121" s="39">
        <v>23</v>
      </c>
      <c r="F121" s="39" t="s">
        <v>1265</v>
      </c>
    </row>
    <row r="122" spans="1:6" x14ac:dyDescent="0.2">
      <c r="A122" s="92">
        <v>4.2199999999999953</v>
      </c>
      <c r="B122" s="39">
        <v>4</v>
      </c>
      <c r="C122" s="45" t="s">
        <v>2378</v>
      </c>
      <c r="D122" s="39">
        <v>906</v>
      </c>
      <c r="E122" s="39">
        <v>24</v>
      </c>
      <c r="F122" s="39" t="s">
        <v>1266</v>
      </c>
    </row>
    <row r="123" spans="1:6" x14ac:dyDescent="0.2">
      <c r="A123" s="92">
        <v>4.2299999999999951</v>
      </c>
      <c r="B123" s="39">
        <v>4</v>
      </c>
      <c r="C123" s="45" t="s">
        <v>2378</v>
      </c>
      <c r="D123" s="39">
        <v>906</v>
      </c>
      <c r="E123" s="39">
        <v>25</v>
      </c>
      <c r="F123" s="39" t="s">
        <v>1268</v>
      </c>
    </row>
    <row r="124" spans="1:6" x14ac:dyDescent="0.2">
      <c r="A124" s="92">
        <v>4.2399999999999949</v>
      </c>
      <c r="B124" s="39">
        <v>4</v>
      </c>
      <c r="C124" s="45" t="s">
        <v>2378</v>
      </c>
      <c r="D124" s="39">
        <v>906</v>
      </c>
      <c r="E124" s="39">
        <v>26</v>
      </c>
      <c r="F124" s="39" t="s">
        <v>1276</v>
      </c>
    </row>
    <row r="125" spans="1:6" x14ac:dyDescent="0.2">
      <c r="A125" s="92">
        <v>4.2499999999999947</v>
      </c>
      <c r="B125" s="39">
        <v>4</v>
      </c>
      <c r="C125" s="45" t="s">
        <v>2378</v>
      </c>
      <c r="D125" s="39">
        <v>906</v>
      </c>
      <c r="E125" s="39">
        <v>27</v>
      </c>
      <c r="F125" s="39" t="s">
        <v>1277</v>
      </c>
    </row>
    <row r="126" spans="1:6" x14ac:dyDescent="0.2">
      <c r="A126" s="92">
        <v>4.2599999999999945</v>
      </c>
      <c r="B126" s="39">
        <v>4</v>
      </c>
      <c r="C126" s="45" t="s">
        <v>2378</v>
      </c>
      <c r="D126" s="39">
        <v>906</v>
      </c>
      <c r="E126" s="39">
        <v>28</v>
      </c>
      <c r="F126" s="39" t="s">
        <v>1278</v>
      </c>
    </row>
    <row r="127" spans="1:6" x14ac:dyDescent="0.2">
      <c r="A127" s="92">
        <v>4.2699999999999942</v>
      </c>
      <c r="B127" s="39">
        <v>4</v>
      </c>
      <c r="C127" s="45" t="s">
        <v>2378</v>
      </c>
      <c r="D127" s="39">
        <v>906</v>
      </c>
      <c r="E127" s="39">
        <v>29</v>
      </c>
      <c r="F127" s="39" t="s">
        <v>1280</v>
      </c>
    </row>
    <row r="128" spans="1:6" x14ac:dyDescent="0.2">
      <c r="A128" s="92">
        <v>4.279999999999994</v>
      </c>
      <c r="B128" s="39">
        <v>4</v>
      </c>
      <c r="C128" s="45" t="s">
        <v>2378</v>
      </c>
      <c r="D128" s="39">
        <v>909</v>
      </c>
      <c r="E128" s="39">
        <v>36</v>
      </c>
      <c r="F128" s="39" t="s">
        <v>1294</v>
      </c>
    </row>
    <row r="129" spans="1:6" x14ac:dyDescent="0.2">
      <c r="A129" s="92">
        <v>4.2899999999999938</v>
      </c>
      <c r="B129" s="39">
        <v>4</v>
      </c>
      <c r="C129" s="45" t="s">
        <v>2378</v>
      </c>
      <c r="D129" s="39">
        <v>905</v>
      </c>
      <c r="E129" s="39">
        <v>55</v>
      </c>
      <c r="F129" s="39" t="s">
        <v>1254</v>
      </c>
    </row>
    <row r="130" spans="1:6" x14ac:dyDescent="0.2">
      <c r="A130" s="92">
        <v>4.2999999999999936</v>
      </c>
      <c r="B130" s="39">
        <v>4</v>
      </c>
      <c r="C130" s="45" t="s">
        <v>2378</v>
      </c>
      <c r="D130" s="39">
        <v>905</v>
      </c>
      <c r="E130" s="39">
        <v>63</v>
      </c>
      <c r="F130" s="39" t="s">
        <v>1259</v>
      </c>
    </row>
    <row r="131" spans="1:6" x14ac:dyDescent="0.2">
      <c r="A131" s="92">
        <v>4.3099999999999996</v>
      </c>
      <c r="B131" s="39">
        <v>1</v>
      </c>
      <c r="C131" s="45" t="s">
        <v>2378</v>
      </c>
      <c r="D131" s="39">
        <v>999</v>
      </c>
      <c r="E131" s="39">
        <v>99</v>
      </c>
      <c r="F131" s="39" t="s">
        <v>2553</v>
      </c>
    </row>
    <row r="132" spans="1:6" x14ac:dyDescent="0.2">
      <c r="A132" s="92">
        <v>5.01</v>
      </c>
      <c r="B132" s="39">
        <v>5</v>
      </c>
      <c r="C132" s="45" t="s">
        <v>2380</v>
      </c>
      <c r="D132" s="39">
        <v>902</v>
      </c>
      <c r="E132" s="39">
        <v>1</v>
      </c>
      <c r="F132" s="39" t="s">
        <v>1149</v>
      </c>
    </row>
    <row r="133" spans="1:6" x14ac:dyDescent="0.2">
      <c r="A133" s="92">
        <v>5.0199999999999996</v>
      </c>
      <c r="B133" s="39">
        <v>5</v>
      </c>
      <c r="C133" s="45" t="s">
        <v>2380</v>
      </c>
      <c r="D133" s="39">
        <v>904</v>
      </c>
      <c r="E133" s="39">
        <v>2</v>
      </c>
      <c r="F133" s="39" t="s">
        <v>1167</v>
      </c>
    </row>
    <row r="134" spans="1:6" x14ac:dyDescent="0.2">
      <c r="A134" s="92">
        <v>5.0299999999999994</v>
      </c>
      <c r="B134" s="39">
        <v>5</v>
      </c>
      <c r="C134" s="45" t="s">
        <v>2380</v>
      </c>
      <c r="D134" s="39">
        <v>903</v>
      </c>
      <c r="E134" s="39">
        <v>3</v>
      </c>
      <c r="F134" s="39" t="s">
        <v>1163</v>
      </c>
    </row>
    <row r="135" spans="1:6" x14ac:dyDescent="0.2">
      <c r="A135" s="92">
        <v>5.0399999999999991</v>
      </c>
      <c r="B135" s="39">
        <v>5</v>
      </c>
      <c r="C135" s="45" t="s">
        <v>2380</v>
      </c>
      <c r="D135" s="39">
        <v>902</v>
      </c>
      <c r="E135" s="39">
        <v>4</v>
      </c>
      <c r="F135" s="39" t="s">
        <v>1179</v>
      </c>
    </row>
    <row r="136" spans="1:6" x14ac:dyDescent="0.2">
      <c r="A136" s="92">
        <v>5.0499999999999989</v>
      </c>
      <c r="B136" s="39">
        <v>5</v>
      </c>
      <c r="C136" s="45" t="s">
        <v>2380</v>
      </c>
      <c r="D136" s="39">
        <v>904</v>
      </c>
      <c r="E136" s="39">
        <v>5</v>
      </c>
      <c r="F136" s="39" t="s">
        <v>1197</v>
      </c>
    </row>
    <row r="137" spans="1:6" x14ac:dyDescent="0.2">
      <c r="A137" s="92">
        <v>5.0599999999999987</v>
      </c>
      <c r="B137" s="39">
        <v>5</v>
      </c>
      <c r="C137" s="45" t="s">
        <v>2380</v>
      </c>
      <c r="D137" s="39">
        <v>903</v>
      </c>
      <c r="E137" s="39">
        <v>6</v>
      </c>
      <c r="F137" s="39" t="s">
        <v>1195</v>
      </c>
    </row>
    <row r="138" spans="1:6" x14ac:dyDescent="0.2">
      <c r="A138" s="92">
        <v>5.0699999999999985</v>
      </c>
      <c r="B138" s="39">
        <v>5</v>
      </c>
      <c r="C138" s="45" t="s">
        <v>2380</v>
      </c>
      <c r="D138" s="39">
        <v>902</v>
      </c>
      <c r="E138" s="39">
        <v>7</v>
      </c>
      <c r="F138" s="39" t="s">
        <v>1204</v>
      </c>
    </row>
    <row r="139" spans="1:6" x14ac:dyDescent="0.2">
      <c r="A139" s="92">
        <v>5.0799999999999983</v>
      </c>
      <c r="B139" s="39">
        <v>5</v>
      </c>
      <c r="C139" s="45" t="s">
        <v>2380</v>
      </c>
      <c r="D139" s="39">
        <v>904</v>
      </c>
      <c r="E139" s="39">
        <v>8</v>
      </c>
      <c r="F139" s="39" t="s">
        <v>1228</v>
      </c>
    </row>
    <row r="140" spans="1:6" x14ac:dyDescent="0.2">
      <c r="A140" s="92">
        <v>5.0899999999999981</v>
      </c>
      <c r="B140" s="39">
        <v>5</v>
      </c>
      <c r="C140" s="45" t="s">
        <v>2380</v>
      </c>
      <c r="D140" s="39">
        <v>903</v>
      </c>
      <c r="E140" s="39">
        <v>9</v>
      </c>
      <c r="F140" s="39" t="s">
        <v>1223</v>
      </c>
    </row>
    <row r="141" spans="1:6" x14ac:dyDescent="0.2">
      <c r="A141" s="92">
        <v>5.0999999999999979</v>
      </c>
      <c r="B141" s="39">
        <v>5</v>
      </c>
      <c r="C141" s="45" t="s">
        <v>2380</v>
      </c>
      <c r="D141" s="39">
        <v>905</v>
      </c>
      <c r="E141" s="39">
        <v>10</v>
      </c>
      <c r="F141" s="39" t="s">
        <v>1232</v>
      </c>
    </row>
    <row r="142" spans="1:6" x14ac:dyDescent="0.2">
      <c r="A142" s="92">
        <v>5.1099999999999977</v>
      </c>
      <c r="B142" s="39">
        <v>5</v>
      </c>
      <c r="C142" s="45" t="s">
        <v>2380</v>
      </c>
      <c r="D142" s="39">
        <v>905</v>
      </c>
      <c r="E142" s="39">
        <v>11</v>
      </c>
      <c r="F142" s="39" t="s">
        <v>1236</v>
      </c>
    </row>
    <row r="143" spans="1:6" x14ac:dyDescent="0.2">
      <c r="A143" s="92">
        <v>5.1199999999999974</v>
      </c>
      <c r="B143" s="39">
        <v>5</v>
      </c>
      <c r="C143" s="45" t="s">
        <v>2380</v>
      </c>
      <c r="D143" s="39">
        <v>905</v>
      </c>
      <c r="E143" s="39">
        <v>12</v>
      </c>
      <c r="F143" s="39" t="s">
        <v>1237</v>
      </c>
    </row>
    <row r="144" spans="1:6" x14ac:dyDescent="0.2">
      <c r="A144" s="92">
        <v>5.1299999999999972</v>
      </c>
      <c r="B144" s="39">
        <v>5</v>
      </c>
      <c r="C144" s="45" t="s">
        <v>2380</v>
      </c>
      <c r="D144" s="39">
        <v>905</v>
      </c>
      <c r="E144" s="39">
        <v>13</v>
      </c>
      <c r="F144" s="39" t="s">
        <v>1238</v>
      </c>
    </row>
    <row r="145" spans="1:6" x14ac:dyDescent="0.2">
      <c r="A145" s="92">
        <v>5.139999999999997</v>
      </c>
      <c r="B145" s="39">
        <v>5</v>
      </c>
      <c r="C145" s="45" t="s">
        <v>2380</v>
      </c>
      <c r="D145" s="39">
        <v>905</v>
      </c>
      <c r="E145" s="39">
        <v>14</v>
      </c>
      <c r="F145" s="39" t="s">
        <v>1239</v>
      </c>
    </row>
    <row r="146" spans="1:6" x14ac:dyDescent="0.2">
      <c r="A146" s="92">
        <v>5.1499999999999968</v>
      </c>
      <c r="B146" s="39">
        <v>5</v>
      </c>
      <c r="C146" s="45" t="s">
        <v>2380</v>
      </c>
      <c r="D146" s="39">
        <v>905</v>
      </c>
      <c r="E146" s="39">
        <v>15</v>
      </c>
      <c r="F146" s="39" t="s">
        <v>1245</v>
      </c>
    </row>
    <row r="147" spans="1:6" x14ac:dyDescent="0.2">
      <c r="A147" s="92">
        <v>5.1599999999999966</v>
      </c>
      <c r="B147" s="39">
        <v>5</v>
      </c>
      <c r="C147" s="45" t="s">
        <v>2380</v>
      </c>
      <c r="D147" s="39">
        <v>905</v>
      </c>
      <c r="E147" s="39">
        <v>16</v>
      </c>
      <c r="F147" s="39" t="s">
        <v>1246</v>
      </c>
    </row>
    <row r="148" spans="1:6" x14ac:dyDescent="0.2">
      <c r="A148" s="92">
        <v>5.1699999999999964</v>
      </c>
      <c r="B148" s="39">
        <v>5</v>
      </c>
      <c r="C148" s="45" t="s">
        <v>2380</v>
      </c>
      <c r="D148" s="39">
        <v>905</v>
      </c>
      <c r="E148" s="39">
        <v>17</v>
      </c>
      <c r="F148" s="39" t="s">
        <v>1253</v>
      </c>
    </row>
    <row r="149" spans="1:6" x14ac:dyDescent="0.2">
      <c r="A149" s="92">
        <v>5.1799999999999962</v>
      </c>
      <c r="B149" s="39">
        <v>5</v>
      </c>
      <c r="C149" s="45" t="s">
        <v>2380</v>
      </c>
      <c r="D149" s="39">
        <v>906</v>
      </c>
      <c r="E149" s="39">
        <v>20</v>
      </c>
      <c r="F149" s="39" t="s">
        <v>1260</v>
      </c>
    </row>
    <row r="150" spans="1:6" x14ac:dyDescent="0.2">
      <c r="A150" s="92">
        <v>5.1899999999999959</v>
      </c>
      <c r="B150" s="39">
        <v>5</v>
      </c>
      <c r="C150" s="45" t="s">
        <v>2380</v>
      </c>
      <c r="D150" s="39">
        <v>906</v>
      </c>
      <c r="E150" s="39">
        <v>21</v>
      </c>
      <c r="F150" s="39" t="s">
        <v>1263</v>
      </c>
    </row>
    <row r="151" spans="1:6" x14ac:dyDescent="0.2">
      <c r="A151" s="92">
        <v>5.1999999999999957</v>
      </c>
      <c r="B151" s="39">
        <v>5</v>
      </c>
      <c r="C151" s="45" t="s">
        <v>2380</v>
      </c>
      <c r="D151" s="39">
        <v>906</v>
      </c>
      <c r="E151" s="39">
        <v>22</v>
      </c>
      <c r="F151" s="39" t="s">
        <v>1264</v>
      </c>
    </row>
    <row r="152" spans="1:6" x14ac:dyDescent="0.2">
      <c r="A152" s="92">
        <v>5.2099999999999955</v>
      </c>
      <c r="B152" s="39">
        <v>5</v>
      </c>
      <c r="C152" s="45" t="s">
        <v>2380</v>
      </c>
      <c r="D152" s="39">
        <v>906</v>
      </c>
      <c r="E152" s="39">
        <v>23</v>
      </c>
      <c r="F152" s="39" t="s">
        <v>1265</v>
      </c>
    </row>
    <row r="153" spans="1:6" x14ac:dyDescent="0.2">
      <c r="A153" s="92">
        <v>5.2199999999999953</v>
      </c>
      <c r="B153" s="39">
        <v>5</v>
      </c>
      <c r="C153" s="45" t="s">
        <v>2380</v>
      </c>
      <c r="D153" s="39">
        <v>906</v>
      </c>
      <c r="E153" s="39">
        <v>24</v>
      </c>
      <c r="F153" s="39" t="s">
        <v>1266</v>
      </c>
    </row>
    <row r="154" spans="1:6" x14ac:dyDescent="0.2">
      <c r="A154" s="92">
        <v>5.2299999999999951</v>
      </c>
      <c r="B154" s="39">
        <v>5</v>
      </c>
      <c r="C154" s="45" t="s">
        <v>2380</v>
      </c>
      <c r="D154" s="39">
        <v>906</v>
      </c>
      <c r="E154" s="39">
        <v>25</v>
      </c>
      <c r="F154" s="39" t="s">
        <v>1268</v>
      </c>
    </row>
    <row r="155" spans="1:6" x14ac:dyDescent="0.2">
      <c r="A155" s="92">
        <v>5.2399999999999949</v>
      </c>
      <c r="B155" s="39">
        <v>5</v>
      </c>
      <c r="C155" s="45" t="s">
        <v>2380</v>
      </c>
      <c r="D155" s="39">
        <v>906</v>
      </c>
      <c r="E155" s="39">
        <v>26</v>
      </c>
      <c r="F155" s="39" t="s">
        <v>1276</v>
      </c>
    </row>
    <row r="156" spans="1:6" x14ac:dyDescent="0.2">
      <c r="A156" s="92">
        <v>5.2499999999999947</v>
      </c>
      <c r="B156" s="39">
        <v>5</v>
      </c>
      <c r="C156" s="45" t="s">
        <v>2380</v>
      </c>
      <c r="D156" s="39">
        <v>906</v>
      </c>
      <c r="E156" s="39">
        <v>27</v>
      </c>
      <c r="F156" s="39" t="s">
        <v>1277</v>
      </c>
    </row>
    <row r="157" spans="1:6" x14ac:dyDescent="0.2">
      <c r="A157" s="92">
        <v>5.2599999999999945</v>
      </c>
      <c r="B157" s="39">
        <v>5</v>
      </c>
      <c r="C157" s="45" t="s">
        <v>2380</v>
      </c>
      <c r="D157" s="39">
        <v>906</v>
      </c>
      <c r="E157" s="39">
        <v>28</v>
      </c>
      <c r="F157" s="39" t="s">
        <v>1278</v>
      </c>
    </row>
    <row r="158" spans="1:6" x14ac:dyDescent="0.2">
      <c r="A158" s="92">
        <v>5.2699999999999942</v>
      </c>
      <c r="B158" s="39">
        <v>5</v>
      </c>
      <c r="C158" s="45" t="s">
        <v>2380</v>
      </c>
      <c r="D158" s="39">
        <v>906</v>
      </c>
      <c r="E158" s="39">
        <v>29</v>
      </c>
      <c r="F158" s="39" t="s">
        <v>1280</v>
      </c>
    </row>
    <row r="159" spans="1:6" x14ac:dyDescent="0.2">
      <c r="A159" s="92">
        <v>5.279999999999994</v>
      </c>
      <c r="B159" s="39">
        <v>5</v>
      </c>
      <c r="C159" s="45" t="s">
        <v>2380</v>
      </c>
      <c r="D159" s="39">
        <v>909</v>
      </c>
      <c r="E159" s="39">
        <v>36</v>
      </c>
      <c r="F159" s="39" t="s">
        <v>1294</v>
      </c>
    </row>
    <row r="160" spans="1:6" x14ac:dyDescent="0.2">
      <c r="A160" s="92">
        <v>5.2899999999999938</v>
      </c>
      <c r="B160" s="39">
        <v>5</v>
      </c>
      <c r="C160" s="45" t="s">
        <v>2380</v>
      </c>
      <c r="D160" s="39">
        <v>905</v>
      </c>
      <c r="E160" s="39">
        <v>63</v>
      </c>
      <c r="F160" s="39" t="s">
        <v>1259</v>
      </c>
    </row>
    <row r="161" spans="1:6" x14ac:dyDescent="0.2">
      <c r="A161" s="92">
        <v>5.2999999999999936</v>
      </c>
      <c r="B161" s="39">
        <v>5</v>
      </c>
      <c r="C161" s="45" t="s">
        <v>2380</v>
      </c>
      <c r="D161" s="39">
        <v>905</v>
      </c>
      <c r="E161" s="39">
        <v>64</v>
      </c>
      <c r="F161" s="39" t="s">
        <v>1258</v>
      </c>
    </row>
    <row r="162" spans="1:6" x14ac:dyDescent="0.2">
      <c r="A162" s="92">
        <v>5.31</v>
      </c>
      <c r="B162" s="39">
        <v>1</v>
      </c>
      <c r="C162" s="45" t="s">
        <v>2380</v>
      </c>
      <c r="D162" s="39">
        <v>999</v>
      </c>
      <c r="E162" s="39">
        <v>99</v>
      </c>
      <c r="F162" s="39" t="s">
        <v>2553</v>
      </c>
    </row>
    <row r="163" spans="1:6" x14ac:dyDescent="0.2">
      <c r="A163" s="92">
        <v>6.01</v>
      </c>
      <c r="B163" s="39">
        <v>6</v>
      </c>
      <c r="C163" s="45" t="s">
        <v>2382</v>
      </c>
      <c r="D163" s="39">
        <v>902</v>
      </c>
      <c r="E163" s="39">
        <v>1</v>
      </c>
      <c r="F163" s="39" t="s">
        <v>1149</v>
      </c>
    </row>
    <row r="164" spans="1:6" x14ac:dyDescent="0.2">
      <c r="A164" s="92">
        <v>6.02</v>
      </c>
      <c r="B164" s="39">
        <v>6</v>
      </c>
      <c r="C164" s="45" t="s">
        <v>2382</v>
      </c>
      <c r="D164" s="39">
        <v>904</v>
      </c>
      <c r="E164" s="39">
        <v>2</v>
      </c>
      <c r="F164" s="39" t="s">
        <v>1167</v>
      </c>
    </row>
    <row r="165" spans="1:6" x14ac:dyDescent="0.2">
      <c r="A165" s="92">
        <v>6.0299999999999994</v>
      </c>
      <c r="B165" s="39">
        <v>6</v>
      </c>
      <c r="C165" s="45" t="s">
        <v>2382</v>
      </c>
      <c r="D165" s="39">
        <v>903</v>
      </c>
      <c r="E165" s="39">
        <v>3</v>
      </c>
      <c r="F165" s="39" t="s">
        <v>1163</v>
      </c>
    </row>
    <row r="166" spans="1:6" x14ac:dyDescent="0.2">
      <c r="A166" s="92">
        <v>6.0399999999999991</v>
      </c>
      <c r="B166" s="39">
        <v>6</v>
      </c>
      <c r="C166" s="45" t="s">
        <v>2382</v>
      </c>
      <c r="D166" s="39">
        <v>902</v>
      </c>
      <c r="E166" s="39">
        <v>4</v>
      </c>
      <c r="F166" s="39" t="s">
        <v>1179</v>
      </c>
    </row>
    <row r="167" spans="1:6" x14ac:dyDescent="0.2">
      <c r="A167" s="92">
        <v>6.0499999999999989</v>
      </c>
      <c r="B167" s="39">
        <v>6</v>
      </c>
      <c r="C167" s="45" t="s">
        <v>2382</v>
      </c>
      <c r="D167" s="39">
        <v>904</v>
      </c>
      <c r="E167" s="39">
        <v>5</v>
      </c>
      <c r="F167" s="39" t="s">
        <v>1197</v>
      </c>
    </row>
    <row r="168" spans="1:6" x14ac:dyDescent="0.2">
      <c r="A168" s="92">
        <v>6.0599999999999987</v>
      </c>
      <c r="B168" s="39">
        <v>6</v>
      </c>
      <c r="C168" s="45" t="s">
        <v>2382</v>
      </c>
      <c r="D168" s="39">
        <v>903</v>
      </c>
      <c r="E168" s="39">
        <v>6</v>
      </c>
      <c r="F168" s="39" t="s">
        <v>1195</v>
      </c>
    </row>
    <row r="169" spans="1:6" x14ac:dyDescent="0.2">
      <c r="A169" s="92">
        <v>6.0699999999999985</v>
      </c>
      <c r="B169" s="39">
        <v>6</v>
      </c>
      <c r="C169" s="45" t="s">
        <v>2382</v>
      </c>
      <c r="D169" s="39">
        <v>902</v>
      </c>
      <c r="E169" s="39">
        <v>7</v>
      </c>
      <c r="F169" s="39" t="s">
        <v>1204</v>
      </c>
    </row>
    <row r="170" spans="1:6" x14ac:dyDescent="0.2">
      <c r="A170" s="92">
        <v>6.0799999999999983</v>
      </c>
      <c r="B170" s="39">
        <v>6</v>
      </c>
      <c r="C170" s="45" t="s">
        <v>2382</v>
      </c>
      <c r="D170" s="39">
        <v>904</v>
      </c>
      <c r="E170" s="39">
        <v>8</v>
      </c>
      <c r="F170" s="39" t="s">
        <v>1228</v>
      </c>
    </row>
    <row r="171" spans="1:6" x14ac:dyDescent="0.2">
      <c r="A171" s="92">
        <v>6.0899999999999981</v>
      </c>
      <c r="B171" s="39">
        <v>6</v>
      </c>
      <c r="C171" s="45" t="s">
        <v>2382</v>
      </c>
      <c r="D171" s="39">
        <v>903</v>
      </c>
      <c r="E171" s="39">
        <v>9</v>
      </c>
      <c r="F171" s="39" t="s">
        <v>1223</v>
      </c>
    </row>
    <row r="172" spans="1:6" x14ac:dyDescent="0.2">
      <c r="A172" s="92">
        <v>6.0999999999999979</v>
      </c>
      <c r="B172" s="39">
        <v>6</v>
      </c>
      <c r="C172" s="45" t="s">
        <v>2382</v>
      </c>
      <c r="D172" s="39">
        <v>905</v>
      </c>
      <c r="E172" s="39">
        <v>10</v>
      </c>
      <c r="F172" s="39" t="s">
        <v>1232</v>
      </c>
    </row>
    <row r="173" spans="1:6" x14ac:dyDescent="0.2">
      <c r="A173" s="92">
        <v>6.1099999999999977</v>
      </c>
      <c r="B173" s="39">
        <v>6</v>
      </c>
      <c r="C173" s="45" t="s">
        <v>2382</v>
      </c>
      <c r="D173" s="39">
        <v>905</v>
      </c>
      <c r="E173" s="39">
        <v>11</v>
      </c>
      <c r="F173" s="39" t="s">
        <v>1236</v>
      </c>
    </row>
    <row r="174" spans="1:6" x14ac:dyDescent="0.2">
      <c r="A174" s="92">
        <v>6.1199999999999974</v>
      </c>
      <c r="B174" s="39">
        <v>6</v>
      </c>
      <c r="C174" s="45" t="s">
        <v>2382</v>
      </c>
      <c r="D174" s="39">
        <v>905</v>
      </c>
      <c r="E174" s="39">
        <v>12</v>
      </c>
      <c r="F174" s="39" t="s">
        <v>1237</v>
      </c>
    </row>
    <row r="175" spans="1:6" x14ac:dyDescent="0.2">
      <c r="A175" s="92">
        <v>6.1299999999999972</v>
      </c>
      <c r="B175" s="39">
        <v>6</v>
      </c>
      <c r="C175" s="45" t="s">
        <v>2382</v>
      </c>
      <c r="D175" s="39">
        <v>905</v>
      </c>
      <c r="E175" s="39">
        <v>13</v>
      </c>
      <c r="F175" s="39" t="s">
        <v>1238</v>
      </c>
    </row>
    <row r="176" spans="1:6" x14ac:dyDescent="0.2">
      <c r="A176" s="92">
        <v>6.139999999999997</v>
      </c>
      <c r="B176" s="39">
        <v>6</v>
      </c>
      <c r="C176" s="45" t="s">
        <v>2382</v>
      </c>
      <c r="D176" s="39">
        <v>905</v>
      </c>
      <c r="E176" s="39">
        <v>14</v>
      </c>
      <c r="F176" s="39" t="s">
        <v>1239</v>
      </c>
    </row>
    <row r="177" spans="1:6" x14ac:dyDescent="0.2">
      <c r="A177" s="92">
        <v>6.1499999999999968</v>
      </c>
      <c r="B177" s="39">
        <v>6</v>
      </c>
      <c r="C177" s="45" t="s">
        <v>2382</v>
      </c>
      <c r="D177" s="39">
        <v>905</v>
      </c>
      <c r="E177" s="39">
        <v>15</v>
      </c>
      <c r="F177" s="39" t="s">
        <v>1245</v>
      </c>
    </row>
    <row r="178" spans="1:6" x14ac:dyDescent="0.2">
      <c r="A178" s="92">
        <v>6.1599999999999966</v>
      </c>
      <c r="B178" s="39">
        <v>6</v>
      </c>
      <c r="C178" s="45" t="s">
        <v>2382</v>
      </c>
      <c r="D178" s="39">
        <v>905</v>
      </c>
      <c r="E178" s="39">
        <v>16</v>
      </c>
      <c r="F178" s="39" t="s">
        <v>1246</v>
      </c>
    </row>
    <row r="179" spans="1:6" x14ac:dyDescent="0.2">
      <c r="A179" s="92">
        <v>6.1699999999999964</v>
      </c>
      <c r="B179" s="39">
        <v>6</v>
      </c>
      <c r="C179" s="45" t="s">
        <v>2382</v>
      </c>
      <c r="D179" s="39">
        <v>905</v>
      </c>
      <c r="E179" s="39">
        <v>17</v>
      </c>
      <c r="F179" s="39" t="s">
        <v>1253</v>
      </c>
    </row>
    <row r="180" spans="1:6" x14ac:dyDescent="0.2">
      <c r="A180" s="92">
        <v>6.1799999999999962</v>
      </c>
      <c r="B180" s="39">
        <v>6</v>
      </c>
      <c r="C180" s="45" t="s">
        <v>2382</v>
      </c>
      <c r="D180" s="39">
        <v>906</v>
      </c>
      <c r="E180" s="39">
        <v>20</v>
      </c>
      <c r="F180" s="39" t="s">
        <v>1260</v>
      </c>
    </row>
    <row r="181" spans="1:6" x14ac:dyDescent="0.2">
      <c r="A181" s="92">
        <v>6.1899999999999959</v>
      </c>
      <c r="B181" s="39">
        <v>6</v>
      </c>
      <c r="C181" s="45" t="s">
        <v>2382</v>
      </c>
      <c r="D181" s="39">
        <v>906</v>
      </c>
      <c r="E181" s="39">
        <v>21</v>
      </c>
      <c r="F181" s="39" t="s">
        <v>1263</v>
      </c>
    </row>
    <row r="182" spans="1:6" x14ac:dyDescent="0.2">
      <c r="A182" s="92">
        <v>6.1999999999999957</v>
      </c>
      <c r="B182" s="39">
        <v>6</v>
      </c>
      <c r="C182" s="45" t="s">
        <v>2382</v>
      </c>
      <c r="D182" s="39">
        <v>906</v>
      </c>
      <c r="E182" s="39">
        <v>22</v>
      </c>
      <c r="F182" s="39" t="s">
        <v>1264</v>
      </c>
    </row>
    <row r="183" spans="1:6" x14ac:dyDescent="0.2">
      <c r="A183" s="92">
        <v>6.2099999999999955</v>
      </c>
      <c r="B183" s="39">
        <v>6</v>
      </c>
      <c r="C183" s="45" t="s">
        <v>2382</v>
      </c>
      <c r="D183" s="39">
        <v>906</v>
      </c>
      <c r="E183" s="39">
        <v>23</v>
      </c>
      <c r="F183" s="39" t="s">
        <v>1265</v>
      </c>
    </row>
    <row r="184" spans="1:6" x14ac:dyDescent="0.2">
      <c r="A184" s="92">
        <v>6.2199999999999953</v>
      </c>
      <c r="B184" s="39">
        <v>6</v>
      </c>
      <c r="C184" s="45" t="s">
        <v>2382</v>
      </c>
      <c r="D184" s="39">
        <v>906</v>
      </c>
      <c r="E184" s="39">
        <v>24</v>
      </c>
      <c r="F184" s="39" t="s">
        <v>1266</v>
      </c>
    </row>
    <row r="185" spans="1:6" x14ac:dyDescent="0.2">
      <c r="A185" s="92">
        <v>6.2299999999999951</v>
      </c>
      <c r="B185" s="39">
        <v>6</v>
      </c>
      <c r="C185" s="45" t="s">
        <v>2382</v>
      </c>
      <c r="D185" s="39">
        <v>906</v>
      </c>
      <c r="E185" s="39">
        <v>25</v>
      </c>
      <c r="F185" s="39" t="s">
        <v>1268</v>
      </c>
    </row>
    <row r="186" spans="1:6" x14ac:dyDescent="0.2">
      <c r="A186" s="92">
        <v>6.2399999999999949</v>
      </c>
      <c r="B186" s="39">
        <v>6</v>
      </c>
      <c r="C186" s="45" t="s">
        <v>2382</v>
      </c>
      <c r="D186" s="39">
        <v>906</v>
      </c>
      <c r="E186" s="39">
        <v>26</v>
      </c>
      <c r="F186" s="39" t="s">
        <v>1276</v>
      </c>
    </row>
    <row r="187" spans="1:6" x14ac:dyDescent="0.2">
      <c r="A187" s="92">
        <v>6.2499999999999947</v>
      </c>
      <c r="B187" s="39">
        <v>6</v>
      </c>
      <c r="C187" s="45" t="s">
        <v>2382</v>
      </c>
      <c r="D187" s="39">
        <v>906</v>
      </c>
      <c r="E187" s="39">
        <v>27</v>
      </c>
      <c r="F187" s="39" t="s">
        <v>1277</v>
      </c>
    </row>
    <row r="188" spans="1:6" x14ac:dyDescent="0.2">
      <c r="A188" s="92">
        <v>6.2599999999999945</v>
      </c>
      <c r="B188" s="39">
        <v>6</v>
      </c>
      <c r="C188" s="45" t="s">
        <v>2382</v>
      </c>
      <c r="D188" s="39">
        <v>906</v>
      </c>
      <c r="E188" s="39">
        <v>28</v>
      </c>
      <c r="F188" s="39" t="s">
        <v>1278</v>
      </c>
    </row>
    <row r="189" spans="1:6" x14ac:dyDescent="0.2">
      <c r="A189" s="92">
        <v>6.2699999999999942</v>
      </c>
      <c r="B189" s="39">
        <v>6</v>
      </c>
      <c r="C189" s="45" t="s">
        <v>2382</v>
      </c>
      <c r="D189" s="39">
        <v>906</v>
      </c>
      <c r="E189" s="39">
        <v>29</v>
      </c>
      <c r="F189" s="39" t="s">
        <v>1280</v>
      </c>
    </row>
    <row r="190" spans="1:6" x14ac:dyDescent="0.2">
      <c r="A190" s="92">
        <v>6.279999999999994</v>
      </c>
      <c r="B190" s="39">
        <v>6</v>
      </c>
      <c r="C190" s="45" t="s">
        <v>2382</v>
      </c>
      <c r="D190" s="39">
        <v>909</v>
      </c>
      <c r="E190" s="39">
        <v>36</v>
      </c>
      <c r="F190" s="39" t="s">
        <v>1294</v>
      </c>
    </row>
    <row r="191" spans="1:6" x14ac:dyDescent="0.2">
      <c r="A191" s="92">
        <v>6.2899999999999938</v>
      </c>
      <c r="B191" s="39">
        <v>6</v>
      </c>
      <c r="C191" s="45" t="s">
        <v>2382</v>
      </c>
      <c r="D191" s="39">
        <v>911</v>
      </c>
      <c r="E191" s="39">
        <v>39</v>
      </c>
      <c r="F191" s="39" t="s">
        <v>1329</v>
      </c>
    </row>
    <row r="192" spans="1:6" x14ac:dyDescent="0.2">
      <c r="A192" s="92">
        <v>6.2999999999999936</v>
      </c>
      <c r="B192" s="39">
        <v>6</v>
      </c>
      <c r="C192" s="45" t="s">
        <v>2382</v>
      </c>
      <c r="D192" s="39">
        <v>905</v>
      </c>
      <c r="E192" s="39">
        <v>63</v>
      </c>
      <c r="F192" s="39" t="s">
        <v>1259</v>
      </c>
    </row>
    <row r="193" spans="1:6" x14ac:dyDescent="0.2">
      <c r="A193" s="92">
        <v>6.31</v>
      </c>
      <c r="B193" s="39">
        <v>1</v>
      </c>
      <c r="C193" s="45" t="s">
        <v>2382</v>
      </c>
      <c r="D193" s="39">
        <v>999</v>
      </c>
      <c r="E193" s="39">
        <v>99</v>
      </c>
      <c r="F193" s="39" t="s">
        <v>2553</v>
      </c>
    </row>
    <row r="194" spans="1:6" x14ac:dyDescent="0.2">
      <c r="A194" s="92">
        <v>7.01</v>
      </c>
      <c r="B194" s="39">
        <v>7</v>
      </c>
      <c r="C194" s="45" t="s">
        <v>2384</v>
      </c>
      <c r="D194" s="39">
        <v>902</v>
      </c>
      <c r="E194" s="39">
        <v>1</v>
      </c>
      <c r="F194" s="39" t="s">
        <v>1149</v>
      </c>
    </row>
    <row r="195" spans="1:6" x14ac:dyDescent="0.2">
      <c r="A195" s="92">
        <v>7.02</v>
      </c>
      <c r="B195" s="39">
        <v>7</v>
      </c>
      <c r="C195" s="45" t="s">
        <v>2384</v>
      </c>
      <c r="D195" s="39">
        <v>904</v>
      </c>
      <c r="E195" s="39">
        <v>2</v>
      </c>
      <c r="F195" s="39" t="s">
        <v>1167</v>
      </c>
    </row>
    <row r="196" spans="1:6" x14ac:dyDescent="0.2">
      <c r="A196" s="92">
        <v>7.0299999999999994</v>
      </c>
      <c r="B196" s="39">
        <v>7</v>
      </c>
      <c r="C196" s="45" t="s">
        <v>2384</v>
      </c>
      <c r="D196" s="39">
        <v>903</v>
      </c>
      <c r="E196" s="39">
        <v>3</v>
      </c>
      <c r="F196" s="39" t="s">
        <v>1163</v>
      </c>
    </row>
    <row r="197" spans="1:6" x14ac:dyDescent="0.2">
      <c r="A197" s="92">
        <v>7.0399999999999991</v>
      </c>
      <c r="B197" s="39">
        <v>7</v>
      </c>
      <c r="C197" s="45" t="s">
        <v>2384</v>
      </c>
      <c r="D197" s="39">
        <v>902</v>
      </c>
      <c r="E197" s="39">
        <v>4</v>
      </c>
      <c r="F197" s="39" t="s">
        <v>1179</v>
      </c>
    </row>
    <row r="198" spans="1:6" x14ac:dyDescent="0.2">
      <c r="A198" s="92">
        <v>7.0499999999999989</v>
      </c>
      <c r="B198" s="39">
        <v>7</v>
      </c>
      <c r="C198" s="45" t="s">
        <v>2384</v>
      </c>
      <c r="D198" s="39">
        <v>904</v>
      </c>
      <c r="E198" s="39">
        <v>5</v>
      </c>
      <c r="F198" s="39" t="s">
        <v>1197</v>
      </c>
    </row>
    <row r="199" spans="1:6" x14ac:dyDescent="0.2">
      <c r="A199" s="92">
        <v>7.0599999999999987</v>
      </c>
      <c r="B199" s="39">
        <v>7</v>
      </c>
      <c r="C199" s="45" t="s">
        <v>2384</v>
      </c>
      <c r="D199" s="39">
        <v>903</v>
      </c>
      <c r="E199" s="39">
        <v>6</v>
      </c>
      <c r="F199" s="39" t="s">
        <v>1195</v>
      </c>
    </row>
    <row r="200" spans="1:6" x14ac:dyDescent="0.2">
      <c r="A200" s="92">
        <v>7.0699999999999985</v>
      </c>
      <c r="B200" s="39">
        <v>7</v>
      </c>
      <c r="C200" s="45" t="s">
        <v>2384</v>
      </c>
      <c r="D200" s="39">
        <v>902</v>
      </c>
      <c r="E200" s="39">
        <v>7</v>
      </c>
      <c r="F200" s="39" t="s">
        <v>1204</v>
      </c>
    </row>
    <row r="201" spans="1:6" x14ac:dyDescent="0.2">
      <c r="A201" s="92">
        <v>7.0799999999999983</v>
      </c>
      <c r="B201" s="39">
        <v>7</v>
      </c>
      <c r="C201" s="45" t="s">
        <v>2384</v>
      </c>
      <c r="D201" s="39">
        <v>904</v>
      </c>
      <c r="E201" s="39">
        <v>8</v>
      </c>
      <c r="F201" s="39" t="s">
        <v>1228</v>
      </c>
    </row>
    <row r="202" spans="1:6" x14ac:dyDescent="0.2">
      <c r="A202" s="92">
        <v>7.0899999999999981</v>
      </c>
      <c r="B202" s="39">
        <v>7</v>
      </c>
      <c r="C202" s="45" t="s">
        <v>2384</v>
      </c>
      <c r="D202" s="39">
        <v>903</v>
      </c>
      <c r="E202" s="39">
        <v>9</v>
      </c>
      <c r="F202" s="39" t="s">
        <v>1223</v>
      </c>
    </row>
    <row r="203" spans="1:6" x14ac:dyDescent="0.2">
      <c r="A203" s="92">
        <v>7.0999999999999979</v>
      </c>
      <c r="B203" s="39">
        <v>7</v>
      </c>
      <c r="C203" s="45" t="s">
        <v>2384</v>
      </c>
      <c r="D203" s="39">
        <v>905</v>
      </c>
      <c r="E203" s="39">
        <v>10</v>
      </c>
      <c r="F203" s="39" t="s">
        <v>1232</v>
      </c>
    </row>
    <row r="204" spans="1:6" x14ac:dyDescent="0.2">
      <c r="A204" s="92">
        <v>7.1099999999999977</v>
      </c>
      <c r="B204" s="39">
        <v>7</v>
      </c>
      <c r="C204" s="45" t="s">
        <v>2384</v>
      </c>
      <c r="D204" s="39">
        <v>905</v>
      </c>
      <c r="E204" s="39">
        <v>11</v>
      </c>
      <c r="F204" s="39" t="s">
        <v>1236</v>
      </c>
    </row>
    <row r="205" spans="1:6" x14ac:dyDescent="0.2">
      <c r="A205" s="92">
        <v>7.1199999999999974</v>
      </c>
      <c r="B205" s="39">
        <v>7</v>
      </c>
      <c r="C205" s="45" t="s">
        <v>2384</v>
      </c>
      <c r="D205" s="39">
        <v>905</v>
      </c>
      <c r="E205" s="39">
        <v>12</v>
      </c>
      <c r="F205" s="39" t="s">
        <v>1237</v>
      </c>
    </row>
    <row r="206" spans="1:6" x14ac:dyDescent="0.2">
      <c r="A206" s="92">
        <v>7.1299999999999972</v>
      </c>
      <c r="B206" s="39">
        <v>7</v>
      </c>
      <c r="C206" s="45" t="s">
        <v>2384</v>
      </c>
      <c r="D206" s="39">
        <v>905</v>
      </c>
      <c r="E206" s="39">
        <v>13</v>
      </c>
      <c r="F206" s="39" t="s">
        <v>1238</v>
      </c>
    </row>
    <row r="207" spans="1:6" x14ac:dyDescent="0.2">
      <c r="A207" s="92">
        <v>7.139999999999997</v>
      </c>
      <c r="B207" s="39">
        <v>7</v>
      </c>
      <c r="C207" s="45" t="s">
        <v>2384</v>
      </c>
      <c r="D207" s="39">
        <v>905</v>
      </c>
      <c r="E207" s="39">
        <v>14</v>
      </c>
      <c r="F207" s="39" t="s">
        <v>1239</v>
      </c>
    </row>
    <row r="208" spans="1:6" x14ac:dyDescent="0.2">
      <c r="A208" s="92">
        <v>7.1499999999999968</v>
      </c>
      <c r="B208" s="39">
        <v>7</v>
      </c>
      <c r="C208" s="45" t="s">
        <v>2384</v>
      </c>
      <c r="D208" s="39">
        <v>905</v>
      </c>
      <c r="E208" s="39">
        <v>15</v>
      </c>
      <c r="F208" s="39" t="s">
        <v>1245</v>
      </c>
    </row>
    <row r="209" spans="1:6" x14ac:dyDescent="0.2">
      <c r="A209" s="92">
        <v>7.1599999999999966</v>
      </c>
      <c r="B209" s="39">
        <v>7</v>
      </c>
      <c r="C209" s="45" t="s">
        <v>2384</v>
      </c>
      <c r="D209" s="39">
        <v>905</v>
      </c>
      <c r="E209" s="39">
        <v>16</v>
      </c>
      <c r="F209" s="39" t="s">
        <v>1246</v>
      </c>
    </row>
    <row r="210" spans="1:6" x14ac:dyDescent="0.2">
      <c r="A210" s="92">
        <v>7.1699999999999964</v>
      </c>
      <c r="B210" s="39">
        <v>7</v>
      </c>
      <c r="C210" s="45" t="s">
        <v>2384</v>
      </c>
      <c r="D210" s="39">
        <v>905</v>
      </c>
      <c r="E210" s="39">
        <v>17</v>
      </c>
      <c r="F210" s="39" t="s">
        <v>1253</v>
      </c>
    </row>
    <row r="211" spans="1:6" x14ac:dyDescent="0.2">
      <c r="A211" s="92">
        <v>7.1799999999999962</v>
      </c>
      <c r="B211" s="39">
        <v>7</v>
      </c>
      <c r="C211" s="45" t="s">
        <v>2384</v>
      </c>
      <c r="D211" s="39">
        <v>906</v>
      </c>
      <c r="E211" s="39">
        <v>20</v>
      </c>
      <c r="F211" s="39" t="s">
        <v>1260</v>
      </c>
    </row>
    <row r="212" spans="1:6" x14ac:dyDescent="0.2">
      <c r="A212" s="92">
        <v>7.1899999999999959</v>
      </c>
      <c r="B212" s="39">
        <v>7</v>
      </c>
      <c r="C212" s="45" t="s">
        <v>2384</v>
      </c>
      <c r="D212" s="39">
        <v>906</v>
      </c>
      <c r="E212" s="39">
        <v>21</v>
      </c>
      <c r="F212" s="39" t="s">
        <v>1263</v>
      </c>
    </row>
    <row r="213" spans="1:6" x14ac:dyDescent="0.2">
      <c r="A213" s="92">
        <v>7.1999999999999957</v>
      </c>
      <c r="B213" s="39">
        <v>7</v>
      </c>
      <c r="C213" s="45" t="s">
        <v>2384</v>
      </c>
      <c r="D213" s="39">
        <v>906</v>
      </c>
      <c r="E213" s="39">
        <v>22</v>
      </c>
      <c r="F213" s="39" t="s">
        <v>1264</v>
      </c>
    </row>
    <row r="214" spans="1:6" x14ac:dyDescent="0.2">
      <c r="A214" s="92">
        <v>7.2099999999999955</v>
      </c>
      <c r="B214" s="39">
        <v>7</v>
      </c>
      <c r="C214" s="45" t="s">
        <v>2384</v>
      </c>
      <c r="D214" s="39">
        <v>906</v>
      </c>
      <c r="E214" s="39">
        <v>23</v>
      </c>
      <c r="F214" s="39" t="s">
        <v>1265</v>
      </c>
    </row>
    <row r="215" spans="1:6" x14ac:dyDescent="0.2">
      <c r="A215" s="92">
        <v>7.2199999999999953</v>
      </c>
      <c r="B215" s="39">
        <v>7</v>
      </c>
      <c r="C215" s="45" t="s">
        <v>2384</v>
      </c>
      <c r="D215" s="39">
        <v>906</v>
      </c>
      <c r="E215" s="39">
        <v>24</v>
      </c>
      <c r="F215" s="39" t="s">
        <v>1266</v>
      </c>
    </row>
    <row r="216" spans="1:6" x14ac:dyDescent="0.2">
      <c r="A216" s="92">
        <v>7.2299999999999951</v>
      </c>
      <c r="B216" s="39">
        <v>7</v>
      </c>
      <c r="C216" s="45" t="s">
        <v>2384</v>
      </c>
      <c r="D216" s="39">
        <v>906</v>
      </c>
      <c r="E216" s="39">
        <v>25</v>
      </c>
      <c r="F216" s="39" t="s">
        <v>1268</v>
      </c>
    </row>
    <row r="217" spans="1:6" x14ac:dyDescent="0.2">
      <c r="A217" s="92">
        <v>7.2399999999999949</v>
      </c>
      <c r="B217" s="39">
        <v>7</v>
      </c>
      <c r="C217" s="45" t="s">
        <v>2384</v>
      </c>
      <c r="D217" s="39">
        <v>906</v>
      </c>
      <c r="E217" s="39">
        <v>26</v>
      </c>
      <c r="F217" s="39" t="s">
        <v>1276</v>
      </c>
    </row>
    <row r="218" spans="1:6" x14ac:dyDescent="0.2">
      <c r="A218" s="92">
        <v>7.2499999999999947</v>
      </c>
      <c r="B218" s="39">
        <v>7</v>
      </c>
      <c r="C218" s="45" t="s">
        <v>2384</v>
      </c>
      <c r="D218" s="39">
        <v>906</v>
      </c>
      <c r="E218" s="39">
        <v>27</v>
      </c>
      <c r="F218" s="39" t="s">
        <v>1277</v>
      </c>
    </row>
    <row r="219" spans="1:6" x14ac:dyDescent="0.2">
      <c r="A219" s="92">
        <v>7.2599999999999945</v>
      </c>
      <c r="B219" s="39">
        <v>7</v>
      </c>
      <c r="C219" s="45" t="s">
        <v>2384</v>
      </c>
      <c r="D219" s="39">
        <v>906</v>
      </c>
      <c r="E219" s="39">
        <v>28</v>
      </c>
      <c r="F219" s="39" t="s">
        <v>1278</v>
      </c>
    </row>
    <row r="220" spans="1:6" x14ac:dyDescent="0.2">
      <c r="A220" s="92">
        <v>7.2699999999999942</v>
      </c>
      <c r="B220" s="39">
        <v>7</v>
      </c>
      <c r="C220" s="45" t="s">
        <v>2384</v>
      </c>
      <c r="D220" s="39">
        <v>906</v>
      </c>
      <c r="E220" s="39">
        <v>29</v>
      </c>
      <c r="F220" s="39" t="s">
        <v>1280</v>
      </c>
    </row>
    <row r="221" spans="1:6" x14ac:dyDescent="0.2">
      <c r="A221" s="92">
        <v>7.279999999999994</v>
      </c>
      <c r="B221" s="39">
        <v>7</v>
      </c>
      <c r="C221" s="45" t="s">
        <v>2384</v>
      </c>
      <c r="D221" s="39">
        <v>909</v>
      </c>
      <c r="E221" s="39">
        <v>36</v>
      </c>
      <c r="F221" s="39" t="s">
        <v>1294</v>
      </c>
    </row>
    <row r="222" spans="1:6" x14ac:dyDescent="0.2">
      <c r="A222" s="92">
        <v>7.2899999999999938</v>
      </c>
      <c r="B222" s="39">
        <v>7</v>
      </c>
      <c r="C222" s="45" t="s">
        <v>2384</v>
      </c>
      <c r="D222" s="39">
        <v>905</v>
      </c>
      <c r="E222" s="39">
        <v>63</v>
      </c>
      <c r="F222" s="39" t="s">
        <v>1259</v>
      </c>
    </row>
    <row r="223" spans="1:6" x14ac:dyDescent="0.2">
      <c r="A223" s="92">
        <v>7.3</v>
      </c>
      <c r="B223" s="39">
        <v>1</v>
      </c>
      <c r="C223" s="45" t="s">
        <v>2384</v>
      </c>
      <c r="D223" s="39">
        <v>999</v>
      </c>
      <c r="E223" s="39">
        <v>99</v>
      </c>
      <c r="F223" s="39" t="s">
        <v>2553</v>
      </c>
    </row>
    <row r="224" spans="1:6" x14ac:dyDescent="0.2">
      <c r="A224" s="92">
        <v>8.01</v>
      </c>
      <c r="B224" s="39">
        <v>8</v>
      </c>
      <c r="C224" s="45" t="s">
        <v>2386</v>
      </c>
      <c r="D224" s="39">
        <v>902</v>
      </c>
      <c r="E224" s="39">
        <v>1</v>
      </c>
      <c r="F224" s="39" t="s">
        <v>1149</v>
      </c>
    </row>
    <row r="225" spans="1:6" x14ac:dyDescent="0.2">
      <c r="A225" s="92">
        <v>8.02</v>
      </c>
      <c r="B225" s="39">
        <v>8</v>
      </c>
      <c r="C225" s="45" t="s">
        <v>2386</v>
      </c>
      <c r="D225" s="39">
        <v>904</v>
      </c>
      <c r="E225" s="39">
        <v>2</v>
      </c>
      <c r="F225" s="39" t="s">
        <v>1167</v>
      </c>
    </row>
    <row r="226" spans="1:6" x14ac:dyDescent="0.2">
      <c r="A226" s="92">
        <v>8.0299999999999994</v>
      </c>
      <c r="B226" s="39">
        <v>8</v>
      </c>
      <c r="C226" s="45" t="s">
        <v>2386</v>
      </c>
      <c r="D226" s="39">
        <v>903</v>
      </c>
      <c r="E226" s="39">
        <v>3</v>
      </c>
      <c r="F226" s="39" t="s">
        <v>1163</v>
      </c>
    </row>
    <row r="227" spans="1:6" x14ac:dyDescent="0.2">
      <c r="A227" s="92">
        <v>8.0399999999999991</v>
      </c>
      <c r="B227" s="39">
        <v>8</v>
      </c>
      <c r="C227" s="45" t="s">
        <v>2386</v>
      </c>
      <c r="D227" s="39">
        <v>902</v>
      </c>
      <c r="E227" s="39">
        <v>4</v>
      </c>
      <c r="F227" s="39" t="s">
        <v>1179</v>
      </c>
    </row>
    <row r="228" spans="1:6" x14ac:dyDescent="0.2">
      <c r="A228" s="92">
        <v>8.0499999999999989</v>
      </c>
      <c r="B228" s="39">
        <v>8</v>
      </c>
      <c r="C228" s="45" t="s">
        <v>2386</v>
      </c>
      <c r="D228" s="39">
        <v>904</v>
      </c>
      <c r="E228" s="39">
        <v>5</v>
      </c>
      <c r="F228" s="39" t="s">
        <v>1197</v>
      </c>
    </row>
    <row r="229" spans="1:6" x14ac:dyDescent="0.2">
      <c r="A229" s="92">
        <v>8.0599999999999987</v>
      </c>
      <c r="B229" s="39">
        <v>8</v>
      </c>
      <c r="C229" s="45" t="s">
        <v>2386</v>
      </c>
      <c r="D229" s="39">
        <v>903</v>
      </c>
      <c r="E229" s="39">
        <v>6</v>
      </c>
      <c r="F229" s="39" t="s">
        <v>1195</v>
      </c>
    </row>
    <row r="230" spans="1:6" x14ac:dyDescent="0.2">
      <c r="A230" s="92">
        <v>8.0699999999999985</v>
      </c>
      <c r="B230" s="39">
        <v>8</v>
      </c>
      <c r="C230" s="45" t="s">
        <v>2386</v>
      </c>
      <c r="D230" s="39">
        <v>902</v>
      </c>
      <c r="E230" s="39">
        <v>7</v>
      </c>
      <c r="F230" s="39" t="s">
        <v>1204</v>
      </c>
    </row>
    <row r="231" spans="1:6" x14ac:dyDescent="0.2">
      <c r="A231" s="92">
        <v>8.0799999999999983</v>
      </c>
      <c r="B231" s="39">
        <v>8</v>
      </c>
      <c r="C231" s="45" t="s">
        <v>2386</v>
      </c>
      <c r="D231" s="39">
        <v>904</v>
      </c>
      <c r="E231" s="39">
        <v>8</v>
      </c>
      <c r="F231" s="39" t="s">
        <v>1228</v>
      </c>
    </row>
    <row r="232" spans="1:6" x14ac:dyDescent="0.2">
      <c r="A232" s="92">
        <v>8.0899999999999981</v>
      </c>
      <c r="B232" s="39">
        <v>8</v>
      </c>
      <c r="C232" s="45" t="s">
        <v>2386</v>
      </c>
      <c r="D232" s="39">
        <v>903</v>
      </c>
      <c r="E232" s="39">
        <v>9</v>
      </c>
      <c r="F232" s="39" t="s">
        <v>1223</v>
      </c>
    </row>
    <row r="233" spans="1:6" x14ac:dyDescent="0.2">
      <c r="A233" s="92">
        <v>8.0999999999999979</v>
      </c>
      <c r="B233" s="39">
        <v>8</v>
      </c>
      <c r="C233" s="45" t="s">
        <v>2386</v>
      </c>
      <c r="D233" s="39">
        <v>905</v>
      </c>
      <c r="E233" s="39">
        <v>10</v>
      </c>
      <c r="F233" s="39" t="s">
        <v>1232</v>
      </c>
    </row>
    <row r="234" spans="1:6" x14ac:dyDescent="0.2">
      <c r="A234" s="92">
        <v>8.1099999999999977</v>
      </c>
      <c r="B234" s="39">
        <v>8</v>
      </c>
      <c r="C234" s="45" t="s">
        <v>2386</v>
      </c>
      <c r="D234" s="39">
        <v>905</v>
      </c>
      <c r="E234" s="39">
        <v>11</v>
      </c>
      <c r="F234" s="39" t="s">
        <v>1236</v>
      </c>
    </row>
    <row r="235" spans="1:6" x14ac:dyDescent="0.2">
      <c r="A235" s="92">
        <v>8.1199999999999974</v>
      </c>
      <c r="B235" s="39">
        <v>8</v>
      </c>
      <c r="C235" s="45" t="s">
        <v>2386</v>
      </c>
      <c r="D235" s="39">
        <v>905</v>
      </c>
      <c r="E235" s="39">
        <v>12</v>
      </c>
      <c r="F235" s="39" t="s">
        <v>1237</v>
      </c>
    </row>
    <row r="236" spans="1:6" x14ac:dyDescent="0.2">
      <c r="A236" s="92">
        <v>8.1299999999999972</v>
      </c>
      <c r="B236" s="39">
        <v>8</v>
      </c>
      <c r="C236" s="45" t="s">
        <v>2386</v>
      </c>
      <c r="D236" s="39">
        <v>905</v>
      </c>
      <c r="E236" s="39">
        <v>13</v>
      </c>
      <c r="F236" s="39" t="s">
        <v>1238</v>
      </c>
    </row>
    <row r="237" spans="1:6" x14ac:dyDescent="0.2">
      <c r="A237" s="92">
        <v>8.139999999999997</v>
      </c>
      <c r="B237" s="39">
        <v>8</v>
      </c>
      <c r="C237" s="45" t="s">
        <v>2386</v>
      </c>
      <c r="D237" s="39">
        <v>905</v>
      </c>
      <c r="E237" s="39">
        <v>14</v>
      </c>
      <c r="F237" s="39" t="s">
        <v>1239</v>
      </c>
    </row>
    <row r="238" spans="1:6" x14ac:dyDescent="0.2">
      <c r="A238" s="92">
        <v>8.1499999999999968</v>
      </c>
      <c r="B238" s="39">
        <v>8</v>
      </c>
      <c r="C238" s="45" t="s">
        <v>2386</v>
      </c>
      <c r="D238" s="39">
        <v>905</v>
      </c>
      <c r="E238" s="39">
        <v>15</v>
      </c>
      <c r="F238" s="39" t="s">
        <v>1245</v>
      </c>
    </row>
    <row r="239" spans="1:6" x14ac:dyDescent="0.2">
      <c r="A239" s="92">
        <v>8.1599999999999966</v>
      </c>
      <c r="B239" s="39">
        <v>8</v>
      </c>
      <c r="C239" s="45" t="s">
        <v>2386</v>
      </c>
      <c r="D239" s="39">
        <v>905</v>
      </c>
      <c r="E239" s="39">
        <v>16</v>
      </c>
      <c r="F239" s="39" t="s">
        <v>1246</v>
      </c>
    </row>
    <row r="240" spans="1:6" x14ac:dyDescent="0.2">
      <c r="A240" s="92">
        <v>8.1699999999999964</v>
      </c>
      <c r="B240" s="39">
        <v>8</v>
      </c>
      <c r="C240" s="45" t="s">
        <v>2386</v>
      </c>
      <c r="D240" s="39">
        <v>905</v>
      </c>
      <c r="E240" s="39">
        <v>17</v>
      </c>
      <c r="F240" s="39" t="s">
        <v>1253</v>
      </c>
    </row>
    <row r="241" spans="1:6" x14ac:dyDescent="0.2">
      <c r="A241" s="92">
        <v>8.1799999999999962</v>
      </c>
      <c r="B241" s="39">
        <v>8</v>
      </c>
      <c r="C241" s="45" t="s">
        <v>2386</v>
      </c>
      <c r="D241" s="39">
        <v>906</v>
      </c>
      <c r="E241" s="39">
        <v>20</v>
      </c>
      <c r="F241" s="39" t="s">
        <v>1260</v>
      </c>
    </row>
    <row r="242" spans="1:6" x14ac:dyDescent="0.2">
      <c r="A242" s="92">
        <v>8.1899999999999959</v>
      </c>
      <c r="B242" s="39">
        <v>8</v>
      </c>
      <c r="C242" s="45" t="s">
        <v>2386</v>
      </c>
      <c r="D242" s="39">
        <v>906</v>
      </c>
      <c r="E242" s="39">
        <v>21</v>
      </c>
      <c r="F242" s="39" t="s">
        <v>1263</v>
      </c>
    </row>
    <row r="243" spans="1:6" x14ac:dyDescent="0.2">
      <c r="A243" s="92">
        <v>8.1999999999999957</v>
      </c>
      <c r="B243" s="39">
        <v>8</v>
      </c>
      <c r="C243" s="45" t="s">
        <v>2386</v>
      </c>
      <c r="D243" s="39">
        <v>906</v>
      </c>
      <c r="E243" s="39">
        <v>22</v>
      </c>
      <c r="F243" s="39" t="s">
        <v>1264</v>
      </c>
    </row>
    <row r="244" spans="1:6" x14ac:dyDescent="0.2">
      <c r="A244" s="92">
        <v>8.2099999999999955</v>
      </c>
      <c r="B244" s="39">
        <v>8</v>
      </c>
      <c r="C244" s="45" t="s">
        <v>2386</v>
      </c>
      <c r="D244" s="39">
        <v>906</v>
      </c>
      <c r="E244" s="39">
        <v>23</v>
      </c>
      <c r="F244" s="39" t="s">
        <v>1265</v>
      </c>
    </row>
    <row r="245" spans="1:6" x14ac:dyDescent="0.2">
      <c r="A245" s="92">
        <v>8.2199999999999953</v>
      </c>
      <c r="B245" s="39">
        <v>8</v>
      </c>
      <c r="C245" s="45" t="s">
        <v>2386</v>
      </c>
      <c r="D245" s="39">
        <v>906</v>
      </c>
      <c r="E245" s="39">
        <v>24</v>
      </c>
      <c r="F245" s="39" t="s">
        <v>1266</v>
      </c>
    </row>
    <row r="246" spans="1:6" x14ac:dyDescent="0.2">
      <c r="A246" s="92">
        <v>8.2299999999999951</v>
      </c>
      <c r="B246" s="39">
        <v>8</v>
      </c>
      <c r="C246" s="45" t="s">
        <v>2386</v>
      </c>
      <c r="D246" s="39">
        <v>906</v>
      </c>
      <c r="E246" s="39">
        <v>25</v>
      </c>
      <c r="F246" s="39" t="s">
        <v>1268</v>
      </c>
    </row>
    <row r="247" spans="1:6" x14ac:dyDescent="0.2">
      <c r="A247" s="92">
        <v>8.2399999999999949</v>
      </c>
      <c r="B247" s="39">
        <v>8</v>
      </c>
      <c r="C247" s="45" t="s">
        <v>2386</v>
      </c>
      <c r="D247" s="39">
        <v>906</v>
      </c>
      <c r="E247" s="39">
        <v>26</v>
      </c>
      <c r="F247" s="39" t="s">
        <v>1276</v>
      </c>
    </row>
    <row r="248" spans="1:6" x14ac:dyDescent="0.2">
      <c r="A248" s="92">
        <v>8.2499999999999947</v>
      </c>
      <c r="B248" s="39">
        <v>8</v>
      </c>
      <c r="C248" s="45" t="s">
        <v>2386</v>
      </c>
      <c r="D248" s="39">
        <v>906</v>
      </c>
      <c r="E248" s="39">
        <v>27</v>
      </c>
      <c r="F248" s="39" t="s">
        <v>1277</v>
      </c>
    </row>
    <row r="249" spans="1:6" x14ac:dyDescent="0.2">
      <c r="A249" s="92">
        <v>8.2599999999999945</v>
      </c>
      <c r="B249" s="39">
        <v>8</v>
      </c>
      <c r="C249" s="45" t="s">
        <v>2386</v>
      </c>
      <c r="D249" s="39">
        <v>906</v>
      </c>
      <c r="E249" s="39">
        <v>28</v>
      </c>
      <c r="F249" s="39" t="s">
        <v>1278</v>
      </c>
    </row>
    <row r="250" spans="1:6" x14ac:dyDescent="0.2">
      <c r="A250" s="92">
        <v>8.2699999999999942</v>
      </c>
      <c r="B250" s="39">
        <v>8</v>
      </c>
      <c r="C250" s="45" t="s">
        <v>2386</v>
      </c>
      <c r="D250" s="39">
        <v>906</v>
      </c>
      <c r="E250" s="39">
        <v>29</v>
      </c>
      <c r="F250" s="39" t="s">
        <v>1280</v>
      </c>
    </row>
    <row r="251" spans="1:6" x14ac:dyDescent="0.2">
      <c r="A251" s="92">
        <v>8.279999999999994</v>
      </c>
      <c r="B251" s="39">
        <v>8</v>
      </c>
      <c r="C251" s="45" t="s">
        <v>2386</v>
      </c>
      <c r="D251" s="39">
        <v>909</v>
      </c>
      <c r="E251" s="39">
        <v>36</v>
      </c>
      <c r="F251" s="39" t="s">
        <v>1294</v>
      </c>
    </row>
    <row r="252" spans="1:6" x14ac:dyDescent="0.2">
      <c r="A252" s="92">
        <v>8.2899999999999938</v>
      </c>
      <c r="B252" s="39">
        <v>8</v>
      </c>
      <c r="C252" s="45" t="s">
        <v>2386</v>
      </c>
      <c r="D252" s="39">
        <v>905</v>
      </c>
      <c r="E252" s="39">
        <v>63</v>
      </c>
      <c r="F252" s="39" t="s">
        <v>1259</v>
      </c>
    </row>
    <row r="253" spans="1:6" x14ac:dyDescent="0.2">
      <c r="A253" s="92">
        <v>8.3000000000000007</v>
      </c>
      <c r="B253" s="39">
        <v>1</v>
      </c>
      <c r="C253" s="45" t="s">
        <v>2386</v>
      </c>
      <c r="D253" s="39">
        <v>999</v>
      </c>
      <c r="E253" s="39">
        <v>99</v>
      </c>
      <c r="F253" s="39" t="s">
        <v>2553</v>
      </c>
    </row>
    <row r="254" spans="1:6" x14ac:dyDescent="0.2">
      <c r="A254" s="92">
        <v>9.01</v>
      </c>
      <c r="B254" s="39">
        <v>9</v>
      </c>
      <c r="C254" s="45" t="s">
        <v>2388</v>
      </c>
      <c r="D254" s="39">
        <v>902</v>
      </c>
      <c r="E254" s="39">
        <v>1</v>
      </c>
      <c r="F254" s="39" t="s">
        <v>1149</v>
      </c>
    </row>
    <row r="255" spans="1:6" x14ac:dyDescent="0.2">
      <c r="A255" s="92">
        <v>9.02</v>
      </c>
      <c r="B255" s="39">
        <v>9</v>
      </c>
      <c r="C255" s="45" t="s">
        <v>2388</v>
      </c>
      <c r="D255" s="39">
        <v>904</v>
      </c>
      <c r="E255" s="39">
        <v>2</v>
      </c>
      <c r="F255" s="39" t="s">
        <v>1167</v>
      </c>
    </row>
    <row r="256" spans="1:6" x14ac:dyDescent="0.2">
      <c r="A256" s="92">
        <v>9.0299999999999994</v>
      </c>
      <c r="B256" s="39">
        <v>9</v>
      </c>
      <c r="C256" s="45" t="s">
        <v>2388</v>
      </c>
      <c r="D256" s="39">
        <v>903</v>
      </c>
      <c r="E256" s="39">
        <v>3</v>
      </c>
      <c r="F256" s="39" t="s">
        <v>1163</v>
      </c>
    </row>
    <row r="257" spans="1:6" x14ac:dyDescent="0.2">
      <c r="A257" s="92">
        <v>9.0399999999999991</v>
      </c>
      <c r="B257" s="39">
        <v>9</v>
      </c>
      <c r="C257" s="45" t="s">
        <v>2388</v>
      </c>
      <c r="D257" s="39">
        <v>902</v>
      </c>
      <c r="E257" s="39">
        <v>4</v>
      </c>
      <c r="F257" s="39" t="s">
        <v>1179</v>
      </c>
    </row>
    <row r="258" spans="1:6" x14ac:dyDescent="0.2">
      <c r="A258" s="92">
        <v>9.0499999999999989</v>
      </c>
      <c r="B258" s="39">
        <v>9</v>
      </c>
      <c r="C258" s="45" t="s">
        <v>2388</v>
      </c>
      <c r="D258" s="39">
        <v>904</v>
      </c>
      <c r="E258" s="39">
        <v>5</v>
      </c>
      <c r="F258" s="39" t="s">
        <v>1197</v>
      </c>
    </row>
    <row r="259" spans="1:6" x14ac:dyDescent="0.2">
      <c r="A259" s="92">
        <v>9.0599999999999987</v>
      </c>
      <c r="B259" s="39">
        <v>9</v>
      </c>
      <c r="C259" s="45" t="s">
        <v>2388</v>
      </c>
      <c r="D259" s="39">
        <v>903</v>
      </c>
      <c r="E259" s="39">
        <v>6</v>
      </c>
      <c r="F259" s="39" t="s">
        <v>1195</v>
      </c>
    </row>
    <row r="260" spans="1:6" x14ac:dyDescent="0.2">
      <c r="A260" s="92">
        <v>9.0699999999999985</v>
      </c>
      <c r="B260" s="39">
        <v>9</v>
      </c>
      <c r="C260" s="45" t="s">
        <v>2388</v>
      </c>
      <c r="D260" s="39">
        <v>902</v>
      </c>
      <c r="E260" s="39">
        <v>7</v>
      </c>
      <c r="F260" s="39" t="s">
        <v>1204</v>
      </c>
    </row>
    <row r="261" spans="1:6" x14ac:dyDescent="0.2">
      <c r="A261" s="92">
        <v>9.0799999999999983</v>
      </c>
      <c r="B261" s="39">
        <v>9</v>
      </c>
      <c r="C261" s="45" t="s">
        <v>2388</v>
      </c>
      <c r="D261" s="39">
        <v>904</v>
      </c>
      <c r="E261" s="39">
        <v>8</v>
      </c>
      <c r="F261" s="39" t="s">
        <v>1228</v>
      </c>
    </row>
    <row r="262" spans="1:6" x14ac:dyDescent="0.2">
      <c r="A262" s="92">
        <v>9.0899999999999981</v>
      </c>
      <c r="B262" s="39">
        <v>9</v>
      </c>
      <c r="C262" s="45" t="s">
        <v>2388</v>
      </c>
      <c r="D262" s="39">
        <v>903</v>
      </c>
      <c r="E262" s="39">
        <v>9</v>
      </c>
      <c r="F262" s="39" t="s">
        <v>1223</v>
      </c>
    </row>
    <row r="263" spans="1:6" x14ac:dyDescent="0.2">
      <c r="A263" s="92">
        <v>9.0999999999999979</v>
      </c>
      <c r="B263" s="39">
        <v>9</v>
      </c>
      <c r="C263" s="45" t="s">
        <v>2388</v>
      </c>
      <c r="D263" s="39">
        <v>905</v>
      </c>
      <c r="E263" s="39">
        <v>10</v>
      </c>
      <c r="F263" s="39" t="s">
        <v>1232</v>
      </c>
    </row>
    <row r="264" spans="1:6" x14ac:dyDescent="0.2">
      <c r="A264" s="92">
        <v>9.1099999999999977</v>
      </c>
      <c r="B264" s="39">
        <v>9</v>
      </c>
      <c r="C264" s="45" t="s">
        <v>2388</v>
      </c>
      <c r="D264" s="39">
        <v>905</v>
      </c>
      <c r="E264" s="39">
        <v>11</v>
      </c>
      <c r="F264" s="39" t="s">
        <v>1236</v>
      </c>
    </row>
    <row r="265" spans="1:6" x14ac:dyDescent="0.2">
      <c r="A265" s="92">
        <v>9.1199999999999974</v>
      </c>
      <c r="B265" s="39">
        <v>9</v>
      </c>
      <c r="C265" s="45" t="s">
        <v>2388</v>
      </c>
      <c r="D265" s="39">
        <v>905</v>
      </c>
      <c r="E265" s="39">
        <v>12</v>
      </c>
      <c r="F265" s="39" t="s">
        <v>1237</v>
      </c>
    </row>
    <row r="266" spans="1:6" x14ac:dyDescent="0.2">
      <c r="A266" s="92">
        <v>9.1299999999999972</v>
      </c>
      <c r="B266" s="39">
        <v>9</v>
      </c>
      <c r="C266" s="45" t="s">
        <v>2388</v>
      </c>
      <c r="D266" s="39">
        <v>905</v>
      </c>
      <c r="E266" s="39">
        <v>13</v>
      </c>
      <c r="F266" s="39" t="s">
        <v>1238</v>
      </c>
    </row>
    <row r="267" spans="1:6" x14ac:dyDescent="0.2">
      <c r="A267" s="92">
        <v>9.139999999999997</v>
      </c>
      <c r="B267" s="39">
        <v>9</v>
      </c>
      <c r="C267" s="45" t="s">
        <v>2388</v>
      </c>
      <c r="D267" s="39">
        <v>905</v>
      </c>
      <c r="E267" s="39">
        <v>14</v>
      </c>
      <c r="F267" s="39" t="s">
        <v>1239</v>
      </c>
    </row>
    <row r="268" spans="1:6" x14ac:dyDescent="0.2">
      <c r="A268" s="92">
        <v>9.1499999999999968</v>
      </c>
      <c r="B268" s="39">
        <v>9</v>
      </c>
      <c r="C268" s="45" t="s">
        <v>2388</v>
      </c>
      <c r="D268" s="39">
        <v>905</v>
      </c>
      <c r="E268" s="39">
        <v>15</v>
      </c>
      <c r="F268" s="39" t="s">
        <v>1245</v>
      </c>
    </row>
    <row r="269" spans="1:6" x14ac:dyDescent="0.2">
      <c r="A269" s="92">
        <v>9.1599999999999966</v>
      </c>
      <c r="B269" s="39">
        <v>9</v>
      </c>
      <c r="C269" s="45" t="s">
        <v>2388</v>
      </c>
      <c r="D269" s="39">
        <v>905</v>
      </c>
      <c r="E269" s="39">
        <v>16</v>
      </c>
      <c r="F269" s="39" t="s">
        <v>1246</v>
      </c>
    </row>
    <row r="270" spans="1:6" x14ac:dyDescent="0.2">
      <c r="A270" s="92">
        <v>9.1699999999999964</v>
      </c>
      <c r="B270" s="39">
        <v>9</v>
      </c>
      <c r="C270" s="45" t="s">
        <v>2388</v>
      </c>
      <c r="D270" s="39">
        <v>905</v>
      </c>
      <c r="E270" s="39">
        <v>17</v>
      </c>
      <c r="F270" s="39" t="s">
        <v>1253</v>
      </c>
    </row>
    <row r="271" spans="1:6" x14ac:dyDescent="0.2">
      <c r="A271" s="92">
        <v>9.1799999999999962</v>
      </c>
      <c r="B271" s="39">
        <v>9</v>
      </c>
      <c r="C271" s="45" t="s">
        <v>2388</v>
      </c>
      <c r="D271" s="39">
        <v>906</v>
      </c>
      <c r="E271" s="39">
        <v>20</v>
      </c>
      <c r="F271" s="39" t="s">
        <v>1260</v>
      </c>
    </row>
    <row r="272" spans="1:6" x14ac:dyDescent="0.2">
      <c r="A272" s="92">
        <v>9.1899999999999959</v>
      </c>
      <c r="B272" s="39">
        <v>9</v>
      </c>
      <c r="C272" s="45" t="s">
        <v>2388</v>
      </c>
      <c r="D272" s="39">
        <v>906</v>
      </c>
      <c r="E272" s="39">
        <v>21</v>
      </c>
      <c r="F272" s="39" t="s">
        <v>1263</v>
      </c>
    </row>
    <row r="273" spans="1:6" x14ac:dyDescent="0.2">
      <c r="A273" s="92">
        <v>9.1999999999999957</v>
      </c>
      <c r="B273" s="39">
        <v>9</v>
      </c>
      <c r="C273" s="45" t="s">
        <v>2388</v>
      </c>
      <c r="D273" s="39">
        <v>906</v>
      </c>
      <c r="E273" s="39">
        <v>22</v>
      </c>
      <c r="F273" s="39" t="s">
        <v>1264</v>
      </c>
    </row>
    <row r="274" spans="1:6" x14ac:dyDescent="0.2">
      <c r="A274" s="92">
        <v>9.2099999999999955</v>
      </c>
      <c r="B274" s="39">
        <v>9</v>
      </c>
      <c r="C274" s="45" t="s">
        <v>2388</v>
      </c>
      <c r="D274" s="39">
        <v>906</v>
      </c>
      <c r="E274" s="39">
        <v>23</v>
      </c>
      <c r="F274" s="39" t="s">
        <v>1265</v>
      </c>
    </row>
    <row r="275" spans="1:6" x14ac:dyDescent="0.2">
      <c r="A275" s="92">
        <v>9.2199999999999953</v>
      </c>
      <c r="B275" s="39">
        <v>9</v>
      </c>
      <c r="C275" s="45" t="s">
        <v>2388</v>
      </c>
      <c r="D275" s="39">
        <v>906</v>
      </c>
      <c r="E275" s="39">
        <v>24</v>
      </c>
      <c r="F275" s="39" t="s">
        <v>1266</v>
      </c>
    </row>
    <row r="276" spans="1:6" x14ac:dyDescent="0.2">
      <c r="A276" s="92">
        <v>9.2299999999999951</v>
      </c>
      <c r="B276" s="39">
        <v>9</v>
      </c>
      <c r="C276" s="45" t="s">
        <v>2388</v>
      </c>
      <c r="D276" s="39">
        <v>906</v>
      </c>
      <c r="E276" s="39">
        <v>25</v>
      </c>
      <c r="F276" s="39" t="s">
        <v>1268</v>
      </c>
    </row>
    <row r="277" spans="1:6" x14ac:dyDescent="0.2">
      <c r="A277" s="92">
        <v>9.2399999999999949</v>
      </c>
      <c r="B277" s="39">
        <v>9</v>
      </c>
      <c r="C277" s="45" t="s">
        <v>2388</v>
      </c>
      <c r="D277" s="39">
        <v>906</v>
      </c>
      <c r="E277" s="39">
        <v>26</v>
      </c>
      <c r="F277" s="39" t="s">
        <v>1276</v>
      </c>
    </row>
    <row r="278" spans="1:6" x14ac:dyDescent="0.2">
      <c r="A278" s="92">
        <v>9.2499999999999947</v>
      </c>
      <c r="B278" s="39">
        <v>9</v>
      </c>
      <c r="C278" s="45" t="s">
        <v>2388</v>
      </c>
      <c r="D278" s="39">
        <v>906</v>
      </c>
      <c r="E278" s="39">
        <v>27</v>
      </c>
      <c r="F278" s="39" t="s">
        <v>1277</v>
      </c>
    </row>
    <row r="279" spans="1:6" x14ac:dyDescent="0.2">
      <c r="A279" s="92">
        <v>9.2599999999999945</v>
      </c>
      <c r="B279" s="39">
        <v>9</v>
      </c>
      <c r="C279" s="45" t="s">
        <v>2388</v>
      </c>
      <c r="D279" s="39">
        <v>906</v>
      </c>
      <c r="E279" s="39">
        <v>28</v>
      </c>
      <c r="F279" s="39" t="s">
        <v>1278</v>
      </c>
    </row>
    <row r="280" spans="1:6" x14ac:dyDescent="0.2">
      <c r="A280" s="92">
        <v>9.2699999999999942</v>
      </c>
      <c r="B280" s="39">
        <v>9</v>
      </c>
      <c r="C280" s="45" t="s">
        <v>2388</v>
      </c>
      <c r="D280" s="39">
        <v>906</v>
      </c>
      <c r="E280" s="39">
        <v>29</v>
      </c>
      <c r="F280" s="39" t="s">
        <v>1280</v>
      </c>
    </row>
    <row r="281" spans="1:6" x14ac:dyDescent="0.2">
      <c r="A281" s="92">
        <v>9.279999999999994</v>
      </c>
      <c r="B281" s="39">
        <v>9</v>
      </c>
      <c r="C281" s="45" t="s">
        <v>2388</v>
      </c>
      <c r="D281" s="39">
        <v>909</v>
      </c>
      <c r="E281" s="39">
        <v>36</v>
      </c>
      <c r="F281" s="39" t="s">
        <v>1294</v>
      </c>
    </row>
    <row r="282" spans="1:6" x14ac:dyDescent="0.2">
      <c r="A282" s="92">
        <v>9.2899999999999938</v>
      </c>
      <c r="B282" s="39">
        <v>9</v>
      </c>
      <c r="C282" s="45" t="s">
        <v>2388</v>
      </c>
      <c r="D282" s="39">
        <v>905</v>
      </c>
      <c r="E282" s="39">
        <v>63</v>
      </c>
      <c r="F282" s="39" t="s">
        <v>1259</v>
      </c>
    </row>
    <row r="283" spans="1:6" x14ac:dyDescent="0.2">
      <c r="A283" s="92">
        <v>9.3000000000000007</v>
      </c>
      <c r="B283" s="39">
        <v>1</v>
      </c>
      <c r="C283" s="45" t="s">
        <v>2388</v>
      </c>
      <c r="D283" s="39">
        <v>999</v>
      </c>
      <c r="E283" s="39">
        <v>99</v>
      </c>
      <c r="F283" s="39" t="s">
        <v>2553</v>
      </c>
    </row>
    <row r="284" spans="1:6" x14ac:dyDescent="0.2">
      <c r="A284" s="92">
        <v>10.01</v>
      </c>
      <c r="B284" s="39">
        <v>10</v>
      </c>
      <c r="C284" s="45" t="s">
        <v>2390</v>
      </c>
      <c r="D284" s="39">
        <v>902</v>
      </c>
      <c r="E284" s="39">
        <v>1</v>
      </c>
      <c r="F284" s="39" t="s">
        <v>1149</v>
      </c>
    </row>
    <row r="285" spans="1:6" x14ac:dyDescent="0.2">
      <c r="A285" s="92">
        <v>10.02</v>
      </c>
      <c r="B285" s="39">
        <v>10</v>
      </c>
      <c r="C285" s="45" t="s">
        <v>2390</v>
      </c>
      <c r="D285" s="39">
        <v>904</v>
      </c>
      <c r="E285" s="39">
        <v>2</v>
      </c>
      <c r="F285" s="39" t="s">
        <v>1167</v>
      </c>
    </row>
    <row r="286" spans="1:6" x14ac:dyDescent="0.2">
      <c r="A286" s="92">
        <v>10.029999999999999</v>
      </c>
      <c r="B286" s="39">
        <v>10</v>
      </c>
      <c r="C286" s="45" t="s">
        <v>2390</v>
      </c>
      <c r="D286" s="39">
        <v>903</v>
      </c>
      <c r="E286" s="39">
        <v>3</v>
      </c>
      <c r="F286" s="39" t="s">
        <v>1163</v>
      </c>
    </row>
    <row r="287" spans="1:6" x14ac:dyDescent="0.2">
      <c r="A287" s="92">
        <v>10.039999999999999</v>
      </c>
      <c r="B287" s="39">
        <v>10</v>
      </c>
      <c r="C287" s="45" t="s">
        <v>2390</v>
      </c>
      <c r="D287" s="39">
        <v>902</v>
      </c>
      <c r="E287" s="39">
        <v>4</v>
      </c>
      <c r="F287" s="39" t="s">
        <v>1179</v>
      </c>
    </row>
    <row r="288" spans="1:6" x14ac:dyDescent="0.2">
      <c r="A288" s="92">
        <v>10.049999999999999</v>
      </c>
      <c r="B288" s="39">
        <v>10</v>
      </c>
      <c r="C288" s="45" t="s">
        <v>2390</v>
      </c>
      <c r="D288" s="39">
        <v>904</v>
      </c>
      <c r="E288" s="39">
        <v>5</v>
      </c>
      <c r="F288" s="39" t="s">
        <v>1197</v>
      </c>
    </row>
    <row r="289" spans="1:6" x14ac:dyDescent="0.2">
      <c r="A289" s="92">
        <v>10.059999999999999</v>
      </c>
      <c r="B289" s="39">
        <v>10</v>
      </c>
      <c r="C289" s="45" t="s">
        <v>2390</v>
      </c>
      <c r="D289" s="39">
        <v>903</v>
      </c>
      <c r="E289" s="39">
        <v>6</v>
      </c>
      <c r="F289" s="39" t="s">
        <v>1195</v>
      </c>
    </row>
    <row r="290" spans="1:6" x14ac:dyDescent="0.2">
      <c r="A290" s="92">
        <v>10.069999999999999</v>
      </c>
      <c r="B290" s="39">
        <v>10</v>
      </c>
      <c r="C290" s="45" t="s">
        <v>2390</v>
      </c>
      <c r="D290" s="39">
        <v>902</v>
      </c>
      <c r="E290" s="39">
        <v>7</v>
      </c>
      <c r="F290" s="39" t="s">
        <v>1204</v>
      </c>
    </row>
    <row r="291" spans="1:6" x14ac:dyDescent="0.2">
      <c r="A291" s="92">
        <v>10.079999999999998</v>
      </c>
      <c r="B291" s="39">
        <v>10</v>
      </c>
      <c r="C291" s="45" t="s">
        <v>2390</v>
      </c>
      <c r="D291" s="39">
        <v>904</v>
      </c>
      <c r="E291" s="39">
        <v>8</v>
      </c>
      <c r="F291" s="39" t="s">
        <v>1228</v>
      </c>
    </row>
    <row r="292" spans="1:6" x14ac:dyDescent="0.2">
      <c r="A292" s="92">
        <v>10.089999999999998</v>
      </c>
      <c r="B292" s="39">
        <v>10</v>
      </c>
      <c r="C292" s="45" t="s">
        <v>2390</v>
      </c>
      <c r="D292" s="39">
        <v>903</v>
      </c>
      <c r="E292" s="39">
        <v>9</v>
      </c>
      <c r="F292" s="39" t="s">
        <v>1223</v>
      </c>
    </row>
    <row r="293" spans="1:6" x14ac:dyDescent="0.2">
      <c r="A293" s="92">
        <v>10.099999999999998</v>
      </c>
      <c r="B293" s="39">
        <v>10</v>
      </c>
      <c r="C293" s="45" t="s">
        <v>2390</v>
      </c>
      <c r="D293" s="39">
        <v>905</v>
      </c>
      <c r="E293" s="39">
        <v>10</v>
      </c>
      <c r="F293" s="39" t="s">
        <v>1232</v>
      </c>
    </row>
    <row r="294" spans="1:6" x14ac:dyDescent="0.2">
      <c r="A294" s="92">
        <v>10.109999999999998</v>
      </c>
      <c r="B294" s="39">
        <v>10</v>
      </c>
      <c r="C294" s="45" t="s">
        <v>2390</v>
      </c>
      <c r="D294" s="39">
        <v>905</v>
      </c>
      <c r="E294" s="39">
        <v>11</v>
      </c>
      <c r="F294" s="39" t="s">
        <v>1236</v>
      </c>
    </row>
    <row r="295" spans="1:6" x14ac:dyDescent="0.2">
      <c r="A295" s="92">
        <v>10.119999999999997</v>
      </c>
      <c r="B295" s="39">
        <v>10</v>
      </c>
      <c r="C295" s="45" t="s">
        <v>2390</v>
      </c>
      <c r="D295" s="39">
        <v>905</v>
      </c>
      <c r="E295" s="39">
        <v>12</v>
      </c>
      <c r="F295" s="39" t="s">
        <v>1237</v>
      </c>
    </row>
    <row r="296" spans="1:6" x14ac:dyDescent="0.2">
      <c r="A296" s="92">
        <v>10.129999999999997</v>
      </c>
      <c r="B296" s="39">
        <v>10</v>
      </c>
      <c r="C296" s="45" t="s">
        <v>2390</v>
      </c>
      <c r="D296" s="39">
        <v>905</v>
      </c>
      <c r="E296" s="39">
        <v>13</v>
      </c>
      <c r="F296" s="39" t="s">
        <v>1238</v>
      </c>
    </row>
    <row r="297" spans="1:6" x14ac:dyDescent="0.2">
      <c r="A297" s="92">
        <v>10.139999999999997</v>
      </c>
      <c r="B297" s="39">
        <v>10</v>
      </c>
      <c r="C297" s="45" t="s">
        <v>2390</v>
      </c>
      <c r="D297" s="39">
        <v>905</v>
      </c>
      <c r="E297" s="39">
        <v>14</v>
      </c>
      <c r="F297" s="39" t="s">
        <v>1239</v>
      </c>
    </row>
    <row r="298" spans="1:6" x14ac:dyDescent="0.2">
      <c r="A298" s="92">
        <v>10.149999999999997</v>
      </c>
      <c r="B298" s="39">
        <v>10</v>
      </c>
      <c r="C298" s="45" t="s">
        <v>2390</v>
      </c>
      <c r="D298" s="39">
        <v>905</v>
      </c>
      <c r="E298" s="39">
        <v>15</v>
      </c>
      <c r="F298" s="39" t="s">
        <v>1245</v>
      </c>
    </row>
    <row r="299" spans="1:6" x14ac:dyDescent="0.2">
      <c r="A299" s="92">
        <v>10.159999999999997</v>
      </c>
      <c r="B299" s="39">
        <v>10</v>
      </c>
      <c r="C299" s="45" t="s">
        <v>2390</v>
      </c>
      <c r="D299" s="39">
        <v>905</v>
      </c>
      <c r="E299" s="39">
        <v>16</v>
      </c>
      <c r="F299" s="39" t="s">
        <v>1246</v>
      </c>
    </row>
    <row r="300" spans="1:6" x14ac:dyDescent="0.2">
      <c r="A300" s="92">
        <v>10.169999999999996</v>
      </c>
      <c r="B300" s="39">
        <v>10</v>
      </c>
      <c r="C300" s="45" t="s">
        <v>2390</v>
      </c>
      <c r="D300" s="39">
        <v>905</v>
      </c>
      <c r="E300" s="39">
        <v>17</v>
      </c>
      <c r="F300" s="39" t="s">
        <v>1253</v>
      </c>
    </row>
    <row r="301" spans="1:6" x14ac:dyDescent="0.2">
      <c r="A301" s="92">
        <v>10.179999999999996</v>
      </c>
      <c r="B301" s="39">
        <v>10</v>
      </c>
      <c r="C301" s="45" t="s">
        <v>2390</v>
      </c>
      <c r="D301" s="39">
        <v>906</v>
      </c>
      <c r="E301" s="39">
        <v>20</v>
      </c>
      <c r="F301" s="39" t="s">
        <v>1260</v>
      </c>
    </row>
    <row r="302" spans="1:6" x14ac:dyDescent="0.2">
      <c r="A302" s="92">
        <v>10.189999999999996</v>
      </c>
      <c r="B302" s="39">
        <v>10</v>
      </c>
      <c r="C302" s="45" t="s">
        <v>2390</v>
      </c>
      <c r="D302" s="39">
        <v>906</v>
      </c>
      <c r="E302" s="39">
        <v>21</v>
      </c>
      <c r="F302" s="39" t="s">
        <v>1263</v>
      </c>
    </row>
    <row r="303" spans="1:6" x14ac:dyDescent="0.2">
      <c r="A303" s="92">
        <v>10.199999999999996</v>
      </c>
      <c r="B303" s="39">
        <v>10</v>
      </c>
      <c r="C303" s="45" t="s">
        <v>2390</v>
      </c>
      <c r="D303" s="39">
        <v>906</v>
      </c>
      <c r="E303" s="39">
        <v>22</v>
      </c>
      <c r="F303" s="39" t="s">
        <v>1264</v>
      </c>
    </row>
    <row r="304" spans="1:6" x14ac:dyDescent="0.2">
      <c r="A304" s="92">
        <v>10.209999999999996</v>
      </c>
      <c r="B304" s="39">
        <v>10</v>
      </c>
      <c r="C304" s="45" t="s">
        <v>2390</v>
      </c>
      <c r="D304" s="39">
        <v>906</v>
      </c>
      <c r="E304" s="39">
        <v>23</v>
      </c>
      <c r="F304" s="39" t="s">
        <v>1265</v>
      </c>
    </row>
    <row r="305" spans="1:6" x14ac:dyDescent="0.2">
      <c r="A305" s="92">
        <v>10.219999999999995</v>
      </c>
      <c r="B305" s="39">
        <v>10</v>
      </c>
      <c r="C305" s="45" t="s">
        <v>2390</v>
      </c>
      <c r="D305" s="39">
        <v>906</v>
      </c>
      <c r="E305" s="39">
        <v>24</v>
      </c>
      <c r="F305" s="39" t="s">
        <v>1266</v>
      </c>
    </row>
    <row r="306" spans="1:6" x14ac:dyDescent="0.2">
      <c r="A306" s="92">
        <v>10.229999999999995</v>
      </c>
      <c r="B306" s="39">
        <v>10</v>
      </c>
      <c r="C306" s="45" t="s">
        <v>2390</v>
      </c>
      <c r="D306" s="39">
        <v>906</v>
      </c>
      <c r="E306" s="39">
        <v>25</v>
      </c>
      <c r="F306" s="39" t="s">
        <v>1268</v>
      </c>
    </row>
    <row r="307" spans="1:6" x14ac:dyDescent="0.2">
      <c r="A307" s="92">
        <v>10.239999999999995</v>
      </c>
      <c r="B307" s="39">
        <v>10</v>
      </c>
      <c r="C307" s="45" t="s">
        <v>2390</v>
      </c>
      <c r="D307" s="39">
        <v>906</v>
      </c>
      <c r="E307" s="39">
        <v>26</v>
      </c>
      <c r="F307" s="39" t="s">
        <v>1276</v>
      </c>
    </row>
    <row r="308" spans="1:6" x14ac:dyDescent="0.2">
      <c r="A308" s="92">
        <v>10.249999999999995</v>
      </c>
      <c r="B308" s="39">
        <v>10</v>
      </c>
      <c r="C308" s="45" t="s">
        <v>2390</v>
      </c>
      <c r="D308" s="39">
        <v>906</v>
      </c>
      <c r="E308" s="39">
        <v>27</v>
      </c>
      <c r="F308" s="39" t="s">
        <v>1277</v>
      </c>
    </row>
    <row r="309" spans="1:6" x14ac:dyDescent="0.2">
      <c r="A309" s="92">
        <v>10.259999999999994</v>
      </c>
      <c r="B309" s="39">
        <v>10</v>
      </c>
      <c r="C309" s="45" t="s">
        <v>2390</v>
      </c>
      <c r="D309" s="39">
        <v>906</v>
      </c>
      <c r="E309" s="39">
        <v>28</v>
      </c>
      <c r="F309" s="39" t="s">
        <v>1278</v>
      </c>
    </row>
    <row r="310" spans="1:6" x14ac:dyDescent="0.2">
      <c r="A310" s="92">
        <v>10.269999999999994</v>
      </c>
      <c r="B310" s="39">
        <v>10</v>
      </c>
      <c r="C310" s="45" t="s">
        <v>2390</v>
      </c>
      <c r="D310" s="39">
        <v>906</v>
      </c>
      <c r="E310" s="39">
        <v>29</v>
      </c>
      <c r="F310" s="39" t="s">
        <v>1280</v>
      </c>
    </row>
    <row r="311" spans="1:6" x14ac:dyDescent="0.2">
      <c r="A311" s="92">
        <v>10.279999999999994</v>
      </c>
      <c r="B311" s="39">
        <v>10</v>
      </c>
      <c r="C311" s="45" t="s">
        <v>2390</v>
      </c>
      <c r="D311" s="39">
        <v>909</v>
      </c>
      <c r="E311" s="39">
        <v>36</v>
      </c>
      <c r="F311" s="39" t="s">
        <v>1294</v>
      </c>
    </row>
    <row r="312" spans="1:6" x14ac:dyDescent="0.2">
      <c r="A312" s="92">
        <v>10.289999999999994</v>
      </c>
      <c r="B312" s="39">
        <v>10</v>
      </c>
      <c r="C312" s="45" t="s">
        <v>2390</v>
      </c>
      <c r="D312" s="39">
        <v>905</v>
      </c>
      <c r="E312" s="39">
        <v>55</v>
      </c>
      <c r="F312" s="39" t="s">
        <v>1254</v>
      </c>
    </row>
    <row r="313" spans="1:6" x14ac:dyDescent="0.2">
      <c r="A313" s="92">
        <v>10.299999999999994</v>
      </c>
      <c r="B313" s="39">
        <v>10</v>
      </c>
      <c r="C313" s="45" t="s">
        <v>2390</v>
      </c>
      <c r="D313" s="39">
        <v>905</v>
      </c>
      <c r="E313" s="39">
        <v>63</v>
      </c>
      <c r="F313" s="39" t="s">
        <v>1259</v>
      </c>
    </row>
    <row r="314" spans="1:6" x14ac:dyDescent="0.2">
      <c r="A314" s="92">
        <v>10.31</v>
      </c>
      <c r="B314" s="39">
        <v>10</v>
      </c>
      <c r="C314" s="45" t="s">
        <v>2390</v>
      </c>
      <c r="D314" s="39">
        <v>999</v>
      </c>
      <c r="E314" s="39">
        <v>99</v>
      </c>
      <c r="F314" s="39" t="s">
        <v>2553</v>
      </c>
    </row>
    <row r="315" spans="1:6" x14ac:dyDescent="0.2">
      <c r="A315" s="92">
        <v>11.01</v>
      </c>
      <c r="B315" s="39">
        <v>11</v>
      </c>
      <c r="C315" s="45" t="s">
        <v>2392</v>
      </c>
      <c r="D315" s="39">
        <v>902</v>
      </c>
      <c r="E315" s="39">
        <v>1</v>
      </c>
      <c r="F315" s="39" t="s">
        <v>1149</v>
      </c>
    </row>
    <row r="316" spans="1:6" x14ac:dyDescent="0.2">
      <c r="A316" s="92">
        <v>11.02</v>
      </c>
      <c r="B316" s="39">
        <v>11</v>
      </c>
      <c r="C316" s="45" t="s">
        <v>2392</v>
      </c>
      <c r="D316" s="39">
        <v>904</v>
      </c>
      <c r="E316" s="39">
        <v>2</v>
      </c>
      <c r="F316" s="39" t="s">
        <v>1167</v>
      </c>
    </row>
    <row r="317" spans="1:6" x14ac:dyDescent="0.2">
      <c r="A317" s="92">
        <v>11.03</v>
      </c>
      <c r="B317" s="39">
        <v>11</v>
      </c>
      <c r="C317" s="45" t="s">
        <v>2392</v>
      </c>
      <c r="D317" s="39">
        <v>903</v>
      </c>
      <c r="E317" s="39">
        <v>3</v>
      </c>
      <c r="F317" s="39" t="s">
        <v>1163</v>
      </c>
    </row>
    <row r="318" spans="1:6" x14ac:dyDescent="0.2">
      <c r="A318" s="92">
        <v>11.04</v>
      </c>
      <c r="B318" s="39">
        <v>11</v>
      </c>
      <c r="C318" s="45" t="s">
        <v>2392</v>
      </c>
      <c r="D318" s="39">
        <v>902</v>
      </c>
      <c r="E318" s="39">
        <v>4</v>
      </c>
      <c r="F318" s="39" t="s">
        <v>1179</v>
      </c>
    </row>
    <row r="319" spans="1:6" x14ac:dyDescent="0.2">
      <c r="A319" s="92">
        <v>11.049999999999999</v>
      </c>
      <c r="B319" s="39">
        <v>11</v>
      </c>
      <c r="C319" s="45" t="s">
        <v>2392</v>
      </c>
      <c r="D319" s="39">
        <v>904</v>
      </c>
      <c r="E319" s="39">
        <v>5</v>
      </c>
      <c r="F319" s="39" t="s">
        <v>1197</v>
      </c>
    </row>
    <row r="320" spans="1:6" x14ac:dyDescent="0.2">
      <c r="A320" s="92">
        <v>11.059999999999999</v>
      </c>
      <c r="B320" s="39">
        <v>11</v>
      </c>
      <c r="C320" s="45" t="s">
        <v>2392</v>
      </c>
      <c r="D320" s="39">
        <v>903</v>
      </c>
      <c r="E320" s="39">
        <v>6</v>
      </c>
      <c r="F320" s="39" t="s">
        <v>1195</v>
      </c>
    </row>
    <row r="321" spans="1:6" x14ac:dyDescent="0.2">
      <c r="A321" s="92">
        <v>11.069999999999999</v>
      </c>
      <c r="B321" s="39">
        <v>11</v>
      </c>
      <c r="C321" s="45" t="s">
        <v>2392</v>
      </c>
      <c r="D321" s="39">
        <v>902</v>
      </c>
      <c r="E321" s="39">
        <v>7</v>
      </c>
      <c r="F321" s="39" t="s">
        <v>1204</v>
      </c>
    </row>
    <row r="322" spans="1:6" x14ac:dyDescent="0.2">
      <c r="A322" s="92">
        <v>11.079999999999998</v>
      </c>
      <c r="B322" s="39">
        <v>11</v>
      </c>
      <c r="C322" s="45" t="s">
        <v>2392</v>
      </c>
      <c r="D322" s="39">
        <v>904</v>
      </c>
      <c r="E322" s="39">
        <v>8</v>
      </c>
      <c r="F322" s="39" t="s">
        <v>1228</v>
      </c>
    </row>
    <row r="323" spans="1:6" x14ac:dyDescent="0.2">
      <c r="A323" s="92">
        <v>11.089999999999998</v>
      </c>
      <c r="B323" s="39">
        <v>11</v>
      </c>
      <c r="C323" s="45" t="s">
        <v>2392</v>
      </c>
      <c r="D323" s="39">
        <v>903</v>
      </c>
      <c r="E323" s="39">
        <v>9</v>
      </c>
      <c r="F323" s="39" t="s">
        <v>1223</v>
      </c>
    </row>
    <row r="324" spans="1:6" x14ac:dyDescent="0.2">
      <c r="A324" s="92">
        <v>11.099999999999998</v>
      </c>
      <c r="B324" s="39">
        <v>11</v>
      </c>
      <c r="C324" s="45" t="s">
        <v>2392</v>
      </c>
      <c r="D324" s="39">
        <v>905</v>
      </c>
      <c r="E324" s="39">
        <v>10</v>
      </c>
      <c r="F324" s="39" t="s">
        <v>1232</v>
      </c>
    </row>
    <row r="325" spans="1:6" x14ac:dyDescent="0.2">
      <c r="A325" s="92">
        <v>11.109999999999998</v>
      </c>
      <c r="B325" s="39">
        <v>11</v>
      </c>
      <c r="C325" s="45" t="s">
        <v>2392</v>
      </c>
      <c r="D325" s="39">
        <v>905</v>
      </c>
      <c r="E325" s="39">
        <v>11</v>
      </c>
      <c r="F325" s="39" t="s">
        <v>1236</v>
      </c>
    </row>
    <row r="326" spans="1:6" x14ac:dyDescent="0.2">
      <c r="A326" s="92">
        <v>11.119999999999997</v>
      </c>
      <c r="B326" s="39">
        <v>11</v>
      </c>
      <c r="C326" s="45" t="s">
        <v>2392</v>
      </c>
      <c r="D326" s="39">
        <v>905</v>
      </c>
      <c r="E326" s="39">
        <v>12</v>
      </c>
      <c r="F326" s="39" t="s">
        <v>1237</v>
      </c>
    </row>
    <row r="327" spans="1:6" x14ac:dyDescent="0.2">
      <c r="A327" s="92">
        <v>11.129999999999997</v>
      </c>
      <c r="B327" s="39">
        <v>11</v>
      </c>
      <c r="C327" s="45" t="s">
        <v>2392</v>
      </c>
      <c r="D327" s="39">
        <v>905</v>
      </c>
      <c r="E327" s="39">
        <v>13</v>
      </c>
      <c r="F327" s="39" t="s">
        <v>1238</v>
      </c>
    </row>
    <row r="328" spans="1:6" x14ac:dyDescent="0.2">
      <c r="A328" s="92">
        <v>11.139999999999997</v>
      </c>
      <c r="B328" s="39">
        <v>11</v>
      </c>
      <c r="C328" s="45" t="s">
        <v>2392</v>
      </c>
      <c r="D328" s="39">
        <v>905</v>
      </c>
      <c r="E328" s="39">
        <v>14</v>
      </c>
      <c r="F328" s="39" t="s">
        <v>1239</v>
      </c>
    </row>
    <row r="329" spans="1:6" x14ac:dyDescent="0.2">
      <c r="A329" s="92">
        <v>11.149999999999997</v>
      </c>
      <c r="B329" s="39">
        <v>11</v>
      </c>
      <c r="C329" s="45" t="s">
        <v>2392</v>
      </c>
      <c r="D329" s="39">
        <v>905</v>
      </c>
      <c r="E329" s="39">
        <v>15</v>
      </c>
      <c r="F329" s="39" t="s">
        <v>1245</v>
      </c>
    </row>
    <row r="330" spans="1:6" x14ac:dyDescent="0.2">
      <c r="A330" s="92">
        <v>11.159999999999997</v>
      </c>
      <c r="B330" s="39">
        <v>11</v>
      </c>
      <c r="C330" s="45" t="s">
        <v>2392</v>
      </c>
      <c r="D330" s="39">
        <v>905</v>
      </c>
      <c r="E330" s="39">
        <v>16</v>
      </c>
      <c r="F330" s="39" t="s">
        <v>1246</v>
      </c>
    </row>
    <row r="331" spans="1:6" x14ac:dyDescent="0.2">
      <c r="A331" s="92">
        <v>11.169999999999996</v>
      </c>
      <c r="B331" s="39">
        <v>11</v>
      </c>
      <c r="C331" s="45" t="s">
        <v>2392</v>
      </c>
      <c r="D331" s="39">
        <v>905</v>
      </c>
      <c r="E331" s="39">
        <v>17</v>
      </c>
      <c r="F331" s="39" t="s">
        <v>1253</v>
      </c>
    </row>
    <row r="332" spans="1:6" x14ac:dyDescent="0.2">
      <c r="A332" s="92">
        <v>11.179999999999996</v>
      </c>
      <c r="B332" s="39">
        <v>11</v>
      </c>
      <c r="C332" s="45" t="s">
        <v>2392</v>
      </c>
      <c r="D332" s="39">
        <v>906</v>
      </c>
      <c r="E332" s="39">
        <v>20</v>
      </c>
      <c r="F332" s="39" t="s">
        <v>1260</v>
      </c>
    </row>
    <row r="333" spans="1:6" x14ac:dyDescent="0.2">
      <c r="A333" s="92">
        <v>11.189999999999996</v>
      </c>
      <c r="B333" s="39">
        <v>11</v>
      </c>
      <c r="C333" s="45" t="s">
        <v>2392</v>
      </c>
      <c r="D333" s="39">
        <v>906</v>
      </c>
      <c r="E333" s="39">
        <v>21</v>
      </c>
      <c r="F333" s="39" t="s">
        <v>1263</v>
      </c>
    </row>
    <row r="334" spans="1:6" x14ac:dyDescent="0.2">
      <c r="A334" s="92">
        <v>11.199999999999996</v>
      </c>
      <c r="B334" s="39">
        <v>11</v>
      </c>
      <c r="C334" s="45" t="s">
        <v>2392</v>
      </c>
      <c r="D334" s="39">
        <v>906</v>
      </c>
      <c r="E334" s="39">
        <v>22</v>
      </c>
      <c r="F334" s="39" t="s">
        <v>1264</v>
      </c>
    </row>
    <row r="335" spans="1:6" x14ac:dyDescent="0.2">
      <c r="A335" s="92">
        <v>11.209999999999996</v>
      </c>
      <c r="B335" s="39">
        <v>11</v>
      </c>
      <c r="C335" s="45" t="s">
        <v>2392</v>
      </c>
      <c r="D335" s="39">
        <v>906</v>
      </c>
      <c r="E335" s="39">
        <v>23</v>
      </c>
      <c r="F335" s="39" t="s">
        <v>1265</v>
      </c>
    </row>
    <row r="336" spans="1:6" x14ac:dyDescent="0.2">
      <c r="A336" s="92">
        <v>11.219999999999995</v>
      </c>
      <c r="B336" s="39">
        <v>11</v>
      </c>
      <c r="C336" s="45" t="s">
        <v>2392</v>
      </c>
      <c r="D336" s="39">
        <v>906</v>
      </c>
      <c r="E336" s="39">
        <v>24</v>
      </c>
      <c r="F336" s="39" t="s">
        <v>1266</v>
      </c>
    </row>
    <row r="337" spans="1:6" x14ac:dyDescent="0.2">
      <c r="A337" s="92">
        <v>11.229999999999995</v>
      </c>
      <c r="B337" s="39">
        <v>11</v>
      </c>
      <c r="C337" s="45" t="s">
        <v>2392</v>
      </c>
      <c r="D337" s="39">
        <v>906</v>
      </c>
      <c r="E337" s="39">
        <v>25</v>
      </c>
      <c r="F337" s="39" t="s">
        <v>1268</v>
      </c>
    </row>
    <row r="338" spans="1:6" x14ac:dyDescent="0.2">
      <c r="A338" s="92">
        <v>11.239999999999995</v>
      </c>
      <c r="B338" s="39">
        <v>11</v>
      </c>
      <c r="C338" s="45" t="s">
        <v>2392</v>
      </c>
      <c r="D338" s="39">
        <v>906</v>
      </c>
      <c r="E338" s="39">
        <v>26</v>
      </c>
      <c r="F338" s="39" t="s">
        <v>1276</v>
      </c>
    </row>
    <row r="339" spans="1:6" x14ac:dyDescent="0.2">
      <c r="A339" s="92">
        <v>11.249999999999995</v>
      </c>
      <c r="B339" s="39">
        <v>11</v>
      </c>
      <c r="C339" s="45" t="s">
        <v>2392</v>
      </c>
      <c r="D339" s="39">
        <v>906</v>
      </c>
      <c r="E339" s="39">
        <v>27</v>
      </c>
      <c r="F339" s="39" t="s">
        <v>1277</v>
      </c>
    </row>
    <row r="340" spans="1:6" x14ac:dyDescent="0.2">
      <c r="A340" s="92">
        <v>11.259999999999994</v>
      </c>
      <c r="B340" s="39">
        <v>11</v>
      </c>
      <c r="C340" s="45" t="s">
        <v>2392</v>
      </c>
      <c r="D340" s="39">
        <v>906</v>
      </c>
      <c r="E340" s="39">
        <v>28</v>
      </c>
      <c r="F340" s="39" t="s">
        <v>1278</v>
      </c>
    </row>
    <row r="341" spans="1:6" x14ac:dyDescent="0.2">
      <c r="A341" s="92">
        <v>11.269999999999994</v>
      </c>
      <c r="B341" s="39">
        <v>11</v>
      </c>
      <c r="C341" s="45" t="s">
        <v>2392</v>
      </c>
      <c r="D341" s="39">
        <v>906</v>
      </c>
      <c r="E341" s="39">
        <v>29</v>
      </c>
      <c r="F341" s="39" t="s">
        <v>1280</v>
      </c>
    </row>
    <row r="342" spans="1:6" x14ac:dyDescent="0.2">
      <c r="A342" s="92">
        <v>11.279999999999994</v>
      </c>
      <c r="B342" s="39">
        <v>11</v>
      </c>
      <c r="C342" s="45" t="s">
        <v>2392</v>
      </c>
      <c r="D342" s="39">
        <v>909</v>
      </c>
      <c r="E342" s="39">
        <v>36</v>
      </c>
      <c r="F342" s="39" t="s">
        <v>1294</v>
      </c>
    </row>
    <row r="343" spans="1:6" x14ac:dyDescent="0.2">
      <c r="A343" s="92">
        <v>11.289999999999994</v>
      </c>
      <c r="B343" s="39">
        <v>11</v>
      </c>
      <c r="C343" s="45" t="s">
        <v>2392</v>
      </c>
      <c r="D343" s="39">
        <v>905</v>
      </c>
      <c r="E343" s="39">
        <v>55</v>
      </c>
      <c r="F343" s="39" t="s">
        <v>1254</v>
      </c>
    </row>
    <row r="344" spans="1:6" x14ac:dyDescent="0.2">
      <c r="A344" s="92">
        <v>11.299999999999994</v>
      </c>
      <c r="B344" s="39">
        <v>11</v>
      </c>
      <c r="C344" s="45" t="s">
        <v>2392</v>
      </c>
      <c r="D344" s="39">
        <v>905</v>
      </c>
      <c r="E344" s="39">
        <v>63</v>
      </c>
      <c r="F344" s="39" t="s">
        <v>1259</v>
      </c>
    </row>
    <row r="345" spans="1:6" x14ac:dyDescent="0.2">
      <c r="A345" s="92">
        <v>11.31</v>
      </c>
      <c r="B345" s="39">
        <v>11</v>
      </c>
      <c r="C345" s="45" t="s">
        <v>2392</v>
      </c>
      <c r="D345" s="39">
        <v>999</v>
      </c>
      <c r="E345" s="39">
        <v>99</v>
      </c>
      <c r="F345" s="39" t="s">
        <v>2553</v>
      </c>
    </row>
    <row r="346" spans="1:6" x14ac:dyDescent="0.2">
      <c r="A346" s="92">
        <v>12.01</v>
      </c>
      <c r="B346" s="39">
        <v>12</v>
      </c>
      <c r="C346" s="45" t="s">
        <v>2394</v>
      </c>
      <c r="D346" s="39">
        <v>902</v>
      </c>
      <c r="E346" s="39">
        <v>1</v>
      </c>
      <c r="F346" s="39" t="s">
        <v>1149</v>
      </c>
    </row>
    <row r="347" spans="1:6" x14ac:dyDescent="0.2">
      <c r="A347" s="92">
        <v>12.02</v>
      </c>
      <c r="B347" s="39">
        <v>12</v>
      </c>
      <c r="C347" s="45" t="s">
        <v>2394</v>
      </c>
      <c r="D347" s="39">
        <v>904</v>
      </c>
      <c r="E347" s="39">
        <v>2</v>
      </c>
      <c r="F347" s="39" t="s">
        <v>1167</v>
      </c>
    </row>
    <row r="348" spans="1:6" x14ac:dyDescent="0.2">
      <c r="A348" s="92">
        <v>12.03</v>
      </c>
      <c r="B348" s="39">
        <v>12</v>
      </c>
      <c r="C348" s="45" t="s">
        <v>2394</v>
      </c>
      <c r="D348" s="39">
        <v>903</v>
      </c>
      <c r="E348" s="39">
        <v>3</v>
      </c>
      <c r="F348" s="39" t="s">
        <v>1163</v>
      </c>
    </row>
    <row r="349" spans="1:6" x14ac:dyDescent="0.2">
      <c r="A349" s="92">
        <v>12.04</v>
      </c>
      <c r="B349" s="39">
        <v>12</v>
      </c>
      <c r="C349" s="45" t="s">
        <v>2394</v>
      </c>
      <c r="D349" s="39">
        <v>902</v>
      </c>
      <c r="E349" s="39">
        <v>4</v>
      </c>
      <c r="F349" s="39" t="s">
        <v>1179</v>
      </c>
    </row>
    <row r="350" spans="1:6" x14ac:dyDescent="0.2">
      <c r="A350" s="92">
        <v>12.049999999999999</v>
      </c>
      <c r="B350" s="39">
        <v>12</v>
      </c>
      <c r="C350" s="45" t="s">
        <v>2394</v>
      </c>
      <c r="D350" s="39">
        <v>904</v>
      </c>
      <c r="E350" s="39">
        <v>5</v>
      </c>
      <c r="F350" s="39" t="s">
        <v>1197</v>
      </c>
    </row>
    <row r="351" spans="1:6" x14ac:dyDescent="0.2">
      <c r="A351" s="92">
        <v>12.059999999999999</v>
      </c>
      <c r="B351" s="39">
        <v>12</v>
      </c>
      <c r="C351" s="45" t="s">
        <v>2394</v>
      </c>
      <c r="D351" s="39">
        <v>903</v>
      </c>
      <c r="E351" s="39">
        <v>6</v>
      </c>
      <c r="F351" s="39" t="s">
        <v>1195</v>
      </c>
    </row>
    <row r="352" spans="1:6" x14ac:dyDescent="0.2">
      <c r="A352" s="92">
        <v>12.069999999999999</v>
      </c>
      <c r="B352" s="39">
        <v>12</v>
      </c>
      <c r="C352" s="45" t="s">
        <v>2394</v>
      </c>
      <c r="D352" s="39">
        <v>902</v>
      </c>
      <c r="E352" s="39">
        <v>7</v>
      </c>
      <c r="F352" s="39" t="s">
        <v>1204</v>
      </c>
    </row>
    <row r="353" spans="1:6" x14ac:dyDescent="0.2">
      <c r="A353" s="92">
        <v>12.079999999999998</v>
      </c>
      <c r="B353" s="39">
        <v>12</v>
      </c>
      <c r="C353" s="45" t="s">
        <v>2394</v>
      </c>
      <c r="D353" s="39">
        <v>904</v>
      </c>
      <c r="E353" s="39">
        <v>8</v>
      </c>
      <c r="F353" s="39" t="s">
        <v>1228</v>
      </c>
    </row>
    <row r="354" spans="1:6" x14ac:dyDescent="0.2">
      <c r="A354" s="92">
        <v>12.089999999999998</v>
      </c>
      <c r="B354" s="39">
        <v>12</v>
      </c>
      <c r="C354" s="45" t="s">
        <v>2394</v>
      </c>
      <c r="D354" s="39">
        <v>903</v>
      </c>
      <c r="E354" s="39">
        <v>9</v>
      </c>
      <c r="F354" s="39" t="s">
        <v>1223</v>
      </c>
    </row>
    <row r="355" spans="1:6" x14ac:dyDescent="0.2">
      <c r="A355" s="92">
        <v>12.099999999999998</v>
      </c>
      <c r="B355" s="39">
        <v>12</v>
      </c>
      <c r="C355" s="45" t="s">
        <v>2394</v>
      </c>
      <c r="D355" s="39">
        <v>905</v>
      </c>
      <c r="E355" s="39">
        <v>10</v>
      </c>
      <c r="F355" s="39" t="s">
        <v>1232</v>
      </c>
    </row>
    <row r="356" spans="1:6" x14ac:dyDescent="0.2">
      <c r="A356" s="92">
        <v>12.109999999999998</v>
      </c>
      <c r="B356" s="39">
        <v>12</v>
      </c>
      <c r="C356" s="45" t="s">
        <v>2394</v>
      </c>
      <c r="D356" s="39">
        <v>905</v>
      </c>
      <c r="E356" s="39">
        <v>11</v>
      </c>
      <c r="F356" s="39" t="s">
        <v>1236</v>
      </c>
    </row>
    <row r="357" spans="1:6" x14ac:dyDescent="0.2">
      <c r="A357" s="92">
        <v>12.119999999999997</v>
      </c>
      <c r="B357" s="39">
        <v>12</v>
      </c>
      <c r="C357" s="39" t="s">
        <v>2394</v>
      </c>
      <c r="D357" s="39">
        <v>905</v>
      </c>
      <c r="E357" s="39">
        <v>12</v>
      </c>
      <c r="F357" s="39" t="s">
        <v>1237</v>
      </c>
    </row>
    <row r="358" spans="1:6" x14ac:dyDescent="0.2">
      <c r="A358" s="92">
        <v>12.129999999999997</v>
      </c>
      <c r="B358" s="39">
        <v>12</v>
      </c>
      <c r="C358" s="39" t="s">
        <v>2394</v>
      </c>
      <c r="D358" s="39">
        <v>905</v>
      </c>
      <c r="E358" s="39">
        <v>13</v>
      </c>
      <c r="F358" s="39" t="s">
        <v>1238</v>
      </c>
    </row>
    <row r="359" spans="1:6" x14ac:dyDescent="0.2">
      <c r="A359" s="92">
        <v>12.139999999999997</v>
      </c>
      <c r="B359" s="39">
        <v>12</v>
      </c>
      <c r="C359" s="39" t="s">
        <v>2394</v>
      </c>
      <c r="D359" s="39">
        <v>905</v>
      </c>
      <c r="E359" s="39">
        <v>14</v>
      </c>
      <c r="F359" s="39" t="s">
        <v>1239</v>
      </c>
    </row>
    <row r="360" spans="1:6" x14ac:dyDescent="0.2">
      <c r="A360" s="92">
        <v>12.149999999999997</v>
      </c>
      <c r="B360" s="39">
        <v>12</v>
      </c>
      <c r="C360" s="39" t="s">
        <v>2394</v>
      </c>
      <c r="D360" s="39">
        <v>905</v>
      </c>
      <c r="E360" s="39">
        <v>15</v>
      </c>
      <c r="F360" s="39" t="s">
        <v>1245</v>
      </c>
    </row>
    <row r="361" spans="1:6" x14ac:dyDescent="0.2">
      <c r="A361" s="92">
        <v>12.159999999999997</v>
      </c>
      <c r="B361" s="39">
        <v>12</v>
      </c>
      <c r="C361" s="39" t="s">
        <v>2394</v>
      </c>
      <c r="D361" s="39">
        <v>905</v>
      </c>
      <c r="E361" s="39">
        <v>16</v>
      </c>
      <c r="F361" s="39" t="s">
        <v>1246</v>
      </c>
    </row>
    <row r="362" spans="1:6" x14ac:dyDescent="0.2">
      <c r="A362" s="92">
        <v>12.169999999999996</v>
      </c>
      <c r="B362" s="39">
        <v>12</v>
      </c>
      <c r="C362" s="39" t="s">
        <v>2394</v>
      </c>
      <c r="D362" s="39">
        <v>905</v>
      </c>
      <c r="E362" s="39">
        <v>17</v>
      </c>
      <c r="F362" s="39" t="s">
        <v>1253</v>
      </c>
    </row>
    <row r="363" spans="1:6" x14ac:dyDescent="0.2">
      <c r="A363" s="92">
        <v>12.179999999999996</v>
      </c>
      <c r="B363" s="39">
        <v>12</v>
      </c>
      <c r="C363" s="39" t="s">
        <v>2394</v>
      </c>
      <c r="D363" s="39">
        <v>906</v>
      </c>
      <c r="E363" s="39">
        <v>20</v>
      </c>
      <c r="F363" s="39" t="s">
        <v>1260</v>
      </c>
    </row>
    <row r="364" spans="1:6" x14ac:dyDescent="0.2">
      <c r="A364" s="92">
        <v>12.189999999999996</v>
      </c>
      <c r="B364" s="39">
        <v>12</v>
      </c>
      <c r="C364" s="39" t="s">
        <v>2394</v>
      </c>
      <c r="D364" s="39">
        <v>906</v>
      </c>
      <c r="E364" s="39">
        <v>21</v>
      </c>
      <c r="F364" s="39" t="s">
        <v>1263</v>
      </c>
    </row>
    <row r="365" spans="1:6" x14ac:dyDescent="0.2">
      <c r="A365" s="92">
        <v>12.199999999999996</v>
      </c>
      <c r="B365" s="39">
        <v>12</v>
      </c>
      <c r="C365" s="39" t="s">
        <v>2394</v>
      </c>
      <c r="D365" s="39">
        <v>906</v>
      </c>
      <c r="E365" s="39">
        <v>22</v>
      </c>
      <c r="F365" s="39" t="s">
        <v>1264</v>
      </c>
    </row>
    <row r="366" spans="1:6" x14ac:dyDescent="0.2">
      <c r="A366" s="92">
        <v>12.209999999999996</v>
      </c>
      <c r="B366" s="39">
        <v>12</v>
      </c>
      <c r="C366" s="39" t="s">
        <v>2394</v>
      </c>
      <c r="D366" s="39">
        <v>906</v>
      </c>
      <c r="E366" s="39">
        <v>23</v>
      </c>
      <c r="F366" s="39" t="s">
        <v>1265</v>
      </c>
    </row>
    <row r="367" spans="1:6" x14ac:dyDescent="0.2">
      <c r="A367" s="92">
        <v>12.219999999999995</v>
      </c>
      <c r="B367" s="39">
        <v>12</v>
      </c>
      <c r="C367" s="39" t="s">
        <v>2394</v>
      </c>
      <c r="D367" s="39">
        <v>906</v>
      </c>
      <c r="E367" s="39">
        <v>24</v>
      </c>
      <c r="F367" s="39" t="s">
        <v>1266</v>
      </c>
    </row>
    <row r="368" spans="1:6" x14ac:dyDescent="0.2">
      <c r="A368" s="92">
        <v>12.229999999999995</v>
      </c>
      <c r="B368" s="39">
        <v>12</v>
      </c>
      <c r="C368" s="39" t="s">
        <v>2394</v>
      </c>
      <c r="D368" s="39">
        <v>906</v>
      </c>
      <c r="E368" s="39">
        <v>25</v>
      </c>
      <c r="F368" s="39" t="s">
        <v>1268</v>
      </c>
    </row>
    <row r="369" spans="1:6" x14ac:dyDescent="0.2">
      <c r="A369" s="92">
        <v>12.239999999999995</v>
      </c>
      <c r="B369" s="39">
        <v>12</v>
      </c>
      <c r="C369" s="39" t="s">
        <v>2394</v>
      </c>
      <c r="D369" s="39">
        <v>906</v>
      </c>
      <c r="E369" s="39">
        <v>26</v>
      </c>
      <c r="F369" s="39" t="s">
        <v>1276</v>
      </c>
    </row>
    <row r="370" spans="1:6" x14ac:dyDescent="0.2">
      <c r="A370" s="92">
        <v>12.249999999999995</v>
      </c>
      <c r="B370" s="39">
        <v>12</v>
      </c>
      <c r="C370" s="39" t="s">
        <v>2394</v>
      </c>
      <c r="D370" s="39">
        <v>906</v>
      </c>
      <c r="E370" s="39">
        <v>27</v>
      </c>
      <c r="F370" s="39" t="s">
        <v>1277</v>
      </c>
    </row>
    <row r="371" spans="1:6" x14ac:dyDescent="0.2">
      <c r="A371" s="92">
        <v>12.259999999999994</v>
      </c>
      <c r="B371" s="39">
        <v>12</v>
      </c>
      <c r="C371" s="39" t="s">
        <v>2394</v>
      </c>
      <c r="D371" s="39">
        <v>906</v>
      </c>
      <c r="E371" s="39">
        <v>28</v>
      </c>
      <c r="F371" s="39" t="s">
        <v>1278</v>
      </c>
    </row>
    <row r="372" spans="1:6" x14ac:dyDescent="0.2">
      <c r="A372" s="92">
        <v>12.269999999999994</v>
      </c>
      <c r="B372" s="39">
        <v>12</v>
      </c>
      <c r="C372" s="39" t="s">
        <v>2394</v>
      </c>
      <c r="D372" s="39">
        <v>906</v>
      </c>
      <c r="E372" s="39">
        <v>29</v>
      </c>
      <c r="F372" s="39" t="s">
        <v>1280</v>
      </c>
    </row>
    <row r="373" spans="1:6" x14ac:dyDescent="0.2">
      <c r="A373" s="92">
        <v>12.279999999999994</v>
      </c>
      <c r="B373" s="39">
        <v>12</v>
      </c>
      <c r="C373" s="39" t="s">
        <v>2394</v>
      </c>
      <c r="D373" s="39">
        <v>909</v>
      </c>
      <c r="E373" s="39">
        <v>36</v>
      </c>
      <c r="F373" s="39" t="s">
        <v>1294</v>
      </c>
    </row>
    <row r="374" spans="1:6" x14ac:dyDescent="0.2">
      <c r="A374" s="92">
        <v>12.289999999999994</v>
      </c>
      <c r="B374" s="39">
        <v>12</v>
      </c>
      <c r="C374" s="39" t="s">
        <v>2394</v>
      </c>
      <c r="D374" s="39">
        <v>905</v>
      </c>
      <c r="E374" s="39">
        <v>63</v>
      </c>
      <c r="F374" s="39" t="s">
        <v>1259</v>
      </c>
    </row>
    <row r="375" spans="1:6" x14ac:dyDescent="0.2">
      <c r="A375" s="92">
        <v>12.3</v>
      </c>
      <c r="B375" s="39">
        <v>12</v>
      </c>
      <c r="C375" s="39" t="s">
        <v>2394</v>
      </c>
      <c r="D375" s="39">
        <v>999</v>
      </c>
      <c r="E375" s="39">
        <v>99</v>
      </c>
      <c r="F375" s="39" t="s">
        <v>2553</v>
      </c>
    </row>
    <row r="376" spans="1:6" x14ac:dyDescent="0.2">
      <c r="A376" s="92">
        <v>13.01</v>
      </c>
      <c r="B376" s="39">
        <v>13</v>
      </c>
      <c r="C376" s="39" t="s">
        <v>2396</v>
      </c>
      <c r="D376" s="39">
        <v>902</v>
      </c>
      <c r="E376" s="39">
        <v>1</v>
      </c>
      <c r="F376" s="39" t="s">
        <v>1149</v>
      </c>
    </row>
    <row r="377" spans="1:6" x14ac:dyDescent="0.2">
      <c r="A377" s="92">
        <v>13.02</v>
      </c>
      <c r="B377" s="39">
        <v>13</v>
      </c>
      <c r="C377" s="39" t="s">
        <v>2396</v>
      </c>
      <c r="D377" s="39">
        <v>904</v>
      </c>
      <c r="E377" s="39">
        <v>2</v>
      </c>
      <c r="F377" s="39" t="s">
        <v>1167</v>
      </c>
    </row>
    <row r="378" spans="1:6" x14ac:dyDescent="0.2">
      <c r="A378" s="92">
        <v>13.03</v>
      </c>
      <c r="B378" s="39">
        <v>13</v>
      </c>
      <c r="C378" s="39" t="s">
        <v>2396</v>
      </c>
      <c r="D378" s="39">
        <v>903</v>
      </c>
      <c r="E378" s="39">
        <v>3</v>
      </c>
      <c r="F378" s="39" t="s">
        <v>1163</v>
      </c>
    </row>
    <row r="379" spans="1:6" x14ac:dyDescent="0.2">
      <c r="A379" s="92">
        <v>13.04</v>
      </c>
      <c r="B379" s="39">
        <v>13</v>
      </c>
      <c r="C379" s="39" t="s">
        <v>2396</v>
      </c>
      <c r="D379" s="39">
        <v>902</v>
      </c>
      <c r="E379" s="39">
        <v>4</v>
      </c>
      <c r="F379" s="39" t="s">
        <v>1179</v>
      </c>
    </row>
    <row r="380" spans="1:6" x14ac:dyDescent="0.2">
      <c r="A380" s="92">
        <v>13.049999999999999</v>
      </c>
      <c r="B380" s="39">
        <v>13</v>
      </c>
      <c r="C380" s="39" t="s">
        <v>2396</v>
      </c>
      <c r="D380" s="39">
        <v>904</v>
      </c>
      <c r="E380" s="39">
        <v>5</v>
      </c>
      <c r="F380" s="39" t="s">
        <v>1197</v>
      </c>
    </row>
    <row r="381" spans="1:6" x14ac:dyDescent="0.2">
      <c r="A381" s="92">
        <v>13.059999999999999</v>
      </c>
      <c r="B381" s="39">
        <v>13</v>
      </c>
      <c r="C381" s="39" t="s">
        <v>2396</v>
      </c>
      <c r="D381" s="39">
        <v>903</v>
      </c>
      <c r="E381" s="39">
        <v>6</v>
      </c>
      <c r="F381" s="39" t="s">
        <v>1195</v>
      </c>
    </row>
    <row r="382" spans="1:6" x14ac:dyDescent="0.2">
      <c r="A382" s="92">
        <v>13.069999999999999</v>
      </c>
      <c r="B382" s="39">
        <v>13</v>
      </c>
      <c r="C382" s="39" t="s">
        <v>2396</v>
      </c>
      <c r="D382" s="39">
        <v>902</v>
      </c>
      <c r="E382" s="39">
        <v>7</v>
      </c>
      <c r="F382" s="39" t="s">
        <v>1204</v>
      </c>
    </row>
    <row r="383" spans="1:6" x14ac:dyDescent="0.2">
      <c r="A383" s="92">
        <v>13.079999999999998</v>
      </c>
      <c r="B383" s="39">
        <v>13</v>
      </c>
      <c r="C383" s="39" t="s">
        <v>2396</v>
      </c>
      <c r="D383" s="39">
        <v>904</v>
      </c>
      <c r="E383" s="39">
        <v>8</v>
      </c>
      <c r="F383" s="39" t="s">
        <v>1228</v>
      </c>
    </row>
    <row r="384" spans="1:6" x14ac:dyDescent="0.2">
      <c r="A384" s="92">
        <v>13.089999999999998</v>
      </c>
      <c r="B384" s="39">
        <v>13</v>
      </c>
      <c r="C384" s="39" t="s">
        <v>2396</v>
      </c>
      <c r="D384" s="39">
        <v>903</v>
      </c>
      <c r="E384" s="39">
        <v>9</v>
      </c>
      <c r="F384" s="39" t="s">
        <v>1223</v>
      </c>
    </row>
    <row r="385" spans="1:6" x14ac:dyDescent="0.2">
      <c r="A385" s="92">
        <v>13.099999999999998</v>
      </c>
      <c r="B385" s="39">
        <v>13</v>
      </c>
      <c r="C385" s="39" t="s">
        <v>2396</v>
      </c>
      <c r="D385" s="39">
        <v>905</v>
      </c>
      <c r="E385" s="39">
        <v>10</v>
      </c>
      <c r="F385" s="39" t="s">
        <v>1232</v>
      </c>
    </row>
    <row r="386" spans="1:6" x14ac:dyDescent="0.2">
      <c r="A386" s="92">
        <v>13.109999999999998</v>
      </c>
      <c r="B386" s="39">
        <v>13</v>
      </c>
      <c r="C386" s="39" t="s">
        <v>2396</v>
      </c>
      <c r="D386" s="39">
        <v>905</v>
      </c>
      <c r="E386" s="39">
        <v>11</v>
      </c>
      <c r="F386" s="39" t="s">
        <v>1236</v>
      </c>
    </row>
    <row r="387" spans="1:6" x14ac:dyDescent="0.2">
      <c r="A387" s="92">
        <v>13.119999999999997</v>
      </c>
      <c r="B387" s="39">
        <v>13</v>
      </c>
      <c r="C387" s="39" t="s">
        <v>2396</v>
      </c>
      <c r="D387" s="39">
        <v>905</v>
      </c>
      <c r="E387" s="39">
        <v>12</v>
      </c>
      <c r="F387" s="39" t="s">
        <v>1237</v>
      </c>
    </row>
    <row r="388" spans="1:6" x14ac:dyDescent="0.2">
      <c r="A388" s="92">
        <v>13.129999999999997</v>
      </c>
      <c r="B388" s="39">
        <v>13</v>
      </c>
      <c r="C388" s="39" t="s">
        <v>2396</v>
      </c>
      <c r="D388" s="39">
        <v>905</v>
      </c>
      <c r="E388" s="39">
        <v>13</v>
      </c>
      <c r="F388" s="39" t="s">
        <v>1238</v>
      </c>
    </row>
    <row r="389" spans="1:6" x14ac:dyDescent="0.2">
      <c r="A389" s="92">
        <v>13.139999999999997</v>
      </c>
      <c r="B389" s="39">
        <v>13</v>
      </c>
      <c r="C389" s="39" t="s">
        <v>2396</v>
      </c>
      <c r="D389" s="39">
        <v>905</v>
      </c>
      <c r="E389" s="39">
        <v>14</v>
      </c>
      <c r="F389" s="39" t="s">
        <v>1239</v>
      </c>
    </row>
    <row r="390" spans="1:6" x14ac:dyDescent="0.2">
      <c r="A390" s="92">
        <v>13.149999999999997</v>
      </c>
      <c r="B390" s="39">
        <v>13</v>
      </c>
      <c r="C390" s="39" t="s">
        <v>2396</v>
      </c>
      <c r="D390" s="39">
        <v>905</v>
      </c>
      <c r="E390" s="39">
        <v>15</v>
      </c>
      <c r="F390" s="39" t="s">
        <v>1245</v>
      </c>
    </row>
    <row r="391" spans="1:6" x14ac:dyDescent="0.2">
      <c r="A391" s="92">
        <v>13.159999999999997</v>
      </c>
      <c r="B391" s="39">
        <v>13</v>
      </c>
      <c r="C391" s="39" t="s">
        <v>2396</v>
      </c>
      <c r="D391" s="39">
        <v>905</v>
      </c>
      <c r="E391" s="39">
        <v>16</v>
      </c>
      <c r="F391" s="39" t="s">
        <v>1246</v>
      </c>
    </row>
    <row r="392" spans="1:6" x14ac:dyDescent="0.2">
      <c r="A392" s="92">
        <v>13.169999999999996</v>
      </c>
      <c r="B392" s="39">
        <v>13</v>
      </c>
      <c r="C392" s="39" t="s">
        <v>2396</v>
      </c>
      <c r="D392" s="39">
        <v>905</v>
      </c>
      <c r="E392" s="39">
        <v>17</v>
      </c>
      <c r="F392" s="39" t="s">
        <v>1253</v>
      </c>
    </row>
    <row r="393" spans="1:6" x14ac:dyDescent="0.2">
      <c r="A393" s="92">
        <v>13.179999999999996</v>
      </c>
      <c r="B393" s="39">
        <v>13</v>
      </c>
      <c r="C393" s="39" t="s">
        <v>2396</v>
      </c>
      <c r="D393" s="39">
        <v>906</v>
      </c>
      <c r="E393" s="39">
        <v>20</v>
      </c>
      <c r="F393" s="39" t="s">
        <v>1260</v>
      </c>
    </row>
    <row r="394" spans="1:6" x14ac:dyDescent="0.2">
      <c r="A394" s="92">
        <v>13.189999999999996</v>
      </c>
      <c r="B394" s="39">
        <v>13</v>
      </c>
      <c r="C394" s="39" t="s">
        <v>2396</v>
      </c>
      <c r="D394" s="39">
        <v>906</v>
      </c>
      <c r="E394" s="39">
        <v>21</v>
      </c>
      <c r="F394" s="39" t="s">
        <v>1263</v>
      </c>
    </row>
    <row r="395" spans="1:6" x14ac:dyDescent="0.2">
      <c r="A395" s="92">
        <v>13.199999999999996</v>
      </c>
      <c r="B395" s="39">
        <v>13</v>
      </c>
      <c r="C395" s="39" t="s">
        <v>2396</v>
      </c>
      <c r="D395" s="39">
        <v>906</v>
      </c>
      <c r="E395" s="39">
        <v>22</v>
      </c>
      <c r="F395" s="39" t="s">
        <v>1264</v>
      </c>
    </row>
    <row r="396" spans="1:6" x14ac:dyDescent="0.2">
      <c r="A396" s="92">
        <v>13.209999999999996</v>
      </c>
      <c r="B396" s="39">
        <v>13</v>
      </c>
      <c r="C396" s="39" t="s">
        <v>2396</v>
      </c>
      <c r="D396" s="39">
        <v>906</v>
      </c>
      <c r="E396" s="39">
        <v>23</v>
      </c>
      <c r="F396" s="39" t="s">
        <v>1265</v>
      </c>
    </row>
    <row r="397" spans="1:6" x14ac:dyDescent="0.2">
      <c r="A397" s="92">
        <v>13.219999999999995</v>
      </c>
      <c r="B397" s="39">
        <v>13</v>
      </c>
      <c r="C397" s="39" t="s">
        <v>2396</v>
      </c>
      <c r="D397" s="39">
        <v>906</v>
      </c>
      <c r="E397" s="39">
        <v>24</v>
      </c>
      <c r="F397" s="39" t="s">
        <v>1266</v>
      </c>
    </row>
    <row r="398" spans="1:6" x14ac:dyDescent="0.2">
      <c r="A398" s="92">
        <v>13.229999999999995</v>
      </c>
      <c r="B398" s="39">
        <v>13</v>
      </c>
      <c r="C398" s="39" t="s">
        <v>2396</v>
      </c>
      <c r="D398" s="39">
        <v>906</v>
      </c>
      <c r="E398" s="39">
        <v>25</v>
      </c>
      <c r="F398" s="39" t="s">
        <v>1268</v>
      </c>
    </row>
    <row r="399" spans="1:6" x14ac:dyDescent="0.2">
      <c r="A399" s="92">
        <v>13.239999999999995</v>
      </c>
      <c r="B399" s="39">
        <v>13</v>
      </c>
      <c r="C399" s="39" t="s">
        <v>2396</v>
      </c>
      <c r="D399" s="39">
        <v>906</v>
      </c>
      <c r="E399" s="39">
        <v>26</v>
      </c>
      <c r="F399" s="39" t="s">
        <v>1276</v>
      </c>
    </row>
    <row r="400" spans="1:6" x14ac:dyDescent="0.2">
      <c r="A400" s="92">
        <v>13.249999999999995</v>
      </c>
      <c r="B400" s="39">
        <v>13</v>
      </c>
      <c r="C400" s="39" t="s">
        <v>2396</v>
      </c>
      <c r="D400" s="39">
        <v>906</v>
      </c>
      <c r="E400" s="39">
        <v>27</v>
      </c>
      <c r="F400" s="39" t="s">
        <v>1277</v>
      </c>
    </row>
    <row r="401" spans="1:6" x14ac:dyDescent="0.2">
      <c r="A401" s="92">
        <v>13.259999999999994</v>
      </c>
      <c r="B401" s="39">
        <v>13</v>
      </c>
      <c r="C401" s="39" t="s">
        <v>2396</v>
      </c>
      <c r="D401" s="39">
        <v>906</v>
      </c>
      <c r="E401" s="39">
        <v>28</v>
      </c>
      <c r="F401" s="39" t="s">
        <v>1278</v>
      </c>
    </row>
    <row r="402" spans="1:6" x14ac:dyDescent="0.2">
      <c r="A402" s="92">
        <v>13.269999999999994</v>
      </c>
      <c r="B402" s="39">
        <v>13</v>
      </c>
      <c r="C402" s="39" t="s">
        <v>2396</v>
      </c>
      <c r="D402" s="39">
        <v>906</v>
      </c>
      <c r="E402" s="39">
        <v>29</v>
      </c>
      <c r="F402" s="39" t="s">
        <v>1280</v>
      </c>
    </row>
    <row r="403" spans="1:6" x14ac:dyDescent="0.2">
      <c r="A403" s="92">
        <v>13.279999999999994</v>
      </c>
      <c r="B403" s="39">
        <v>13</v>
      </c>
      <c r="C403" s="39" t="s">
        <v>2396</v>
      </c>
      <c r="D403" s="39">
        <v>909</v>
      </c>
      <c r="E403" s="39">
        <v>36</v>
      </c>
      <c r="F403" s="39" t="s">
        <v>1294</v>
      </c>
    </row>
    <row r="404" spans="1:6" x14ac:dyDescent="0.2">
      <c r="A404" s="92">
        <v>13.289999999999994</v>
      </c>
      <c r="B404" s="39">
        <v>13</v>
      </c>
      <c r="C404" s="39" t="s">
        <v>2396</v>
      </c>
      <c r="D404" s="39">
        <v>905</v>
      </c>
      <c r="E404" s="39">
        <v>55</v>
      </c>
      <c r="F404" s="39" t="s">
        <v>1254</v>
      </c>
    </row>
    <row r="405" spans="1:6" x14ac:dyDescent="0.2">
      <c r="A405" s="92">
        <v>13.299999999999994</v>
      </c>
      <c r="B405" s="39">
        <v>13</v>
      </c>
      <c r="C405" s="39" t="s">
        <v>2396</v>
      </c>
      <c r="D405" s="39">
        <v>905</v>
      </c>
      <c r="E405" s="39">
        <v>59</v>
      </c>
      <c r="F405" s="39" t="s">
        <v>1256</v>
      </c>
    </row>
    <row r="406" spans="1:6" x14ac:dyDescent="0.2">
      <c r="A406" s="92">
        <v>13.309999999999993</v>
      </c>
      <c r="B406" s="39">
        <v>13</v>
      </c>
      <c r="C406" s="39" t="s">
        <v>2396</v>
      </c>
      <c r="D406" s="39">
        <v>905</v>
      </c>
      <c r="E406" s="39">
        <v>60</v>
      </c>
      <c r="F406" s="39" t="s">
        <v>1257</v>
      </c>
    </row>
    <row r="407" spans="1:6" x14ac:dyDescent="0.2">
      <c r="A407" s="92">
        <v>13.319999999999993</v>
      </c>
      <c r="B407" s="39">
        <v>13</v>
      </c>
      <c r="C407" s="39" t="s">
        <v>2396</v>
      </c>
      <c r="D407" s="39">
        <v>905</v>
      </c>
      <c r="E407" s="39">
        <v>63</v>
      </c>
      <c r="F407" s="39" t="s">
        <v>1259</v>
      </c>
    </row>
    <row r="408" spans="1:6" x14ac:dyDescent="0.2">
      <c r="A408" s="92">
        <v>13.329999999999993</v>
      </c>
      <c r="B408" s="39">
        <v>13</v>
      </c>
      <c r="C408" s="39" t="s">
        <v>2396</v>
      </c>
      <c r="D408" s="39">
        <v>905</v>
      </c>
      <c r="E408" s="39">
        <v>64</v>
      </c>
      <c r="F408" s="39" t="s">
        <v>1258</v>
      </c>
    </row>
    <row r="409" spans="1:6" x14ac:dyDescent="0.2">
      <c r="A409" s="92">
        <v>13.34</v>
      </c>
      <c r="B409" s="39">
        <v>13</v>
      </c>
      <c r="C409" s="39" t="s">
        <v>2396</v>
      </c>
      <c r="D409" s="39">
        <v>999</v>
      </c>
      <c r="E409" s="39">
        <v>99</v>
      </c>
      <c r="F409" s="39" t="s">
        <v>2553</v>
      </c>
    </row>
    <row r="410" spans="1:6" x14ac:dyDescent="0.2">
      <c r="A410" s="92">
        <v>14.01</v>
      </c>
      <c r="B410" s="39">
        <v>14</v>
      </c>
      <c r="C410" s="39" t="s">
        <v>2398</v>
      </c>
      <c r="D410" s="39">
        <v>902</v>
      </c>
      <c r="E410" s="39">
        <v>1</v>
      </c>
      <c r="F410" s="39" t="s">
        <v>1149</v>
      </c>
    </row>
    <row r="411" spans="1:6" x14ac:dyDescent="0.2">
      <c r="A411" s="92">
        <v>14.02</v>
      </c>
      <c r="B411" s="39">
        <v>14</v>
      </c>
      <c r="C411" s="39" t="s">
        <v>2398</v>
      </c>
      <c r="D411" s="39">
        <v>904</v>
      </c>
      <c r="E411" s="39">
        <v>2</v>
      </c>
      <c r="F411" s="39" t="s">
        <v>1167</v>
      </c>
    </row>
    <row r="412" spans="1:6" x14ac:dyDescent="0.2">
      <c r="A412" s="92">
        <v>14.03</v>
      </c>
      <c r="B412" s="39">
        <v>14</v>
      </c>
      <c r="C412" s="39" t="s">
        <v>2398</v>
      </c>
      <c r="D412" s="39">
        <v>903</v>
      </c>
      <c r="E412" s="39">
        <v>3</v>
      </c>
      <c r="F412" s="39" t="s">
        <v>1163</v>
      </c>
    </row>
    <row r="413" spans="1:6" x14ac:dyDescent="0.2">
      <c r="A413" s="92">
        <v>14.04</v>
      </c>
      <c r="B413" s="39">
        <v>14</v>
      </c>
      <c r="C413" s="39" t="s">
        <v>2398</v>
      </c>
      <c r="D413" s="39">
        <v>902</v>
      </c>
      <c r="E413" s="39">
        <v>4</v>
      </c>
      <c r="F413" s="39" t="s">
        <v>1179</v>
      </c>
    </row>
    <row r="414" spans="1:6" x14ac:dyDescent="0.2">
      <c r="A414" s="92">
        <v>14.049999999999999</v>
      </c>
      <c r="B414" s="39">
        <v>14</v>
      </c>
      <c r="C414" s="39" t="s">
        <v>2398</v>
      </c>
      <c r="D414" s="39">
        <v>904</v>
      </c>
      <c r="E414" s="39">
        <v>5</v>
      </c>
      <c r="F414" s="39" t="s">
        <v>1197</v>
      </c>
    </row>
    <row r="415" spans="1:6" x14ac:dyDescent="0.2">
      <c r="A415" s="92">
        <v>14.059999999999999</v>
      </c>
      <c r="B415" s="39">
        <v>14</v>
      </c>
      <c r="C415" s="39" t="s">
        <v>2398</v>
      </c>
      <c r="D415" s="39">
        <v>903</v>
      </c>
      <c r="E415" s="39">
        <v>6</v>
      </c>
      <c r="F415" s="39" t="s">
        <v>1195</v>
      </c>
    </row>
    <row r="416" spans="1:6" x14ac:dyDescent="0.2">
      <c r="A416" s="92">
        <v>14.069999999999999</v>
      </c>
      <c r="B416" s="39">
        <v>14</v>
      </c>
      <c r="C416" s="39" t="s">
        <v>2398</v>
      </c>
      <c r="D416" s="39">
        <v>902</v>
      </c>
      <c r="E416" s="39">
        <v>7</v>
      </c>
      <c r="F416" s="39" t="s">
        <v>1204</v>
      </c>
    </row>
    <row r="417" spans="1:6" x14ac:dyDescent="0.2">
      <c r="A417" s="92">
        <v>14.079999999999998</v>
      </c>
      <c r="B417" s="39">
        <v>14</v>
      </c>
      <c r="C417" s="39" t="s">
        <v>2398</v>
      </c>
      <c r="D417" s="39">
        <v>904</v>
      </c>
      <c r="E417" s="39">
        <v>8</v>
      </c>
      <c r="F417" s="39" t="s">
        <v>1228</v>
      </c>
    </row>
    <row r="418" spans="1:6" x14ac:dyDescent="0.2">
      <c r="A418" s="92">
        <v>14.089999999999998</v>
      </c>
      <c r="B418" s="39">
        <v>14</v>
      </c>
      <c r="C418" s="39" t="s">
        <v>2398</v>
      </c>
      <c r="D418" s="39">
        <v>903</v>
      </c>
      <c r="E418" s="39">
        <v>9</v>
      </c>
      <c r="F418" s="39" t="s">
        <v>1223</v>
      </c>
    </row>
    <row r="419" spans="1:6" x14ac:dyDescent="0.2">
      <c r="A419" s="92">
        <v>14.099999999999998</v>
      </c>
      <c r="B419" s="39">
        <v>14</v>
      </c>
      <c r="C419" s="39" t="s">
        <v>2398</v>
      </c>
      <c r="D419" s="39">
        <v>905</v>
      </c>
      <c r="E419" s="39">
        <v>10</v>
      </c>
      <c r="F419" s="39" t="s">
        <v>1232</v>
      </c>
    </row>
    <row r="420" spans="1:6" x14ac:dyDescent="0.2">
      <c r="A420" s="92">
        <v>14.109999999999998</v>
      </c>
      <c r="B420" s="39">
        <v>14</v>
      </c>
      <c r="C420" s="39" t="s">
        <v>2398</v>
      </c>
      <c r="D420" s="39">
        <v>905</v>
      </c>
      <c r="E420" s="39">
        <v>11</v>
      </c>
      <c r="F420" s="39" t="s">
        <v>1236</v>
      </c>
    </row>
    <row r="421" spans="1:6" x14ac:dyDescent="0.2">
      <c r="A421" s="92">
        <v>14.119999999999997</v>
      </c>
      <c r="B421" s="39">
        <v>14</v>
      </c>
      <c r="C421" s="39" t="s">
        <v>2398</v>
      </c>
      <c r="D421" s="39">
        <v>905</v>
      </c>
      <c r="E421" s="39">
        <v>12</v>
      </c>
      <c r="F421" s="39" t="s">
        <v>1237</v>
      </c>
    </row>
    <row r="422" spans="1:6" x14ac:dyDescent="0.2">
      <c r="A422" s="92">
        <v>14.129999999999997</v>
      </c>
      <c r="B422" s="39">
        <v>14</v>
      </c>
      <c r="C422" s="39" t="s">
        <v>2398</v>
      </c>
      <c r="D422" s="39">
        <v>905</v>
      </c>
      <c r="E422" s="39">
        <v>13</v>
      </c>
      <c r="F422" s="39" t="s">
        <v>1238</v>
      </c>
    </row>
    <row r="423" spans="1:6" x14ac:dyDescent="0.2">
      <c r="A423" s="92">
        <v>14.139999999999997</v>
      </c>
      <c r="B423" s="39">
        <v>14</v>
      </c>
      <c r="C423" s="39" t="s">
        <v>2398</v>
      </c>
      <c r="D423" s="39">
        <v>905</v>
      </c>
      <c r="E423" s="39">
        <v>14</v>
      </c>
      <c r="F423" s="39" t="s">
        <v>1239</v>
      </c>
    </row>
    <row r="424" spans="1:6" x14ac:dyDescent="0.2">
      <c r="A424" s="92">
        <v>14.149999999999997</v>
      </c>
      <c r="B424" s="39">
        <v>14</v>
      </c>
      <c r="C424" s="39" t="s">
        <v>2398</v>
      </c>
      <c r="D424" s="39">
        <v>905</v>
      </c>
      <c r="E424" s="39">
        <v>15</v>
      </c>
      <c r="F424" s="39" t="s">
        <v>1245</v>
      </c>
    </row>
    <row r="425" spans="1:6" x14ac:dyDescent="0.2">
      <c r="A425" s="92">
        <v>14.159999999999997</v>
      </c>
      <c r="B425" s="39">
        <v>14</v>
      </c>
      <c r="C425" s="39" t="s">
        <v>2398</v>
      </c>
      <c r="D425" s="39">
        <v>905</v>
      </c>
      <c r="E425" s="39">
        <v>16</v>
      </c>
      <c r="F425" s="39" t="s">
        <v>1246</v>
      </c>
    </row>
    <row r="426" spans="1:6" x14ac:dyDescent="0.2">
      <c r="A426" s="92">
        <v>14.169999999999996</v>
      </c>
      <c r="B426" s="39">
        <v>14</v>
      </c>
      <c r="C426" s="39" t="s">
        <v>2398</v>
      </c>
      <c r="D426" s="39">
        <v>905</v>
      </c>
      <c r="E426" s="39">
        <v>17</v>
      </c>
      <c r="F426" s="39" t="s">
        <v>1253</v>
      </c>
    </row>
    <row r="427" spans="1:6" x14ac:dyDescent="0.2">
      <c r="A427" s="92">
        <v>14.179999999999996</v>
      </c>
      <c r="B427" s="39">
        <v>14</v>
      </c>
      <c r="C427" s="39" t="s">
        <v>2398</v>
      </c>
      <c r="D427" s="39">
        <v>906</v>
      </c>
      <c r="E427" s="39">
        <v>20</v>
      </c>
      <c r="F427" s="39" t="s">
        <v>1260</v>
      </c>
    </row>
    <row r="428" spans="1:6" x14ac:dyDescent="0.2">
      <c r="A428" s="92">
        <v>14.189999999999996</v>
      </c>
      <c r="B428" s="39">
        <v>14</v>
      </c>
      <c r="C428" s="39" t="s">
        <v>2398</v>
      </c>
      <c r="D428" s="39">
        <v>906</v>
      </c>
      <c r="E428" s="39">
        <v>21</v>
      </c>
      <c r="F428" s="39" t="s">
        <v>1263</v>
      </c>
    </row>
    <row r="429" spans="1:6" x14ac:dyDescent="0.2">
      <c r="A429" s="92">
        <v>14.199999999999996</v>
      </c>
      <c r="B429" s="39">
        <v>14</v>
      </c>
      <c r="C429" s="39" t="s">
        <v>2398</v>
      </c>
      <c r="D429" s="39">
        <v>906</v>
      </c>
      <c r="E429" s="39">
        <v>22</v>
      </c>
      <c r="F429" s="39" t="s">
        <v>1264</v>
      </c>
    </row>
    <row r="430" spans="1:6" x14ac:dyDescent="0.2">
      <c r="A430" s="92">
        <v>14.209999999999996</v>
      </c>
      <c r="B430" s="39">
        <v>14</v>
      </c>
      <c r="C430" s="39" t="s">
        <v>2398</v>
      </c>
      <c r="D430" s="39">
        <v>906</v>
      </c>
      <c r="E430" s="39">
        <v>23</v>
      </c>
      <c r="F430" s="39" t="s">
        <v>1265</v>
      </c>
    </row>
    <row r="431" spans="1:6" x14ac:dyDescent="0.2">
      <c r="A431" s="92">
        <v>14.219999999999995</v>
      </c>
      <c r="B431" s="39">
        <v>14</v>
      </c>
      <c r="C431" s="39" t="s">
        <v>2398</v>
      </c>
      <c r="D431" s="39">
        <v>906</v>
      </c>
      <c r="E431" s="39">
        <v>24</v>
      </c>
      <c r="F431" s="39" t="s">
        <v>1266</v>
      </c>
    </row>
    <row r="432" spans="1:6" x14ac:dyDescent="0.2">
      <c r="A432" s="92">
        <v>14.229999999999995</v>
      </c>
      <c r="B432" s="39">
        <v>14</v>
      </c>
      <c r="C432" s="39" t="s">
        <v>2398</v>
      </c>
      <c r="D432" s="39">
        <v>906</v>
      </c>
      <c r="E432" s="39">
        <v>25</v>
      </c>
      <c r="F432" s="39" t="s">
        <v>1268</v>
      </c>
    </row>
    <row r="433" spans="1:6" x14ac:dyDescent="0.2">
      <c r="A433" s="92">
        <v>14.239999999999995</v>
      </c>
      <c r="B433" s="39">
        <v>14</v>
      </c>
      <c r="C433" s="39" t="s">
        <v>2398</v>
      </c>
      <c r="D433" s="39">
        <v>906</v>
      </c>
      <c r="E433" s="39">
        <v>26</v>
      </c>
      <c r="F433" s="39" t="s">
        <v>1276</v>
      </c>
    </row>
    <row r="434" spans="1:6" x14ac:dyDescent="0.2">
      <c r="A434" s="92">
        <v>14.249999999999995</v>
      </c>
      <c r="B434" s="39">
        <v>14</v>
      </c>
      <c r="C434" s="39" t="s">
        <v>2398</v>
      </c>
      <c r="D434" s="39">
        <v>906</v>
      </c>
      <c r="E434" s="39">
        <v>27</v>
      </c>
      <c r="F434" s="39" t="s">
        <v>1277</v>
      </c>
    </row>
    <row r="435" spans="1:6" x14ac:dyDescent="0.2">
      <c r="A435" s="92">
        <v>14.259999999999994</v>
      </c>
      <c r="B435" s="39">
        <v>14</v>
      </c>
      <c r="C435" s="39" t="s">
        <v>2398</v>
      </c>
      <c r="D435" s="39">
        <v>906</v>
      </c>
      <c r="E435" s="39">
        <v>28</v>
      </c>
      <c r="F435" s="39" t="s">
        <v>1278</v>
      </c>
    </row>
    <row r="436" spans="1:6" x14ac:dyDescent="0.2">
      <c r="A436" s="92">
        <v>14.269999999999994</v>
      </c>
      <c r="B436" s="39">
        <v>14</v>
      </c>
      <c r="C436" s="39" t="s">
        <v>2398</v>
      </c>
      <c r="D436" s="39">
        <v>906</v>
      </c>
      <c r="E436" s="39">
        <v>29</v>
      </c>
      <c r="F436" s="39" t="s">
        <v>1280</v>
      </c>
    </row>
    <row r="437" spans="1:6" x14ac:dyDescent="0.2">
      <c r="A437" s="92">
        <v>14.279999999999994</v>
      </c>
      <c r="B437" s="39">
        <v>14</v>
      </c>
      <c r="C437" s="39" t="s">
        <v>2398</v>
      </c>
      <c r="D437" s="39">
        <v>909</v>
      </c>
      <c r="E437" s="39">
        <v>36</v>
      </c>
      <c r="F437" s="39" t="s">
        <v>1294</v>
      </c>
    </row>
    <row r="438" spans="1:6" x14ac:dyDescent="0.2">
      <c r="A438" s="92">
        <v>14.289999999999994</v>
      </c>
      <c r="B438" s="39">
        <v>14</v>
      </c>
      <c r="C438" s="39" t="s">
        <v>2398</v>
      </c>
      <c r="D438" s="39">
        <v>911</v>
      </c>
      <c r="E438" s="39">
        <v>38</v>
      </c>
      <c r="F438" s="39" t="s">
        <v>1325</v>
      </c>
    </row>
    <row r="439" spans="1:6" x14ac:dyDescent="0.2">
      <c r="A439" s="92">
        <v>14.299999999999994</v>
      </c>
      <c r="B439" s="39">
        <v>14</v>
      </c>
      <c r="C439" s="39" t="s">
        <v>2398</v>
      </c>
      <c r="D439" s="39">
        <v>905</v>
      </c>
      <c r="E439" s="39">
        <v>63</v>
      </c>
      <c r="F439" s="39" t="s">
        <v>1259</v>
      </c>
    </row>
    <row r="440" spans="1:6" x14ac:dyDescent="0.2">
      <c r="A440" s="92">
        <v>14.31</v>
      </c>
      <c r="B440" s="39">
        <v>14</v>
      </c>
      <c r="C440" s="39" t="s">
        <v>2398</v>
      </c>
      <c r="D440" s="39">
        <v>999</v>
      </c>
      <c r="E440" s="39">
        <v>99</v>
      </c>
      <c r="F440" s="39" t="s">
        <v>2553</v>
      </c>
    </row>
    <row r="441" spans="1:6" x14ac:dyDescent="0.2">
      <c r="A441" s="92">
        <v>15.01</v>
      </c>
      <c r="B441" s="39">
        <v>15</v>
      </c>
      <c r="C441" s="39" t="s">
        <v>2400</v>
      </c>
      <c r="D441" s="39">
        <v>902</v>
      </c>
      <c r="E441" s="39">
        <v>1</v>
      </c>
      <c r="F441" s="39" t="s">
        <v>1149</v>
      </c>
    </row>
    <row r="442" spans="1:6" x14ac:dyDescent="0.2">
      <c r="A442" s="92">
        <v>15.02</v>
      </c>
      <c r="B442" s="39">
        <v>15</v>
      </c>
      <c r="C442" s="39" t="s">
        <v>2400</v>
      </c>
      <c r="D442" s="39">
        <v>904</v>
      </c>
      <c r="E442" s="39">
        <v>2</v>
      </c>
      <c r="F442" s="39" t="s">
        <v>1167</v>
      </c>
    </row>
    <row r="443" spans="1:6" x14ac:dyDescent="0.2">
      <c r="A443" s="92">
        <v>15.03</v>
      </c>
      <c r="B443" s="39">
        <v>15</v>
      </c>
      <c r="C443" s="39" t="s">
        <v>2400</v>
      </c>
      <c r="D443" s="39">
        <v>903</v>
      </c>
      <c r="E443" s="39">
        <v>3</v>
      </c>
      <c r="F443" s="39" t="s">
        <v>1163</v>
      </c>
    </row>
    <row r="444" spans="1:6" x14ac:dyDescent="0.2">
      <c r="A444" s="92">
        <v>15.04</v>
      </c>
      <c r="B444" s="39">
        <v>15</v>
      </c>
      <c r="C444" s="39" t="s">
        <v>2400</v>
      </c>
      <c r="D444" s="39">
        <v>902</v>
      </c>
      <c r="E444" s="39">
        <v>4</v>
      </c>
      <c r="F444" s="39" t="s">
        <v>1179</v>
      </c>
    </row>
    <row r="445" spans="1:6" x14ac:dyDescent="0.2">
      <c r="A445" s="92">
        <v>15.049999999999999</v>
      </c>
      <c r="B445" s="39">
        <v>15</v>
      </c>
      <c r="C445" s="39" t="s">
        <v>2400</v>
      </c>
      <c r="D445" s="39">
        <v>904</v>
      </c>
      <c r="E445" s="39">
        <v>5</v>
      </c>
      <c r="F445" s="39" t="s">
        <v>1197</v>
      </c>
    </row>
    <row r="446" spans="1:6" x14ac:dyDescent="0.2">
      <c r="A446" s="92">
        <v>15.059999999999999</v>
      </c>
      <c r="B446" s="39">
        <v>15</v>
      </c>
      <c r="C446" s="39" t="s">
        <v>2400</v>
      </c>
      <c r="D446" s="39">
        <v>903</v>
      </c>
      <c r="E446" s="39">
        <v>6</v>
      </c>
      <c r="F446" s="39" t="s">
        <v>1195</v>
      </c>
    </row>
    <row r="447" spans="1:6" x14ac:dyDescent="0.2">
      <c r="A447" s="92">
        <v>15.069999999999999</v>
      </c>
      <c r="B447" s="39">
        <v>15</v>
      </c>
      <c r="C447" s="39" t="s">
        <v>2400</v>
      </c>
      <c r="D447" s="39">
        <v>902</v>
      </c>
      <c r="E447" s="39">
        <v>7</v>
      </c>
      <c r="F447" s="39" t="s">
        <v>1204</v>
      </c>
    </row>
    <row r="448" spans="1:6" x14ac:dyDescent="0.2">
      <c r="A448" s="92">
        <v>15.079999999999998</v>
      </c>
      <c r="B448" s="39">
        <v>15</v>
      </c>
      <c r="C448" s="39" t="s">
        <v>2400</v>
      </c>
      <c r="D448" s="39">
        <v>904</v>
      </c>
      <c r="E448" s="39">
        <v>8</v>
      </c>
      <c r="F448" s="39" t="s">
        <v>1228</v>
      </c>
    </row>
    <row r="449" spans="1:6" x14ac:dyDescent="0.2">
      <c r="A449" s="92">
        <v>15.089999999999998</v>
      </c>
      <c r="B449" s="39">
        <v>15</v>
      </c>
      <c r="C449" s="39" t="s">
        <v>2400</v>
      </c>
      <c r="D449" s="39">
        <v>903</v>
      </c>
      <c r="E449" s="39">
        <v>9</v>
      </c>
      <c r="F449" s="39" t="s">
        <v>1223</v>
      </c>
    </row>
    <row r="450" spans="1:6" x14ac:dyDescent="0.2">
      <c r="A450" s="92">
        <v>15.099999999999998</v>
      </c>
      <c r="B450" s="39">
        <v>15</v>
      </c>
      <c r="C450" s="39" t="s">
        <v>2400</v>
      </c>
      <c r="D450" s="39">
        <v>905</v>
      </c>
      <c r="E450" s="39">
        <v>10</v>
      </c>
      <c r="F450" s="39" t="s">
        <v>1232</v>
      </c>
    </row>
    <row r="451" spans="1:6" x14ac:dyDescent="0.2">
      <c r="A451" s="92">
        <v>15.109999999999998</v>
      </c>
      <c r="B451" s="39">
        <v>15</v>
      </c>
      <c r="C451" s="39" t="s">
        <v>2400</v>
      </c>
      <c r="D451" s="39">
        <v>905</v>
      </c>
      <c r="E451" s="39">
        <v>11</v>
      </c>
      <c r="F451" s="39" t="s">
        <v>1236</v>
      </c>
    </row>
    <row r="452" spans="1:6" x14ac:dyDescent="0.2">
      <c r="A452" s="92">
        <v>15.119999999999997</v>
      </c>
      <c r="B452" s="39">
        <v>15</v>
      </c>
      <c r="C452" s="39" t="s">
        <v>2400</v>
      </c>
      <c r="D452" s="39">
        <v>905</v>
      </c>
      <c r="E452" s="39">
        <v>12</v>
      </c>
      <c r="F452" s="39" t="s">
        <v>1237</v>
      </c>
    </row>
    <row r="453" spans="1:6" x14ac:dyDescent="0.2">
      <c r="A453" s="92">
        <v>15.129999999999997</v>
      </c>
      <c r="B453" s="39">
        <v>15</v>
      </c>
      <c r="C453" s="39" t="s">
        <v>2400</v>
      </c>
      <c r="D453" s="39">
        <v>905</v>
      </c>
      <c r="E453" s="39">
        <v>13</v>
      </c>
      <c r="F453" s="39" t="s">
        <v>1238</v>
      </c>
    </row>
    <row r="454" spans="1:6" x14ac:dyDescent="0.2">
      <c r="A454" s="92">
        <v>15.139999999999997</v>
      </c>
      <c r="B454" s="39">
        <v>15</v>
      </c>
      <c r="C454" s="39" t="s">
        <v>2400</v>
      </c>
      <c r="D454" s="39">
        <v>905</v>
      </c>
      <c r="E454" s="39">
        <v>14</v>
      </c>
      <c r="F454" s="39" t="s">
        <v>1239</v>
      </c>
    </row>
    <row r="455" spans="1:6" x14ac:dyDescent="0.2">
      <c r="A455" s="92">
        <v>15.149999999999997</v>
      </c>
      <c r="B455" s="39">
        <v>15</v>
      </c>
      <c r="C455" s="39" t="s">
        <v>2400</v>
      </c>
      <c r="D455" s="39">
        <v>905</v>
      </c>
      <c r="E455" s="39">
        <v>15</v>
      </c>
      <c r="F455" s="39" t="s">
        <v>1245</v>
      </c>
    </row>
    <row r="456" spans="1:6" x14ac:dyDescent="0.2">
      <c r="A456" s="92">
        <v>15.159999999999997</v>
      </c>
      <c r="B456" s="39">
        <v>15</v>
      </c>
      <c r="C456" s="39" t="s">
        <v>2400</v>
      </c>
      <c r="D456" s="39">
        <v>905</v>
      </c>
      <c r="E456" s="39">
        <v>16</v>
      </c>
      <c r="F456" s="39" t="s">
        <v>1246</v>
      </c>
    </row>
    <row r="457" spans="1:6" x14ac:dyDescent="0.2">
      <c r="A457" s="92">
        <v>15.169999999999996</v>
      </c>
      <c r="B457" s="39">
        <v>15</v>
      </c>
      <c r="C457" s="39" t="s">
        <v>2400</v>
      </c>
      <c r="D457" s="39">
        <v>905</v>
      </c>
      <c r="E457" s="39">
        <v>17</v>
      </c>
      <c r="F457" s="39" t="s">
        <v>1253</v>
      </c>
    </row>
    <row r="458" spans="1:6" x14ac:dyDescent="0.2">
      <c r="A458" s="92">
        <v>15.179999999999996</v>
      </c>
      <c r="B458" s="39">
        <v>15</v>
      </c>
      <c r="C458" s="39" t="s">
        <v>2400</v>
      </c>
      <c r="D458" s="39">
        <v>906</v>
      </c>
      <c r="E458" s="39">
        <v>20</v>
      </c>
      <c r="F458" s="39" t="s">
        <v>1260</v>
      </c>
    </row>
    <row r="459" spans="1:6" x14ac:dyDescent="0.2">
      <c r="A459" s="92">
        <v>15.189999999999996</v>
      </c>
      <c r="B459" s="39">
        <v>15</v>
      </c>
      <c r="C459" s="39" t="s">
        <v>2400</v>
      </c>
      <c r="D459" s="39">
        <v>906</v>
      </c>
      <c r="E459" s="39">
        <v>21</v>
      </c>
      <c r="F459" s="39" t="s">
        <v>1263</v>
      </c>
    </row>
    <row r="460" spans="1:6" x14ac:dyDescent="0.2">
      <c r="A460" s="92">
        <v>15.199999999999996</v>
      </c>
      <c r="B460" s="39">
        <v>15</v>
      </c>
      <c r="C460" s="39" t="s">
        <v>2400</v>
      </c>
      <c r="D460" s="39">
        <v>906</v>
      </c>
      <c r="E460" s="39">
        <v>22</v>
      </c>
      <c r="F460" s="39" t="s">
        <v>1264</v>
      </c>
    </row>
    <row r="461" spans="1:6" x14ac:dyDescent="0.2">
      <c r="A461" s="92">
        <v>15.209999999999996</v>
      </c>
      <c r="B461" s="39">
        <v>15</v>
      </c>
      <c r="C461" s="39" t="s">
        <v>2400</v>
      </c>
      <c r="D461" s="39">
        <v>906</v>
      </c>
      <c r="E461" s="39">
        <v>23</v>
      </c>
      <c r="F461" s="39" t="s">
        <v>1265</v>
      </c>
    </row>
    <row r="462" spans="1:6" x14ac:dyDescent="0.2">
      <c r="A462" s="92">
        <v>15.219999999999995</v>
      </c>
      <c r="B462" s="39">
        <v>15</v>
      </c>
      <c r="C462" s="39" t="s">
        <v>2400</v>
      </c>
      <c r="D462" s="39">
        <v>906</v>
      </c>
      <c r="E462" s="39">
        <v>24</v>
      </c>
      <c r="F462" s="39" t="s">
        <v>1266</v>
      </c>
    </row>
    <row r="463" spans="1:6" x14ac:dyDescent="0.2">
      <c r="A463" s="92">
        <v>15.229999999999995</v>
      </c>
      <c r="B463" s="39">
        <v>15</v>
      </c>
      <c r="C463" s="39" t="s">
        <v>2400</v>
      </c>
      <c r="D463" s="39">
        <v>906</v>
      </c>
      <c r="E463" s="39">
        <v>25</v>
      </c>
      <c r="F463" s="39" t="s">
        <v>1268</v>
      </c>
    </row>
    <row r="464" spans="1:6" x14ac:dyDescent="0.2">
      <c r="A464" s="92">
        <v>15.239999999999995</v>
      </c>
      <c r="B464" s="39">
        <v>15</v>
      </c>
      <c r="C464" s="39" t="s">
        <v>2400</v>
      </c>
      <c r="D464" s="39">
        <v>906</v>
      </c>
      <c r="E464" s="39">
        <v>26</v>
      </c>
      <c r="F464" s="39" t="s">
        <v>1276</v>
      </c>
    </row>
    <row r="465" spans="1:6" x14ac:dyDescent="0.2">
      <c r="A465" s="92">
        <v>15.249999999999995</v>
      </c>
      <c r="B465" s="39">
        <v>15</v>
      </c>
      <c r="C465" s="39" t="s">
        <v>2400</v>
      </c>
      <c r="D465" s="39">
        <v>906</v>
      </c>
      <c r="E465" s="39">
        <v>27</v>
      </c>
      <c r="F465" s="39" t="s">
        <v>1277</v>
      </c>
    </row>
    <row r="466" spans="1:6" x14ac:dyDescent="0.2">
      <c r="A466" s="92">
        <v>15.259999999999994</v>
      </c>
      <c r="B466" s="39">
        <v>15</v>
      </c>
      <c r="C466" s="39" t="s">
        <v>2400</v>
      </c>
      <c r="D466" s="39">
        <v>906</v>
      </c>
      <c r="E466" s="39">
        <v>28</v>
      </c>
      <c r="F466" s="39" t="s">
        <v>1278</v>
      </c>
    </row>
    <row r="467" spans="1:6" x14ac:dyDescent="0.2">
      <c r="A467" s="92">
        <v>15.269999999999994</v>
      </c>
      <c r="B467" s="39">
        <v>15</v>
      </c>
      <c r="C467" s="39" t="s">
        <v>2400</v>
      </c>
      <c r="D467" s="39">
        <v>906</v>
      </c>
      <c r="E467" s="39">
        <v>29</v>
      </c>
      <c r="F467" s="39" t="s">
        <v>1280</v>
      </c>
    </row>
    <row r="468" spans="1:6" x14ac:dyDescent="0.2">
      <c r="A468" s="92">
        <v>15.279999999999994</v>
      </c>
      <c r="B468" s="39">
        <v>15</v>
      </c>
      <c r="C468" s="39" t="s">
        <v>2400</v>
      </c>
      <c r="D468" s="39">
        <v>909</v>
      </c>
      <c r="E468" s="39">
        <v>36</v>
      </c>
      <c r="F468" s="39" t="s">
        <v>1294</v>
      </c>
    </row>
    <row r="469" spans="1:6" x14ac:dyDescent="0.2">
      <c r="A469" s="92">
        <v>15.289999999999994</v>
      </c>
      <c r="B469" s="39">
        <v>15</v>
      </c>
      <c r="C469" s="39" t="s">
        <v>2400</v>
      </c>
      <c r="D469" s="39">
        <v>911</v>
      </c>
      <c r="E469" s="39">
        <v>38</v>
      </c>
      <c r="F469" s="39" t="s">
        <v>1325</v>
      </c>
    </row>
    <row r="470" spans="1:6" x14ac:dyDescent="0.2">
      <c r="A470" s="92">
        <v>15.299999999999994</v>
      </c>
      <c r="B470" s="39">
        <v>15</v>
      </c>
      <c r="C470" s="39" t="s">
        <v>2400</v>
      </c>
      <c r="D470" s="39">
        <v>905</v>
      </c>
      <c r="E470" s="39">
        <v>63</v>
      </c>
      <c r="F470" s="39" t="s">
        <v>1259</v>
      </c>
    </row>
    <row r="471" spans="1:6" x14ac:dyDescent="0.2">
      <c r="A471" s="92">
        <v>15.31</v>
      </c>
      <c r="B471" s="39">
        <v>15</v>
      </c>
      <c r="C471" s="39" t="s">
        <v>2400</v>
      </c>
      <c r="D471" s="39">
        <v>999</v>
      </c>
      <c r="E471" s="39">
        <v>99</v>
      </c>
      <c r="F471" s="39" t="s">
        <v>2553</v>
      </c>
    </row>
    <row r="472" spans="1:6" x14ac:dyDescent="0.2">
      <c r="A472" s="92">
        <v>16.010000000000002</v>
      </c>
      <c r="B472" s="39">
        <v>16</v>
      </c>
      <c r="C472" s="39" t="s">
        <v>2402</v>
      </c>
      <c r="D472" s="39">
        <v>902</v>
      </c>
      <c r="E472" s="39">
        <v>1</v>
      </c>
      <c r="F472" s="39" t="s">
        <v>1149</v>
      </c>
    </row>
    <row r="473" spans="1:6" x14ac:dyDescent="0.2">
      <c r="A473" s="92">
        <v>16.020000000000003</v>
      </c>
      <c r="B473" s="39">
        <v>16</v>
      </c>
      <c r="C473" s="39" t="s">
        <v>2402</v>
      </c>
      <c r="D473" s="39">
        <v>904</v>
      </c>
      <c r="E473" s="39">
        <v>2</v>
      </c>
      <c r="F473" s="39" t="s">
        <v>1167</v>
      </c>
    </row>
    <row r="474" spans="1:6" x14ac:dyDescent="0.2">
      <c r="A474" s="92">
        <v>16.030000000000005</v>
      </c>
      <c r="B474" s="39">
        <v>16</v>
      </c>
      <c r="C474" s="39" t="s">
        <v>2402</v>
      </c>
      <c r="D474" s="39">
        <v>903</v>
      </c>
      <c r="E474" s="39">
        <v>3</v>
      </c>
      <c r="F474" s="39" t="s">
        <v>1163</v>
      </c>
    </row>
    <row r="475" spans="1:6" x14ac:dyDescent="0.2">
      <c r="A475" s="92">
        <v>16.040000000000006</v>
      </c>
      <c r="B475" s="39">
        <v>16</v>
      </c>
      <c r="C475" s="39" t="s">
        <v>2402</v>
      </c>
      <c r="D475" s="39">
        <v>902</v>
      </c>
      <c r="E475" s="39">
        <v>4</v>
      </c>
      <c r="F475" s="39" t="s">
        <v>1179</v>
      </c>
    </row>
    <row r="476" spans="1:6" x14ac:dyDescent="0.2">
      <c r="A476" s="92">
        <v>16.050000000000008</v>
      </c>
      <c r="B476" s="39">
        <v>16</v>
      </c>
      <c r="C476" s="39" t="s">
        <v>2402</v>
      </c>
      <c r="D476" s="39">
        <v>904</v>
      </c>
      <c r="E476" s="39">
        <v>5</v>
      </c>
      <c r="F476" s="39" t="s">
        <v>1197</v>
      </c>
    </row>
    <row r="477" spans="1:6" x14ac:dyDescent="0.2">
      <c r="A477" s="92">
        <v>16.060000000000009</v>
      </c>
      <c r="B477" s="39">
        <v>16</v>
      </c>
      <c r="C477" s="39" t="s">
        <v>2402</v>
      </c>
      <c r="D477" s="39">
        <v>903</v>
      </c>
      <c r="E477" s="39">
        <v>6</v>
      </c>
      <c r="F477" s="39" t="s">
        <v>1195</v>
      </c>
    </row>
    <row r="478" spans="1:6" x14ac:dyDescent="0.2">
      <c r="A478" s="92">
        <v>16.070000000000011</v>
      </c>
      <c r="B478" s="39">
        <v>16</v>
      </c>
      <c r="C478" s="39" t="s">
        <v>2402</v>
      </c>
      <c r="D478" s="39">
        <v>902</v>
      </c>
      <c r="E478" s="39">
        <v>7</v>
      </c>
      <c r="F478" s="39" t="s">
        <v>1204</v>
      </c>
    </row>
    <row r="479" spans="1:6" x14ac:dyDescent="0.2">
      <c r="A479" s="92">
        <v>16.080000000000013</v>
      </c>
      <c r="B479" s="39">
        <v>16</v>
      </c>
      <c r="C479" s="39" t="s">
        <v>2402</v>
      </c>
      <c r="D479" s="39">
        <v>904</v>
      </c>
      <c r="E479" s="39">
        <v>8</v>
      </c>
      <c r="F479" s="39" t="s">
        <v>1228</v>
      </c>
    </row>
    <row r="480" spans="1:6" x14ac:dyDescent="0.2">
      <c r="A480" s="92">
        <v>16.090000000000014</v>
      </c>
      <c r="B480" s="39">
        <v>16</v>
      </c>
      <c r="C480" s="39" t="s">
        <v>2402</v>
      </c>
      <c r="D480" s="39">
        <v>903</v>
      </c>
      <c r="E480" s="39">
        <v>9</v>
      </c>
      <c r="F480" s="39" t="s">
        <v>1223</v>
      </c>
    </row>
    <row r="481" spans="1:6" x14ac:dyDescent="0.2">
      <c r="A481" s="92">
        <v>16.100000000000016</v>
      </c>
      <c r="B481" s="39">
        <v>16</v>
      </c>
      <c r="C481" s="39" t="s">
        <v>2402</v>
      </c>
      <c r="D481" s="39">
        <v>905</v>
      </c>
      <c r="E481" s="39">
        <v>10</v>
      </c>
      <c r="F481" s="39" t="s">
        <v>1232</v>
      </c>
    </row>
    <row r="482" spans="1:6" x14ac:dyDescent="0.2">
      <c r="A482" s="92">
        <v>16.110000000000017</v>
      </c>
      <c r="B482" s="39">
        <v>16</v>
      </c>
      <c r="C482" s="39" t="s">
        <v>2402</v>
      </c>
      <c r="D482" s="39">
        <v>905</v>
      </c>
      <c r="E482" s="39">
        <v>11</v>
      </c>
      <c r="F482" s="39" t="s">
        <v>1236</v>
      </c>
    </row>
    <row r="483" spans="1:6" x14ac:dyDescent="0.2">
      <c r="A483" s="92">
        <v>16.120000000000019</v>
      </c>
      <c r="B483" s="39">
        <v>16</v>
      </c>
      <c r="C483" s="39" t="s">
        <v>2402</v>
      </c>
      <c r="D483" s="39">
        <v>905</v>
      </c>
      <c r="E483" s="39">
        <v>12</v>
      </c>
      <c r="F483" s="39" t="s">
        <v>1237</v>
      </c>
    </row>
    <row r="484" spans="1:6" x14ac:dyDescent="0.2">
      <c r="A484" s="92">
        <v>16.13000000000002</v>
      </c>
      <c r="B484" s="39">
        <v>16</v>
      </c>
      <c r="C484" s="39" t="s">
        <v>2402</v>
      </c>
      <c r="D484" s="39">
        <v>905</v>
      </c>
      <c r="E484" s="39">
        <v>13</v>
      </c>
      <c r="F484" s="39" t="s">
        <v>1238</v>
      </c>
    </row>
    <row r="485" spans="1:6" x14ac:dyDescent="0.2">
      <c r="A485" s="92">
        <v>16.140000000000022</v>
      </c>
      <c r="B485" s="39">
        <v>16</v>
      </c>
      <c r="C485" s="39" t="s">
        <v>2402</v>
      </c>
      <c r="D485" s="39">
        <v>905</v>
      </c>
      <c r="E485" s="39">
        <v>14</v>
      </c>
      <c r="F485" s="39" t="s">
        <v>1239</v>
      </c>
    </row>
    <row r="486" spans="1:6" x14ac:dyDescent="0.2">
      <c r="A486" s="92">
        <v>16.150000000000023</v>
      </c>
      <c r="B486" s="39">
        <v>16</v>
      </c>
      <c r="C486" s="39" t="s">
        <v>2402</v>
      </c>
      <c r="D486" s="39">
        <v>905</v>
      </c>
      <c r="E486" s="39">
        <v>15</v>
      </c>
      <c r="F486" s="39" t="s">
        <v>1245</v>
      </c>
    </row>
    <row r="487" spans="1:6" x14ac:dyDescent="0.2">
      <c r="A487" s="92">
        <v>16.160000000000025</v>
      </c>
      <c r="B487" s="39">
        <v>16</v>
      </c>
      <c r="C487" s="39" t="s">
        <v>2402</v>
      </c>
      <c r="D487" s="39">
        <v>905</v>
      </c>
      <c r="E487" s="39">
        <v>16</v>
      </c>
      <c r="F487" s="39" t="s">
        <v>1246</v>
      </c>
    </row>
    <row r="488" spans="1:6" x14ac:dyDescent="0.2">
      <c r="A488" s="92">
        <v>16.170000000000027</v>
      </c>
      <c r="B488" s="39">
        <v>16</v>
      </c>
      <c r="C488" s="39" t="s">
        <v>2402</v>
      </c>
      <c r="D488" s="39">
        <v>905</v>
      </c>
      <c r="E488" s="39">
        <v>17</v>
      </c>
      <c r="F488" s="39" t="s">
        <v>1253</v>
      </c>
    </row>
    <row r="489" spans="1:6" x14ac:dyDescent="0.2">
      <c r="A489" s="92">
        <v>16.180000000000028</v>
      </c>
      <c r="B489" s="39">
        <v>16</v>
      </c>
      <c r="C489" s="39" t="s">
        <v>2402</v>
      </c>
      <c r="D489" s="39">
        <v>906</v>
      </c>
      <c r="E489" s="39">
        <v>20</v>
      </c>
      <c r="F489" s="39" t="s">
        <v>1260</v>
      </c>
    </row>
    <row r="490" spans="1:6" x14ac:dyDescent="0.2">
      <c r="A490" s="92">
        <v>16.19000000000003</v>
      </c>
      <c r="B490" s="39">
        <v>16</v>
      </c>
      <c r="C490" s="39" t="s">
        <v>2402</v>
      </c>
      <c r="D490" s="39">
        <v>906</v>
      </c>
      <c r="E490" s="39">
        <v>21</v>
      </c>
      <c r="F490" s="39" t="s">
        <v>1263</v>
      </c>
    </row>
    <row r="491" spans="1:6" x14ac:dyDescent="0.2">
      <c r="A491" s="92">
        <v>16.200000000000031</v>
      </c>
      <c r="B491" s="39">
        <v>16</v>
      </c>
      <c r="C491" s="39" t="s">
        <v>2402</v>
      </c>
      <c r="D491" s="39">
        <v>906</v>
      </c>
      <c r="E491" s="39">
        <v>22</v>
      </c>
      <c r="F491" s="39" t="s">
        <v>1264</v>
      </c>
    </row>
    <row r="492" spans="1:6" x14ac:dyDescent="0.2">
      <c r="A492" s="92">
        <v>16.210000000000033</v>
      </c>
      <c r="B492" s="39">
        <v>16</v>
      </c>
      <c r="C492" s="39" t="s">
        <v>2402</v>
      </c>
      <c r="D492" s="39">
        <v>906</v>
      </c>
      <c r="E492" s="39">
        <v>23</v>
      </c>
      <c r="F492" s="39" t="s">
        <v>1265</v>
      </c>
    </row>
    <row r="493" spans="1:6" x14ac:dyDescent="0.2">
      <c r="A493" s="92">
        <v>16.220000000000034</v>
      </c>
      <c r="B493" s="39">
        <v>16</v>
      </c>
      <c r="C493" s="39" t="s">
        <v>2402</v>
      </c>
      <c r="D493" s="39">
        <v>906</v>
      </c>
      <c r="E493" s="39">
        <v>24</v>
      </c>
      <c r="F493" s="39" t="s">
        <v>1266</v>
      </c>
    </row>
    <row r="494" spans="1:6" x14ac:dyDescent="0.2">
      <c r="A494" s="92">
        <v>16.230000000000036</v>
      </c>
      <c r="B494" s="39">
        <v>16</v>
      </c>
      <c r="C494" s="39" t="s">
        <v>2402</v>
      </c>
      <c r="D494" s="39">
        <v>906</v>
      </c>
      <c r="E494" s="39">
        <v>25</v>
      </c>
      <c r="F494" s="39" t="s">
        <v>1268</v>
      </c>
    </row>
    <row r="495" spans="1:6" x14ac:dyDescent="0.2">
      <c r="A495" s="92">
        <v>16.240000000000038</v>
      </c>
      <c r="B495" s="39">
        <v>16</v>
      </c>
      <c r="C495" s="39" t="s">
        <v>2402</v>
      </c>
      <c r="D495" s="39">
        <v>906</v>
      </c>
      <c r="E495" s="39">
        <v>26</v>
      </c>
      <c r="F495" s="39" t="s">
        <v>1276</v>
      </c>
    </row>
    <row r="496" spans="1:6" x14ac:dyDescent="0.2">
      <c r="A496" s="92">
        <v>16.250000000000039</v>
      </c>
      <c r="B496" s="39">
        <v>16</v>
      </c>
      <c r="C496" s="39" t="s">
        <v>2402</v>
      </c>
      <c r="D496" s="39">
        <v>906</v>
      </c>
      <c r="E496" s="39">
        <v>27</v>
      </c>
      <c r="F496" s="39" t="s">
        <v>1277</v>
      </c>
    </row>
    <row r="497" spans="1:6" x14ac:dyDescent="0.2">
      <c r="A497" s="92">
        <v>16.260000000000041</v>
      </c>
      <c r="B497" s="39">
        <v>16</v>
      </c>
      <c r="C497" s="39" t="s">
        <v>2402</v>
      </c>
      <c r="D497" s="39">
        <v>906</v>
      </c>
      <c r="E497" s="39">
        <v>28</v>
      </c>
      <c r="F497" s="39" t="s">
        <v>1278</v>
      </c>
    </row>
    <row r="498" spans="1:6" x14ac:dyDescent="0.2">
      <c r="A498" s="92">
        <v>16.270000000000042</v>
      </c>
      <c r="B498" s="39">
        <v>16</v>
      </c>
      <c r="C498" s="39" t="s">
        <v>2402</v>
      </c>
      <c r="D498" s="39">
        <v>906</v>
      </c>
      <c r="E498" s="39">
        <v>29</v>
      </c>
      <c r="F498" s="39" t="s">
        <v>1280</v>
      </c>
    </row>
    <row r="499" spans="1:6" x14ac:dyDescent="0.2">
      <c r="A499" s="92">
        <v>16.280000000000044</v>
      </c>
      <c r="B499" s="39">
        <v>16</v>
      </c>
      <c r="C499" s="39" t="s">
        <v>2402</v>
      </c>
      <c r="D499" s="39">
        <v>909</v>
      </c>
      <c r="E499" s="39">
        <v>36</v>
      </c>
      <c r="F499" s="39" t="s">
        <v>1294</v>
      </c>
    </row>
    <row r="500" spans="1:6" x14ac:dyDescent="0.2">
      <c r="A500" s="92">
        <v>16.290000000000045</v>
      </c>
      <c r="B500" s="39">
        <v>16</v>
      </c>
      <c r="C500" s="39" t="s">
        <v>2402</v>
      </c>
      <c r="D500" s="39">
        <v>911</v>
      </c>
      <c r="E500" s="39">
        <v>38</v>
      </c>
      <c r="F500" s="39" t="s">
        <v>1325</v>
      </c>
    </row>
    <row r="501" spans="1:6" x14ac:dyDescent="0.2">
      <c r="A501" s="92">
        <v>16.300000000000047</v>
      </c>
      <c r="B501" s="39">
        <v>16</v>
      </c>
      <c r="C501" s="39" t="s">
        <v>2402</v>
      </c>
      <c r="D501" s="39">
        <v>905</v>
      </c>
      <c r="E501" s="39">
        <v>63</v>
      </c>
      <c r="F501" s="39" t="s">
        <v>1259</v>
      </c>
    </row>
    <row r="502" spans="1:6" x14ac:dyDescent="0.2">
      <c r="A502" s="92">
        <v>16.309999999999999</v>
      </c>
      <c r="B502" s="39">
        <v>16</v>
      </c>
      <c r="C502" s="39" t="s">
        <v>2402</v>
      </c>
      <c r="D502" s="39">
        <v>999</v>
      </c>
      <c r="E502" s="39">
        <v>99</v>
      </c>
      <c r="F502" s="39" t="s">
        <v>2553</v>
      </c>
    </row>
    <row r="503" spans="1:6" x14ac:dyDescent="0.2">
      <c r="A503" s="92">
        <v>17.010000000000002</v>
      </c>
      <c r="B503" s="39">
        <v>17</v>
      </c>
      <c r="C503" s="39" t="s">
        <v>2404</v>
      </c>
      <c r="D503" s="39">
        <v>902</v>
      </c>
      <c r="E503" s="39">
        <v>1</v>
      </c>
      <c r="F503" s="39" t="s">
        <v>1149</v>
      </c>
    </row>
    <row r="504" spans="1:6" x14ac:dyDescent="0.2">
      <c r="A504" s="92">
        <v>17.020000000000003</v>
      </c>
      <c r="B504" s="39">
        <v>17</v>
      </c>
      <c r="C504" s="39" t="s">
        <v>2404</v>
      </c>
      <c r="D504" s="39">
        <v>904</v>
      </c>
      <c r="E504" s="39">
        <v>2</v>
      </c>
      <c r="F504" s="39" t="s">
        <v>1167</v>
      </c>
    </row>
    <row r="505" spans="1:6" x14ac:dyDescent="0.2">
      <c r="A505" s="92">
        <v>17.030000000000005</v>
      </c>
      <c r="B505" s="39">
        <v>17</v>
      </c>
      <c r="C505" s="39" t="s">
        <v>2404</v>
      </c>
      <c r="D505" s="39">
        <v>903</v>
      </c>
      <c r="E505" s="39">
        <v>3</v>
      </c>
      <c r="F505" s="39" t="s">
        <v>1163</v>
      </c>
    </row>
    <row r="506" spans="1:6" x14ac:dyDescent="0.2">
      <c r="A506" s="92">
        <v>17.040000000000006</v>
      </c>
      <c r="B506" s="39">
        <v>17</v>
      </c>
      <c r="C506" s="39" t="s">
        <v>2404</v>
      </c>
      <c r="D506" s="39">
        <v>902</v>
      </c>
      <c r="E506" s="39">
        <v>4</v>
      </c>
      <c r="F506" s="39" t="s">
        <v>1179</v>
      </c>
    </row>
    <row r="507" spans="1:6" x14ac:dyDescent="0.2">
      <c r="A507" s="92">
        <v>17.050000000000008</v>
      </c>
      <c r="B507" s="39">
        <v>17</v>
      </c>
      <c r="C507" s="39" t="s">
        <v>2404</v>
      </c>
      <c r="D507" s="39">
        <v>904</v>
      </c>
      <c r="E507" s="39">
        <v>5</v>
      </c>
      <c r="F507" s="39" t="s">
        <v>1197</v>
      </c>
    </row>
    <row r="508" spans="1:6" x14ac:dyDescent="0.2">
      <c r="A508" s="92">
        <v>17.060000000000009</v>
      </c>
      <c r="B508" s="39">
        <v>17</v>
      </c>
      <c r="C508" s="39" t="s">
        <v>2404</v>
      </c>
      <c r="D508" s="39">
        <v>903</v>
      </c>
      <c r="E508" s="39">
        <v>6</v>
      </c>
      <c r="F508" s="39" t="s">
        <v>1195</v>
      </c>
    </row>
    <row r="509" spans="1:6" x14ac:dyDescent="0.2">
      <c r="A509" s="92">
        <v>17.070000000000011</v>
      </c>
      <c r="B509" s="39">
        <v>17</v>
      </c>
      <c r="C509" s="39" t="s">
        <v>2404</v>
      </c>
      <c r="D509" s="39">
        <v>902</v>
      </c>
      <c r="E509" s="39">
        <v>7</v>
      </c>
      <c r="F509" s="39" t="s">
        <v>1204</v>
      </c>
    </row>
    <row r="510" spans="1:6" x14ac:dyDescent="0.2">
      <c r="A510" s="92">
        <v>17.080000000000013</v>
      </c>
      <c r="B510" s="39">
        <v>17</v>
      </c>
      <c r="C510" s="39" t="s">
        <v>2404</v>
      </c>
      <c r="D510" s="39">
        <v>904</v>
      </c>
      <c r="E510" s="39">
        <v>8</v>
      </c>
      <c r="F510" s="39" t="s">
        <v>1228</v>
      </c>
    </row>
    <row r="511" spans="1:6" x14ac:dyDescent="0.2">
      <c r="A511" s="92">
        <v>17.090000000000014</v>
      </c>
      <c r="B511" s="39">
        <v>17</v>
      </c>
      <c r="C511" s="39" t="s">
        <v>2404</v>
      </c>
      <c r="D511" s="39">
        <v>903</v>
      </c>
      <c r="E511" s="39">
        <v>9</v>
      </c>
      <c r="F511" s="39" t="s">
        <v>1223</v>
      </c>
    </row>
    <row r="512" spans="1:6" x14ac:dyDescent="0.2">
      <c r="A512" s="92">
        <v>17.100000000000016</v>
      </c>
      <c r="B512" s="39">
        <v>17</v>
      </c>
      <c r="C512" s="39" t="s">
        <v>2404</v>
      </c>
      <c r="D512" s="39">
        <v>905</v>
      </c>
      <c r="E512" s="39">
        <v>10</v>
      </c>
      <c r="F512" s="39" t="s">
        <v>1232</v>
      </c>
    </row>
    <row r="513" spans="1:6" x14ac:dyDescent="0.2">
      <c r="A513" s="92">
        <v>17.110000000000017</v>
      </c>
      <c r="B513" s="39">
        <v>17</v>
      </c>
      <c r="C513" s="39" t="s">
        <v>2404</v>
      </c>
      <c r="D513" s="39">
        <v>905</v>
      </c>
      <c r="E513" s="39">
        <v>11</v>
      </c>
      <c r="F513" s="39" t="s">
        <v>1236</v>
      </c>
    </row>
    <row r="514" spans="1:6" x14ac:dyDescent="0.2">
      <c r="A514" s="92">
        <v>17.120000000000019</v>
      </c>
      <c r="B514" s="39">
        <v>17</v>
      </c>
      <c r="C514" s="39" t="s">
        <v>2404</v>
      </c>
      <c r="D514" s="39">
        <v>905</v>
      </c>
      <c r="E514" s="39">
        <v>12</v>
      </c>
      <c r="F514" s="39" t="s">
        <v>1237</v>
      </c>
    </row>
    <row r="515" spans="1:6" x14ac:dyDescent="0.2">
      <c r="A515" s="92">
        <v>17.13000000000002</v>
      </c>
      <c r="B515" s="39">
        <v>17</v>
      </c>
      <c r="C515" s="39" t="s">
        <v>2404</v>
      </c>
      <c r="D515" s="39">
        <v>905</v>
      </c>
      <c r="E515" s="39">
        <v>13</v>
      </c>
      <c r="F515" s="39" t="s">
        <v>1238</v>
      </c>
    </row>
    <row r="516" spans="1:6" x14ac:dyDescent="0.2">
      <c r="A516" s="92">
        <v>17.140000000000022</v>
      </c>
      <c r="B516" s="39">
        <v>17</v>
      </c>
      <c r="C516" s="39" t="s">
        <v>2404</v>
      </c>
      <c r="D516" s="39">
        <v>905</v>
      </c>
      <c r="E516" s="39">
        <v>14</v>
      </c>
      <c r="F516" s="39" t="s">
        <v>1239</v>
      </c>
    </row>
    <row r="517" spans="1:6" x14ac:dyDescent="0.2">
      <c r="A517" s="92">
        <v>17.150000000000023</v>
      </c>
      <c r="B517" s="39">
        <v>17</v>
      </c>
      <c r="C517" s="39" t="s">
        <v>2404</v>
      </c>
      <c r="D517" s="39">
        <v>905</v>
      </c>
      <c r="E517" s="39">
        <v>15</v>
      </c>
      <c r="F517" s="39" t="s">
        <v>1245</v>
      </c>
    </row>
    <row r="518" spans="1:6" x14ac:dyDescent="0.2">
      <c r="A518" s="92">
        <v>17.160000000000025</v>
      </c>
      <c r="B518" s="39">
        <v>17</v>
      </c>
      <c r="C518" s="39" t="s">
        <v>2404</v>
      </c>
      <c r="D518" s="39">
        <v>905</v>
      </c>
      <c r="E518" s="39">
        <v>16</v>
      </c>
      <c r="F518" s="39" t="s">
        <v>1246</v>
      </c>
    </row>
    <row r="519" spans="1:6" x14ac:dyDescent="0.2">
      <c r="A519" s="92">
        <v>17.170000000000027</v>
      </c>
      <c r="B519" s="39">
        <v>17</v>
      </c>
      <c r="C519" s="39" t="s">
        <v>2404</v>
      </c>
      <c r="D519" s="39">
        <v>905</v>
      </c>
      <c r="E519" s="39">
        <v>17</v>
      </c>
      <c r="F519" s="39" t="s">
        <v>1253</v>
      </c>
    </row>
    <row r="520" spans="1:6" x14ac:dyDescent="0.2">
      <c r="A520" s="92">
        <v>17.180000000000028</v>
      </c>
      <c r="B520" s="39">
        <v>17</v>
      </c>
      <c r="C520" s="39" t="s">
        <v>2404</v>
      </c>
      <c r="D520" s="39">
        <v>906</v>
      </c>
      <c r="E520" s="39">
        <v>20</v>
      </c>
      <c r="F520" s="39" t="s">
        <v>1260</v>
      </c>
    </row>
    <row r="521" spans="1:6" x14ac:dyDescent="0.2">
      <c r="A521" s="92">
        <v>17.19000000000003</v>
      </c>
      <c r="B521" s="39">
        <v>17</v>
      </c>
      <c r="C521" s="39" t="s">
        <v>2404</v>
      </c>
      <c r="D521" s="39">
        <v>906</v>
      </c>
      <c r="E521" s="39">
        <v>21</v>
      </c>
      <c r="F521" s="39" t="s">
        <v>1263</v>
      </c>
    </row>
    <row r="522" spans="1:6" x14ac:dyDescent="0.2">
      <c r="A522" s="92">
        <v>17.200000000000031</v>
      </c>
      <c r="B522" s="39">
        <v>17</v>
      </c>
      <c r="C522" s="39" t="s">
        <v>2404</v>
      </c>
      <c r="D522" s="39">
        <v>906</v>
      </c>
      <c r="E522" s="39">
        <v>22</v>
      </c>
      <c r="F522" s="39" t="s">
        <v>1264</v>
      </c>
    </row>
    <row r="523" spans="1:6" x14ac:dyDescent="0.2">
      <c r="A523" s="92">
        <v>17.210000000000033</v>
      </c>
      <c r="B523" s="39">
        <v>17</v>
      </c>
      <c r="C523" s="39" t="s">
        <v>2404</v>
      </c>
      <c r="D523" s="39">
        <v>906</v>
      </c>
      <c r="E523" s="39">
        <v>23</v>
      </c>
      <c r="F523" s="39" t="s">
        <v>1265</v>
      </c>
    </row>
    <row r="524" spans="1:6" x14ac:dyDescent="0.2">
      <c r="A524" s="92">
        <v>17.220000000000034</v>
      </c>
      <c r="B524" s="39">
        <v>17</v>
      </c>
      <c r="C524" s="39" t="s">
        <v>2404</v>
      </c>
      <c r="D524" s="39">
        <v>906</v>
      </c>
      <c r="E524" s="39">
        <v>24</v>
      </c>
      <c r="F524" s="39" t="s">
        <v>1266</v>
      </c>
    </row>
    <row r="525" spans="1:6" x14ac:dyDescent="0.2">
      <c r="A525" s="92">
        <v>17.230000000000036</v>
      </c>
      <c r="B525" s="39">
        <v>17</v>
      </c>
      <c r="C525" s="39" t="s">
        <v>2404</v>
      </c>
      <c r="D525" s="39">
        <v>906</v>
      </c>
      <c r="E525" s="39">
        <v>25</v>
      </c>
      <c r="F525" s="39" t="s">
        <v>1268</v>
      </c>
    </row>
    <row r="526" spans="1:6" x14ac:dyDescent="0.2">
      <c r="A526" s="92">
        <v>17.240000000000038</v>
      </c>
      <c r="B526" s="39">
        <v>17</v>
      </c>
      <c r="C526" s="39" t="s">
        <v>2404</v>
      </c>
      <c r="D526" s="39">
        <v>906</v>
      </c>
      <c r="E526" s="39">
        <v>26</v>
      </c>
      <c r="F526" s="39" t="s">
        <v>1276</v>
      </c>
    </row>
    <row r="527" spans="1:6" x14ac:dyDescent="0.2">
      <c r="A527" s="92">
        <v>17.250000000000039</v>
      </c>
      <c r="B527" s="39">
        <v>17</v>
      </c>
      <c r="C527" s="39" t="s">
        <v>2404</v>
      </c>
      <c r="D527" s="39">
        <v>906</v>
      </c>
      <c r="E527" s="39">
        <v>27</v>
      </c>
      <c r="F527" s="39" t="s">
        <v>1277</v>
      </c>
    </row>
    <row r="528" spans="1:6" x14ac:dyDescent="0.2">
      <c r="A528" s="92">
        <v>17.260000000000041</v>
      </c>
      <c r="B528" s="39">
        <v>17</v>
      </c>
      <c r="C528" s="39" t="s">
        <v>2404</v>
      </c>
      <c r="D528" s="39">
        <v>906</v>
      </c>
      <c r="E528" s="39">
        <v>28</v>
      </c>
      <c r="F528" s="39" t="s">
        <v>1278</v>
      </c>
    </row>
    <row r="529" spans="1:6" x14ac:dyDescent="0.2">
      <c r="A529" s="92">
        <v>17.270000000000042</v>
      </c>
      <c r="B529" s="39">
        <v>17</v>
      </c>
      <c r="C529" s="39" t="s">
        <v>2404</v>
      </c>
      <c r="D529" s="39">
        <v>906</v>
      </c>
      <c r="E529" s="39">
        <v>29</v>
      </c>
      <c r="F529" s="39" t="s">
        <v>1280</v>
      </c>
    </row>
    <row r="530" spans="1:6" x14ac:dyDescent="0.2">
      <c r="A530" s="92">
        <v>17.280000000000044</v>
      </c>
      <c r="B530" s="39">
        <v>17</v>
      </c>
      <c r="C530" s="39" t="s">
        <v>2404</v>
      </c>
      <c r="D530" s="39">
        <v>909</v>
      </c>
      <c r="E530" s="39">
        <v>36</v>
      </c>
      <c r="F530" s="39" t="s">
        <v>1294</v>
      </c>
    </row>
    <row r="531" spans="1:6" x14ac:dyDescent="0.2">
      <c r="A531" s="92">
        <v>17.290000000000045</v>
      </c>
      <c r="B531" s="39">
        <v>17</v>
      </c>
      <c r="C531" s="39" t="s">
        <v>2404</v>
      </c>
      <c r="D531" s="39">
        <v>905</v>
      </c>
      <c r="E531" s="39">
        <v>55</v>
      </c>
      <c r="F531" s="39" t="s">
        <v>1254</v>
      </c>
    </row>
    <row r="532" spans="1:6" x14ac:dyDescent="0.2">
      <c r="A532" s="92">
        <v>17.300000000000047</v>
      </c>
      <c r="B532" s="39">
        <v>17</v>
      </c>
      <c r="C532" s="39" t="s">
        <v>2404</v>
      </c>
      <c r="D532" s="39">
        <v>905</v>
      </c>
      <c r="E532" s="39">
        <v>63</v>
      </c>
      <c r="F532" s="39" t="s">
        <v>1259</v>
      </c>
    </row>
    <row r="533" spans="1:6" x14ac:dyDescent="0.2">
      <c r="A533" s="92">
        <v>17.309999999999999</v>
      </c>
      <c r="B533" s="39">
        <v>17</v>
      </c>
      <c r="C533" s="39" t="s">
        <v>2404</v>
      </c>
      <c r="D533" s="39">
        <v>999</v>
      </c>
      <c r="E533" s="39">
        <v>99</v>
      </c>
      <c r="F533" s="39" t="s">
        <v>2553</v>
      </c>
    </row>
    <row r="534" spans="1:6" x14ac:dyDescent="0.2">
      <c r="A534" s="92">
        <v>18.010000000000002</v>
      </c>
      <c r="B534" s="39">
        <v>18</v>
      </c>
      <c r="C534" s="39" t="s">
        <v>2407</v>
      </c>
      <c r="D534" s="39">
        <v>902</v>
      </c>
      <c r="E534" s="39">
        <v>1</v>
      </c>
      <c r="F534" s="39" t="s">
        <v>1149</v>
      </c>
    </row>
    <row r="535" spans="1:6" x14ac:dyDescent="0.2">
      <c r="A535" s="92">
        <v>18.020000000000003</v>
      </c>
      <c r="B535" s="39">
        <v>18</v>
      </c>
      <c r="C535" s="39" t="s">
        <v>2407</v>
      </c>
      <c r="D535" s="39">
        <v>904</v>
      </c>
      <c r="E535" s="39">
        <v>2</v>
      </c>
      <c r="F535" s="39" t="s">
        <v>1167</v>
      </c>
    </row>
    <row r="536" spans="1:6" x14ac:dyDescent="0.2">
      <c r="A536" s="92">
        <v>18.030000000000005</v>
      </c>
      <c r="B536" s="39">
        <v>18</v>
      </c>
      <c r="C536" s="39" t="s">
        <v>2407</v>
      </c>
      <c r="D536" s="39">
        <v>903</v>
      </c>
      <c r="E536" s="39">
        <v>3</v>
      </c>
      <c r="F536" s="39" t="s">
        <v>1163</v>
      </c>
    </row>
    <row r="537" spans="1:6" x14ac:dyDescent="0.2">
      <c r="A537" s="92">
        <v>18.040000000000006</v>
      </c>
      <c r="B537" s="39">
        <v>18</v>
      </c>
      <c r="C537" s="39" t="s">
        <v>2407</v>
      </c>
      <c r="D537" s="39">
        <v>902</v>
      </c>
      <c r="E537" s="39">
        <v>4</v>
      </c>
      <c r="F537" s="39" t="s">
        <v>1179</v>
      </c>
    </row>
    <row r="538" spans="1:6" x14ac:dyDescent="0.2">
      <c r="A538" s="92">
        <v>18.050000000000008</v>
      </c>
      <c r="B538" s="39">
        <v>18</v>
      </c>
      <c r="C538" s="39" t="s">
        <v>2407</v>
      </c>
      <c r="D538" s="39">
        <v>904</v>
      </c>
      <c r="E538" s="39">
        <v>5</v>
      </c>
      <c r="F538" s="39" t="s">
        <v>1197</v>
      </c>
    </row>
    <row r="539" spans="1:6" x14ac:dyDescent="0.2">
      <c r="A539" s="92">
        <v>18.060000000000009</v>
      </c>
      <c r="B539" s="39">
        <v>18</v>
      </c>
      <c r="C539" s="39" t="s">
        <v>2407</v>
      </c>
      <c r="D539" s="39">
        <v>903</v>
      </c>
      <c r="E539" s="39">
        <v>6</v>
      </c>
      <c r="F539" s="39" t="s">
        <v>1195</v>
      </c>
    </row>
    <row r="540" spans="1:6" x14ac:dyDescent="0.2">
      <c r="A540" s="92">
        <v>18.070000000000011</v>
      </c>
      <c r="B540" s="39">
        <v>18</v>
      </c>
      <c r="C540" s="39" t="s">
        <v>2407</v>
      </c>
      <c r="D540" s="39">
        <v>902</v>
      </c>
      <c r="E540" s="39">
        <v>7</v>
      </c>
      <c r="F540" s="39" t="s">
        <v>1204</v>
      </c>
    </row>
    <row r="541" spans="1:6" x14ac:dyDescent="0.2">
      <c r="A541" s="92">
        <v>18.080000000000013</v>
      </c>
      <c r="B541" s="39">
        <v>18</v>
      </c>
      <c r="C541" s="39" t="s">
        <v>2407</v>
      </c>
      <c r="D541" s="39">
        <v>904</v>
      </c>
      <c r="E541" s="39">
        <v>8</v>
      </c>
      <c r="F541" s="39" t="s">
        <v>1228</v>
      </c>
    </row>
    <row r="542" spans="1:6" x14ac:dyDescent="0.2">
      <c r="A542" s="92">
        <v>18.090000000000014</v>
      </c>
      <c r="B542" s="39">
        <v>18</v>
      </c>
      <c r="C542" s="39" t="s">
        <v>2407</v>
      </c>
      <c r="D542" s="39">
        <v>903</v>
      </c>
      <c r="E542" s="39">
        <v>9</v>
      </c>
      <c r="F542" s="39" t="s">
        <v>1223</v>
      </c>
    </row>
    <row r="543" spans="1:6" x14ac:dyDescent="0.2">
      <c r="A543" s="92">
        <v>18.100000000000016</v>
      </c>
      <c r="B543" s="39">
        <v>18</v>
      </c>
      <c r="C543" s="39" t="s">
        <v>2407</v>
      </c>
      <c r="D543" s="39">
        <v>905</v>
      </c>
      <c r="E543" s="39">
        <v>10</v>
      </c>
      <c r="F543" s="39" t="s">
        <v>1232</v>
      </c>
    </row>
    <row r="544" spans="1:6" x14ac:dyDescent="0.2">
      <c r="A544" s="92">
        <v>18.110000000000017</v>
      </c>
      <c r="B544" s="39">
        <v>18</v>
      </c>
      <c r="C544" s="39" t="s">
        <v>2407</v>
      </c>
      <c r="D544" s="39">
        <v>905</v>
      </c>
      <c r="E544" s="39">
        <v>11</v>
      </c>
      <c r="F544" s="39" t="s">
        <v>1236</v>
      </c>
    </row>
    <row r="545" spans="1:6" x14ac:dyDescent="0.2">
      <c r="A545" s="92">
        <v>18.120000000000019</v>
      </c>
      <c r="B545" s="39">
        <v>18</v>
      </c>
      <c r="C545" s="39" t="s">
        <v>2407</v>
      </c>
      <c r="D545" s="39">
        <v>905</v>
      </c>
      <c r="E545" s="39">
        <v>12</v>
      </c>
      <c r="F545" s="39" t="s">
        <v>1237</v>
      </c>
    </row>
    <row r="546" spans="1:6" x14ac:dyDescent="0.2">
      <c r="A546" s="92">
        <v>18.13000000000002</v>
      </c>
      <c r="B546" s="39">
        <v>18</v>
      </c>
      <c r="C546" s="39" t="s">
        <v>2407</v>
      </c>
      <c r="D546" s="39">
        <v>905</v>
      </c>
      <c r="E546" s="39">
        <v>13</v>
      </c>
      <c r="F546" s="39" t="s">
        <v>1238</v>
      </c>
    </row>
    <row r="547" spans="1:6" x14ac:dyDescent="0.2">
      <c r="A547" s="92">
        <v>18.140000000000022</v>
      </c>
      <c r="B547" s="39">
        <v>18</v>
      </c>
      <c r="C547" s="39" t="s">
        <v>2407</v>
      </c>
      <c r="D547" s="39">
        <v>905</v>
      </c>
      <c r="E547" s="39">
        <v>14</v>
      </c>
      <c r="F547" s="39" t="s">
        <v>1239</v>
      </c>
    </row>
    <row r="548" spans="1:6" x14ac:dyDescent="0.2">
      <c r="A548" s="92">
        <v>18.150000000000023</v>
      </c>
      <c r="B548" s="39">
        <v>18</v>
      </c>
      <c r="C548" s="39" t="s">
        <v>2407</v>
      </c>
      <c r="D548" s="39">
        <v>905</v>
      </c>
      <c r="E548" s="39">
        <v>15</v>
      </c>
      <c r="F548" s="39" t="s">
        <v>1245</v>
      </c>
    </row>
    <row r="549" spans="1:6" x14ac:dyDescent="0.2">
      <c r="A549" s="92">
        <v>18.160000000000025</v>
      </c>
      <c r="B549" s="39">
        <v>18</v>
      </c>
      <c r="C549" s="39" t="s">
        <v>2407</v>
      </c>
      <c r="D549" s="39">
        <v>905</v>
      </c>
      <c r="E549" s="39">
        <v>16</v>
      </c>
      <c r="F549" s="39" t="s">
        <v>1246</v>
      </c>
    </row>
    <row r="550" spans="1:6" x14ac:dyDescent="0.2">
      <c r="A550" s="92">
        <v>18.170000000000027</v>
      </c>
      <c r="B550" s="39">
        <v>18</v>
      </c>
      <c r="C550" s="39" t="s">
        <v>2407</v>
      </c>
      <c r="D550" s="39">
        <v>905</v>
      </c>
      <c r="E550" s="39">
        <v>17</v>
      </c>
      <c r="F550" s="39" t="s">
        <v>1253</v>
      </c>
    </row>
    <row r="551" spans="1:6" x14ac:dyDescent="0.2">
      <c r="A551" s="92">
        <v>18.180000000000028</v>
      </c>
      <c r="B551" s="39">
        <v>18</v>
      </c>
      <c r="C551" s="39" t="s">
        <v>2407</v>
      </c>
      <c r="D551" s="39">
        <v>906</v>
      </c>
      <c r="E551" s="39">
        <v>20</v>
      </c>
      <c r="F551" s="39" t="s">
        <v>1260</v>
      </c>
    </row>
    <row r="552" spans="1:6" x14ac:dyDescent="0.2">
      <c r="A552" s="92">
        <v>18.19000000000003</v>
      </c>
      <c r="B552" s="39">
        <v>18</v>
      </c>
      <c r="C552" s="39" t="s">
        <v>2407</v>
      </c>
      <c r="D552" s="39">
        <v>906</v>
      </c>
      <c r="E552" s="39">
        <v>21</v>
      </c>
      <c r="F552" s="39" t="s">
        <v>1263</v>
      </c>
    </row>
    <row r="553" spans="1:6" x14ac:dyDescent="0.2">
      <c r="A553" s="92">
        <v>18.200000000000031</v>
      </c>
      <c r="B553" s="39">
        <v>18</v>
      </c>
      <c r="C553" s="39" t="s">
        <v>2407</v>
      </c>
      <c r="D553" s="39">
        <v>906</v>
      </c>
      <c r="E553" s="39">
        <v>22</v>
      </c>
      <c r="F553" s="39" t="s">
        <v>1264</v>
      </c>
    </row>
    <row r="554" spans="1:6" x14ac:dyDescent="0.2">
      <c r="A554" s="92">
        <v>18.210000000000033</v>
      </c>
      <c r="B554" s="39">
        <v>18</v>
      </c>
      <c r="C554" s="39" t="s">
        <v>2407</v>
      </c>
      <c r="D554" s="39">
        <v>906</v>
      </c>
      <c r="E554" s="39">
        <v>23</v>
      </c>
      <c r="F554" s="39" t="s">
        <v>1265</v>
      </c>
    </row>
    <row r="555" spans="1:6" x14ac:dyDescent="0.2">
      <c r="A555" s="92">
        <v>18.220000000000034</v>
      </c>
      <c r="B555" s="39">
        <v>18</v>
      </c>
      <c r="C555" s="39" t="s">
        <v>2407</v>
      </c>
      <c r="D555" s="39">
        <v>906</v>
      </c>
      <c r="E555" s="39">
        <v>24</v>
      </c>
      <c r="F555" s="39" t="s">
        <v>1266</v>
      </c>
    </row>
    <row r="556" spans="1:6" x14ac:dyDescent="0.2">
      <c r="A556" s="92">
        <v>18.230000000000036</v>
      </c>
      <c r="B556" s="39">
        <v>18</v>
      </c>
      <c r="C556" s="39" t="s">
        <v>2407</v>
      </c>
      <c r="D556" s="39">
        <v>906</v>
      </c>
      <c r="E556" s="39">
        <v>25</v>
      </c>
      <c r="F556" s="39" t="s">
        <v>1268</v>
      </c>
    </row>
    <row r="557" spans="1:6" x14ac:dyDescent="0.2">
      <c r="A557" s="92">
        <v>18.240000000000038</v>
      </c>
      <c r="B557" s="39">
        <v>18</v>
      </c>
      <c r="C557" s="39" t="s">
        <v>2407</v>
      </c>
      <c r="D557" s="39">
        <v>906</v>
      </c>
      <c r="E557" s="39">
        <v>26</v>
      </c>
      <c r="F557" s="39" t="s">
        <v>1276</v>
      </c>
    </row>
    <row r="558" spans="1:6" x14ac:dyDescent="0.2">
      <c r="A558" s="92">
        <v>18.250000000000039</v>
      </c>
      <c r="B558" s="39">
        <v>18</v>
      </c>
      <c r="C558" s="39" t="s">
        <v>2407</v>
      </c>
      <c r="D558" s="39">
        <v>906</v>
      </c>
      <c r="E558" s="39">
        <v>27</v>
      </c>
      <c r="F558" s="39" t="s">
        <v>1277</v>
      </c>
    </row>
    <row r="559" spans="1:6" x14ac:dyDescent="0.2">
      <c r="A559" s="92">
        <v>18.260000000000041</v>
      </c>
      <c r="B559" s="39">
        <v>18</v>
      </c>
      <c r="C559" s="39" t="s">
        <v>2407</v>
      </c>
      <c r="D559" s="39">
        <v>906</v>
      </c>
      <c r="E559" s="39">
        <v>28</v>
      </c>
      <c r="F559" s="39" t="s">
        <v>1278</v>
      </c>
    </row>
    <row r="560" spans="1:6" x14ac:dyDescent="0.2">
      <c r="A560" s="92">
        <v>18.270000000000042</v>
      </c>
      <c r="B560" s="39">
        <v>18</v>
      </c>
      <c r="C560" s="39" t="s">
        <v>2407</v>
      </c>
      <c r="D560" s="39">
        <v>906</v>
      </c>
      <c r="E560" s="39">
        <v>29</v>
      </c>
      <c r="F560" s="39" t="s">
        <v>1280</v>
      </c>
    </row>
    <row r="561" spans="1:6" x14ac:dyDescent="0.2">
      <c r="A561" s="92">
        <v>18.280000000000044</v>
      </c>
      <c r="B561" s="39">
        <v>18</v>
      </c>
      <c r="C561" s="39" t="s">
        <v>2407</v>
      </c>
      <c r="D561" s="39">
        <v>909</v>
      </c>
      <c r="E561" s="39">
        <v>36</v>
      </c>
      <c r="F561" s="39" t="s">
        <v>1294</v>
      </c>
    </row>
    <row r="562" spans="1:6" x14ac:dyDescent="0.2">
      <c r="A562" s="92">
        <v>18.290000000000045</v>
      </c>
      <c r="B562" s="39">
        <v>18</v>
      </c>
      <c r="C562" s="39" t="s">
        <v>2407</v>
      </c>
      <c r="D562" s="39">
        <v>905</v>
      </c>
      <c r="E562" s="39">
        <v>63</v>
      </c>
      <c r="F562" s="39" t="s">
        <v>1259</v>
      </c>
    </row>
    <row r="563" spans="1:6" x14ac:dyDescent="0.2">
      <c r="A563" s="92">
        <v>18.3</v>
      </c>
      <c r="B563" s="39">
        <v>18</v>
      </c>
      <c r="C563" s="39" t="s">
        <v>2407</v>
      </c>
      <c r="D563" s="39">
        <v>999</v>
      </c>
      <c r="E563" s="39">
        <v>99</v>
      </c>
      <c r="F563" s="39" t="s">
        <v>2553</v>
      </c>
    </row>
    <row r="564" spans="1:6" x14ac:dyDescent="0.2">
      <c r="A564" s="92">
        <v>19.010000000000002</v>
      </c>
      <c r="B564" s="39">
        <v>19</v>
      </c>
      <c r="C564" s="39" t="s">
        <v>2409</v>
      </c>
      <c r="D564" s="39">
        <v>902</v>
      </c>
      <c r="E564" s="39">
        <v>1</v>
      </c>
      <c r="F564" s="39" t="s">
        <v>1149</v>
      </c>
    </row>
    <row r="565" spans="1:6" x14ac:dyDescent="0.2">
      <c r="A565" s="92">
        <v>19.020000000000003</v>
      </c>
      <c r="B565" s="39">
        <v>19</v>
      </c>
      <c r="C565" s="39" t="s">
        <v>2409</v>
      </c>
      <c r="D565" s="39">
        <v>904</v>
      </c>
      <c r="E565" s="39">
        <v>2</v>
      </c>
      <c r="F565" s="39" t="s">
        <v>1167</v>
      </c>
    </row>
    <row r="566" spans="1:6" x14ac:dyDescent="0.2">
      <c r="A566" s="92">
        <v>19.030000000000005</v>
      </c>
      <c r="B566" s="39">
        <v>19</v>
      </c>
      <c r="C566" s="39" t="s">
        <v>2409</v>
      </c>
      <c r="D566" s="39">
        <v>903</v>
      </c>
      <c r="E566" s="39">
        <v>3</v>
      </c>
      <c r="F566" s="39" t="s">
        <v>1163</v>
      </c>
    </row>
    <row r="567" spans="1:6" x14ac:dyDescent="0.2">
      <c r="A567" s="92">
        <v>19.040000000000006</v>
      </c>
      <c r="B567" s="39">
        <v>19</v>
      </c>
      <c r="C567" s="39" t="s">
        <v>2409</v>
      </c>
      <c r="D567" s="39">
        <v>902</v>
      </c>
      <c r="E567" s="39">
        <v>4</v>
      </c>
      <c r="F567" s="39" t="s">
        <v>1179</v>
      </c>
    </row>
    <row r="568" spans="1:6" x14ac:dyDescent="0.2">
      <c r="A568" s="92">
        <v>19.050000000000008</v>
      </c>
      <c r="B568" s="39">
        <v>19</v>
      </c>
      <c r="C568" s="39" t="s">
        <v>2409</v>
      </c>
      <c r="D568" s="39">
        <v>904</v>
      </c>
      <c r="E568" s="39">
        <v>5</v>
      </c>
      <c r="F568" s="39" t="s">
        <v>1197</v>
      </c>
    </row>
    <row r="569" spans="1:6" x14ac:dyDescent="0.2">
      <c r="A569" s="92">
        <v>19.060000000000009</v>
      </c>
      <c r="B569" s="39">
        <v>19</v>
      </c>
      <c r="C569" s="39" t="s">
        <v>2409</v>
      </c>
      <c r="D569" s="39">
        <v>903</v>
      </c>
      <c r="E569" s="39">
        <v>6</v>
      </c>
      <c r="F569" s="39" t="s">
        <v>1195</v>
      </c>
    </row>
    <row r="570" spans="1:6" x14ac:dyDescent="0.2">
      <c r="A570" s="92">
        <v>19.070000000000011</v>
      </c>
      <c r="B570" s="39">
        <v>19</v>
      </c>
      <c r="C570" s="39" t="s">
        <v>2409</v>
      </c>
      <c r="D570" s="39">
        <v>902</v>
      </c>
      <c r="E570" s="39">
        <v>7</v>
      </c>
      <c r="F570" s="39" t="s">
        <v>1204</v>
      </c>
    </row>
    <row r="571" spans="1:6" x14ac:dyDescent="0.2">
      <c r="A571" s="92">
        <v>19.080000000000013</v>
      </c>
      <c r="B571" s="39">
        <v>19</v>
      </c>
      <c r="C571" s="39" t="s">
        <v>2409</v>
      </c>
      <c r="D571" s="39">
        <v>904</v>
      </c>
      <c r="E571" s="39">
        <v>8</v>
      </c>
      <c r="F571" s="39" t="s">
        <v>1228</v>
      </c>
    </row>
    <row r="572" spans="1:6" x14ac:dyDescent="0.2">
      <c r="A572" s="92">
        <v>19.090000000000014</v>
      </c>
      <c r="B572" s="39">
        <v>19</v>
      </c>
      <c r="C572" s="39" t="s">
        <v>2409</v>
      </c>
      <c r="D572" s="39">
        <v>903</v>
      </c>
      <c r="E572" s="39">
        <v>9</v>
      </c>
      <c r="F572" s="39" t="s">
        <v>1223</v>
      </c>
    </row>
    <row r="573" spans="1:6" x14ac:dyDescent="0.2">
      <c r="A573" s="92">
        <v>19.100000000000016</v>
      </c>
      <c r="B573" s="39">
        <v>19</v>
      </c>
      <c r="C573" s="39" t="s">
        <v>2409</v>
      </c>
      <c r="D573" s="39">
        <v>905</v>
      </c>
      <c r="E573" s="39">
        <v>10</v>
      </c>
      <c r="F573" s="39" t="s">
        <v>1232</v>
      </c>
    </row>
    <row r="574" spans="1:6" x14ac:dyDescent="0.2">
      <c r="A574" s="92">
        <v>19.110000000000017</v>
      </c>
      <c r="B574" s="39">
        <v>19</v>
      </c>
      <c r="C574" s="39" t="s">
        <v>2409</v>
      </c>
      <c r="D574" s="39">
        <v>905</v>
      </c>
      <c r="E574" s="39">
        <v>11</v>
      </c>
      <c r="F574" s="39" t="s">
        <v>1236</v>
      </c>
    </row>
    <row r="575" spans="1:6" x14ac:dyDescent="0.2">
      <c r="A575" s="92">
        <v>19.120000000000019</v>
      </c>
      <c r="B575" s="39">
        <v>19</v>
      </c>
      <c r="C575" s="39" t="s">
        <v>2409</v>
      </c>
      <c r="D575" s="39">
        <v>905</v>
      </c>
      <c r="E575" s="39">
        <v>12</v>
      </c>
      <c r="F575" s="39" t="s">
        <v>1237</v>
      </c>
    </row>
    <row r="576" spans="1:6" x14ac:dyDescent="0.2">
      <c r="A576" s="92">
        <v>19.13000000000002</v>
      </c>
      <c r="B576" s="39">
        <v>19</v>
      </c>
      <c r="C576" s="39" t="s">
        <v>2409</v>
      </c>
      <c r="D576" s="39">
        <v>905</v>
      </c>
      <c r="E576" s="39">
        <v>13</v>
      </c>
      <c r="F576" s="39" t="s">
        <v>1238</v>
      </c>
    </row>
    <row r="577" spans="1:6" x14ac:dyDescent="0.2">
      <c r="A577" s="92">
        <v>19.140000000000022</v>
      </c>
      <c r="B577" s="39">
        <v>19</v>
      </c>
      <c r="C577" s="39" t="s">
        <v>2409</v>
      </c>
      <c r="D577" s="39">
        <v>905</v>
      </c>
      <c r="E577" s="39">
        <v>14</v>
      </c>
      <c r="F577" s="39" t="s">
        <v>1239</v>
      </c>
    </row>
    <row r="578" spans="1:6" x14ac:dyDescent="0.2">
      <c r="A578" s="92">
        <v>19.150000000000023</v>
      </c>
      <c r="B578" s="39">
        <v>19</v>
      </c>
      <c r="C578" s="39" t="s">
        <v>2409</v>
      </c>
      <c r="D578" s="39">
        <v>905</v>
      </c>
      <c r="E578" s="39">
        <v>15</v>
      </c>
      <c r="F578" s="39" t="s">
        <v>1245</v>
      </c>
    </row>
    <row r="579" spans="1:6" x14ac:dyDescent="0.2">
      <c r="A579" s="92">
        <v>19.160000000000025</v>
      </c>
      <c r="B579" s="39">
        <v>19</v>
      </c>
      <c r="C579" s="39" t="s">
        <v>2409</v>
      </c>
      <c r="D579" s="39">
        <v>905</v>
      </c>
      <c r="E579" s="39">
        <v>16</v>
      </c>
      <c r="F579" s="39" t="s">
        <v>1246</v>
      </c>
    </row>
    <row r="580" spans="1:6" x14ac:dyDescent="0.2">
      <c r="A580" s="92">
        <v>19.170000000000027</v>
      </c>
      <c r="B580" s="39">
        <v>19</v>
      </c>
      <c r="C580" s="39" t="s">
        <v>2409</v>
      </c>
      <c r="D580" s="39">
        <v>905</v>
      </c>
      <c r="E580" s="39">
        <v>17</v>
      </c>
      <c r="F580" s="39" t="s">
        <v>1253</v>
      </c>
    </row>
    <row r="581" spans="1:6" x14ac:dyDescent="0.2">
      <c r="A581" s="92">
        <v>19.180000000000028</v>
      </c>
      <c r="B581" s="39">
        <v>19</v>
      </c>
      <c r="C581" s="39" t="s">
        <v>2409</v>
      </c>
      <c r="D581" s="39">
        <v>906</v>
      </c>
      <c r="E581" s="39">
        <v>20</v>
      </c>
      <c r="F581" s="39" t="s">
        <v>1260</v>
      </c>
    </row>
    <row r="582" spans="1:6" x14ac:dyDescent="0.2">
      <c r="A582" s="92">
        <v>19.19000000000003</v>
      </c>
      <c r="B582" s="39">
        <v>19</v>
      </c>
      <c r="C582" s="39" t="s">
        <v>2409</v>
      </c>
      <c r="D582" s="39">
        <v>906</v>
      </c>
      <c r="E582" s="39">
        <v>21</v>
      </c>
      <c r="F582" s="39" t="s">
        <v>1263</v>
      </c>
    </row>
    <row r="583" spans="1:6" x14ac:dyDescent="0.2">
      <c r="A583" s="92">
        <v>19.200000000000031</v>
      </c>
      <c r="B583" s="39">
        <v>19</v>
      </c>
      <c r="C583" s="39" t="s">
        <v>2409</v>
      </c>
      <c r="D583" s="39">
        <v>906</v>
      </c>
      <c r="E583" s="39">
        <v>22</v>
      </c>
      <c r="F583" s="39" t="s">
        <v>1264</v>
      </c>
    </row>
    <row r="584" spans="1:6" x14ac:dyDescent="0.2">
      <c r="A584" s="92">
        <v>19.210000000000033</v>
      </c>
      <c r="B584" s="39">
        <v>19</v>
      </c>
      <c r="C584" s="39" t="s">
        <v>2409</v>
      </c>
      <c r="D584" s="39">
        <v>906</v>
      </c>
      <c r="E584" s="39">
        <v>23</v>
      </c>
      <c r="F584" s="39" t="s">
        <v>1265</v>
      </c>
    </row>
    <row r="585" spans="1:6" x14ac:dyDescent="0.2">
      <c r="A585" s="92">
        <v>19.220000000000034</v>
      </c>
      <c r="B585" s="39">
        <v>19</v>
      </c>
      <c r="C585" s="39" t="s">
        <v>2409</v>
      </c>
      <c r="D585" s="39">
        <v>906</v>
      </c>
      <c r="E585" s="39">
        <v>24</v>
      </c>
      <c r="F585" s="39" t="s">
        <v>1266</v>
      </c>
    </row>
    <row r="586" spans="1:6" x14ac:dyDescent="0.2">
      <c r="A586" s="92">
        <v>19.230000000000036</v>
      </c>
      <c r="B586" s="39">
        <v>19</v>
      </c>
      <c r="C586" s="39" t="s">
        <v>2409</v>
      </c>
      <c r="D586" s="39">
        <v>906</v>
      </c>
      <c r="E586" s="39">
        <v>25</v>
      </c>
      <c r="F586" s="39" t="s">
        <v>1268</v>
      </c>
    </row>
    <row r="587" spans="1:6" x14ac:dyDescent="0.2">
      <c r="A587" s="92">
        <v>19.240000000000038</v>
      </c>
      <c r="B587" s="39">
        <v>19</v>
      </c>
      <c r="C587" s="39" t="s">
        <v>2409</v>
      </c>
      <c r="D587" s="39">
        <v>906</v>
      </c>
      <c r="E587" s="39">
        <v>26</v>
      </c>
      <c r="F587" s="39" t="s">
        <v>1276</v>
      </c>
    </row>
    <row r="588" spans="1:6" x14ac:dyDescent="0.2">
      <c r="A588" s="92">
        <v>19.250000000000039</v>
      </c>
      <c r="B588" s="39">
        <v>19</v>
      </c>
      <c r="C588" s="39" t="s">
        <v>2409</v>
      </c>
      <c r="D588" s="39">
        <v>906</v>
      </c>
      <c r="E588" s="39">
        <v>27</v>
      </c>
      <c r="F588" s="39" t="s">
        <v>1277</v>
      </c>
    </row>
    <row r="589" spans="1:6" x14ac:dyDescent="0.2">
      <c r="A589" s="92">
        <v>19.260000000000041</v>
      </c>
      <c r="B589" s="39">
        <v>19</v>
      </c>
      <c r="C589" s="39" t="s">
        <v>2409</v>
      </c>
      <c r="D589" s="39">
        <v>906</v>
      </c>
      <c r="E589" s="39">
        <v>28</v>
      </c>
      <c r="F589" s="39" t="s">
        <v>1278</v>
      </c>
    </row>
    <row r="590" spans="1:6" x14ac:dyDescent="0.2">
      <c r="A590" s="92">
        <v>19.270000000000042</v>
      </c>
      <c r="B590" s="39">
        <v>19</v>
      </c>
      <c r="C590" s="39" t="s">
        <v>2409</v>
      </c>
      <c r="D590" s="39">
        <v>906</v>
      </c>
      <c r="E590" s="39">
        <v>29</v>
      </c>
      <c r="F590" s="39" t="s">
        <v>1280</v>
      </c>
    </row>
    <row r="591" spans="1:6" x14ac:dyDescent="0.2">
      <c r="A591" s="92">
        <v>19.280000000000044</v>
      </c>
      <c r="B591" s="39">
        <v>19</v>
      </c>
      <c r="C591" s="39" t="s">
        <v>2409</v>
      </c>
      <c r="D591" s="39">
        <v>906</v>
      </c>
      <c r="E591" s="39">
        <v>30</v>
      </c>
      <c r="F591" s="39" t="s">
        <v>1283</v>
      </c>
    </row>
    <row r="592" spans="1:6" x14ac:dyDescent="0.2">
      <c r="A592" s="92">
        <v>19.290000000000045</v>
      </c>
      <c r="B592" s="39">
        <v>19</v>
      </c>
      <c r="C592" s="39" t="s">
        <v>2409</v>
      </c>
      <c r="D592" s="39">
        <v>906</v>
      </c>
      <c r="E592" s="39">
        <v>31</v>
      </c>
      <c r="F592" s="39" t="s">
        <v>1284</v>
      </c>
    </row>
    <row r="593" spans="1:6" x14ac:dyDescent="0.2">
      <c r="A593" s="92">
        <v>19.300000000000047</v>
      </c>
      <c r="B593" s="39">
        <v>19</v>
      </c>
      <c r="C593" s="39" t="s">
        <v>2409</v>
      </c>
      <c r="D593" s="39">
        <v>906</v>
      </c>
      <c r="E593" s="39">
        <v>32</v>
      </c>
      <c r="F593" s="39" t="s">
        <v>1285</v>
      </c>
    </row>
    <row r="594" spans="1:6" x14ac:dyDescent="0.2">
      <c r="A594" s="92">
        <v>19.310000000000048</v>
      </c>
      <c r="B594" s="39">
        <v>19</v>
      </c>
      <c r="C594" s="39" t="s">
        <v>2409</v>
      </c>
      <c r="D594" s="39">
        <v>906</v>
      </c>
      <c r="E594" s="39">
        <v>33</v>
      </c>
      <c r="F594" s="39" t="s">
        <v>1286</v>
      </c>
    </row>
    <row r="595" spans="1:6" x14ac:dyDescent="0.2">
      <c r="A595" s="92">
        <v>19.32000000000005</v>
      </c>
      <c r="B595" s="39">
        <v>19</v>
      </c>
      <c r="C595" s="39" t="s">
        <v>2409</v>
      </c>
      <c r="D595" s="39">
        <v>906</v>
      </c>
      <c r="E595" s="39">
        <v>34</v>
      </c>
      <c r="F595" s="39" t="s">
        <v>1288</v>
      </c>
    </row>
    <row r="596" spans="1:6" x14ac:dyDescent="0.2">
      <c r="A596" s="92">
        <v>19.330000000000052</v>
      </c>
      <c r="B596" s="39">
        <v>19</v>
      </c>
      <c r="C596" s="39" t="s">
        <v>2409</v>
      </c>
      <c r="D596" s="39">
        <v>906</v>
      </c>
      <c r="E596" s="39">
        <v>35</v>
      </c>
      <c r="F596" s="39" t="s">
        <v>1289</v>
      </c>
    </row>
    <row r="597" spans="1:6" x14ac:dyDescent="0.2">
      <c r="A597" s="92">
        <v>19.340000000000053</v>
      </c>
      <c r="B597" s="39">
        <v>19</v>
      </c>
      <c r="C597" s="39" t="s">
        <v>2409</v>
      </c>
      <c r="D597" s="39">
        <v>909</v>
      </c>
      <c r="E597" s="39">
        <v>36</v>
      </c>
      <c r="F597" s="39" t="s">
        <v>1294</v>
      </c>
    </row>
    <row r="598" spans="1:6" x14ac:dyDescent="0.2">
      <c r="A598" s="92">
        <v>19.350000000000055</v>
      </c>
      <c r="B598" s="39">
        <v>19</v>
      </c>
      <c r="C598" s="39" t="s">
        <v>2409</v>
      </c>
      <c r="D598" s="39">
        <v>905</v>
      </c>
      <c r="E598" s="39">
        <v>63</v>
      </c>
      <c r="F598" s="39" t="s">
        <v>1259</v>
      </c>
    </row>
    <row r="599" spans="1:6" x14ac:dyDescent="0.2">
      <c r="A599" s="92">
        <v>19.36</v>
      </c>
      <c r="B599" s="39">
        <v>19</v>
      </c>
      <c r="C599" s="39" t="s">
        <v>2409</v>
      </c>
      <c r="D599" s="39">
        <v>999</v>
      </c>
      <c r="E599" s="39">
        <v>99</v>
      </c>
      <c r="F599" s="39" t="s">
        <v>2553</v>
      </c>
    </row>
    <row r="600" spans="1:6" x14ac:dyDescent="0.2">
      <c r="A600" s="92">
        <v>20.010000000000002</v>
      </c>
      <c r="B600" s="39">
        <v>20</v>
      </c>
      <c r="C600" s="39" t="s">
        <v>2411</v>
      </c>
      <c r="D600" s="39">
        <v>902</v>
      </c>
      <c r="E600" s="39">
        <v>1</v>
      </c>
      <c r="F600" s="39" t="s">
        <v>1149</v>
      </c>
    </row>
    <row r="601" spans="1:6" x14ac:dyDescent="0.2">
      <c r="A601" s="92">
        <v>20.020000000000003</v>
      </c>
      <c r="B601" s="39">
        <v>20</v>
      </c>
      <c r="C601" s="39" t="s">
        <v>2411</v>
      </c>
      <c r="D601" s="39">
        <v>904</v>
      </c>
      <c r="E601" s="39">
        <v>2</v>
      </c>
      <c r="F601" s="39" t="s">
        <v>1167</v>
      </c>
    </row>
    <row r="602" spans="1:6" x14ac:dyDescent="0.2">
      <c r="A602" s="92">
        <v>20.030000000000005</v>
      </c>
      <c r="B602" s="39">
        <v>20</v>
      </c>
      <c r="C602" s="39" t="s">
        <v>2411</v>
      </c>
      <c r="D602" s="39">
        <v>903</v>
      </c>
      <c r="E602" s="39">
        <v>3</v>
      </c>
      <c r="F602" s="39" t="s">
        <v>1163</v>
      </c>
    </row>
    <row r="603" spans="1:6" x14ac:dyDescent="0.2">
      <c r="A603" s="92">
        <v>20.040000000000006</v>
      </c>
      <c r="B603" s="39">
        <v>20</v>
      </c>
      <c r="C603" s="39" t="s">
        <v>2411</v>
      </c>
      <c r="D603" s="39">
        <v>902</v>
      </c>
      <c r="E603" s="39">
        <v>4</v>
      </c>
      <c r="F603" s="39" t="s">
        <v>1179</v>
      </c>
    </row>
    <row r="604" spans="1:6" x14ac:dyDescent="0.2">
      <c r="A604" s="92">
        <v>20.050000000000008</v>
      </c>
      <c r="B604" s="39">
        <v>20</v>
      </c>
      <c r="C604" s="39" t="s">
        <v>2411</v>
      </c>
      <c r="D604" s="39">
        <v>904</v>
      </c>
      <c r="E604" s="39">
        <v>5</v>
      </c>
      <c r="F604" s="39" t="s">
        <v>1197</v>
      </c>
    </row>
    <row r="605" spans="1:6" x14ac:dyDescent="0.2">
      <c r="A605" s="92">
        <v>20.060000000000009</v>
      </c>
      <c r="B605" s="39">
        <v>20</v>
      </c>
      <c r="C605" s="39" t="s">
        <v>2411</v>
      </c>
      <c r="D605" s="39">
        <v>903</v>
      </c>
      <c r="E605" s="39">
        <v>6</v>
      </c>
      <c r="F605" s="39" t="s">
        <v>1195</v>
      </c>
    </row>
    <row r="606" spans="1:6" x14ac:dyDescent="0.2">
      <c r="A606" s="92">
        <v>20.070000000000011</v>
      </c>
      <c r="B606" s="39">
        <v>20</v>
      </c>
      <c r="C606" s="39" t="s">
        <v>2411</v>
      </c>
      <c r="D606" s="39">
        <v>902</v>
      </c>
      <c r="E606" s="39">
        <v>7</v>
      </c>
      <c r="F606" s="39" t="s">
        <v>1204</v>
      </c>
    </row>
    <row r="607" spans="1:6" x14ac:dyDescent="0.2">
      <c r="A607" s="92">
        <v>20.080000000000013</v>
      </c>
      <c r="B607" s="39">
        <v>20</v>
      </c>
      <c r="C607" s="39" t="s">
        <v>2411</v>
      </c>
      <c r="D607" s="39">
        <v>904</v>
      </c>
      <c r="E607" s="39">
        <v>8</v>
      </c>
      <c r="F607" s="39" t="s">
        <v>1228</v>
      </c>
    </row>
    <row r="608" spans="1:6" x14ac:dyDescent="0.2">
      <c r="A608" s="92">
        <v>20.090000000000014</v>
      </c>
      <c r="B608" s="39">
        <v>20</v>
      </c>
      <c r="C608" s="39" t="s">
        <v>2411</v>
      </c>
      <c r="D608" s="39">
        <v>903</v>
      </c>
      <c r="E608" s="39">
        <v>9</v>
      </c>
      <c r="F608" s="39" t="s">
        <v>1223</v>
      </c>
    </row>
    <row r="609" spans="1:6" x14ac:dyDescent="0.2">
      <c r="A609" s="92">
        <v>20.100000000000016</v>
      </c>
      <c r="B609" s="39">
        <v>20</v>
      </c>
      <c r="C609" s="39" t="s">
        <v>2411</v>
      </c>
      <c r="D609" s="39">
        <v>905</v>
      </c>
      <c r="E609" s="39">
        <v>10</v>
      </c>
      <c r="F609" s="39" t="s">
        <v>1232</v>
      </c>
    </row>
    <row r="610" spans="1:6" x14ac:dyDescent="0.2">
      <c r="A610" s="92">
        <v>20.110000000000017</v>
      </c>
      <c r="B610" s="39">
        <v>20</v>
      </c>
      <c r="C610" s="39" t="s">
        <v>2411</v>
      </c>
      <c r="D610" s="39">
        <v>905</v>
      </c>
      <c r="E610" s="39">
        <v>11</v>
      </c>
      <c r="F610" s="39" t="s">
        <v>1236</v>
      </c>
    </row>
    <row r="611" spans="1:6" x14ac:dyDescent="0.2">
      <c r="A611" s="92">
        <v>20.120000000000019</v>
      </c>
      <c r="B611" s="39">
        <v>20</v>
      </c>
      <c r="C611" s="39" t="s">
        <v>2411</v>
      </c>
      <c r="D611" s="39">
        <v>905</v>
      </c>
      <c r="E611" s="39">
        <v>12</v>
      </c>
      <c r="F611" s="39" t="s">
        <v>1237</v>
      </c>
    </row>
    <row r="612" spans="1:6" x14ac:dyDescent="0.2">
      <c r="A612" s="92">
        <v>20.13000000000002</v>
      </c>
      <c r="B612" s="39">
        <v>20</v>
      </c>
      <c r="C612" s="39" t="s">
        <v>2411</v>
      </c>
      <c r="D612" s="39">
        <v>905</v>
      </c>
      <c r="E612" s="39">
        <v>13</v>
      </c>
      <c r="F612" s="39" t="s">
        <v>1238</v>
      </c>
    </row>
    <row r="613" spans="1:6" x14ac:dyDescent="0.2">
      <c r="A613" s="92">
        <v>20.140000000000022</v>
      </c>
      <c r="B613" s="39">
        <v>20</v>
      </c>
      <c r="C613" s="39" t="s">
        <v>2411</v>
      </c>
      <c r="D613" s="39">
        <v>905</v>
      </c>
      <c r="E613" s="39">
        <v>14</v>
      </c>
      <c r="F613" s="39" t="s">
        <v>1239</v>
      </c>
    </row>
    <row r="614" spans="1:6" x14ac:dyDescent="0.2">
      <c r="A614" s="92">
        <v>20.150000000000023</v>
      </c>
      <c r="B614" s="39">
        <v>20</v>
      </c>
      <c r="C614" s="39" t="s">
        <v>2411</v>
      </c>
      <c r="D614" s="39">
        <v>905</v>
      </c>
      <c r="E614" s="39">
        <v>15</v>
      </c>
      <c r="F614" s="39" t="s">
        <v>1245</v>
      </c>
    </row>
    <row r="615" spans="1:6" x14ac:dyDescent="0.2">
      <c r="A615" s="92">
        <v>20.160000000000025</v>
      </c>
      <c r="B615" s="39">
        <v>20</v>
      </c>
      <c r="C615" s="39" t="s">
        <v>2411</v>
      </c>
      <c r="D615" s="39">
        <v>905</v>
      </c>
      <c r="E615" s="39">
        <v>16</v>
      </c>
      <c r="F615" s="39" t="s">
        <v>1246</v>
      </c>
    </row>
    <row r="616" spans="1:6" x14ac:dyDescent="0.2">
      <c r="A616" s="92">
        <v>20.170000000000027</v>
      </c>
      <c r="B616" s="39">
        <v>20</v>
      </c>
      <c r="C616" s="39" t="s">
        <v>2411</v>
      </c>
      <c r="D616" s="39">
        <v>905</v>
      </c>
      <c r="E616" s="39">
        <v>17</v>
      </c>
      <c r="F616" s="39" t="s">
        <v>1253</v>
      </c>
    </row>
    <row r="617" spans="1:6" x14ac:dyDescent="0.2">
      <c r="A617" s="92">
        <v>20.180000000000028</v>
      </c>
      <c r="B617" s="39">
        <v>20</v>
      </c>
      <c r="C617" s="39" t="s">
        <v>2411</v>
      </c>
      <c r="D617" s="39">
        <v>906</v>
      </c>
      <c r="E617" s="39">
        <v>20</v>
      </c>
      <c r="F617" s="39" t="s">
        <v>1260</v>
      </c>
    </row>
    <row r="618" spans="1:6" x14ac:dyDescent="0.2">
      <c r="A618" s="92">
        <v>20.19000000000003</v>
      </c>
      <c r="B618" s="39">
        <v>20</v>
      </c>
      <c r="C618" s="39" t="s">
        <v>2411</v>
      </c>
      <c r="D618" s="39">
        <v>906</v>
      </c>
      <c r="E618" s="39">
        <v>21</v>
      </c>
      <c r="F618" s="39" t="s">
        <v>1263</v>
      </c>
    </row>
    <row r="619" spans="1:6" x14ac:dyDescent="0.2">
      <c r="A619" s="92">
        <v>20.200000000000031</v>
      </c>
      <c r="B619" s="39">
        <v>20</v>
      </c>
      <c r="C619" s="39" t="s">
        <v>2411</v>
      </c>
      <c r="D619" s="39">
        <v>906</v>
      </c>
      <c r="E619" s="39">
        <v>22</v>
      </c>
      <c r="F619" s="39" t="s">
        <v>1264</v>
      </c>
    </row>
    <row r="620" spans="1:6" x14ac:dyDescent="0.2">
      <c r="A620" s="92">
        <v>20.210000000000033</v>
      </c>
      <c r="B620" s="39">
        <v>20</v>
      </c>
      <c r="C620" s="39" t="s">
        <v>2411</v>
      </c>
      <c r="D620" s="39">
        <v>906</v>
      </c>
      <c r="E620" s="39">
        <v>23</v>
      </c>
      <c r="F620" s="39" t="s">
        <v>1265</v>
      </c>
    </row>
    <row r="621" spans="1:6" x14ac:dyDescent="0.2">
      <c r="A621" s="92">
        <v>20.220000000000034</v>
      </c>
      <c r="B621" s="39">
        <v>20</v>
      </c>
      <c r="C621" s="39" t="s">
        <v>2411</v>
      </c>
      <c r="D621" s="39">
        <v>906</v>
      </c>
      <c r="E621" s="39">
        <v>24</v>
      </c>
      <c r="F621" s="39" t="s">
        <v>1266</v>
      </c>
    </row>
    <row r="622" spans="1:6" x14ac:dyDescent="0.2">
      <c r="A622" s="92">
        <v>20.230000000000036</v>
      </c>
      <c r="B622" s="39">
        <v>20</v>
      </c>
      <c r="C622" s="39" t="s">
        <v>2411</v>
      </c>
      <c r="D622" s="39">
        <v>906</v>
      </c>
      <c r="E622" s="39">
        <v>25</v>
      </c>
      <c r="F622" s="39" t="s">
        <v>1268</v>
      </c>
    </row>
    <row r="623" spans="1:6" x14ac:dyDescent="0.2">
      <c r="A623" s="92">
        <v>20.240000000000038</v>
      </c>
      <c r="B623" s="39">
        <v>20</v>
      </c>
      <c r="C623" s="39" t="s">
        <v>2411</v>
      </c>
      <c r="D623" s="39">
        <v>906</v>
      </c>
      <c r="E623" s="39">
        <v>26</v>
      </c>
      <c r="F623" s="39" t="s">
        <v>1276</v>
      </c>
    </row>
    <row r="624" spans="1:6" x14ac:dyDescent="0.2">
      <c r="A624" s="92">
        <v>20.250000000000039</v>
      </c>
      <c r="B624" s="39">
        <v>20</v>
      </c>
      <c r="C624" s="39" t="s">
        <v>2411</v>
      </c>
      <c r="D624" s="39">
        <v>906</v>
      </c>
      <c r="E624" s="39">
        <v>27</v>
      </c>
      <c r="F624" s="39" t="s">
        <v>1277</v>
      </c>
    </row>
    <row r="625" spans="1:6" x14ac:dyDescent="0.2">
      <c r="A625" s="92">
        <v>20.260000000000041</v>
      </c>
      <c r="B625" s="39">
        <v>20</v>
      </c>
      <c r="C625" s="39" t="s">
        <v>2411</v>
      </c>
      <c r="D625" s="39">
        <v>906</v>
      </c>
      <c r="E625" s="39">
        <v>28</v>
      </c>
      <c r="F625" s="39" t="s">
        <v>1278</v>
      </c>
    </row>
    <row r="626" spans="1:6" x14ac:dyDescent="0.2">
      <c r="A626" s="92">
        <v>20.270000000000042</v>
      </c>
      <c r="B626" s="39">
        <v>20</v>
      </c>
      <c r="C626" s="39" t="s">
        <v>2411</v>
      </c>
      <c r="D626" s="39">
        <v>906</v>
      </c>
      <c r="E626" s="39">
        <v>29</v>
      </c>
      <c r="F626" s="39" t="s">
        <v>1280</v>
      </c>
    </row>
    <row r="627" spans="1:6" x14ac:dyDescent="0.2">
      <c r="A627" s="92">
        <v>20.280000000000044</v>
      </c>
      <c r="B627" s="39">
        <v>20</v>
      </c>
      <c r="C627" s="39" t="s">
        <v>2411</v>
      </c>
      <c r="D627" s="39">
        <v>909</v>
      </c>
      <c r="E627" s="39">
        <v>36</v>
      </c>
      <c r="F627" s="39" t="s">
        <v>1294</v>
      </c>
    </row>
    <row r="628" spans="1:6" x14ac:dyDescent="0.2">
      <c r="A628" s="92">
        <v>20.290000000000045</v>
      </c>
      <c r="B628" s="39">
        <v>20</v>
      </c>
      <c r="C628" s="39" t="s">
        <v>2411</v>
      </c>
      <c r="D628" s="39">
        <v>905</v>
      </c>
      <c r="E628" s="39">
        <v>55</v>
      </c>
      <c r="F628" s="39" t="s">
        <v>1254</v>
      </c>
    </row>
    <row r="629" spans="1:6" x14ac:dyDescent="0.2">
      <c r="A629" s="92">
        <v>20.300000000000047</v>
      </c>
      <c r="B629" s="39">
        <v>20</v>
      </c>
      <c r="C629" s="39" t="s">
        <v>2411</v>
      </c>
      <c r="D629" s="39">
        <v>905</v>
      </c>
      <c r="E629" s="39">
        <v>63</v>
      </c>
      <c r="F629" s="39" t="s">
        <v>1259</v>
      </c>
    </row>
    <row r="630" spans="1:6" x14ac:dyDescent="0.2">
      <c r="A630" s="92">
        <v>20.309999999999999</v>
      </c>
      <c r="B630" s="39">
        <v>20</v>
      </c>
      <c r="C630" s="39" t="s">
        <v>2411</v>
      </c>
      <c r="D630" s="39">
        <v>999</v>
      </c>
      <c r="E630" s="39">
        <v>99</v>
      </c>
      <c r="F630" s="39" t="s">
        <v>2553</v>
      </c>
    </row>
    <row r="631" spans="1:6" x14ac:dyDescent="0.2">
      <c r="A631" s="92">
        <v>21.01</v>
      </c>
      <c r="B631" s="39">
        <v>21</v>
      </c>
      <c r="C631" s="39" t="s">
        <v>2413</v>
      </c>
      <c r="D631" s="39">
        <v>902</v>
      </c>
      <c r="E631" s="39">
        <v>1</v>
      </c>
      <c r="F631" s="39" t="s">
        <v>1149</v>
      </c>
    </row>
    <row r="632" spans="1:6" x14ac:dyDescent="0.2">
      <c r="A632" s="92">
        <v>21.020000000000003</v>
      </c>
      <c r="B632" s="39">
        <v>21</v>
      </c>
      <c r="C632" s="39" t="s">
        <v>2413</v>
      </c>
      <c r="D632" s="39">
        <v>904</v>
      </c>
      <c r="E632" s="39">
        <v>2</v>
      </c>
      <c r="F632" s="39" t="s">
        <v>1167</v>
      </c>
    </row>
    <row r="633" spans="1:6" x14ac:dyDescent="0.2">
      <c r="A633" s="92">
        <v>21.030000000000005</v>
      </c>
      <c r="B633" s="39">
        <v>21</v>
      </c>
      <c r="C633" s="39" t="s">
        <v>2413</v>
      </c>
      <c r="D633" s="39">
        <v>903</v>
      </c>
      <c r="E633" s="39">
        <v>3</v>
      </c>
      <c r="F633" s="39" t="s">
        <v>1163</v>
      </c>
    </row>
    <row r="634" spans="1:6" x14ac:dyDescent="0.2">
      <c r="A634" s="92">
        <v>21.040000000000006</v>
      </c>
      <c r="B634" s="39">
        <v>21</v>
      </c>
      <c r="C634" s="39" t="s">
        <v>2413</v>
      </c>
      <c r="D634" s="39">
        <v>902</v>
      </c>
      <c r="E634" s="39">
        <v>4</v>
      </c>
      <c r="F634" s="39" t="s">
        <v>1179</v>
      </c>
    </row>
    <row r="635" spans="1:6" x14ac:dyDescent="0.2">
      <c r="A635" s="92">
        <v>21.050000000000008</v>
      </c>
      <c r="B635" s="39">
        <v>21</v>
      </c>
      <c r="C635" s="39" t="s">
        <v>2413</v>
      </c>
      <c r="D635" s="39">
        <v>904</v>
      </c>
      <c r="E635" s="39">
        <v>5</v>
      </c>
      <c r="F635" s="39" t="s">
        <v>1197</v>
      </c>
    </row>
    <row r="636" spans="1:6" x14ac:dyDescent="0.2">
      <c r="A636" s="92">
        <v>21.060000000000009</v>
      </c>
      <c r="B636" s="39">
        <v>21</v>
      </c>
      <c r="C636" s="39" t="s">
        <v>2413</v>
      </c>
      <c r="D636" s="39">
        <v>903</v>
      </c>
      <c r="E636" s="39">
        <v>6</v>
      </c>
      <c r="F636" s="39" t="s">
        <v>1195</v>
      </c>
    </row>
    <row r="637" spans="1:6" x14ac:dyDescent="0.2">
      <c r="A637" s="92">
        <v>21.070000000000011</v>
      </c>
      <c r="B637" s="39">
        <v>21</v>
      </c>
      <c r="C637" s="39" t="s">
        <v>2413</v>
      </c>
      <c r="D637" s="39">
        <v>902</v>
      </c>
      <c r="E637" s="39">
        <v>7</v>
      </c>
      <c r="F637" s="39" t="s">
        <v>1204</v>
      </c>
    </row>
    <row r="638" spans="1:6" x14ac:dyDescent="0.2">
      <c r="A638" s="92">
        <v>21.080000000000013</v>
      </c>
      <c r="B638" s="39">
        <v>21</v>
      </c>
      <c r="C638" s="39" t="s">
        <v>2413</v>
      </c>
      <c r="D638" s="39">
        <v>904</v>
      </c>
      <c r="E638" s="39">
        <v>8</v>
      </c>
      <c r="F638" s="39" t="s">
        <v>1228</v>
      </c>
    </row>
    <row r="639" spans="1:6" x14ac:dyDescent="0.2">
      <c r="A639" s="92">
        <v>21.090000000000014</v>
      </c>
      <c r="B639" s="39">
        <v>21</v>
      </c>
      <c r="C639" s="39" t="s">
        <v>2413</v>
      </c>
      <c r="D639" s="39">
        <v>903</v>
      </c>
      <c r="E639" s="39">
        <v>9</v>
      </c>
      <c r="F639" s="39" t="s">
        <v>1223</v>
      </c>
    </row>
    <row r="640" spans="1:6" x14ac:dyDescent="0.2">
      <c r="A640" s="92">
        <v>21.100000000000016</v>
      </c>
      <c r="B640" s="39">
        <v>21</v>
      </c>
      <c r="C640" s="39" t="s">
        <v>2413</v>
      </c>
      <c r="D640" s="39">
        <v>905</v>
      </c>
      <c r="E640" s="39">
        <v>10</v>
      </c>
      <c r="F640" s="39" t="s">
        <v>1232</v>
      </c>
    </row>
    <row r="641" spans="1:6" x14ac:dyDescent="0.2">
      <c r="A641" s="92">
        <v>21.110000000000017</v>
      </c>
      <c r="B641" s="39">
        <v>21</v>
      </c>
      <c r="C641" s="39" t="s">
        <v>2413</v>
      </c>
      <c r="D641" s="39">
        <v>905</v>
      </c>
      <c r="E641" s="39">
        <v>11</v>
      </c>
      <c r="F641" s="39" t="s">
        <v>1236</v>
      </c>
    </row>
    <row r="642" spans="1:6" x14ac:dyDescent="0.2">
      <c r="A642" s="92">
        <v>21.120000000000019</v>
      </c>
      <c r="B642" s="39">
        <v>21</v>
      </c>
      <c r="C642" s="39" t="s">
        <v>2413</v>
      </c>
      <c r="D642" s="39">
        <v>905</v>
      </c>
      <c r="E642" s="39">
        <v>12</v>
      </c>
      <c r="F642" s="39" t="s">
        <v>1237</v>
      </c>
    </row>
    <row r="643" spans="1:6" x14ac:dyDescent="0.2">
      <c r="A643" s="92">
        <v>21.13000000000002</v>
      </c>
      <c r="B643" s="39">
        <v>21</v>
      </c>
      <c r="C643" s="39" t="s">
        <v>2413</v>
      </c>
      <c r="D643" s="39">
        <v>905</v>
      </c>
      <c r="E643" s="39">
        <v>13</v>
      </c>
      <c r="F643" s="39" t="s">
        <v>1238</v>
      </c>
    </row>
    <row r="644" spans="1:6" x14ac:dyDescent="0.2">
      <c r="A644" s="92">
        <v>21.140000000000022</v>
      </c>
      <c r="B644" s="39">
        <v>21</v>
      </c>
      <c r="C644" s="39" t="s">
        <v>2413</v>
      </c>
      <c r="D644" s="39">
        <v>905</v>
      </c>
      <c r="E644" s="39">
        <v>14</v>
      </c>
      <c r="F644" s="39" t="s">
        <v>1239</v>
      </c>
    </row>
    <row r="645" spans="1:6" x14ac:dyDescent="0.2">
      <c r="A645" s="92">
        <v>21.150000000000023</v>
      </c>
      <c r="B645" s="39">
        <v>21</v>
      </c>
      <c r="C645" s="39" t="s">
        <v>2413</v>
      </c>
      <c r="D645" s="39">
        <v>905</v>
      </c>
      <c r="E645" s="39">
        <v>15</v>
      </c>
      <c r="F645" s="39" t="s">
        <v>1245</v>
      </c>
    </row>
    <row r="646" spans="1:6" x14ac:dyDescent="0.2">
      <c r="A646" s="92">
        <v>21.160000000000025</v>
      </c>
      <c r="B646" s="39">
        <v>21</v>
      </c>
      <c r="C646" s="39" t="s">
        <v>2413</v>
      </c>
      <c r="D646" s="39">
        <v>905</v>
      </c>
      <c r="E646" s="39">
        <v>16</v>
      </c>
      <c r="F646" s="39" t="s">
        <v>1246</v>
      </c>
    </row>
    <row r="647" spans="1:6" x14ac:dyDescent="0.2">
      <c r="A647" s="92">
        <v>21.170000000000027</v>
      </c>
      <c r="B647" s="39">
        <v>21</v>
      </c>
      <c r="C647" s="39" t="s">
        <v>2413</v>
      </c>
      <c r="D647" s="39">
        <v>905</v>
      </c>
      <c r="E647" s="39">
        <v>17</v>
      </c>
      <c r="F647" s="39" t="s">
        <v>1253</v>
      </c>
    </row>
    <row r="648" spans="1:6" x14ac:dyDescent="0.2">
      <c r="A648" s="92">
        <v>21.180000000000028</v>
      </c>
      <c r="B648" s="39">
        <v>21</v>
      </c>
      <c r="C648" s="39" t="s">
        <v>2413</v>
      </c>
      <c r="D648" s="39">
        <v>906</v>
      </c>
      <c r="E648" s="39">
        <v>20</v>
      </c>
      <c r="F648" s="39" t="s">
        <v>1260</v>
      </c>
    </row>
    <row r="649" spans="1:6" x14ac:dyDescent="0.2">
      <c r="A649" s="92">
        <v>21.19000000000003</v>
      </c>
      <c r="B649" s="39">
        <v>21</v>
      </c>
      <c r="C649" s="39" t="s">
        <v>2413</v>
      </c>
      <c r="D649" s="39">
        <v>906</v>
      </c>
      <c r="E649" s="39">
        <v>21</v>
      </c>
      <c r="F649" s="39" t="s">
        <v>1263</v>
      </c>
    </row>
    <row r="650" spans="1:6" x14ac:dyDescent="0.2">
      <c r="A650" s="92">
        <v>21.200000000000031</v>
      </c>
      <c r="B650" s="39">
        <v>21</v>
      </c>
      <c r="C650" s="39" t="s">
        <v>2413</v>
      </c>
      <c r="D650" s="39">
        <v>906</v>
      </c>
      <c r="E650" s="39">
        <v>22</v>
      </c>
      <c r="F650" s="39" t="s">
        <v>1264</v>
      </c>
    </row>
    <row r="651" spans="1:6" x14ac:dyDescent="0.2">
      <c r="A651" s="92">
        <v>21.210000000000033</v>
      </c>
      <c r="B651" s="39">
        <v>21</v>
      </c>
      <c r="C651" s="39" t="s">
        <v>2413</v>
      </c>
      <c r="D651" s="39">
        <v>906</v>
      </c>
      <c r="E651" s="39">
        <v>23</v>
      </c>
      <c r="F651" s="39" t="s">
        <v>1265</v>
      </c>
    </row>
    <row r="652" spans="1:6" x14ac:dyDescent="0.2">
      <c r="A652" s="92">
        <v>21.220000000000034</v>
      </c>
      <c r="B652" s="39">
        <v>21</v>
      </c>
      <c r="C652" s="39" t="s">
        <v>2413</v>
      </c>
      <c r="D652" s="39">
        <v>906</v>
      </c>
      <c r="E652" s="39">
        <v>24</v>
      </c>
      <c r="F652" s="39" t="s">
        <v>1266</v>
      </c>
    </row>
    <row r="653" spans="1:6" x14ac:dyDescent="0.2">
      <c r="A653" s="92">
        <v>21.230000000000036</v>
      </c>
      <c r="B653" s="39">
        <v>21</v>
      </c>
      <c r="C653" s="39" t="s">
        <v>2413</v>
      </c>
      <c r="D653" s="39">
        <v>906</v>
      </c>
      <c r="E653" s="39">
        <v>25</v>
      </c>
      <c r="F653" s="39" t="s">
        <v>1268</v>
      </c>
    </row>
    <row r="654" spans="1:6" x14ac:dyDescent="0.2">
      <c r="A654" s="92">
        <v>21.240000000000038</v>
      </c>
      <c r="B654" s="39">
        <v>21</v>
      </c>
      <c r="C654" s="39" t="s">
        <v>2413</v>
      </c>
      <c r="D654" s="39">
        <v>906</v>
      </c>
      <c r="E654" s="39">
        <v>26</v>
      </c>
      <c r="F654" s="39" t="s">
        <v>1276</v>
      </c>
    </row>
    <row r="655" spans="1:6" x14ac:dyDescent="0.2">
      <c r="A655" s="92">
        <v>21.250000000000039</v>
      </c>
      <c r="B655" s="39">
        <v>21</v>
      </c>
      <c r="C655" s="39" t="s">
        <v>2413</v>
      </c>
      <c r="D655" s="39">
        <v>906</v>
      </c>
      <c r="E655" s="39">
        <v>27</v>
      </c>
      <c r="F655" s="39" t="s">
        <v>1277</v>
      </c>
    </row>
    <row r="656" spans="1:6" x14ac:dyDescent="0.2">
      <c r="A656" s="92">
        <v>21.260000000000041</v>
      </c>
      <c r="B656" s="39">
        <v>21</v>
      </c>
      <c r="C656" s="39" t="s">
        <v>2413</v>
      </c>
      <c r="D656" s="39">
        <v>906</v>
      </c>
      <c r="E656" s="39">
        <v>28</v>
      </c>
      <c r="F656" s="39" t="s">
        <v>1278</v>
      </c>
    </row>
    <row r="657" spans="1:6" x14ac:dyDescent="0.2">
      <c r="A657" s="92">
        <v>21.270000000000042</v>
      </c>
      <c r="B657" s="39">
        <v>21</v>
      </c>
      <c r="C657" s="39" t="s">
        <v>2413</v>
      </c>
      <c r="D657" s="39">
        <v>906</v>
      </c>
      <c r="E657" s="39">
        <v>29</v>
      </c>
      <c r="F657" s="39" t="s">
        <v>1280</v>
      </c>
    </row>
    <row r="658" spans="1:6" x14ac:dyDescent="0.2">
      <c r="A658" s="92">
        <v>21.280000000000044</v>
      </c>
      <c r="B658" s="39">
        <v>21</v>
      </c>
      <c r="C658" s="39" t="s">
        <v>2413</v>
      </c>
      <c r="D658" s="39">
        <v>909</v>
      </c>
      <c r="E658" s="39">
        <v>36</v>
      </c>
      <c r="F658" s="39" t="s">
        <v>1294</v>
      </c>
    </row>
    <row r="659" spans="1:6" x14ac:dyDescent="0.2">
      <c r="A659" s="92">
        <v>21.290000000000045</v>
      </c>
      <c r="B659" s="39">
        <v>21</v>
      </c>
      <c r="C659" s="39" t="s">
        <v>2413</v>
      </c>
      <c r="D659" s="39">
        <v>905</v>
      </c>
      <c r="E659" s="39">
        <v>63</v>
      </c>
      <c r="F659" s="39" t="s">
        <v>1259</v>
      </c>
    </row>
    <row r="660" spans="1:6" x14ac:dyDescent="0.2">
      <c r="A660" s="92">
        <v>21.300000000000047</v>
      </c>
      <c r="B660" s="39">
        <v>21</v>
      </c>
      <c r="C660" s="39" t="s">
        <v>2413</v>
      </c>
      <c r="D660" s="39">
        <v>905</v>
      </c>
      <c r="E660" s="39">
        <v>64</v>
      </c>
      <c r="F660" s="39" t="s">
        <v>1258</v>
      </c>
    </row>
    <row r="661" spans="1:6" x14ac:dyDescent="0.2">
      <c r="A661" s="92">
        <v>21.31</v>
      </c>
      <c r="B661" s="39">
        <v>21</v>
      </c>
      <c r="C661" s="39" t="s">
        <v>2413</v>
      </c>
      <c r="D661" s="39">
        <v>999</v>
      </c>
      <c r="E661" s="39">
        <v>99</v>
      </c>
      <c r="F661" s="39" t="s">
        <v>2553</v>
      </c>
    </row>
    <row r="662" spans="1:6" x14ac:dyDescent="0.2">
      <c r="A662" s="92">
        <v>22.01</v>
      </c>
      <c r="B662" s="39">
        <v>22</v>
      </c>
      <c r="C662" s="39" t="s">
        <v>2415</v>
      </c>
      <c r="D662" s="39">
        <v>902</v>
      </c>
      <c r="E662" s="39">
        <v>1</v>
      </c>
      <c r="F662" s="39" t="s">
        <v>1149</v>
      </c>
    </row>
    <row r="663" spans="1:6" x14ac:dyDescent="0.2">
      <c r="A663" s="92">
        <v>22.020000000000003</v>
      </c>
      <c r="B663" s="39">
        <v>22</v>
      </c>
      <c r="C663" s="39" t="s">
        <v>2415</v>
      </c>
      <c r="D663" s="39">
        <v>904</v>
      </c>
      <c r="E663" s="39">
        <v>2</v>
      </c>
      <c r="F663" s="39" t="s">
        <v>1167</v>
      </c>
    </row>
    <row r="664" spans="1:6" x14ac:dyDescent="0.2">
      <c r="A664" s="92">
        <v>22.030000000000005</v>
      </c>
      <c r="B664" s="39">
        <v>22</v>
      </c>
      <c r="C664" s="39" t="s">
        <v>2415</v>
      </c>
      <c r="D664" s="39">
        <v>903</v>
      </c>
      <c r="E664" s="39">
        <v>3</v>
      </c>
      <c r="F664" s="39" t="s">
        <v>1163</v>
      </c>
    </row>
    <row r="665" spans="1:6" x14ac:dyDescent="0.2">
      <c r="A665" s="92">
        <v>22.040000000000006</v>
      </c>
      <c r="B665" s="39">
        <v>22</v>
      </c>
      <c r="C665" s="39" t="s">
        <v>2415</v>
      </c>
      <c r="D665" s="39">
        <v>902</v>
      </c>
      <c r="E665" s="39">
        <v>4</v>
      </c>
      <c r="F665" s="39" t="s">
        <v>1179</v>
      </c>
    </row>
    <row r="666" spans="1:6" x14ac:dyDescent="0.2">
      <c r="A666" s="92">
        <v>22.050000000000008</v>
      </c>
      <c r="B666" s="39">
        <v>22</v>
      </c>
      <c r="C666" s="39" t="s">
        <v>2415</v>
      </c>
      <c r="D666" s="39">
        <v>904</v>
      </c>
      <c r="E666" s="39">
        <v>5</v>
      </c>
      <c r="F666" s="39" t="s">
        <v>1197</v>
      </c>
    </row>
    <row r="667" spans="1:6" x14ac:dyDescent="0.2">
      <c r="A667" s="92">
        <v>22.060000000000009</v>
      </c>
      <c r="B667" s="39">
        <v>22</v>
      </c>
      <c r="C667" s="39" t="s">
        <v>2415</v>
      </c>
      <c r="D667" s="39">
        <v>903</v>
      </c>
      <c r="E667" s="39">
        <v>6</v>
      </c>
      <c r="F667" s="39" t="s">
        <v>1195</v>
      </c>
    </row>
    <row r="668" spans="1:6" x14ac:dyDescent="0.2">
      <c r="A668" s="92">
        <v>22.070000000000011</v>
      </c>
      <c r="B668" s="39">
        <v>22</v>
      </c>
      <c r="C668" s="39" t="s">
        <v>2415</v>
      </c>
      <c r="D668" s="39">
        <v>902</v>
      </c>
      <c r="E668" s="39">
        <v>7</v>
      </c>
      <c r="F668" s="39" t="s">
        <v>1204</v>
      </c>
    </row>
    <row r="669" spans="1:6" x14ac:dyDescent="0.2">
      <c r="A669" s="92">
        <v>22.080000000000013</v>
      </c>
      <c r="B669" s="39">
        <v>22</v>
      </c>
      <c r="C669" s="39" t="s">
        <v>2415</v>
      </c>
      <c r="D669" s="39">
        <v>904</v>
      </c>
      <c r="E669" s="39">
        <v>8</v>
      </c>
      <c r="F669" s="39" t="s">
        <v>1228</v>
      </c>
    </row>
    <row r="670" spans="1:6" x14ac:dyDescent="0.2">
      <c r="A670" s="92">
        <v>22.090000000000014</v>
      </c>
      <c r="B670" s="39">
        <v>22</v>
      </c>
      <c r="C670" s="39" t="s">
        <v>2415</v>
      </c>
      <c r="D670" s="39">
        <v>903</v>
      </c>
      <c r="E670" s="39">
        <v>9</v>
      </c>
      <c r="F670" s="39" t="s">
        <v>1223</v>
      </c>
    </row>
    <row r="671" spans="1:6" x14ac:dyDescent="0.2">
      <c r="A671" s="92">
        <v>22.100000000000016</v>
      </c>
      <c r="B671" s="39">
        <v>22</v>
      </c>
      <c r="C671" s="39" t="s">
        <v>2415</v>
      </c>
      <c r="D671" s="39">
        <v>905</v>
      </c>
      <c r="E671" s="39">
        <v>10</v>
      </c>
      <c r="F671" s="39" t="s">
        <v>1232</v>
      </c>
    </row>
    <row r="672" spans="1:6" x14ac:dyDescent="0.2">
      <c r="A672" s="92">
        <v>22.110000000000017</v>
      </c>
      <c r="B672" s="39">
        <v>22</v>
      </c>
      <c r="C672" s="39" t="s">
        <v>2415</v>
      </c>
      <c r="D672" s="39">
        <v>905</v>
      </c>
      <c r="E672" s="39">
        <v>11</v>
      </c>
      <c r="F672" s="39" t="s">
        <v>1236</v>
      </c>
    </row>
    <row r="673" spans="1:6" x14ac:dyDescent="0.2">
      <c r="A673" s="92">
        <v>22.120000000000019</v>
      </c>
      <c r="B673" s="39">
        <v>22</v>
      </c>
      <c r="C673" s="39" t="s">
        <v>2415</v>
      </c>
      <c r="D673" s="39">
        <v>905</v>
      </c>
      <c r="E673" s="39">
        <v>12</v>
      </c>
      <c r="F673" s="39" t="s">
        <v>1237</v>
      </c>
    </row>
    <row r="674" spans="1:6" x14ac:dyDescent="0.2">
      <c r="A674" s="92">
        <v>22.13000000000002</v>
      </c>
      <c r="B674" s="39">
        <v>22</v>
      </c>
      <c r="C674" s="39" t="s">
        <v>2415</v>
      </c>
      <c r="D674" s="39">
        <v>905</v>
      </c>
      <c r="E674" s="39">
        <v>13</v>
      </c>
      <c r="F674" s="39" t="s">
        <v>1238</v>
      </c>
    </row>
    <row r="675" spans="1:6" x14ac:dyDescent="0.2">
      <c r="A675" s="92">
        <v>22.140000000000022</v>
      </c>
      <c r="B675" s="39">
        <v>22</v>
      </c>
      <c r="C675" s="39" t="s">
        <v>2415</v>
      </c>
      <c r="D675" s="39">
        <v>905</v>
      </c>
      <c r="E675" s="39">
        <v>14</v>
      </c>
      <c r="F675" s="39" t="s">
        <v>1239</v>
      </c>
    </row>
    <row r="676" spans="1:6" x14ac:dyDescent="0.2">
      <c r="A676" s="92">
        <v>22.150000000000023</v>
      </c>
      <c r="B676" s="39">
        <v>22</v>
      </c>
      <c r="C676" s="39" t="s">
        <v>2415</v>
      </c>
      <c r="D676" s="39">
        <v>905</v>
      </c>
      <c r="E676" s="39">
        <v>15</v>
      </c>
      <c r="F676" s="39" t="s">
        <v>1245</v>
      </c>
    </row>
    <row r="677" spans="1:6" x14ac:dyDescent="0.2">
      <c r="A677" s="92">
        <v>22.160000000000025</v>
      </c>
      <c r="B677" s="39">
        <v>22</v>
      </c>
      <c r="C677" s="39" t="s">
        <v>2415</v>
      </c>
      <c r="D677" s="39">
        <v>905</v>
      </c>
      <c r="E677" s="39">
        <v>16</v>
      </c>
      <c r="F677" s="39" t="s">
        <v>1246</v>
      </c>
    </row>
    <row r="678" spans="1:6" x14ac:dyDescent="0.2">
      <c r="A678" s="92">
        <v>22.170000000000027</v>
      </c>
      <c r="B678" s="39">
        <v>22</v>
      </c>
      <c r="C678" s="39" t="s">
        <v>2415</v>
      </c>
      <c r="D678" s="39">
        <v>905</v>
      </c>
      <c r="E678" s="39">
        <v>17</v>
      </c>
      <c r="F678" s="39" t="s">
        <v>1253</v>
      </c>
    </row>
    <row r="679" spans="1:6" x14ac:dyDescent="0.2">
      <c r="A679" s="92">
        <v>22.180000000000028</v>
      </c>
      <c r="B679" s="39">
        <v>22</v>
      </c>
      <c r="C679" s="39" t="s">
        <v>2415</v>
      </c>
      <c r="D679" s="39">
        <v>906</v>
      </c>
      <c r="E679" s="39">
        <v>20</v>
      </c>
      <c r="F679" s="39" t="s">
        <v>1260</v>
      </c>
    </row>
    <row r="680" spans="1:6" x14ac:dyDescent="0.2">
      <c r="A680" s="92">
        <v>22.19000000000003</v>
      </c>
      <c r="B680" s="39">
        <v>22</v>
      </c>
      <c r="C680" s="39" t="s">
        <v>2415</v>
      </c>
      <c r="D680" s="39">
        <v>906</v>
      </c>
      <c r="E680" s="39">
        <v>21</v>
      </c>
      <c r="F680" s="39" t="s">
        <v>1263</v>
      </c>
    </row>
    <row r="681" spans="1:6" x14ac:dyDescent="0.2">
      <c r="A681" s="92">
        <v>22.200000000000031</v>
      </c>
      <c r="B681" s="39">
        <v>22</v>
      </c>
      <c r="C681" s="39" t="s">
        <v>2415</v>
      </c>
      <c r="D681" s="39">
        <v>906</v>
      </c>
      <c r="E681" s="39">
        <v>22</v>
      </c>
      <c r="F681" s="39" t="s">
        <v>1264</v>
      </c>
    </row>
    <row r="682" spans="1:6" x14ac:dyDescent="0.2">
      <c r="A682" s="92">
        <v>22.210000000000033</v>
      </c>
      <c r="B682" s="39">
        <v>22</v>
      </c>
      <c r="C682" s="39" t="s">
        <v>2415</v>
      </c>
      <c r="D682" s="39">
        <v>906</v>
      </c>
      <c r="E682" s="39">
        <v>23</v>
      </c>
      <c r="F682" s="39" t="s">
        <v>1265</v>
      </c>
    </row>
    <row r="683" spans="1:6" x14ac:dyDescent="0.2">
      <c r="A683" s="92">
        <v>22.220000000000034</v>
      </c>
      <c r="B683" s="39">
        <v>22</v>
      </c>
      <c r="C683" s="39" t="s">
        <v>2415</v>
      </c>
      <c r="D683" s="39">
        <v>906</v>
      </c>
      <c r="E683" s="39">
        <v>24</v>
      </c>
      <c r="F683" s="39" t="s">
        <v>1266</v>
      </c>
    </row>
    <row r="684" spans="1:6" x14ac:dyDescent="0.2">
      <c r="A684" s="92">
        <v>22.230000000000036</v>
      </c>
      <c r="B684" s="39">
        <v>22</v>
      </c>
      <c r="C684" s="39" t="s">
        <v>2415</v>
      </c>
      <c r="D684" s="39">
        <v>906</v>
      </c>
      <c r="E684" s="39">
        <v>25</v>
      </c>
      <c r="F684" s="39" t="s">
        <v>1268</v>
      </c>
    </row>
    <row r="685" spans="1:6" x14ac:dyDescent="0.2">
      <c r="A685" s="92">
        <v>22.240000000000038</v>
      </c>
      <c r="B685" s="39">
        <v>22</v>
      </c>
      <c r="C685" s="39" t="s">
        <v>2415</v>
      </c>
      <c r="D685" s="39">
        <v>906</v>
      </c>
      <c r="E685" s="39">
        <v>26</v>
      </c>
      <c r="F685" s="39" t="s">
        <v>1276</v>
      </c>
    </row>
    <row r="686" spans="1:6" x14ac:dyDescent="0.2">
      <c r="A686" s="92">
        <v>22.250000000000039</v>
      </c>
      <c r="B686" s="39">
        <v>22</v>
      </c>
      <c r="C686" s="39" t="s">
        <v>2415</v>
      </c>
      <c r="D686" s="39">
        <v>906</v>
      </c>
      <c r="E686" s="39">
        <v>27</v>
      </c>
      <c r="F686" s="39" t="s">
        <v>1277</v>
      </c>
    </row>
    <row r="687" spans="1:6" x14ac:dyDescent="0.2">
      <c r="A687" s="92">
        <v>22.260000000000041</v>
      </c>
      <c r="B687" s="39">
        <v>22</v>
      </c>
      <c r="C687" s="39" t="s">
        <v>2415</v>
      </c>
      <c r="D687" s="39">
        <v>906</v>
      </c>
      <c r="E687" s="39">
        <v>28</v>
      </c>
      <c r="F687" s="39" t="s">
        <v>1278</v>
      </c>
    </row>
    <row r="688" spans="1:6" x14ac:dyDescent="0.2">
      <c r="A688" s="92">
        <v>22.270000000000042</v>
      </c>
      <c r="B688" s="39">
        <v>22</v>
      </c>
      <c r="C688" s="39" t="s">
        <v>2415</v>
      </c>
      <c r="D688" s="39">
        <v>906</v>
      </c>
      <c r="E688" s="39">
        <v>29</v>
      </c>
      <c r="F688" s="39" t="s">
        <v>1280</v>
      </c>
    </row>
    <row r="689" spans="1:6" x14ac:dyDescent="0.2">
      <c r="A689" s="92">
        <v>22.280000000000044</v>
      </c>
      <c r="B689" s="39">
        <v>22</v>
      </c>
      <c r="C689" s="39" t="s">
        <v>2415</v>
      </c>
      <c r="D689" s="39">
        <v>909</v>
      </c>
      <c r="E689" s="39">
        <v>36</v>
      </c>
      <c r="F689" s="39" t="s">
        <v>1294</v>
      </c>
    </row>
    <row r="690" spans="1:6" x14ac:dyDescent="0.2">
      <c r="A690" s="92">
        <v>22.290000000000045</v>
      </c>
      <c r="B690" s="39">
        <v>22</v>
      </c>
      <c r="C690" s="39" t="s">
        <v>2415</v>
      </c>
      <c r="D690" s="39">
        <v>911</v>
      </c>
      <c r="E690" s="39">
        <v>39</v>
      </c>
      <c r="F690" s="39" t="s">
        <v>1329</v>
      </c>
    </row>
    <row r="691" spans="1:6" x14ac:dyDescent="0.2">
      <c r="A691" s="92">
        <v>22.300000000000047</v>
      </c>
      <c r="B691" s="39">
        <v>22</v>
      </c>
      <c r="C691" s="39" t="s">
        <v>2415</v>
      </c>
      <c r="D691" s="39">
        <v>905</v>
      </c>
      <c r="E691" s="39">
        <v>63</v>
      </c>
      <c r="F691" s="39" t="s">
        <v>1259</v>
      </c>
    </row>
    <row r="692" spans="1:6" x14ac:dyDescent="0.2">
      <c r="A692" s="92">
        <v>22.31</v>
      </c>
      <c r="B692" s="39">
        <v>22</v>
      </c>
      <c r="C692" s="39" t="s">
        <v>2415</v>
      </c>
      <c r="D692" s="39">
        <v>999</v>
      </c>
      <c r="E692" s="39">
        <v>99</v>
      </c>
      <c r="F692" s="39" t="s">
        <v>2553</v>
      </c>
    </row>
    <row r="693" spans="1:6" x14ac:dyDescent="0.2">
      <c r="A693" s="92">
        <v>23.01</v>
      </c>
      <c r="B693" s="39">
        <v>23</v>
      </c>
      <c r="C693" s="39" t="s">
        <v>2417</v>
      </c>
      <c r="D693" s="39">
        <v>902</v>
      </c>
      <c r="E693" s="39">
        <v>1</v>
      </c>
      <c r="F693" s="39" t="s">
        <v>1149</v>
      </c>
    </row>
    <row r="694" spans="1:6" x14ac:dyDescent="0.2">
      <c r="A694" s="92">
        <v>23.020000000000003</v>
      </c>
      <c r="B694" s="39">
        <v>23</v>
      </c>
      <c r="C694" s="39" t="s">
        <v>2417</v>
      </c>
      <c r="D694" s="39">
        <v>904</v>
      </c>
      <c r="E694" s="39">
        <v>2</v>
      </c>
      <c r="F694" s="39" t="s">
        <v>1167</v>
      </c>
    </row>
    <row r="695" spans="1:6" x14ac:dyDescent="0.2">
      <c r="A695" s="92">
        <v>23.030000000000005</v>
      </c>
      <c r="B695" s="39">
        <v>23</v>
      </c>
      <c r="C695" s="39" t="s">
        <v>2417</v>
      </c>
      <c r="D695" s="39">
        <v>903</v>
      </c>
      <c r="E695" s="39">
        <v>3</v>
      </c>
      <c r="F695" s="39" t="s">
        <v>1163</v>
      </c>
    </row>
    <row r="696" spans="1:6" x14ac:dyDescent="0.2">
      <c r="A696" s="92">
        <v>23.040000000000006</v>
      </c>
      <c r="B696" s="39">
        <v>23</v>
      </c>
      <c r="C696" s="39" t="s">
        <v>2417</v>
      </c>
      <c r="D696" s="39">
        <v>902</v>
      </c>
      <c r="E696" s="39">
        <v>4</v>
      </c>
      <c r="F696" s="39" t="s">
        <v>1179</v>
      </c>
    </row>
    <row r="697" spans="1:6" x14ac:dyDescent="0.2">
      <c r="A697" s="92">
        <v>23.050000000000008</v>
      </c>
      <c r="B697" s="39">
        <v>23</v>
      </c>
      <c r="C697" s="39" t="s">
        <v>2417</v>
      </c>
      <c r="D697" s="39">
        <v>904</v>
      </c>
      <c r="E697" s="39">
        <v>5</v>
      </c>
      <c r="F697" s="39" t="s">
        <v>1197</v>
      </c>
    </row>
    <row r="698" spans="1:6" x14ac:dyDescent="0.2">
      <c r="A698" s="92">
        <v>23.060000000000009</v>
      </c>
      <c r="B698" s="39">
        <v>23</v>
      </c>
      <c r="C698" s="39" t="s">
        <v>2417</v>
      </c>
      <c r="D698" s="39">
        <v>903</v>
      </c>
      <c r="E698" s="39">
        <v>6</v>
      </c>
      <c r="F698" s="39" t="s">
        <v>1195</v>
      </c>
    </row>
    <row r="699" spans="1:6" x14ac:dyDescent="0.2">
      <c r="A699" s="92">
        <v>23.070000000000011</v>
      </c>
      <c r="B699" s="39">
        <v>23</v>
      </c>
      <c r="C699" s="39" t="s">
        <v>2417</v>
      </c>
      <c r="D699" s="39">
        <v>902</v>
      </c>
      <c r="E699" s="39">
        <v>7</v>
      </c>
      <c r="F699" s="39" t="s">
        <v>1204</v>
      </c>
    </row>
    <row r="700" spans="1:6" x14ac:dyDescent="0.2">
      <c r="A700" s="92">
        <v>23.080000000000013</v>
      </c>
      <c r="B700" s="39">
        <v>23</v>
      </c>
      <c r="C700" s="39" t="s">
        <v>2417</v>
      </c>
      <c r="D700" s="39">
        <v>904</v>
      </c>
      <c r="E700" s="39">
        <v>8</v>
      </c>
      <c r="F700" s="39" t="s">
        <v>1228</v>
      </c>
    </row>
    <row r="701" spans="1:6" x14ac:dyDescent="0.2">
      <c r="A701" s="92">
        <v>23.090000000000014</v>
      </c>
      <c r="B701" s="39">
        <v>23</v>
      </c>
      <c r="C701" s="39" t="s">
        <v>2417</v>
      </c>
      <c r="D701" s="39">
        <v>903</v>
      </c>
      <c r="E701" s="39">
        <v>9</v>
      </c>
      <c r="F701" s="39" t="s">
        <v>1223</v>
      </c>
    </row>
    <row r="702" spans="1:6" x14ac:dyDescent="0.2">
      <c r="A702" s="92">
        <v>23.100000000000016</v>
      </c>
      <c r="B702" s="39">
        <v>23</v>
      </c>
      <c r="C702" s="39" t="s">
        <v>2417</v>
      </c>
      <c r="D702" s="39">
        <v>905</v>
      </c>
      <c r="E702" s="39">
        <v>10</v>
      </c>
      <c r="F702" s="39" t="s">
        <v>1232</v>
      </c>
    </row>
    <row r="703" spans="1:6" x14ac:dyDescent="0.2">
      <c r="A703" s="92">
        <v>23.110000000000017</v>
      </c>
      <c r="B703" s="39">
        <v>23</v>
      </c>
      <c r="C703" s="39" t="s">
        <v>2417</v>
      </c>
      <c r="D703" s="39">
        <v>905</v>
      </c>
      <c r="E703" s="39">
        <v>11</v>
      </c>
      <c r="F703" s="39" t="s">
        <v>1236</v>
      </c>
    </row>
    <row r="704" spans="1:6" x14ac:dyDescent="0.2">
      <c r="A704" s="92">
        <v>23.120000000000019</v>
      </c>
      <c r="B704" s="39">
        <v>23</v>
      </c>
      <c r="C704" s="39" t="s">
        <v>2417</v>
      </c>
      <c r="D704" s="39">
        <v>905</v>
      </c>
      <c r="E704" s="39">
        <v>12</v>
      </c>
      <c r="F704" s="39" t="s">
        <v>1237</v>
      </c>
    </row>
    <row r="705" spans="1:6" x14ac:dyDescent="0.2">
      <c r="A705" s="92">
        <v>23.13000000000002</v>
      </c>
      <c r="B705" s="39">
        <v>23</v>
      </c>
      <c r="C705" s="39" t="s">
        <v>2417</v>
      </c>
      <c r="D705" s="39">
        <v>905</v>
      </c>
      <c r="E705" s="39">
        <v>13</v>
      </c>
      <c r="F705" s="39" t="s">
        <v>1238</v>
      </c>
    </row>
    <row r="706" spans="1:6" x14ac:dyDescent="0.2">
      <c r="A706" s="92">
        <v>23.140000000000022</v>
      </c>
      <c r="B706" s="39">
        <v>23</v>
      </c>
      <c r="C706" s="39" t="s">
        <v>2417</v>
      </c>
      <c r="D706" s="39">
        <v>905</v>
      </c>
      <c r="E706" s="39">
        <v>14</v>
      </c>
      <c r="F706" s="39" t="s">
        <v>1239</v>
      </c>
    </row>
    <row r="707" spans="1:6" x14ac:dyDescent="0.2">
      <c r="A707" s="92">
        <v>23.150000000000023</v>
      </c>
      <c r="B707" s="39">
        <v>23</v>
      </c>
      <c r="C707" s="39" t="s">
        <v>2417</v>
      </c>
      <c r="D707" s="39">
        <v>905</v>
      </c>
      <c r="E707" s="39">
        <v>15</v>
      </c>
      <c r="F707" s="39" t="s">
        <v>1245</v>
      </c>
    </row>
    <row r="708" spans="1:6" x14ac:dyDescent="0.2">
      <c r="A708" s="92">
        <v>23.160000000000025</v>
      </c>
      <c r="B708" s="39">
        <v>23</v>
      </c>
      <c r="C708" s="39" t="s">
        <v>2417</v>
      </c>
      <c r="D708" s="39">
        <v>905</v>
      </c>
      <c r="E708" s="39">
        <v>16</v>
      </c>
      <c r="F708" s="39" t="s">
        <v>1246</v>
      </c>
    </row>
    <row r="709" spans="1:6" x14ac:dyDescent="0.2">
      <c r="A709" s="92">
        <v>23.170000000000027</v>
      </c>
      <c r="B709" s="39">
        <v>23</v>
      </c>
      <c r="C709" s="39" t="s">
        <v>2417</v>
      </c>
      <c r="D709" s="39">
        <v>905</v>
      </c>
      <c r="E709" s="39">
        <v>17</v>
      </c>
      <c r="F709" s="39" t="s">
        <v>1253</v>
      </c>
    </row>
    <row r="710" spans="1:6" x14ac:dyDescent="0.2">
      <c r="A710" s="92">
        <v>23.180000000000028</v>
      </c>
      <c r="B710" s="39">
        <v>23</v>
      </c>
      <c r="C710" s="39" t="s">
        <v>2417</v>
      </c>
      <c r="D710" s="39">
        <v>906</v>
      </c>
      <c r="E710" s="39">
        <v>20</v>
      </c>
      <c r="F710" s="39" t="s">
        <v>1260</v>
      </c>
    </row>
    <row r="711" spans="1:6" x14ac:dyDescent="0.2">
      <c r="A711" s="92">
        <v>23.19000000000003</v>
      </c>
      <c r="B711" s="39">
        <v>23</v>
      </c>
      <c r="C711" s="39" t="s">
        <v>2417</v>
      </c>
      <c r="D711" s="39">
        <v>906</v>
      </c>
      <c r="E711" s="39">
        <v>21</v>
      </c>
      <c r="F711" s="39" t="s">
        <v>1263</v>
      </c>
    </row>
    <row r="712" spans="1:6" x14ac:dyDescent="0.2">
      <c r="A712" s="92">
        <v>23.200000000000031</v>
      </c>
      <c r="B712" s="39">
        <v>23</v>
      </c>
      <c r="C712" s="39" t="s">
        <v>2417</v>
      </c>
      <c r="D712" s="39">
        <v>906</v>
      </c>
      <c r="E712" s="39">
        <v>22</v>
      </c>
      <c r="F712" s="39" t="s">
        <v>1264</v>
      </c>
    </row>
    <row r="713" spans="1:6" x14ac:dyDescent="0.2">
      <c r="A713" s="92">
        <v>23.210000000000033</v>
      </c>
      <c r="B713" s="39">
        <v>23</v>
      </c>
      <c r="C713" s="39" t="s">
        <v>2417</v>
      </c>
      <c r="D713" s="39">
        <v>906</v>
      </c>
      <c r="E713" s="39">
        <v>23</v>
      </c>
      <c r="F713" s="39" t="s">
        <v>1265</v>
      </c>
    </row>
    <row r="714" spans="1:6" x14ac:dyDescent="0.2">
      <c r="A714" s="92">
        <v>23.220000000000034</v>
      </c>
      <c r="B714" s="39">
        <v>23</v>
      </c>
      <c r="C714" s="39" t="s">
        <v>2417</v>
      </c>
      <c r="D714" s="39">
        <v>906</v>
      </c>
      <c r="E714" s="39">
        <v>24</v>
      </c>
      <c r="F714" s="39" t="s">
        <v>1266</v>
      </c>
    </row>
    <row r="715" spans="1:6" x14ac:dyDescent="0.2">
      <c r="A715" s="92">
        <v>23.230000000000036</v>
      </c>
      <c r="B715" s="39">
        <v>23</v>
      </c>
      <c r="C715" s="39" t="s">
        <v>2417</v>
      </c>
      <c r="D715" s="39">
        <v>906</v>
      </c>
      <c r="E715" s="39">
        <v>25</v>
      </c>
      <c r="F715" s="39" t="s">
        <v>1268</v>
      </c>
    </row>
    <row r="716" spans="1:6" x14ac:dyDescent="0.2">
      <c r="A716" s="92">
        <v>23.240000000000038</v>
      </c>
      <c r="B716" s="39">
        <v>23</v>
      </c>
      <c r="C716" s="39" t="s">
        <v>2417</v>
      </c>
      <c r="D716" s="39">
        <v>906</v>
      </c>
      <c r="E716" s="39">
        <v>26</v>
      </c>
      <c r="F716" s="39" t="s">
        <v>1276</v>
      </c>
    </row>
    <row r="717" spans="1:6" x14ac:dyDescent="0.2">
      <c r="A717" s="92">
        <v>23.250000000000039</v>
      </c>
      <c r="B717" s="39">
        <v>23</v>
      </c>
      <c r="C717" s="39" t="s">
        <v>2417</v>
      </c>
      <c r="D717" s="39">
        <v>906</v>
      </c>
      <c r="E717" s="39">
        <v>27</v>
      </c>
      <c r="F717" s="39" t="s">
        <v>1277</v>
      </c>
    </row>
    <row r="718" spans="1:6" x14ac:dyDescent="0.2">
      <c r="A718" s="92">
        <v>23.260000000000041</v>
      </c>
      <c r="B718" s="39">
        <v>23</v>
      </c>
      <c r="C718" s="39" t="s">
        <v>2417</v>
      </c>
      <c r="D718" s="39">
        <v>906</v>
      </c>
      <c r="E718" s="39">
        <v>28</v>
      </c>
      <c r="F718" s="39" t="s">
        <v>1278</v>
      </c>
    </row>
    <row r="719" spans="1:6" x14ac:dyDescent="0.2">
      <c r="A719" s="92">
        <v>23.270000000000042</v>
      </c>
      <c r="B719" s="39">
        <v>23</v>
      </c>
      <c r="C719" s="39" t="s">
        <v>2417</v>
      </c>
      <c r="D719" s="39">
        <v>906</v>
      </c>
      <c r="E719" s="39">
        <v>29</v>
      </c>
      <c r="F719" s="39" t="s">
        <v>1280</v>
      </c>
    </row>
    <row r="720" spans="1:6" x14ac:dyDescent="0.2">
      <c r="A720" s="92">
        <v>23.280000000000044</v>
      </c>
      <c r="B720" s="39">
        <v>23</v>
      </c>
      <c r="C720" s="39" t="s">
        <v>2417</v>
      </c>
      <c r="D720" s="39">
        <v>909</v>
      </c>
      <c r="E720" s="39">
        <v>36</v>
      </c>
      <c r="F720" s="39" t="s">
        <v>1294</v>
      </c>
    </row>
    <row r="721" spans="1:6" x14ac:dyDescent="0.2">
      <c r="A721" s="92">
        <v>23.290000000000045</v>
      </c>
      <c r="B721" s="39">
        <v>23</v>
      </c>
      <c r="C721" s="39" t="s">
        <v>2417</v>
      </c>
      <c r="D721" s="39">
        <v>905</v>
      </c>
      <c r="E721" s="39">
        <v>63</v>
      </c>
      <c r="F721" s="39" t="s">
        <v>1259</v>
      </c>
    </row>
    <row r="722" spans="1:6" x14ac:dyDescent="0.2">
      <c r="A722" s="92">
        <v>23.3</v>
      </c>
      <c r="B722" s="39">
        <v>23</v>
      </c>
      <c r="C722" s="39" t="s">
        <v>2417</v>
      </c>
      <c r="D722" s="39">
        <v>999</v>
      </c>
      <c r="E722" s="39">
        <v>99</v>
      </c>
      <c r="F722" s="39" t="s">
        <v>2553</v>
      </c>
    </row>
    <row r="723" spans="1:6" x14ac:dyDescent="0.2">
      <c r="A723" s="92">
        <v>24.01</v>
      </c>
      <c r="B723" s="39">
        <v>24</v>
      </c>
      <c r="C723" s="39" t="s">
        <v>2419</v>
      </c>
      <c r="D723" s="39">
        <v>902</v>
      </c>
      <c r="E723" s="39">
        <v>1</v>
      </c>
      <c r="F723" s="39" t="s">
        <v>1149</v>
      </c>
    </row>
    <row r="724" spans="1:6" x14ac:dyDescent="0.2">
      <c r="A724" s="92">
        <v>24.020000000000003</v>
      </c>
      <c r="B724" s="39">
        <v>24</v>
      </c>
      <c r="C724" s="39" t="s">
        <v>2419</v>
      </c>
      <c r="D724" s="39">
        <v>904</v>
      </c>
      <c r="E724" s="39">
        <v>2</v>
      </c>
      <c r="F724" s="39" t="s">
        <v>1167</v>
      </c>
    </row>
    <row r="725" spans="1:6" x14ac:dyDescent="0.2">
      <c r="A725" s="92">
        <v>24.030000000000005</v>
      </c>
      <c r="B725" s="39">
        <v>24</v>
      </c>
      <c r="C725" s="39" t="s">
        <v>2419</v>
      </c>
      <c r="D725" s="39">
        <v>903</v>
      </c>
      <c r="E725" s="39">
        <v>3</v>
      </c>
      <c r="F725" s="39" t="s">
        <v>1163</v>
      </c>
    </row>
    <row r="726" spans="1:6" x14ac:dyDescent="0.2">
      <c r="A726" s="92">
        <v>24.040000000000006</v>
      </c>
      <c r="B726" s="39">
        <v>24</v>
      </c>
      <c r="C726" s="39" t="s">
        <v>2419</v>
      </c>
      <c r="D726" s="39">
        <v>902</v>
      </c>
      <c r="E726" s="39">
        <v>4</v>
      </c>
      <c r="F726" s="39" t="s">
        <v>1179</v>
      </c>
    </row>
    <row r="727" spans="1:6" x14ac:dyDescent="0.2">
      <c r="A727" s="92">
        <v>24.050000000000008</v>
      </c>
      <c r="B727" s="39">
        <v>24</v>
      </c>
      <c r="C727" s="39" t="s">
        <v>2419</v>
      </c>
      <c r="D727" s="39">
        <v>904</v>
      </c>
      <c r="E727" s="39">
        <v>5</v>
      </c>
      <c r="F727" s="39" t="s">
        <v>1197</v>
      </c>
    </row>
    <row r="728" spans="1:6" x14ac:dyDescent="0.2">
      <c r="A728" s="92">
        <v>24.060000000000009</v>
      </c>
      <c r="B728" s="39">
        <v>24</v>
      </c>
      <c r="C728" s="39" t="s">
        <v>2419</v>
      </c>
      <c r="D728" s="39">
        <v>903</v>
      </c>
      <c r="E728" s="39">
        <v>6</v>
      </c>
      <c r="F728" s="39" t="s">
        <v>1195</v>
      </c>
    </row>
    <row r="729" spans="1:6" x14ac:dyDescent="0.2">
      <c r="A729" s="92">
        <v>24.070000000000011</v>
      </c>
      <c r="B729" s="39">
        <v>24</v>
      </c>
      <c r="C729" s="39" t="s">
        <v>2419</v>
      </c>
      <c r="D729" s="39">
        <v>902</v>
      </c>
      <c r="E729" s="39">
        <v>7</v>
      </c>
      <c r="F729" s="39" t="s">
        <v>1204</v>
      </c>
    </row>
    <row r="730" spans="1:6" x14ac:dyDescent="0.2">
      <c r="A730" s="92">
        <v>24.080000000000013</v>
      </c>
      <c r="B730" s="39">
        <v>24</v>
      </c>
      <c r="C730" s="39" t="s">
        <v>2419</v>
      </c>
      <c r="D730" s="39">
        <v>904</v>
      </c>
      <c r="E730" s="39">
        <v>8</v>
      </c>
      <c r="F730" s="39" t="s">
        <v>1228</v>
      </c>
    </row>
    <row r="731" spans="1:6" x14ac:dyDescent="0.2">
      <c r="A731" s="92">
        <v>24.090000000000014</v>
      </c>
      <c r="B731" s="39">
        <v>24</v>
      </c>
      <c r="C731" s="39" t="s">
        <v>2419</v>
      </c>
      <c r="D731" s="39">
        <v>903</v>
      </c>
      <c r="E731" s="39">
        <v>9</v>
      </c>
      <c r="F731" s="39" t="s">
        <v>1223</v>
      </c>
    </row>
    <row r="732" spans="1:6" x14ac:dyDescent="0.2">
      <c r="A732" s="92">
        <v>24.100000000000016</v>
      </c>
      <c r="B732" s="39">
        <v>24</v>
      </c>
      <c r="C732" s="39" t="s">
        <v>2419</v>
      </c>
      <c r="D732" s="39">
        <v>905</v>
      </c>
      <c r="E732" s="39">
        <v>10</v>
      </c>
      <c r="F732" s="39" t="s">
        <v>1232</v>
      </c>
    </row>
    <row r="733" spans="1:6" x14ac:dyDescent="0.2">
      <c r="A733" s="92">
        <v>24.110000000000017</v>
      </c>
      <c r="B733" s="39">
        <v>24</v>
      </c>
      <c r="C733" s="39" t="s">
        <v>2419</v>
      </c>
      <c r="D733" s="39">
        <v>905</v>
      </c>
      <c r="E733" s="39">
        <v>11</v>
      </c>
      <c r="F733" s="39" t="s">
        <v>1236</v>
      </c>
    </row>
    <row r="734" spans="1:6" x14ac:dyDescent="0.2">
      <c r="A734" s="92">
        <v>24.120000000000019</v>
      </c>
      <c r="B734" s="39">
        <v>24</v>
      </c>
      <c r="C734" s="39" t="s">
        <v>2419</v>
      </c>
      <c r="D734" s="39">
        <v>905</v>
      </c>
      <c r="E734" s="39">
        <v>12</v>
      </c>
      <c r="F734" s="39" t="s">
        <v>1237</v>
      </c>
    </row>
    <row r="735" spans="1:6" x14ac:dyDescent="0.2">
      <c r="A735" s="92">
        <v>24.13000000000002</v>
      </c>
      <c r="B735" s="39">
        <v>24</v>
      </c>
      <c r="C735" s="39" t="s">
        <v>2419</v>
      </c>
      <c r="D735" s="39">
        <v>905</v>
      </c>
      <c r="E735" s="39">
        <v>13</v>
      </c>
      <c r="F735" s="39" t="s">
        <v>1238</v>
      </c>
    </row>
    <row r="736" spans="1:6" x14ac:dyDescent="0.2">
      <c r="A736" s="92">
        <v>24.140000000000022</v>
      </c>
      <c r="B736" s="39">
        <v>24</v>
      </c>
      <c r="C736" s="39" t="s">
        <v>2419</v>
      </c>
      <c r="D736" s="39">
        <v>905</v>
      </c>
      <c r="E736" s="39">
        <v>14</v>
      </c>
      <c r="F736" s="39" t="s">
        <v>1239</v>
      </c>
    </row>
    <row r="737" spans="1:6" x14ac:dyDescent="0.2">
      <c r="A737" s="92">
        <v>24.150000000000023</v>
      </c>
      <c r="B737" s="39">
        <v>24</v>
      </c>
      <c r="C737" s="39" t="s">
        <v>2419</v>
      </c>
      <c r="D737" s="39">
        <v>905</v>
      </c>
      <c r="E737" s="39">
        <v>15</v>
      </c>
      <c r="F737" s="39" t="s">
        <v>1245</v>
      </c>
    </row>
    <row r="738" spans="1:6" x14ac:dyDescent="0.2">
      <c r="A738" s="92">
        <v>24.160000000000025</v>
      </c>
      <c r="B738" s="39">
        <v>24</v>
      </c>
      <c r="C738" s="39" t="s">
        <v>2419</v>
      </c>
      <c r="D738" s="39">
        <v>905</v>
      </c>
      <c r="E738" s="39">
        <v>16</v>
      </c>
      <c r="F738" s="39" t="s">
        <v>1246</v>
      </c>
    </row>
    <row r="739" spans="1:6" x14ac:dyDescent="0.2">
      <c r="A739" s="92">
        <v>24.170000000000027</v>
      </c>
      <c r="B739" s="39">
        <v>24</v>
      </c>
      <c r="C739" s="39" t="s">
        <v>2419</v>
      </c>
      <c r="D739" s="39">
        <v>905</v>
      </c>
      <c r="E739" s="39">
        <v>17</v>
      </c>
      <c r="F739" s="39" t="s">
        <v>1253</v>
      </c>
    </row>
    <row r="740" spans="1:6" x14ac:dyDescent="0.2">
      <c r="A740" s="92">
        <v>24.180000000000028</v>
      </c>
      <c r="B740" s="39">
        <v>24</v>
      </c>
      <c r="C740" s="39" t="s">
        <v>2419</v>
      </c>
      <c r="D740" s="39">
        <v>906</v>
      </c>
      <c r="E740" s="39">
        <v>20</v>
      </c>
      <c r="F740" s="39" t="s">
        <v>1260</v>
      </c>
    </row>
    <row r="741" spans="1:6" x14ac:dyDescent="0.2">
      <c r="A741" s="92">
        <v>24.19000000000003</v>
      </c>
      <c r="B741" s="39">
        <v>24</v>
      </c>
      <c r="C741" s="39" t="s">
        <v>2419</v>
      </c>
      <c r="D741" s="39">
        <v>906</v>
      </c>
      <c r="E741" s="39">
        <v>21</v>
      </c>
      <c r="F741" s="39" t="s">
        <v>1263</v>
      </c>
    </row>
    <row r="742" spans="1:6" x14ac:dyDescent="0.2">
      <c r="A742" s="92">
        <v>24.200000000000031</v>
      </c>
      <c r="B742" s="39">
        <v>24</v>
      </c>
      <c r="C742" s="39" t="s">
        <v>2419</v>
      </c>
      <c r="D742" s="39">
        <v>906</v>
      </c>
      <c r="E742" s="39">
        <v>22</v>
      </c>
      <c r="F742" s="39" t="s">
        <v>1264</v>
      </c>
    </row>
    <row r="743" spans="1:6" x14ac:dyDescent="0.2">
      <c r="A743" s="92">
        <v>24.210000000000033</v>
      </c>
      <c r="B743" s="39">
        <v>24</v>
      </c>
      <c r="C743" s="39" t="s">
        <v>2419</v>
      </c>
      <c r="D743" s="39">
        <v>906</v>
      </c>
      <c r="E743" s="39">
        <v>23</v>
      </c>
      <c r="F743" s="39" t="s">
        <v>1265</v>
      </c>
    </row>
    <row r="744" spans="1:6" x14ac:dyDescent="0.2">
      <c r="A744" s="92">
        <v>24.220000000000034</v>
      </c>
      <c r="B744" s="39">
        <v>24</v>
      </c>
      <c r="C744" s="39" t="s">
        <v>2419</v>
      </c>
      <c r="D744" s="39">
        <v>906</v>
      </c>
      <c r="E744" s="39">
        <v>24</v>
      </c>
      <c r="F744" s="39" t="s">
        <v>1266</v>
      </c>
    </row>
    <row r="745" spans="1:6" x14ac:dyDescent="0.2">
      <c r="A745" s="92">
        <v>24.230000000000036</v>
      </c>
      <c r="B745" s="39">
        <v>24</v>
      </c>
      <c r="C745" s="39" t="s">
        <v>2419</v>
      </c>
      <c r="D745" s="39">
        <v>906</v>
      </c>
      <c r="E745" s="39">
        <v>25</v>
      </c>
      <c r="F745" s="39" t="s">
        <v>1268</v>
      </c>
    </row>
    <row r="746" spans="1:6" x14ac:dyDescent="0.2">
      <c r="A746" s="92">
        <v>24.240000000000038</v>
      </c>
      <c r="B746" s="39">
        <v>24</v>
      </c>
      <c r="C746" s="39" t="s">
        <v>2419</v>
      </c>
      <c r="D746" s="39">
        <v>906</v>
      </c>
      <c r="E746" s="39">
        <v>26</v>
      </c>
      <c r="F746" s="39" t="s">
        <v>1276</v>
      </c>
    </row>
    <row r="747" spans="1:6" x14ac:dyDescent="0.2">
      <c r="A747" s="92">
        <v>24.250000000000039</v>
      </c>
      <c r="B747" s="39">
        <v>24</v>
      </c>
      <c r="C747" s="39" t="s">
        <v>2419</v>
      </c>
      <c r="D747" s="39">
        <v>906</v>
      </c>
      <c r="E747" s="39">
        <v>27</v>
      </c>
      <c r="F747" s="39" t="s">
        <v>1277</v>
      </c>
    </row>
    <row r="748" spans="1:6" x14ac:dyDescent="0.2">
      <c r="A748" s="92">
        <v>24.260000000000041</v>
      </c>
      <c r="B748" s="39">
        <v>24</v>
      </c>
      <c r="C748" s="39" t="s">
        <v>2419</v>
      </c>
      <c r="D748" s="39">
        <v>906</v>
      </c>
      <c r="E748" s="39">
        <v>28</v>
      </c>
      <c r="F748" s="39" t="s">
        <v>1278</v>
      </c>
    </row>
    <row r="749" spans="1:6" x14ac:dyDescent="0.2">
      <c r="A749" s="92">
        <v>24.270000000000042</v>
      </c>
      <c r="B749" s="39">
        <v>24</v>
      </c>
      <c r="C749" s="39" t="s">
        <v>2419</v>
      </c>
      <c r="D749" s="39">
        <v>906</v>
      </c>
      <c r="E749" s="39">
        <v>29</v>
      </c>
      <c r="F749" s="39" t="s">
        <v>1280</v>
      </c>
    </row>
    <row r="750" spans="1:6" x14ac:dyDescent="0.2">
      <c r="A750" s="92">
        <v>24.280000000000044</v>
      </c>
      <c r="B750" s="39">
        <v>24</v>
      </c>
      <c r="C750" s="39" t="s">
        <v>2419</v>
      </c>
      <c r="D750" s="39">
        <v>909</v>
      </c>
      <c r="E750" s="39">
        <v>36</v>
      </c>
      <c r="F750" s="39" t="s">
        <v>1294</v>
      </c>
    </row>
    <row r="751" spans="1:6" x14ac:dyDescent="0.2">
      <c r="A751" s="92">
        <v>24.290000000000045</v>
      </c>
      <c r="B751" s="39">
        <v>24</v>
      </c>
      <c r="C751" s="39" t="s">
        <v>2419</v>
      </c>
      <c r="D751" s="39">
        <v>905</v>
      </c>
      <c r="E751" s="39">
        <v>63</v>
      </c>
      <c r="F751" s="39" t="s">
        <v>1259</v>
      </c>
    </row>
    <row r="752" spans="1:6" x14ac:dyDescent="0.2">
      <c r="A752" s="92">
        <v>24.3</v>
      </c>
      <c r="B752" s="39">
        <v>24</v>
      </c>
      <c r="C752" s="39" t="s">
        <v>2419</v>
      </c>
      <c r="D752" s="39">
        <v>999</v>
      </c>
      <c r="E752" s="39">
        <v>99</v>
      </c>
      <c r="F752" s="39" t="s">
        <v>2553</v>
      </c>
    </row>
    <row r="753" spans="1:6" x14ac:dyDescent="0.2">
      <c r="A753" s="92">
        <v>25.01</v>
      </c>
      <c r="B753" s="39">
        <v>25</v>
      </c>
      <c r="C753" s="39" t="s">
        <v>2421</v>
      </c>
      <c r="D753" s="39">
        <v>904</v>
      </c>
      <c r="E753" s="39">
        <v>2</v>
      </c>
      <c r="F753" s="39" t="s">
        <v>1167</v>
      </c>
    </row>
    <row r="754" spans="1:6" x14ac:dyDescent="0.2">
      <c r="A754" s="92">
        <v>25.020000000000003</v>
      </c>
      <c r="B754" s="39">
        <v>25</v>
      </c>
      <c r="C754" s="39" t="s">
        <v>2421</v>
      </c>
      <c r="D754" s="39">
        <v>903</v>
      </c>
      <c r="E754" s="39">
        <v>3</v>
      </c>
      <c r="F754" s="39" t="s">
        <v>1163</v>
      </c>
    </row>
    <row r="755" spans="1:6" x14ac:dyDescent="0.2">
      <c r="A755" s="92">
        <v>25.030000000000005</v>
      </c>
      <c r="B755" s="39">
        <v>25</v>
      </c>
      <c r="C755" s="39" t="s">
        <v>2421</v>
      </c>
      <c r="D755" s="39">
        <v>902</v>
      </c>
      <c r="E755" s="39">
        <v>4</v>
      </c>
      <c r="F755" s="39" t="s">
        <v>1179</v>
      </c>
    </row>
    <row r="756" spans="1:6" x14ac:dyDescent="0.2">
      <c r="A756" s="92">
        <v>25.040000000000006</v>
      </c>
      <c r="B756" s="39">
        <v>25</v>
      </c>
      <c r="C756" s="39" t="s">
        <v>2421</v>
      </c>
      <c r="D756" s="39">
        <v>904</v>
      </c>
      <c r="E756" s="39">
        <v>5</v>
      </c>
      <c r="F756" s="39" t="s">
        <v>1197</v>
      </c>
    </row>
    <row r="757" spans="1:6" x14ac:dyDescent="0.2">
      <c r="A757" s="92">
        <v>25.050000000000008</v>
      </c>
      <c r="B757" s="39">
        <v>25</v>
      </c>
      <c r="C757" s="39" t="s">
        <v>2421</v>
      </c>
      <c r="D757" s="39">
        <v>903</v>
      </c>
      <c r="E757" s="39">
        <v>6</v>
      </c>
      <c r="F757" s="39" t="s">
        <v>1195</v>
      </c>
    </row>
    <row r="758" spans="1:6" x14ac:dyDescent="0.2">
      <c r="A758" s="92">
        <v>25.060000000000009</v>
      </c>
      <c r="B758" s="39">
        <v>25</v>
      </c>
      <c r="C758" s="39" t="s">
        <v>2421</v>
      </c>
      <c r="D758" s="39">
        <v>902</v>
      </c>
      <c r="E758" s="39">
        <v>7</v>
      </c>
      <c r="F758" s="39" t="s">
        <v>1204</v>
      </c>
    </row>
    <row r="759" spans="1:6" x14ac:dyDescent="0.2">
      <c r="A759" s="92">
        <v>25.070000000000011</v>
      </c>
      <c r="B759" s="39">
        <v>25</v>
      </c>
      <c r="C759" s="39" t="s">
        <v>2421</v>
      </c>
      <c r="D759" s="39">
        <v>904</v>
      </c>
      <c r="E759" s="39">
        <v>8</v>
      </c>
      <c r="F759" s="39" t="s">
        <v>1228</v>
      </c>
    </row>
    <row r="760" spans="1:6" x14ac:dyDescent="0.2">
      <c r="A760" s="92">
        <v>25.080000000000013</v>
      </c>
      <c r="B760" s="39">
        <v>25</v>
      </c>
      <c r="C760" s="39" t="s">
        <v>2421</v>
      </c>
      <c r="D760" s="39">
        <v>903</v>
      </c>
      <c r="E760" s="39">
        <v>9</v>
      </c>
      <c r="F760" s="39" t="s">
        <v>1223</v>
      </c>
    </row>
    <row r="761" spans="1:6" x14ac:dyDescent="0.2">
      <c r="A761" s="92">
        <v>25.090000000000014</v>
      </c>
      <c r="B761" s="39">
        <v>25</v>
      </c>
      <c r="C761" s="39" t="s">
        <v>2421</v>
      </c>
      <c r="D761" s="39">
        <v>905</v>
      </c>
      <c r="E761" s="39">
        <v>10</v>
      </c>
      <c r="F761" s="39" t="s">
        <v>1232</v>
      </c>
    </row>
    <row r="762" spans="1:6" x14ac:dyDescent="0.2">
      <c r="A762" s="92">
        <v>25.100000000000016</v>
      </c>
      <c r="B762" s="39">
        <v>25</v>
      </c>
      <c r="C762" s="39" t="s">
        <v>2421</v>
      </c>
      <c r="D762" s="39">
        <v>905</v>
      </c>
      <c r="E762" s="39">
        <v>11</v>
      </c>
      <c r="F762" s="39" t="s">
        <v>1236</v>
      </c>
    </row>
    <row r="763" spans="1:6" x14ac:dyDescent="0.2">
      <c r="A763" s="92">
        <v>25.110000000000017</v>
      </c>
      <c r="B763" s="39">
        <v>25</v>
      </c>
      <c r="C763" s="39" t="s">
        <v>2421</v>
      </c>
      <c r="D763" s="39">
        <v>905</v>
      </c>
      <c r="E763" s="39">
        <v>12</v>
      </c>
      <c r="F763" s="39" t="s">
        <v>1237</v>
      </c>
    </row>
    <row r="764" spans="1:6" x14ac:dyDescent="0.2">
      <c r="A764" s="92">
        <v>25.120000000000019</v>
      </c>
      <c r="B764" s="39">
        <v>25</v>
      </c>
      <c r="C764" s="39" t="s">
        <v>2421</v>
      </c>
      <c r="D764" s="39">
        <v>905</v>
      </c>
      <c r="E764" s="39">
        <v>13</v>
      </c>
      <c r="F764" s="39" t="s">
        <v>1238</v>
      </c>
    </row>
    <row r="765" spans="1:6" x14ac:dyDescent="0.2">
      <c r="A765" s="92">
        <v>25.13000000000002</v>
      </c>
      <c r="B765" s="39">
        <v>25</v>
      </c>
      <c r="C765" s="39" t="s">
        <v>2421</v>
      </c>
      <c r="D765" s="39">
        <v>905</v>
      </c>
      <c r="E765" s="39">
        <v>14</v>
      </c>
      <c r="F765" s="39" t="s">
        <v>1239</v>
      </c>
    </row>
    <row r="766" spans="1:6" x14ac:dyDescent="0.2">
      <c r="A766" s="92">
        <v>25.140000000000022</v>
      </c>
      <c r="B766" s="39">
        <v>25</v>
      </c>
      <c r="C766" s="39" t="s">
        <v>2421</v>
      </c>
      <c r="D766" s="39">
        <v>905</v>
      </c>
      <c r="E766" s="39">
        <v>15</v>
      </c>
      <c r="F766" s="39" t="s">
        <v>1245</v>
      </c>
    </row>
    <row r="767" spans="1:6" x14ac:dyDescent="0.2">
      <c r="A767" s="92">
        <v>25.150000000000023</v>
      </c>
      <c r="B767" s="39">
        <v>25</v>
      </c>
      <c r="C767" s="39" t="s">
        <v>2421</v>
      </c>
      <c r="D767" s="39">
        <v>905</v>
      </c>
      <c r="E767" s="39">
        <v>16</v>
      </c>
      <c r="F767" s="39" t="s">
        <v>1246</v>
      </c>
    </row>
    <row r="768" spans="1:6" x14ac:dyDescent="0.2">
      <c r="A768" s="92">
        <v>25.160000000000025</v>
      </c>
      <c r="B768" s="39">
        <v>25</v>
      </c>
      <c r="C768" s="39" t="s">
        <v>2421</v>
      </c>
      <c r="D768" s="39">
        <v>905</v>
      </c>
      <c r="E768" s="39">
        <v>17</v>
      </c>
      <c r="F768" s="39" t="s">
        <v>1253</v>
      </c>
    </row>
    <row r="769" spans="1:6" x14ac:dyDescent="0.2">
      <c r="A769" s="92">
        <v>25.170000000000027</v>
      </c>
      <c r="B769" s="39">
        <v>25</v>
      </c>
      <c r="C769" s="39" t="s">
        <v>2421</v>
      </c>
      <c r="D769" s="39">
        <v>906</v>
      </c>
      <c r="E769" s="39">
        <v>20</v>
      </c>
      <c r="F769" s="39" t="s">
        <v>1260</v>
      </c>
    </row>
    <row r="770" spans="1:6" x14ac:dyDescent="0.2">
      <c r="A770" s="92">
        <v>25.180000000000028</v>
      </c>
      <c r="B770" s="39">
        <v>25</v>
      </c>
      <c r="C770" s="39" t="s">
        <v>2421</v>
      </c>
      <c r="D770" s="39">
        <v>906</v>
      </c>
      <c r="E770" s="39">
        <v>21</v>
      </c>
      <c r="F770" s="39" t="s">
        <v>1263</v>
      </c>
    </row>
    <row r="771" spans="1:6" x14ac:dyDescent="0.2">
      <c r="A771" s="92">
        <v>25.19000000000003</v>
      </c>
      <c r="B771" s="39">
        <v>25</v>
      </c>
      <c r="C771" s="39" t="s">
        <v>2421</v>
      </c>
      <c r="D771" s="39">
        <v>906</v>
      </c>
      <c r="E771" s="39">
        <v>22</v>
      </c>
      <c r="F771" s="39" t="s">
        <v>1264</v>
      </c>
    </row>
    <row r="772" spans="1:6" x14ac:dyDescent="0.2">
      <c r="A772" s="92">
        <v>25.200000000000031</v>
      </c>
      <c r="B772" s="39">
        <v>25</v>
      </c>
      <c r="C772" s="39" t="s">
        <v>2421</v>
      </c>
      <c r="D772" s="39">
        <v>906</v>
      </c>
      <c r="E772" s="39">
        <v>23</v>
      </c>
      <c r="F772" s="39" t="s">
        <v>1265</v>
      </c>
    </row>
    <row r="773" spans="1:6" x14ac:dyDescent="0.2">
      <c r="A773" s="92">
        <v>25.210000000000033</v>
      </c>
      <c r="B773" s="39">
        <v>25</v>
      </c>
      <c r="C773" s="39" t="s">
        <v>2421</v>
      </c>
      <c r="D773" s="39">
        <v>906</v>
      </c>
      <c r="E773" s="39">
        <v>24</v>
      </c>
      <c r="F773" s="39" t="s">
        <v>1266</v>
      </c>
    </row>
    <row r="774" spans="1:6" x14ac:dyDescent="0.2">
      <c r="A774" s="92">
        <v>25.220000000000034</v>
      </c>
      <c r="B774" s="39">
        <v>25</v>
      </c>
      <c r="C774" s="39" t="s">
        <v>2421</v>
      </c>
      <c r="D774" s="39">
        <v>906</v>
      </c>
      <c r="E774" s="39">
        <v>25</v>
      </c>
      <c r="F774" s="39" t="s">
        <v>1268</v>
      </c>
    </row>
    <row r="775" spans="1:6" x14ac:dyDescent="0.2">
      <c r="A775" s="92">
        <v>25.230000000000036</v>
      </c>
      <c r="B775" s="39">
        <v>25</v>
      </c>
      <c r="C775" s="39" t="s">
        <v>2421</v>
      </c>
      <c r="D775" s="39">
        <v>906</v>
      </c>
      <c r="E775" s="39">
        <v>26</v>
      </c>
      <c r="F775" s="39" t="s">
        <v>1276</v>
      </c>
    </row>
    <row r="776" spans="1:6" x14ac:dyDescent="0.2">
      <c r="A776" s="92">
        <v>25.240000000000038</v>
      </c>
      <c r="B776" s="39">
        <v>25</v>
      </c>
      <c r="C776" s="39" t="s">
        <v>2421</v>
      </c>
      <c r="D776" s="39">
        <v>906</v>
      </c>
      <c r="E776" s="39">
        <v>27</v>
      </c>
      <c r="F776" s="39" t="s">
        <v>1277</v>
      </c>
    </row>
    <row r="777" spans="1:6" x14ac:dyDescent="0.2">
      <c r="A777" s="92">
        <v>25.250000000000039</v>
      </c>
      <c r="B777" s="39">
        <v>25</v>
      </c>
      <c r="C777" s="39" t="s">
        <v>2421</v>
      </c>
      <c r="D777" s="39">
        <v>906</v>
      </c>
      <c r="E777" s="39">
        <v>28</v>
      </c>
      <c r="F777" s="39" t="s">
        <v>1278</v>
      </c>
    </row>
    <row r="778" spans="1:6" x14ac:dyDescent="0.2">
      <c r="A778" s="92">
        <v>25.260000000000041</v>
      </c>
      <c r="B778" s="39">
        <v>25</v>
      </c>
      <c r="C778" s="39" t="s">
        <v>2421</v>
      </c>
      <c r="D778" s="39">
        <v>906</v>
      </c>
      <c r="E778" s="39">
        <v>29</v>
      </c>
      <c r="F778" s="39" t="s">
        <v>1280</v>
      </c>
    </row>
    <row r="779" spans="1:6" x14ac:dyDescent="0.2">
      <c r="A779" s="92">
        <v>25.270000000000042</v>
      </c>
      <c r="B779" s="39">
        <v>25</v>
      </c>
      <c r="C779" s="39" t="s">
        <v>2421</v>
      </c>
      <c r="D779" s="39">
        <v>909</v>
      </c>
      <c r="E779" s="39">
        <v>36</v>
      </c>
      <c r="F779" s="39" t="s">
        <v>1294</v>
      </c>
    </row>
    <row r="780" spans="1:6" x14ac:dyDescent="0.2">
      <c r="A780" s="92">
        <v>25.280000000000044</v>
      </c>
      <c r="B780" s="39">
        <v>25</v>
      </c>
      <c r="C780" s="39" t="s">
        <v>2421</v>
      </c>
      <c r="D780" s="39">
        <v>905</v>
      </c>
      <c r="E780" s="39">
        <v>63</v>
      </c>
      <c r="F780" s="39" t="s">
        <v>1259</v>
      </c>
    </row>
    <row r="781" spans="1:6" x14ac:dyDescent="0.2">
      <c r="A781" s="92">
        <v>25.29</v>
      </c>
      <c r="B781" s="39">
        <v>25</v>
      </c>
      <c r="C781" s="39" t="s">
        <v>2421</v>
      </c>
      <c r="D781" s="39">
        <v>999</v>
      </c>
      <c r="E781" s="39">
        <v>99</v>
      </c>
      <c r="F781" s="39" t="s">
        <v>2553</v>
      </c>
    </row>
    <row r="782" spans="1:6" x14ac:dyDescent="0.2">
      <c r="A782" s="92">
        <v>26.01</v>
      </c>
      <c r="B782" s="39">
        <v>26</v>
      </c>
      <c r="C782" s="39" t="s">
        <v>2423</v>
      </c>
      <c r="D782" s="39">
        <v>902</v>
      </c>
      <c r="E782" s="39">
        <v>1</v>
      </c>
      <c r="F782" s="39" t="s">
        <v>1149</v>
      </c>
    </row>
    <row r="783" spans="1:6" x14ac:dyDescent="0.2">
      <c r="A783" s="92">
        <v>26.020000000000003</v>
      </c>
      <c r="B783" s="39">
        <v>26</v>
      </c>
      <c r="C783" s="39" t="s">
        <v>2423</v>
      </c>
      <c r="D783" s="39">
        <v>904</v>
      </c>
      <c r="E783" s="39">
        <v>2</v>
      </c>
      <c r="F783" s="39" t="s">
        <v>1167</v>
      </c>
    </row>
    <row r="784" spans="1:6" x14ac:dyDescent="0.2">
      <c r="A784" s="92">
        <v>26.030000000000005</v>
      </c>
      <c r="B784" s="39">
        <v>26</v>
      </c>
      <c r="C784" s="39" t="s">
        <v>2423</v>
      </c>
      <c r="D784" s="39">
        <v>903</v>
      </c>
      <c r="E784" s="39">
        <v>3</v>
      </c>
      <c r="F784" s="39" t="s">
        <v>1163</v>
      </c>
    </row>
    <row r="785" spans="1:6" x14ac:dyDescent="0.2">
      <c r="A785" s="92">
        <v>26.040000000000006</v>
      </c>
      <c r="B785" s="39">
        <v>26</v>
      </c>
      <c r="C785" s="39" t="s">
        <v>2423</v>
      </c>
      <c r="D785" s="39">
        <v>902</v>
      </c>
      <c r="E785" s="39">
        <v>4</v>
      </c>
      <c r="F785" s="39" t="s">
        <v>1179</v>
      </c>
    </row>
    <row r="786" spans="1:6" x14ac:dyDescent="0.2">
      <c r="A786" s="92">
        <v>26.050000000000008</v>
      </c>
      <c r="B786" s="39">
        <v>26</v>
      </c>
      <c r="C786" s="39" t="s">
        <v>2423</v>
      </c>
      <c r="D786" s="39">
        <v>904</v>
      </c>
      <c r="E786" s="39">
        <v>5</v>
      </c>
      <c r="F786" s="39" t="s">
        <v>1197</v>
      </c>
    </row>
    <row r="787" spans="1:6" x14ac:dyDescent="0.2">
      <c r="A787" s="92">
        <v>26.060000000000009</v>
      </c>
      <c r="B787" s="39">
        <v>26</v>
      </c>
      <c r="C787" s="39" t="s">
        <v>2423</v>
      </c>
      <c r="D787" s="39">
        <v>903</v>
      </c>
      <c r="E787" s="39">
        <v>6</v>
      </c>
      <c r="F787" s="39" t="s">
        <v>1195</v>
      </c>
    </row>
    <row r="788" spans="1:6" x14ac:dyDescent="0.2">
      <c r="A788" s="92">
        <v>26.070000000000011</v>
      </c>
      <c r="B788" s="39">
        <v>26</v>
      </c>
      <c r="C788" s="39" t="s">
        <v>2423</v>
      </c>
      <c r="D788" s="39">
        <v>902</v>
      </c>
      <c r="E788" s="39">
        <v>7</v>
      </c>
      <c r="F788" s="39" t="s">
        <v>1204</v>
      </c>
    </row>
    <row r="789" spans="1:6" x14ac:dyDescent="0.2">
      <c r="A789" s="92">
        <v>26.080000000000013</v>
      </c>
      <c r="B789" s="39">
        <v>26</v>
      </c>
      <c r="C789" s="39" t="s">
        <v>2423</v>
      </c>
      <c r="D789" s="39">
        <v>904</v>
      </c>
      <c r="E789" s="39">
        <v>8</v>
      </c>
      <c r="F789" s="39" t="s">
        <v>1228</v>
      </c>
    </row>
    <row r="790" spans="1:6" x14ac:dyDescent="0.2">
      <c r="A790" s="92">
        <v>26.090000000000014</v>
      </c>
      <c r="B790" s="39">
        <v>26</v>
      </c>
      <c r="C790" s="39" t="s">
        <v>2423</v>
      </c>
      <c r="D790" s="39">
        <v>903</v>
      </c>
      <c r="E790" s="39">
        <v>9</v>
      </c>
      <c r="F790" s="39" t="s">
        <v>1223</v>
      </c>
    </row>
    <row r="791" spans="1:6" x14ac:dyDescent="0.2">
      <c r="A791" s="92">
        <v>26.100000000000016</v>
      </c>
      <c r="B791" s="39">
        <v>26</v>
      </c>
      <c r="C791" s="39" t="s">
        <v>2423</v>
      </c>
      <c r="D791" s="39">
        <v>905</v>
      </c>
      <c r="E791" s="39">
        <v>10</v>
      </c>
      <c r="F791" s="39" t="s">
        <v>1232</v>
      </c>
    </row>
    <row r="792" spans="1:6" x14ac:dyDescent="0.2">
      <c r="A792" s="92">
        <v>26.110000000000017</v>
      </c>
      <c r="B792" s="39">
        <v>26</v>
      </c>
      <c r="C792" s="39" t="s">
        <v>2423</v>
      </c>
      <c r="D792" s="39">
        <v>905</v>
      </c>
      <c r="E792" s="39">
        <v>11</v>
      </c>
      <c r="F792" s="39" t="s">
        <v>1236</v>
      </c>
    </row>
    <row r="793" spans="1:6" x14ac:dyDescent="0.2">
      <c r="A793" s="92">
        <v>26.120000000000019</v>
      </c>
      <c r="B793" s="39">
        <v>26</v>
      </c>
      <c r="C793" s="39" t="s">
        <v>2423</v>
      </c>
      <c r="D793" s="39">
        <v>905</v>
      </c>
      <c r="E793" s="39">
        <v>12</v>
      </c>
      <c r="F793" s="39" t="s">
        <v>1237</v>
      </c>
    </row>
    <row r="794" spans="1:6" x14ac:dyDescent="0.2">
      <c r="A794" s="92">
        <v>26.13000000000002</v>
      </c>
      <c r="B794" s="39">
        <v>26</v>
      </c>
      <c r="C794" s="39" t="s">
        <v>2423</v>
      </c>
      <c r="D794" s="39">
        <v>905</v>
      </c>
      <c r="E794" s="39">
        <v>13</v>
      </c>
      <c r="F794" s="39" t="s">
        <v>1238</v>
      </c>
    </row>
    <row r="795" spans="1:6" x14ac:dyDescent="0.2">
      <c r="A795" s="92">
        <v>26.140000000000022</v>
      </c>
      <c r="B795" s="39">
        <v>26</v>
      </c>
      <c r="C795" s="39" t="s">
        <v>2423</v>
      </c>
      <c r="D795" s="39">
        <v>905</v>
      </c>
      <c r="E795" s="39">
        <v>14</v>
      </c>
      <c r="F795" s="39" t="s">
        <v>1239</v>
      </c>
    </row>
    <row r="796" spans="1:6" x14ac:dyDescent="0.2">
      <c r="A796" s="92">
        <v>26.150000000000023</v>
      </c>
      <c r="B796" s="39">
        <v>26</v>
      </c>
      <c r="C796" s="39" t="s">
        <v>2423</v>
      </c>
      <c r="D796" s="39">
        <v>905</v>
      </c>
      <c r="E796" s="39">
        <v>15</v>
      </c>
      <c r="F796" s="39" t="s">
        <v>1245</v>
      </c>
    </row>
    <row r="797" spans="1:6" x14ac:dyDescent="0.2">
      <c r="A797" s="92">
        <v>26.160000000000025</v>
      </c>
      <c r="B797" s="39">
        <v>26</v>
      </c>
      <c r="C797" s="39" t="s">
        <v>2423</v>
      </c>
      <c r="D797" s="39">
        <v>905</v>
      </c>
      <c r="E797" s="39">
        <v>16</v>
      </c>
      <c r="F797" s="39" t="s">
        <v>1246</v>
      </c>
    </row>
    <row r="798" spans="1:6" x14ac:dyDescent="0.2">
      <c r="A798" s="92">
        <v>26.170000000000027</v>
      </c>
      <c r="B798" s="39">
        <v>26</v>
      </c>
      <c r="C798" s="39" t="s">
        <v>2423</v>
      </c>
      <c r="D798" s="39">
        <v>905</v>
      </c>
      <c r="E798" s="39">
        <v>17</v>
      </c>
      <c r="F798" s="39" t="s">
        <v>1253</v>
      </c>
    </row>
    <row r="799" spans="1:6" x14ac:dyDescent="0.2">
      <c r="A799" s="92">
        <v>26.180000000000028</v>
      </c>
      <c r="B799" s="39">
        <v>26</v>
      </c>
      <c r="C799" s="39" t="s">
        <v>2423</v>
      </c>
      <c r="D799" s="39">
        <v>906</v>
      </c>
      <c r="E799" s="39">
        <v>20</v>
      </c>
      <c r="F799" s="39" t="s">
        <v>1260</v>
      </c>
    </row>
    <row r="800" spans="1:6" x14ac:dyDescent="0.2">
      <c r="A800" s="92">
        <v>26.19000000000003</v>
      </c>
      <c r="B800" s="39">
        <v>26</v>
      </c>
      <c r="C800" s="39" t="s">
        <v>2423</v>
      </c>
      <c r="D800" s="39">
        <v>906</v>
      </c>
      <c r="E800" s="39">
        <v>21</v>
      </c>
      <c r="F800" s="39" t="s">
        <v>1263</v>
      </c>
    </row>
    <row r="801" spans="1:6" x14ac:dyDescent="0.2">
      <c r="A801" s="92">
        <v>26.200000000000031</v>
      </c>
      <c r="B801" s="39">
        <v>26</v>
      </c>
      <c r="C801" s="39" t="s">
        <v>2423</v>
      </c>
      <c r="D801" s="39">
        <v>906</v>
      </c>
      <c r="E801" s="39">
        <v>22</v>
      </c>
      <c r="F801" s="39" t="s">
        <v>1264</v>
      </c>
    </row>
    <row r="802" spans="1:6" x14ac:dyDescent="0.2">
      <c r="A802" s="92">
        <v>26.210000000000033</v>
      </c>
      <c r="B802" s="39">
        <v>26</v>
      </c>
      <c r="C802" s="39" t="s">
        <v>2423</v>
      </c>
      <c r="D802" s="39">
        <v>906</v>
      </c>
      <c r="E802" s="39">
        <v>23</v>
      </c>
      <c r="F802" s="39" t="s">
        <v>1265</v>
      </c>
    </row>
    <row r="803" spans="1:6" x14ac:dyDescent="0.2">
      <c r="A803" s="92">
        <v>26.220000000000034</v>
      </c>
      <c r="B803" s="39">
        <v>26</v>
      </c>
      <c r="C803" s="39" t="s">
        <v>2423</v>
      </c>
      <c r="D803" s="39">
        <v>906</v>
      </c>
      <c r="E803" s="39">
        <v>24</v>
      </c>
      <c r="F803" s="39" t="s">
        <v>1266</v>
      </c>
    </row>
    <row r="804" spans="1:6" x14ac:dyDescent="0.2">
      <c r="A804" s="92">
        <v>26.230000000000036</v>
      </c>
      <c r="B804" s="39">
        <v>26</v>
      </c>
      <c r="C804" s="39" t="s">
        <v>2423</v>
      </c>
      <c r="D804" s="39">
        <v>906</v>
      </c>
      <c r="E804" s="39">
        <v>25</v>
      </c>
      <c r="F804" s="39" t="s">
        <v>1268</v>
      </c>
    </row>
    <row r="805" spans="1:6" x14ac:dyDescent="0.2">
      <c r="A805" s="92">
        <v>26.240000000000038</v>
      </c>
      <c r="B805" s="39">
        <v>26</v>
      </c>
      <c r="C805" s="39" t="s">
        <v>2423</v>
      </c>
      <c r="D805" s="39">
        <v>906</v>
      </c>
      <c r="E805" s="39">
        <v>26</v>
      </c>
      <c r="F805" s="39" t="s">
        <v>1276</v>
      </c>
    </row>
    <row r="806" spans="1:6" x14ac:dyDescent="0.2">
      <c r="A806" s="92">
        <v>26.250000000000039</v>
      </c>
      <c r="B806" s="39">
        <v>26</v>
      </c>
      <c r="C806" s="39" t="s">
        <v>2423</v>
      </c>
      <c r="D806" s="39">
        <v>906</v>
      </c>
      <c r="E806" s="39">
        <v>27</v>
      </c>
      <c r="F806" s="39" t="s">
        <v>1277</v>
      </c>
    </row>
    <row r="807" spans="1:6" x14ac:dyDescent="0.2">
      <c r="A807" s="92">
        <v>26.260000000000041</v>
      </c>
      <c r="B807" s="39">
        <v>26</v>
      </c>
      <c r="C807" s="39" t="s">
        <v>2423</v>
      </c>
      <c r="D807" s="39">
        <v>906</v>
      </c>
      <c r="E807" s="39">
        <v>28</v>
      </c>
      <c r="F807" s="39" t="s">
        <v>1278</v>
      </c>
    </row>
    <row r="808" spans="1:6" x14ac:dyDescent="0.2">
      <c r="A808" s="92">
        <v>26.270000000000042</v>
      </c>
      <c r="B808" s="39">
        <v>26</v>
      </c>
      <c r="C808" s="39" t="s">
        <v>2423</v>
      </c>
      <c r="D808" s="39">
        <v>906</v>
      </c>
      <c r="E808" s="39">
        <v>29</v>
      </c>
      <c r="F808" s="39" t="s">
        <v>1280</v>
      </c>
    </row>
    <row r="809" spans="1:6" x14ac:dyDescent="0.2">
      <c r="A809" s="92">
        <v>26.280000000000044</v>
      </c>
      <c r="B809" s="39">
        <v>26</v>
      </c>
      <c r="C809" s="39" t="s">
        <v>2423</v>
      </c>
      <c r="D809" s="39">
        <v>909</v>
      </c>
      <c r="E809" s="39">
        <v>36</v>
      </c>
      <c r="F809" s="39" t="s">
        <v>1294</v>
      </c>
    </row>
    <row r="810" spans="1:6" x14ac:dyDescent="0.2">
      <c r="A810" s="92">
        <v>26.290000000000045</v>
      </c>
      <c r="B810" s="39">
        <v>26</v>
      </c>
      <c r="C810" s="39" t="s">
        <v>2423</v>
      </c>
      <c r="D810" s="39">
        <v>905</v>
      </c>
      <c r="E810" s="39">
        <v>55</v>
      </c>
      <c r="F810" s="39" t="s">
        <v>1254</v>
      </c>
    </row>
    <row r="811" spans="1:6" x14ac:dyDescent="0.2">
      <c r="A811" s="92">
        <v>26.300000000000047</v>
      </c>
      <c r="B811" s="39">
        <v>26</v>
      </c>
      <c r="C811" s="39" t="s">
        <v>2423</v>
      </c>
      <c r="D811" s="39">
        <v>905</v>
      </c>
      <c r="E811" s="39">
        <v>63</v>
      </c>
      <c r="F811" s="39" t="s">
        <v>1259</v>
      </c>
    </row>
    <row r="812" spans="1:6" x14ac:dyDescent="0.2">
      <c r="A812" s="92">
        <v>26.31</v>
      </c>
      <c r="B812" s="39">
        <v>26</v>
      </c>
      <c r="C812" s="39" t="s">
        <v>2423</v>
      </c>
      <c r="D812" s="39">
        <v>999</v>
      </c>
      <c r="E812" s="39">
        <v>99</v>
      </c>
      <c r="F812" s="39" t="s">
        <v>2553</v>
      </c>
    </row>
    <row r="813" spans="1:6" x14ac:dyDescent="0.2">
      <c r="A813" s="92">
        <v>27.01</v>
      </c>
      <c r="B813" s="39">
        <v>27</v>
      </c>
      <c r="C813" s="39" t="s">
        <v>2425</v>
      </c>
      <c r="D813" s="39">
        <v>902</v>
      </c>
      <c r="E813" s="39">
        <v>1</v>
      </c>
      <c r="F813" s="39" t="s">
        <v>1149</v>
      </c>
    </row>
    <row r="814" spans="1:6" x14ac:dyDescent="0.2">
      <c r="A814" s="92">
        <v>27.020000000000003</v>
      </c>
      <c r="B814" s="39">
        <v>27</v>
      </c>
      <c r="C814" s="39" t="s">
        <v>2425</v>
      </c>
      <c r="D814" s="39">
        <v>904</v>
      </c>
      <c r="E814" s="39">
        <v>2</v>
      </c>
      <c r="F814" s="39" t="s">
        <v>1167</v>
      </c>
    </row>
    <row r="815" spans="1:6" x14ac:dyDescent="0.2">
      <c r="A815" s="92">
        <v>27.030000000000005</v>
      </c>
      <c r="B815" s="39">
        <v>27</v>
      </c>
      <c r="C815" s="39" t="s">
        <v>2425</v>
      </c>
      <c r="D815" s="39">
        <v>903</v>
      </c>
      <c r="E815" s="39">
        <v>3</v>
      </c>
      <c r="F815" s="39" t="s">
        <v>1163</v>
      </c>
    </row>
    <row r="816" spans="1:6" x14ac:dyDescent="0.2">
      <c r="A816" s="92">
        <v>27.040000000000006</v>
      </c>
      <c r="B816" s="39">
        <v>27</v>
      </c>
      <c r="C816" s="39" t="s">
        <v>2425</v>
      </c>
      <c r="D816" s="39">
        <v>902</v>
      </c>
      <c r="E816" s="39">
        <v>4</v>
      </c>
      <c r="F816" s="39" t="s">
        <v>1179</v>
      </c>
    </row>
    <row r="817" spans="1:6" x14ac:dyDescent="0.2">
      <c r="A817" s="92">
        <v>27.050000000000008</v>
      </c>
      <c r="B817" s="39">
        <v>27</v>
      </c>
      <c r="C817" s="39" t="s">
        <v>2425</v>
      </c>
      <c r="D817" s="39">
        <v>904</v>
      </c>
      <c r="E817" s="39">
        <v>5</v>
      </c>
      <c r="F817" s="39" t="s">
        <v>1197</v>
      </c>
    </row>
    <row r="818" spans="1:6" x14ac:dyDescent="0.2">
      <c r="A818" s="92">
        <v>27.060000000000009</v>
      </c>
      <c r="B818" s="39">
        <v>27</v>
      </c>
      <c r="C818" s="39" t="s">
        <v>2425</v>
      </c>
      <c r="D818" s="39">
        <v>903</v>
      </c>
      <c r="E818" s="39">
        <v>6</v>
      </c>
      <c r="F818" s="39" t="s">
        <v>1195</v>
      </c>
    </row>
    <row r="819" spans="1:6" x14ac:dyDescent="0.2">
      <c r="A819" s="92">
        <v>27.070000000000011</v>
      </c>
      <c r="B819" s="39">
        <v>27</v>
      </c>
      <c r="C819" s="39" t="s">
        <v>2425</v>
      </c>
      <c r="D819" s="39">
        <v>902</v>
      </c>
      <c r="E819" s="39">
        <v>7</v>
      </c>
      <c r="F819" s="39" t="s">
        <v>1204</v>
      </c>
    </row>
    <row r="820" spans="1:6" x14ac:dyDescent="0.2">
      <c r="A820" s="92">
        <v>27.080000000000013</v>
      </c>
      <c r="B820" s="39">
        <v>27</v>
      </c>
      <c r="C820" s="39" t="s">
        <v>2425</v>
      </c>
      <c r="D820" s="39">
        <v>904</v>
      </c>
      <c r="E820" s="39">
        <v>8</v>
      </c>
      <c r="F820" s="39" t="s">
        <v>1228</v>
      </c>
    </row>
    <row r="821" spans="1:6" x14ac:dyDescent="0.2">
      <c r="A821" s="92">
        <v>27.090000000000014</v>
      </c>
      <c r="B821" s="39">
        <v>27</v>
      </c>
      <c r="C821" s="39" t="s">
        <v>2425</v>
      </c>
      <c r="D821" s="39">
        <v>903</v>
      </c>
      <c r="E821" s="39">
        <v>9</v>
      </c>
      <c r="F821" s="39" t="s">
        <v>1223</v>
      </c>
    </row>
    <row r="822" spans="1:6" x14ac:dyDescent="0.2">
      <c r="A822" s="92">
        <v>27.100000000000016</v>
      </c>
      <c r="B822" s="39">
        <v>27</v>
      </c>
      <c r="C822" s="39" t="s">
        <v>2425</v>
      </c>
      <c r="D822" s="39">
        <v>905</v>
      </c>
      <c r="E822" s="39">
        <v>10</v>
      </c>
      <c r="F822" s="39" t="s">
        <v>1232</v>
      </c>
    </row>
    <row r="823" spans="1:6" x14ac:dyDescent="0.2">
      <c r="A823" s="92">
        <v>27.110000000000017</v>
      </c>
      <c r="B823" s="39">
        <v>27</v>
      </c>
      <c r="C823" s="39" t="s">
        <v>2425</v>
      </c>
      <c r="D823" s="39">
        <v>905</v>
      </c>
      <c r="E823" s="39">
        <v>11</v>
      </c>
      <c r="F823" s="39" t="s">
        <v>1236</v>
      </c>
    </row>
    <row r="824" spans="1:6" x14ac:dyDescent="0.2">
      <c r="A824" s="92">
        <v>27.120000000000019</v>
      </c>
      <c r="B824" s="39">
        <v>27</v>
      </c>
      <c r="C824" s="39" t="s">
        <v>2425</v>
      </c>
      <c r="D824" s="39">
        <v>905</v>
      </c>
      <c r="E824" s="39">
        <v>12</v>
      </c>
      <c r="F824" s="39" t="s">
        <v>1237</v>
      </c>
    </row>
    <row r="825" spans="1:6" x14ac:dyDescent="0.2">
      <c r="A825" s="92">
        <v>27.13000000000002</v>
      </c>
      <c r="B825" s="39">
        <v>27</v>
      </c>
      <c r="C825" s="39" t="s">
        <v>2425</v>
      </c>
      <c r="D825" s="39">
        <v>905</v>
      </c>
      <c r="E825" s="39">
        <v>13</v>
      </c>
      <c r="F825" s="39" t="s">
        <v>1238</v>
      </c>
    </row>
    <row r="826" spans="1:6" x14ac:dyDescent="0.2">
      <c r="A826" s="92">
        <v>27.140000000000022</v>
      </c>
      <c r="B826" s="39">
        <v>27</v>
      </c>
      <c r="C826" s="39" t="s">
        <v>2425</v>
      </c>
      <c r="D826" s="39">
        <v>905</v>
      </c>
      <c r="E826" s="39">
        <v>14</v>
      </c>
      <c r="F826" s="39" t="s">
        <v>1239</v>
      </c>
    </row>
    <row r="827" spans="1:6" x14ac:dyDescent="0.2">
      <c r="A827" s="92">
        <v>27.150000000000023</v>
      </c>
      <c r="B827" s="39">
        <v>27</v>
      </c>
      <c r="C827" s="39" t="s">
        <v>2425</v>
      </c>
      <c r="D827" s="39">
        <v>905</v>
      </c>
      <c r="E827" s="39">
        <v>15</v>
      </c>
      <c r="F827" s="39" t="s">
        <v>1245</v>
      </c>
    </row>
    <row r="828" spans="1:6" x14ac:dyDescent="0.2">
      <c r="A828" s="92">
        <v>27.160000000000025</v>
      </c>
      <c r="B828" s="39">
        <v>27</v>
      </c>
      <c r="C828" s="39" t="s">
        <v>2425</v>
      </c>
      <c r="D828" s="39">
        <v>905</v>
      </c>
      <c r="E828" s="39">
        <v>16</v>
      </c>
      <c r="F828" s="39" t="s">
        <v>1246</v>
      </c>
    </row>
    <row r="829" spans="1:6" x14ac:dyDescent="0.2">
      <c r="A829" s="92">
        <v>27.170000000000027</v>
      </c>
      <c r="B829" s="39">
        <v>27</v>
      </c>
      <c r="C829" s="39" t="s">
        <v>2425</v>
      </c>
      <c r="D829" s="39">
        <v>905</v>
      </c>
      <c r="E829" s="39">
        <v>17</v>
      </c>
      <c r="F829" s="39" t="s">
        <v>1253</v>
      </c>
    </row>
    <row r="830" spans="1:6" x14ac:dyDescent="0.2">
      <c r="A830" s="92">
        <v>27.180000000000028</v>
      </c>
      <c r="B830" s="39">
        <v>27</v>
      </c>
      <c r="C830" s="39" t="s">
        <v>2425</v>
      </c>
      <c r="D830" s="39">
        <v>906</v>
      </c>
      <c r="E830" s="39">
        <v>20</v>
      </c>
      <c r="F830" s="39" t="s">
        <v>1260</v>
      </c>
    </row>
    <row r="831" spans="1:6" x14ac:dyDescent="0.2">
      <c r="A831" s="92">
        <v>27.19000000000003</v>
      </c>
      <c r="B831" s="39">
        <v>27</v>
      </c>
      <c r="C831" s="39" t="s">
        <v>2425</v>
      </c>
      <c r="D831" s="39">
        <v>906</v>
      </c>
      <c r="E831" s="39">
        <v>21</v>
      </c>
      <c r="F831" s="39" t="s">
        <v>1263</v>
      </c>
    </row>
    <row r="832" spans="1:6" x14ac:dyDescent="0.2">
      <c r="A832" s="92">
        <v>27.200000000000031</v>
      </c>
      <c r="B832" s="39">
        <v>27</v>
      </c>
      <c r="C832" s="39" t="s">
        <v>2425</v>
      </c>
      <c r="D832" s="39">
        <v>906</v>
      </c>
      <c r="E832" s="39">
        <v>22</v>
      </c>
      <c r="F832" s="39" t="s">
        <v>1264</v>
      </c>
    </row>
    <row r="833" spans="1:6" x14ac:dyDescent="0.2">
      <c r="A833" s="92">
        <v>27.210000000000033</v>
      </c>
      <c r="B833" s="39">
        <v>27</v>
      </c>
      <c r="C833" s="39" t="s">
        <v>2425</v>
      </c>
      <c r="D833" s="39">
        <v>906</v>
      </c>
      <c r="E833" s="39">
        <v>23</v>
      </c>
      <c r="F833" s="39" t="s">
        <v>1265</v>
      </c>
    </row>
    <row r="834" spans="1:6" x14ac:dyDescent="0.2">
      <c r="A834" s="92">
        <v>27.220000000000034</v>
      </c>
      <c r="B834" s="39">
        <v>27</v>
      </c>
      <c r="C834" s="39" t="s">
        <v>2425</v>
      </c>
      <c r="D834" s="39">
        <v>906</v>
      </c>
      <c r="E834" s="39">
        <v>24</v>
      </c>
      <c r="F834" s="39" t="s">
        <v>1266</v>
      </c>
    </row>
    <row r="835" spans="1:6" x14ac:dyDescent="0.2">
      <c r="A835" s="92">
        <v>27.230000000000036</v>
      </c>
      <c r="B835" s="39">
        <v>27</v>
      </c>
      <c r="C835" s="39" t="s">
        <v>2425</v>
      </c>
      <c r="D835" s="39">
        <v>906</v>
      </c>
      <c r="E835" s="39">
        <v>25</v>
      </c>
      <c r="F835" s="39" t="s">
        <v>1268</v>
      </c>
    </row>
    <row r="836" spans="1:6" x14ac:dyDescent="0.2">
      <c r="A836" s="92">
        <v>27.240000000000038</v>
      </c>
      <c r="B836" s="39">
        <v>27</v>
      </c>
      <c r="C836" s="39" t="s">
        <v>2425</v>
      </c>
      <c r="D836" s="39">
        <v>906</v>
      </c>
      <c r="E836" s="39">
        <v>26</v>
      </c>
      <c r="F836" s="39" t="s">
        <v>1276</v>
      </c>
    </row>
    <row r="837" spans="1:6" x14ac:dyDescent="0.2">
      <c r="A837" s="92">
        <v>27.250000000000039</v>
      </c>
      <c r="B837" s="39">
        <v>27</v>
      </c>
      <c r="C837" s="39" t="s">
        <v>2425</v>
      </c>
      <c r="D837" s="39">
        <v>906</v>
      </c>
      <c r="E837" s="39">
        <v>27</v>
      </c>
      <c r="F837" s="39" t="s">
        <v>1277</v>
      </c>
    </row>
    <row r="838" spans="1:6" x14ac:dyDescent="0.2">
      <c r="A838" s="92">
        <v>27.260000000000041</v>
      </c>
      <c r="B838" s="39">
        <v>27</v>
      </c>
      <c r="C838" s="39" t="s">
        <v>2425</v>
      </c>
      <c r="D838" s="39">
        <v>906</v>
      </c>
      <c r="E838" s="39">
        <v>28</v>
      </c>
      <c r="F838" s="39" t="s">
        <v>1278</v>
      </c>
    </row>
    <row r="839" spans="1:6" x14ac:dyDescent="0.2">
      <c r="A839" s="92">
        <v>27.270000000000042</v>
      </c>
      <c r="B839" s="39">
        <v>27</v>
      </c>
      <c r="C839" s="39" t="s">
        <v>2425</v>
      </c>
      <c r="D839" s="39">
        <v>906</v>
      </c>
      <c r="E839" s="39">
        <v>29</v>
      </c>
      <c r="F839" s="39" t="s">
        <v>1280</v>
      </c>
    </row>
    <row r="840" spans="1:6" x14ac:dyDescent="0.2">
      <c r="A840" s="92">
        <v>27.280000000000044</v>
      </c>
      <c r="B840" s="39">
        <v>27</v>
      </c>
      <c r="C840" s="39" t="s">
        <v>2425</v>
      </c>
      <c r="D840" s="39">
        <v>909</v>
      </c>
      <c r="E840" s="39">
        <v>36</v>
      </c>
      <c r="F840" s="39" t="s">
        <v>1294</v>
      </c>
    </row>
    <row r="841" spans="1:6" x14ac:dyDescent="0.2">
      <c r="A841" s="92">
        <v>27.290000000000045</v>
      </c>
      <c r="B841" s="39">
        <v>27</v>
      </c>
      <c r="C841" s="39" t="s">
        <v>2425</v>
      </c>
      <c r="D841" s="39">
        <v>905</v>
      </c>
      <c r="E841" s="39">
        <v>55</v>
      </c>
      <c r="F841" s="39" t="s">
        <v>1254</v>
      </c>
    </row>
    <row r="842" spans="1:6" x14ac:dyDescent="0.2">
      <c r="A842" s="92">
        <v>27.300000000000047</v>
      </c>
      <c r="B842" s="39">
        <v>27</v>
      </c>
      <c r="C842" s="39" t="s">
        <v>2425</v>
      </c>
      <c r="D842" s="39">
        <v>905</v>
      </c>
      <c r="E842" s="39">
        <v>63</v>
      </c>
      <c r="F842" s="39" t="s">
        <v>1259</v>
      </c>
    </row>
    <row r="843" spans="1:6" x14ac:dyDescent="0.2">
      <c r="A843" s="92">
        <v>27.31</v>
      </c>
      <c r="B843" s="39">
        <v>27</v>
      </c>
      <c r="C843" s="39" t="s">
        <v>2425</v>
      </c>
      <c r="D843" s="39">
        <v>999</v>
      </c>
      <c r="E843" s="39">
        <v>99</v>
      </c>
      <c r="F843" s="39" t="s">
        <v>2553</v>
      </c>
    </row>
    <row r="844" spans="1:6" x14ac:dyDescent="0.2">
      <c r="A844" s="92">
        <v>28.01</v>
      </c>
      <c r="B844" s="39">
        <v>28</v>
      </c>
      <c r="C844" s="39" t="s">
        <v>2427</v>
      </c>
      <c r="D844" s="39">
        <v>902</v>
      </c>
      <c r="E844" s="39">
        <v>1</v>
      </c>
      <c r="F844" s="39" t="s">
        <v>1149</v>
      </c>
    </row>
    <row r="845" spans="1:6" x14ac:dyDescent="0.2">
      <c r="A845" s="92">
        <v>28.020000000000003</v>
      </c>
      <c r="B845" s="39">
        <v>28</v>
      </c>
      <c r="C845" s="39" t="s">
        <v>2427</v>
      </c>
      <c r="D845" s="39">
        <v>904</v>
      </c>
      <c r="E845" s="39">
        <v>2</v>
      </c>
      <c r="F845" s="39" t="s">
        <v>1167</v>
      </c>
    </row>
    <row r="846" spans="1:6" x14ac:dyDescent="0.2">
      <c r="A846" s="92">
        <v>28.030000000000005</v>
      </c>
      <c r="B846" s="39">
        <v>28</v>
      </c>
      <c r="C846" s="39" t="s">
        <v>2427</v>
      </c>
      <c r="D846" s="39">
        <v>903</v>
      </c>
      <c r="E846" s="39">
        <v>3</v>
      </c>
      <c r="F846" s="39" t="s">
        <v>1163</v>
      </c>
    </row>
    <row r="847" spans="1:6" x14ac:dyDescent="0.2">
      <c r="A847" s="92">
        <v>28.040000000000006</v>
      </c>
      <c r="B847" s="39">
        <v>28</v>
      </c>
      <c r="C847" s="39" t="s">
        <v>2427</v>
      </c>
      <c r="D847" s="39">
        <v>902</v>
      </c>
      <c r="E847" s="39">
        <v>4</v>
      </c>
      <c r="F847" s="39" t="s">
        <v>1179</v>
      </c>
    </row>
    <row r="848" spans="1:6" x14ac:dyDescent="0.2">
      <c r="A848" s="92">
        <v>28.050000000000008</v>
      </c>
      <c r="B848" s="39">
        <v>28</v>
      </c>
      <c r="C848" s="39" t="s">
        <v>2427</v>
      </c>
      <c r="D848" s="39">
        <v>904</v>
      </c>
      <c r="E848" s="39">
        <v>5</v>
      </c>
      <c r="F848" s="39" t="s">
        <v>1197</v>
      </c>
    </row>
    <row r="849" spans="1:6" x14ac:dyDescent="0.2">
      <c r="A849" s="92">
        <v>28.060000000000009</v>
      </c>
      <c r="B849" s="39">
        <v>28</v>
      </c>
      <c r="C849" s="39" t="s">
        <v>2427</v>
      </c>
      <c r="D849" s="39">
        <v>903</v>
      </c>
      <c r="E849" s="39">
        <v>6</v>
      </c>
      <c r="F849" s="39" t="s">
        <v>1195</v>
      </c>
    </row>
    <row r="850" spans="1:6" x14ac:dyDescent="0.2">
      <c r="A850" s="92">
        <v>28.070000000000011</v>
      </c>
      <c r="B850" s="39">
        <v>28</v>
      </c>
      <c r="C850" s="39" t="s">
        <v>2427</v>
      </c>
      <c r="D850" s="39">
        <v>902</v>
      </c>
      <c r="E850" s="39">
        <v>7</v>
      </c>
      <c r="F850" s="39" t="s">
        <v>1204</v>
      </c>
    </row>
    <row r="851" spans="1:6" x14ac:dyDescent="0.2">
      <c r="A851" s="92">
        <v>28.080000000000013</v>
      </c>
      <c r="B851" s="39">
        <v>28</v>
      </c>
      <c r="C851" s="39" t="s">
        <v>2427</v>
      </c>
      <c r="D851" s="39">
        <v>904</v>
      </c>
      <c r="E851" s="39">
        <v>8</v>
      </c>
      <c r="F851" s="39" t="s">
        <v>1228</v>
      </c>
    </row>
    <row r="852" spans="1:6" x14ac:dyDescent="0.2">
      <c r="A852" s="92">
        <v>28.090000000000014</v>
      </c>
      <c r="B852" s="39">
        <v>28</v>
      </c>
      <c r="C852" s="39" t="s">
        <v>2427</v>
      </c>
      <c r="D852" s="39">
        <v>903</v>
      </c>
      <c r="E852" s="39">
        <v>9</v>
      </c>
      <c r="F852" s="39" t="s">
        <v>1223</v>
      </c>
    </row>
    <row r="853" spans="1:6" x14ac:dyDescent="0.2">
      <c r="A853" s="92">
        <v>28.100000000000016</v>
      </c>
      <c r="B853" s="39">
        <v>28</v>
      </c>
      <c r="C853" s="39" t="s">
        <v>2427</v>
      </c>
      <c r="D853" s="39">
        <v>905</v>
      </c>
      <c r="E853" s="39">
        <v>10</v>
      </c>
      <c r="F853" s="39" t="s">
        <v>1232</v>
      </c>
    </row>
    <row r="854" spans="1:6" x14ac:dyDescent="0.2">
      <c r="A854" s="92">
        <v>28.110000000000017</v>
      </c>
      <c r="B854" s="39">
        <v>28</v>
      </c>
      <c r="C854" s="39" t="s">
        <v>2427</v>
      </c>
      <c r="D854" s="39">
        <v>905</v>
      </c>
      <c r="E854" s="39">
        <v>11</v>
      </c>
      <c r="F854" s="39" t="s">
        <v>1236</v>
      </c>
    </row>
    <row r="855" spans="1:6" x14ac:dyDescent="0.2">
      <c r="A855" s="92">
        <v>28.120000000000019</v>
      </c>
      <c r="B855" s="39">
        <v>28</v>
      </c>
      <c r="C855" s="39" t="s">
        <v>2427</v>
      </c>
      <c r="D855" s="39">
        <v>905</v>
      </c>
      <c r="E855" s="39">
        <v>12</v>
      </c>
      <c r="F855" s="39" t="s">
        <v>1237</v>
      </c>
    </row>
    <row r="856" spans="1:6" x14ac:dyDescent="0.2">
      <c r="A856" s="92">
        <v>28.13000000000002</v>
      </c>
      <c r="B856" s="39">
        <v>28</v>
      </c>
      <c r="C856" s="39" t="s">
        <v>2427</v>
      </c>
      <c r="D856" s="39">
        <v>905</v>
      </c>
      <c r="E856" s="39">
        <v>13</v>
      </c>
      <c r="F856" s="39" t="s">
        <v>1238</v>
      </c>
    </row>
    <row r="857" spans="1:6" x14ac:dyDescent="0.2">
      <c r="A857" s="92">
        <v>28.140000000000022</v>
      </c>
      <c r="B857" s="39">
        <v>28</v>
      </c>
      <c r="C857" s="39" t="s">
        <v>2427</v>
      </c>
      <c r="D857" s="39">
        <v>905</v>
      </c>
      <c r="E857" s="39">
        <v>14</v>
      </c>
      <c r="F857" s="39" t="s">
        <v>1239</v>
      </c>
    </row>
    <row r="858" spans="1:6" x14ac:dyDescent="0.2">
      <c r="A858" s="92">
        <v>28.150000000000023</v>
      </c>
      <c r="B858" s="39">
        <v>28</v>
      </c>
      <c r="C858" s="39" t="s">
        <v>2427</v>
      </c>
      <c r="D858" s="39">
        <v>905</v>
      </c>
      <c r="E858" s="39">
        <v>15</v>
      </c>
      <c r="F858" s="39" t="s">
        <v>1245</v>
      </c>
    </row>
    <row r="859" spans="1:6" x14ac:dyDescent="0.2">
      <c r="A859" s="92">
        <v>28.160000000000025</v>
      </c>
      <c r="B859" s="39">
        <v>28</v>
      </c>
      <c r="C859" s="39" t="s">
        <v>2427</v>
      </c>
      <c r="D859" s="39">
        <v>905</v>
      </c>
      <c r="E859" s="39">
        <v>16</v>
      </c>
      <c r="F859" s="39" t="s">
        <v>1246</v>
      </c>
    </row>
    <row r="860" spans="1:6" x14ac:dyDescent="0.2">
      <c r="A860" s="92">
        <v>28.170000000000027</v>
      </c>
      <c r="B860" s="39">
        <v>28</v>
      </c>
      <c r="C860" s="39" t="s">
        <v>2427</v>
      </c>
      <c r="D860" s="39">
        <v>905</v>
      </c>
      <c r="E860" s="39">
        <v>17</v>
      </c>
      <c r="F860" s="39" t="s">
        <v>1253</v>
      </c>
    </row>
    <row r="861" spans="1:6" x14ac:dyDescent="0.2">
      <c r="A861" s="92">
        <v>28.180000000000028</v>
      </c>
      <c r="B861" s="39">
        <v>28</v>
      </c>
      <c r="C861" s="39" t="s">
        <v>2427</v>
      </c>
      <c r="D861" s="39">
        <v>906</v>
      </c>
      <c r="E861" s="39">
        <v>20</v>
      </c>
      <c r="F861" s="39" t="s">
        <v>1260</v>
      </c>
    </row>
    <row r="862" spans="1:6" x14ac:dyDescent="0.2">
      <c r="A862" s="92">
        <v>28.19000000000003</v>
      </c>
      <c r="B862" s="39">
        <v>28</v>
      </c>
      <c r="C862" s="39" t="s">
        <v>2427</v>
      </c>
      <c r="D862" s="39">
        <v>906</v>
      </c>
      <c r="E862" s="39">
        <v>21</v>
      </c>
      <c r="F862" s="39" t="s">
        <v>1263</v>
      </c>
    </row>
    <row r="863" spans="1:6" x14ac:dyDescent="0.2">
      <c r="A863" s="92">
        <v>28.200000000000031</v>
      </c>
      <c r="B863" s="39">
        <v>28</v>
      </c>
      <c r="C863" s="39" t="s">
        <v>2427</v>
      </c>
      <c r="D863" s="39">
        <v>906</v>
      </c>
      <c r="E863" s="39">
        <v>22</v>
      </c>
      <c r="F863" s="39" t="s">
        <v>1264</v>
      </c>
    </row>
    <row r="864" spans="1:6" x14ac:dyDescent="0.2">
      <c r="A864" s="92">
        <v>28.210000000000033</v>
      </c>
      <c r="B864" s="39">
        <v>28</v>
      </c>
      <c r="C864" s="39" t="s">
        <v>2427</v>
      </c>
      <c r="D864" s="39">
        <v>906</v>
      </c>
      <c r="E864" s="39">
        <v>23</v>
      </c>
      <c r="F864" s="39" t="s">
        <v>1265</v>
      </c>
    </row>
    <row r="865" spans="1:6" x14ac:dyDescent="0.2">
      <c r="A865" s="92">
        <v>28.220000000000034</v>
      </c>
      <c r="B865" s="39">
        <v>28</v>
      </c>
      <c r="C865" s="39" t="s">
        <v>2427</v>
      </c>
      <c r="D865" s="39">
        <v>906</v>
      </c>
      <c r="E865" s="39">
        <v>24</v>
      </c>
      <c r="F865" s="39" t="s">
        <v>1266</v>
      </c>
    </row>
    <row r="866" spans="1:6" x14ac:dyDescent="0.2">
      <c r="A866" s="92">
        <v>28.230000000000036</v>
      </c>
      <c r="B866" s="39">
        <v>28</v>
      </c>
      <c r="C866" s="39" t="s">
        <v>2427</v>
      </c>
      <c r="D866" s="39">
        <v>906</v>
      </c>
      <c r="E866" s="39">
        <v>25</v>
      </c>
      <c r="F866" s="39" t="s">
        <v>1268</v>
      </c>
    </row>
    <row r="867" spans="1:6" x14ac:dyDescent="0.2">
      <c r="A867" s="92">
        <v>28.240000000000038</v>
      </c>
      <c r="B867" s="39">
        <v>28</v>
      </c>
      <c r="C867" s="39" t="s">
        <v>2427</v>
      </c>
      <c r="D867" s="39">
        <v>906</v>
      </c>
      <c r="E867" s="39">
        <v>26</v>
      </c>
      <c r="F867" s="39" t="s">
        <v>1276</v>
      </c>
    </row>
    <row r="868" spans="1:6" x14ac:dyDescent="0.2">
      <c r="A868" s="92">
        <v>28.250000000000039</v>
      </c>
      <c r="B868" s="39">
        <v>28</v>
      </c>
      <c r="C868" s="39" t="s">
        <v>2427</v>
      </c>
      <c r="D868" s="39">
        <v>906</v>
      </c>
      <c r="E868" s="39">
        <v>27</v>
      </c>
      <c r="F868" s="39" t="s">
        <v>1277</v>
      </c>
    </row>
    <row r="869" spans="1:6" x14ac:dyDescent="0.2">
      <c r="A869" s="92">
        <v>28.260000000000041</v>
      </c>
      <c r="B869" s="39">
        <v>28</v>
      </c>
      <c r="C869" s="39" t="s">
        <v>2427</v>
      </c>
      <c r="D869" s="39">
        <v>906</v>
      </c>
      <c r="E869" s="39">
        <v>28</v>
      </c>
      <c r="F869" s="39" t="s">
        <v>1278</v>
      </c>
    </row>
    <row r="870" spans="1:6" x14ac:dyDescent="0.2">
      <c r="A870" s="92">
        <v>28.270000000000042</v>
      </c>
      <c r="B870" s="39">
        <v>28</v>
      </c>
      <c r="C870" s="39" t="s">
        <v>2427</v>
      </c>
      <c r="D870" s="39">
        <v>906</v>
      </c>
      <c r="E870" s="39">
        <v>29</v>
      </c>
      <c r="F870" s="39" t="s">
        <v>1280</v>
      </c>
    </row>
    <row r="871" spans="1:6" x14ac:dyDescent="0.2">
      <c r="A871" s="92">
        <v>28.280000000000044</v>
      </c>
      <c r="B871" s="39">
        <v>28</v>
      </c>
      <c r="C871" s="39" t="s">
        <v>2427</v>
      </c>
      <c r="D871" s="39">
        <v>909</v>
      </c>
      <c r="E871" s="39">
        <v>36</v>
      </c>
      <c r="F871" s="39" t="s">
        <v>1294</v>
      </c>
    </row>
    <row r="872" spans="1:6" x14ac:dyDescent="0.2">
      <c r="A872" s="92">
        <v>28.290000000000045</v>
      </c>
      <c r="B872" s="39">
        <v>28</v>
      </c>
      <c r="C872" s="39" t="s">
        <v>2427</v>
      </c>
      <c r="D872" s="39">
        <v>905</v>
      </c>
      <c r="E872" s="39">
        <v>63</v>
      </c>
      <c r="F872" s="39" t="s">
        <v>1259</v>
      </c>
    </row>
    <row r="873" spans="1:6" x14ac:dyDescent="0.2">
      <c r="A873" s="92">
        <v>28.3</v>
      </c>
      <c r="B873" s="39">
        <v>28</v>
      </c>
      <c r="C873" s="39" t="s">
        <v>2427</v>
      </c>
      <c r="D873" s="39">
        <v>999</v>
      </c>
      <c r="E873" s="39">
        <v>99</v>
      </c>
      <c r="F873" s="39" t="s">
        <v>2553</v>
      </c>
    </row>
    <row r="874" spans="1:6" x14ac:dyDescent="0.2">
      <c r="A874" s="92">
        <v>29.01</v>
      </c>
      <c r="B874" s="39">
        <v>29</v>
      </c>
      <c r="C874" s="39" t="s">
        <v>2429</v>
      </c>
      <c r="D874" s="39">
        <v>902</v>
      </c>
      <c r="E874" s="39">
        <v>1</v>
      </c>
      <c r="F874" s="39" t="s">
        <v>1149</v>
      </c>
    </row>
    <row r="875" spans="1:6" x14ac:dyDescent="0.2">
      <c r="A875" s="92">
        <v>29.020000000000003</v>
      </c>
      <c r="B875" s="39">
        <v>29</v>
      </c>
      <c r="C875" s="39" t="s">
        <v>2429</v>
      </c>
      <c r="D875" s="39">
        <v>904</v>
      </c>
      <c r="E875" s="39">
        <v>2</v>
      </c>
      <c r="F875" s="39" t="s">
        <v>1167</v>
      </c>
    </row>
    <row r="876" spans="1:6" x14ac:dyDescent="0.2">
      <c r="A876" s="92">
        <v>29.030000000000005</v>
      </c>
      <c r="B876" s="39">
        <v>29</v>
      </c>
      <c r="C876" s="39" t="s">
        <v>2429</v>
      </c>
      <c r="D876" s="39">
        <v>903</v>
      </c>
      <c r="E876" s="39">
        <v>3</v>
      </c>
      <c r="F876" s="39" t="s">
        <v>1163</v>
      </c>
    </row>
    <row r="877" spans="1:6" x14ac:dyDescent="0.2">
      <c r="A877" s="92">
        <v>29.040000000000006</v>
      </c>
      <c r="B877" s="39">
        <v>29</v>
      </c>
      <c r="C877" s="39" t="s">
        <v>2429</v>
      </c>
      <c r="D877" s="39">
        <v>902</v>
      </c>
      <c r="E877" s="39">
        <v>4</v>
      </c>
      <c r="F877" s="39" t="s">
        <v>1179</v>
      </c>
    </row>
    <row r="878" spans="1:6" x14ac:dyDescent="0.2">
      <c r="A878" s="92">
        <v>29.050000000000008</v>
      </c>
      <c r="B878" s="39">
        <v>29</v>
      </c>
      <c r="C878" s="39" t="s">
        <v>2429</v>
      </c>
      <c r="D878" s="39">
        <v>904</v>
      </c>
      <c r="E878" s="39">
        <v>5</v>
      </c>
      <c r="F878" s="39" t="s">
        <v>1197</v>
      </c>
    </row>
    <row r="879" spans="1:6" x14ac:dyDescent="0.2">
      <c r="A879" s="92">
        <v>29.060000000000009</v>
      </c>
      <c r="B879" s="39">
        <v>29</v>
      </c>
      <c r="C879" s="39" t="s">
        <v>2429</v>
      </c>
      <c r="D879" s="39">
        <v>903</v>
      </c>
      <c r="E879" s="39">
        <v>6</v>
      </c>
      <c r="F879" s="39" t="s">
        <v>1195</v>
      </c>
    </row>
    <row r="880" spans="1:6" x14ac:dyDescent="0.2">
      <c r="A880" s="92">
        <v>29.070000000000011</v>
      </c>
      <c r="B880" s="39">
        <v>29</v>
      </c>
      <c r="C880" s="39" t="s">
        <v>2429</v>
      </c>
      <c r="D880" s="39">
        <v>902</v>
      </c>
      <c r="E880" s="39">
        <v>7</v>
      </c>
      <c r="F880" s="39" t="s">
        <v>1204</v>
      </c>
    </row>
    <row r="881" spans="1:6" x14ac:dyDescent="0.2">
      <c r="A881" s="92">
        <v>29.080000000000013</v>
      </c>
      <c r="B881" s="39">
        <v>29</v>
      </c>
      <c r="C881" s="39" t="s">
        <v>2429</v>
      </c>
      <c r="D881" s="39">
        <v>904</v>
      </c>
      <c r="E881" s="39">
        <v>8</v>
      </c>
      <c r="F881" s="39" t="s">
        <v>1228</v>
      </c>
    </row>
    <row r="882" spans="1:6" x14ac:dyDescent="0.2">
      <c r="A882" s="92">
        <v>29.090000000000014</v>
      </c>
      <c r="B882" s="39">
        <v>29</v>
      </c>
      <c r="C882" s="39" t="s">
        <v>2429</v>
      </c>
      <c r="D882" s="39">
        <v>903</v>
      </c>
      <c r="E882" s="39">
        <v>9</v>
      </c>
      <c r="F882" s="39" t="s">
        <v>1223</v>
      </c>
    </row>
    <row r="883" spans="1:6" x14ac:dyDescent="0.2">
      <c r="A883" s="92">
        <v>29.100000000000016</v>
      </c>
      <c r="B883" s="39">
        <v>29</v>
      </c>
      <c r="C883" s="39" t="s">
        <v>2429</v>
      </c>
      <c r="D883" s="39">
        <v>905</v>
      </c>
      <c r="E883" s="39">
        <v>10</v>
      </c>
      <c r="F883" s="39" t="s">
        <v>1232</v>
      </c>
    </row>
    <row r="884" spans="1:6" x14ac:dyDescent="0.2">
      <c r="A884" s="92">
        <v>29.110000000000017</v>
      </c>
      <c r="B884" s="39">
        <v>29</v>
      </c>
      <c r="C884" s="39" t="s">
        <v>2429</v>
      </c>
      <c r="D884" s="39">
        <v>905</v>
      </c>
      <c r="E884" s="39">
        <v>11</v>
      </c>
      <c r="F884" s="39" t="s">
        <v>1236</v>
      </c>
    </row>
    <row r="885" spans="1:6" x14ac:dyDescent="0.2">
      <c r="A885" s="92">
        <v>29.120000000000019</v>
      </c>
      <c r="B885" s="39">
        <v>29</v>
      </c>
      <c r="C885" s="39" t="s">
        <v>2429</v>
      </c>
      <c r="D885" s="39">
        <v>905</v>
      </c>
      <c r="E885" s="39">
        <v>12</v>
      </c>
      <c r="F885" s="39" t="s">
        <v>1237</v>
      </c>
    </row>
    <row r="886" spans="1:6" x14ac:dyDescent="0.2">
      <c r="A886" s="92">
        <v>29.13000000000002</v>
      </c>
      <c r="B886" s="39">
        <v>29</v>
      </c>
      <c r="C886" s="39" t="s">
        <v>2429</v>
      </c>
      <c r="D886" s="39">
        <v>905</v>
      </c>
      <c r="E886" s="39">
        <v>13</v>
      </c>
      <c r="F886" s="39" t="s">
        <v>1238</v>
      </c>
    </row>
    <row r="887" spans="1:6" x14ac:dyDescent="0.2">
      <c r="A887" s="92">
        <v>29.140000000000022</v>
      </c>
      <c r="B887" s="39">
        <v>29</v>
      </c>
      <c r="C887" s="39" t="s">
        <v>2429</v>
      </c>
      <c r="D887" s="39">
        <v>905</v>
      </c>
      <c r="E887" s="39">
        <v>14</v>
      </c>
      <c r="F887" s="39" t="s">
        <v>1239</v>
      </c>
    </row>
    <row r="888" spans="1:6" x14ac:dyDescent="0.2">
      <c r="A888" s="92">
        <v>29.150000000000023</v>
      </c>
      <c r="B888" s="39">
        <v>29</v>
      </c>
      <c r="C888" s="39" t="s">
        <v>2429</v>
      </c>
      <c r="D888" s="39">
        <v>905</v>
      </c>
      <c r="E888" s="39">
        <v>15</v>
      </c>
      <c r="F888" s="39" t="s">
        <v>1245</v>
      </c>
    </row>
    <row r="889" spans="1:6" x14ac:dyDescent="0.2">
      <c r="A889" s="92">
        <v>29.160000000000025</v>
      </c>
      <c r="B889" s="39">
        <v>29</v>
      </c>
      <c r="C889" s="39" t="s">
        <v>2429</v>
      </c>
      <c r="D889" s="39">
        <v>905</v>
      </c>
      <c r="E889" s="39">
        <v>16</v>
      </c>
      <c r="F889" s="39" t="s">
        <v>1246</v>
      </c>
    </row>
    <row r="890" spans="1:6" x14ac:dyDescent="0.2">
      <c r="A890" s="92">
        <v>29.170000000000027</v>
      </c>
      <c r="B890" s="39">
        <v>29</v>
      </c>
      <c r="C890" s="39" t="s">
        <v>2429</v>
      </c>
      <c r="D890" s="39">
        <v>905</v>
      </c>
      <c r="E890" s="39">
        <v>17</v>
      </c>
      <c r="F890" s="39" t="s">
        <v>1253</v>
      </c>
    </row>
    <row r="891" spans="1:6" x14ac:dyDescent="0.2">
      <c r="A891" s="92">
        <v>29.180000000000028</v>
      </c>
      <c r="B891" s="39">
        <v>29</v>
      </c>
      <c r="C891" s="39" t="s">
        <v>2429</v>
      </c>
      <c r="D891" s="39">
        <v>906</v>
      </c>
      <c r="E891" s="39">
        <v>20</v>
      </c>
      <c r="F891" s="39" t="s">
        <v>1260</v>
      </c>
    </row>
    <row r="892" spans="1:6" x14ac:dyDescent="0.2">
      <c r="A892" s="92">
        <v>29.19000000000003</v>
      </c>
      <c r="B892" s="39">
        <v>29</v>
      </c>
      <c r="C892" s="39" t="s">
        <v>2429</v>
      </c>
      <c r="D892" s="39">
        <v>906</v>
      </c>
      <c r="E892" s="39">
        <v>21</v>
      </c>
      <c r="F892" s="39" t="s">
        <v>1263</v>
      </c>
    </row>
    <row r="893" spans="1:6" x14ac:dyDescent="0.2">
      <c r="A893" s="92">
        <v>29.200000000000031</v>
      </c>
      <c r="B893" s="39">
        <v>29</v>
      </c>
      <c r="C893" s="39" t="s">
        <v>2429</v>
      </c>
      <c r="D893" s="39">
        <v>906</v>
      </c>
      <c r="E893" s="39">
        <v>22</v>
      </c>
      <c r="F893" s="39" t="s">
        <v>1264</v>
      </c>
    </row>
    <row r="894" spans="1:6" x14ac:dyDescent="0.2">
      <c r="A894" s="92">
        <v>29.210000000000033</v>
      </c>
      <c r="B894" s="39">
        <v>29</v>
      </c>
      <c r="C894" s="39" t="s">
        <v>2429</v>
      </c>
      <c r="D894" s="39">
        <v>906</v>
      </c>
      <c r="E894" s="39">
        <v>23</v>
      </c>
      <c r="F894" s="39" t="s">
        <v>1265</v>
      </c>
    </row>
    <row r="895" spans="1:6" x14ac:dyDescent="0.2">
      <c r="A895" s="92">
        <v>29.220000000000034</v>
      </c>
      <c r="B895" s="39">
        <v>29</v>
      </c>
      <c r="C895" s="39" t="s">
        <v>2429</v>
      </c>
      <c r="D895" s="39">
        <v>906</v>
      </c>
      <c r="E895" s="39">
        <v>24</v>
      </c>
      <c r="F895" s="39" t="s">
        <v>1266</v>
      </c>
    </row>
    <row r="896" spans="1:6" x14ac:dyDescent="0.2">
      <c r="A896" s="92">
        <v>29.230000000000036</v>
      </c>
      <c r="B896" s="39">
        <v>29</v>
      </c>
      <c r="C896" s="39" t="s">
        <v>2429</v>
      </c>
      <c r="D896" s="39">
        <v>906</v>
      </c>
      <c r="E896" s="39">
        <v>25</v>
      </c>
      <c r="F896" s="39" t="s">
        <v>1268</v>
      </c>
    </row>
    <row r="897" spans="1:6" x14ac:dyDescent="0.2">
      <c r="A897" s="92">
        <v>29.240000000000038</v>
      </c>
      <c r="B897" s="39">
        <v>29</v>
      </c>
      <c r="C897" s="39" t="s">
        <v>2429</v>
      </c>
      <c r="D897" s="39">
        <v>906</v>
      </c>
      <c r="E897" s="39">
        <v>26</v>
      </c>
      <c r="F897" s="39" t="s">
        <v>1276</v>
      </c>
    </row>
    <row r="898" spans="1:6" x14ac:dyDescent="0.2">
      <c r="A898" s="92">
        <v>29.250000000000039</v>
      </c>
      <c r="B898" s="39">
        <v>29</v>
      </c>
      <c r="C898" s="39" t="s">
        <v>2429</v>
      </c>
      <c r="D898" s="39">
        <v>906</v>
      </c>
      <c r="E898" s="39">
        <v>27</v>
      </c>
      <c r="F898" s="39" t="s">
        <v>1277</v>
      </c>
    </row>
    <row r="899" spans="1:6" x14ac:dyDescent="0.2">
      <c r="A899" s="92">
        <v>29.260000000000041</v>
      </c>
      <c r="B899" s="39">
        <v>29</v>
      </c>
      <c r="C899" s="39" t="s">
        <v>2429</v>
      </c>
      <c r="D899" s="39">
        <v>906</v>
      </c>
      <c r="E899" s="39">
        <v>28</v>
      </c>
      <c r="F899" s="39" t="s">
        <v>1278</v>
      </c>
    </row>
    <row r="900" spans="1:6" x14ac:dyDescent="0.2">
      <c r="A900" s="92">
        <v>29.270000000000042</v>
      </c>
      <c r="B900" s="39">
        <v>29</v>
      </c>
      <c r="C900" s="39" t="s">
        <v>2429</v>
      </c>
      <c r="D900" s="39">
        <v>906</v>
      </c>
      <c r="E900" s="39">
        <v>29</v>
      </c>
      <c r="F900" s="39" t="s">
        <v>1280</v>
      </c>
    </row>
    <row r="901" spans="1:6" x14ac:dyDescent="0.2">
      <c r="A901" s="92">
        <v>29.280000000000044</v>
      </c>
      <c r="B901" s="39">
        <v>29</v>
      </c>
      <c r="C901" s="39" t="s">
        <v>2429</v>
      </c>
      <c r="D901" s="39">
        <v>909</v>
      </c>
      <c r="E901" s="39">
        <v>36</v>
      </c>
      <c r="F901" s="39" t="s">
        <v>1294</v>
      </c>
    </row>
    <row r="902" spans="1:6" x14ac:dyDescent="0.2">
      <c r="A902" s="92">
        <v>29.290000000000045</v>
      </c>
      <c r="B902" s="39">
        <v>29</v>
      </c>
      <c r="C902" s="39" t="s">
        <v>2429</v>
      </c>
      <c r="D902" s="39">
        <v>905</v>
      </c>
      <c r="E902" s="39">
        <v>55</v>
      </c>
      <c r="F902" s="39" t="s">
        <v>1254</v>
      </c>
    </row>
    <row r="903" spans="1:6" x14ac:dyDescent="0.2">
      <c r="A903" s="92">
        <v>29.300000000000047</v>
      </c>
      <c r="B903" s="39">
        <v>29</v>
      </c>
      <c r="C903" s="39" t="s">
        <v>2429</v>
      </c>
      <c r="D903" s="39">
        <v>905</v>
      </c>
      <c r="E903" s="39">
        <v>59</v>
      </c>
      <c r="F903" s="39" t="s">
        <v>1256</v>
      </c>
    </row>
    <row r="904" spans="1:6" x14ac:dyDescent="0.2">
      <c r="A904" s="92">
        <v>29.310000000000048</v>
      </c>
      <c r="B904" s="39">
        <v>29</v>
      </c>
      <c r="C904" s="39" t="s">
        <v>2429</v>
      </c>
      <c r="D904" s="39">
        <v>905</v>
      </c>
      <c r="E904" s="39">
        <v>60</v>
      </c>
      <c r="F904" s="39" t="s">
        <v>1257</v>
      </c>
    </row>
    <row r="905" spans="1:6" x14ac:dyDescent="0.2">
      <c r="A905" s="92">
        <v>29.32000000000005</v>
      </c>
      <c r="B905" s="39">
        <v>29</v>
      </c>
      <c r="C905" s="39" t="s">
        <v>2429</v>
      </c>
      <c r="D905" s="39">
        <v>905</v>
      </c>
      <c r="E905" s="39">
        <v>63</v>
      </c>
      <c r="F905" s="39" t="s">
        <v>1259</v>
      </c>
    </row>
    <row r="906" spans="1:6" x14ac:dyDescent="0.2">
      <c r="A906" s="92">
        <v>29.330000000000052</v>
      </c>
      <c r="B906" s="39">
        <v>29</v>
      </c>
      <c r="C906" s="39" t="s">
        <v>2429</v>
      </c>
      <c r="D906" s="39">
        <v>905</v>
      </c>
      <c r="E906" s="39">
        <v>64</v>
      </c>
      <c r="F906" s="39" t="s">
        <v>1258</v>
      </c>
    </row>
    <row r="907" spans="1:6" x14ac:dyDescent="0.2">
      <c r="A907" s="92">
        <v>29.34</v>
      </c>
      <c r="B907" s="39">
        <v>29</v>
      </c>
      <c r="C907" s="39" t="s">
        <v>2429</v>
      </c>
      <c r="D907" s="39">
        <v>999</v>
      </c>
      <c r="E907" s="39">
        <v>99</v>
      </c>
      <c r="F907" s="39" t="s">
        <v>2553</v>
      </c>
    </row>
    <row r="908" spans="1:6" x14ac:dyDescent="0.2">
      <c r="A908" s="92">
        <v>30.01</v>
      </c>
      <c r="B908" s="39">
        <v>30</v>
      </c>
      <c r="C908" s="39" t="s">
        <v>2431</v>
      </c>
      <c r="D908" s="39">
        <v>914</v>
      </c>
      <c r="E908" s="39">
        <v>51</v>
      </c>
      <c r="F908" s="39" t="s">
        <v>1399</v>
      </c>
    </row>
    <row r="909" spans="1:6" x14ac:dyDescent="0.2">
      <c r="A909" s="92">
        <v>30.02</v>
      </c>
      <c r="B909" s="39">
        <v>30</v>
      </c>
      <c r="C909" s="39" t="s">
        <v>2431</v>
      </c>
      <c r="D909" s="39">
        <v>999</v>
      </c>
      <c r="E909" s="39">
        <v>99</v>
      </c>
      <c r="F909" s="39" t="s">
        <v>2553</v>
      </c>
    </row>
    <row r="910" spans="1:6" x14ac:dyDescent="0.2">
      <c r="A910" s="92">
        <v>31.01</v>
      </c>
      <c r="B910" s="39">
        <v>31</v>
      </c>
      <c r="C910" s="39" t="s">
        <v>2433</v>
      </c>
      <c r="D910" s="39">
        <v>914</v>
      </c>
      <c r="E910" s="39">
        <v>51</v>
      </c>
      <c r="F910" s="39" t="s">
        <v>1399</v>
      </c>
    </row>
    <row r="911" spans="1:6" x14ac:dyDescent="0.2">
      <c r="A911" s="92">
        <v>31.02</v>
      </c>
      <c r="B911" s="39">
        <v>31</v>
      </c>
      <c r="C911" s="39" t="s">
        <v>2433</v>
      </c>
      <c r="D911" s="39">
        <v>999</v>
      </c>
      <c r="E911" s="39">
        <v>99</v>
      </c>
      <c r="F911" s="39" t="s">
        <v>2553</v>
      </c>
    </row>
    <row r="912" spans="1:6" x14ac:dyDescent="0.2">
      <c r="A912" s="92">
        <v>32.01</v>
      </c>
      <c r="B912" s="39">
        <v>32</v>
      </c>
      <c r="C912" s="39" t="s">
        <v>2436</v>
      </c>
      <c r="D912" s="39">
        <v>913</v>
      </c>
      <c r="E912" s="39">
        <v>45</v>
      </c>
      <c r="F912" s="39" t="s">
        <v>1384</v>
      </c>
    </row>
    <row r="913" spans="1:6" x14ac:dyDescent="0.2">
      <c r="A913" s="92">
        <v>32.019999999999996</v>
      </c>
      <c r="B913" s="39">
        <v>32</v>
      </c>
      <c r="C913" s="39" t="s">
        <v>2436</v>
      </c>
      <c r="D913" s="39">
        <v>913</v>
      </c>
      <c r="E913" s="39">
        <v>47</v>
      </c>
      <c r="F913" s="39" t="s">
        <v>1395</v>
      </c>
    </row>
    <row r="914" spans="1:6" x14ac:dyDescent="0.2">
      <c r="A914" s="92">
        <v>32.029999999999994</v>
      </c>
      <c r="B914" s="39">
        <v>32</v>
      </c>
      <c r="C914" s="39" t="s">
        <v>2436</v>
      </c>
      <c r="D914" s="39">
        <v>916</v>
      </c>
      <c r="E914" s="39">
        <v>52</v>
      </c>
      <c r="F914" s="39" t="s">
        <v>1421</v>
      </c>
    </row>
    <row r="915" spans="1:6" x14ac:dyDescent="0.2">
      <c r="A915" s="92">
        <v>32.04</v>
      </c>
      <c r="B915" s="39">
        <v>32</v>
      </c>
      <c r="C915" s="39" t="s">
        <v>2436</v>
      </c>
      <c r="D915" s="39">
        <v>999</v>
      </c>
      <c r="E915" s="39">
        <v>99</v>
      </c>
      <c r="F915" s="39" t="s">
        <v>2553</v>
      </c>
    </row>
    <row r="916" spans="1:6" x14ac:dyDescent="0.2">
      <c r="A916" s="92">
        <v>33.01</v>
      </c>
      <c r="B916" s="39">
        <v>33</v>
      </c>
      <c r="C916" s="39" t="s">
        <v>2439</v>
      </c>
      <c r="D916" s="39">
        <v>913</v>
      </c>
      <c r="E916" s="39">
        <v>45</v>
      </c>
      <c r="F916" s="39" t="s">
        <v>1384</v>
      </c>
    </row>
    <row r="917" spans="1:6" x14ac:dyDescent="0.2">
      <c r="A917" s="92">
        <v>33.019999999999996</v>
      </c>
      <c r="B917" s="39">
        <v>33</v>
      </c>
      <c r="C917" s="39" t="s">
        <v>2439</v>
      </c>
      <c r="D917" s="39">
        <v>913</v>
      </c>
      <c r="E917" s="39">
        <v>47</v>
      </c>
      <c r="F917" s="39" t="s">
        <v>1395</v>
      </c>
    </row>
    <row r="918" spans="1:6" x14ac:dyDescent="0.2">
      <c r="A918" s="92">
        <v>33.029999999999994</v>
      </c>
      <c r="B918" s="39">
        <v>33</v>
      </c>
      <c r="C918" s="39" t="s">
        <v>2439</v>
      </c>
      <c r="D918" s="39">
        <v>916</v>
      </c>
      <c r="E918" s="39">
        <v>52</v>
      </c>
      <c r="F918" s="39" t="s">
        <v>1421</v>
      </c>
    </row>
    <row r="919" spans="1:6" x14ac:dyDescent="0.2">
      <c r="A919" s="92">
        <v>33.04</v>
      </c>
      <c r="B919" s="39">
        <v>33</v>
      </c>
      <c r="C919" s="39" t="s">
        <v>2439</v>
      </c>
      <c r="D919" s="39">
        <v>999</v>
      </c>
      <c r="E919" s="39">
        <v>99</v>
      </c>
      <c r="F919" s="39" t="s">
        <v>2553</v>
      </c>
    </row>
    <row r="920" spans="1:6" x14ac:dyDescent="0.2">
      <c r="A920" s="92">
        <v>34.01</v>
      </c>
      <c r="B920" s="39">
        <v>34</v>
      </c>
      <c r="C920" s="39" t="s">
        <v>2441</v>
      </c>
      <c r="D920" s="39">
        <v>913</v>
      </c>
      <c r="E920" s="39">
        <v>45</v>
      </c>
      <c r="F920" s="39" t="s">
        <v>1384</v>
      </c>
    </row>
    <row r="921" spans="1:6" x14ac:dyDescent="0.2">
      <c r="A921" s="92">
        <v>34.019999999999996</v>
      </c>
      <c r="B921" s="39">
        <v>34</v>
      </c>
      <c r="C921" s="39" t="s">
        <v>2441</v>
      </c>
      <c r="D921" s="39">
        <v>913</v>
      </c>
      <c r="E921" s="39">
        <v>47</v>
      </c>
      <c r="F921" s="39" t="s">
        <v>1395</v>
      </c>
    </row>
    <row r="922" spans="1:6" x14ac:dyDescent="0.2">
      <c r="A922" s="92">
        <v>34.029999999999994</v>
      </c>
      <c r="B922" s="39">
        <v>34</v>
      </c>
      <c r="C922" s="39" t="s">
        <v>2441</v>
      </c>
      <c r="D922" s="39">
        <v>916</v>
      </c>
      <c r="E922" s="39">
        <v>52</v>
      </c>
      <c r="F922" s="39" t="s">
        <v>1421</v>
      </c>
    </row>
    <row r="923" spans="1:6" x14ac:dyDescent="0.2">
      <c r="A923" s="92">
        <v>34.039999999999992</v>
      </c>
      <c r="B923" s="39">
        <v>34</v>
      </c>
      <c r="C923" s="39" t="s">
        <v>2441</v>
      </c>
      <c r="D923" s="39">
        <v>999</v>
      </c>
      <c r="E923" s="39">
        <v>99</v>
      </c>
      <c r="F923" s="39" t="s">
        <v>2553</v>
      </c>
    </row>
    <row r="924" spans="1:6" x14ac:dyDescent="0.2">
      <c r="A924" s="92">
        <v>35.01</v>
      </c>
      <c r="B924" s="39">
        <v>35</v>
      </c>
      <c r="C924" s="39" t="s">
        <v>2443</v>
      </c>
      <c r="D924" s="39">
        <v>908</v>
      </c>
      <c r="E924" s="39">
        <v>48</v>
      </c>
      <c r="F924" s="39" t="s">
        <v>1290</v>
      </c>
    </row>
    <row r="925" spans="1:6" x14ac:dyDescent="0.2">
      <c r="A925" s="92">
        <v>35.019999999999996</v>
      </c>
      <c r="B925" s="39">
        <v>35</v>
      </c>
      <c r="C925" s="39" t="s">
        <v>2443</v>
      </c>
      <c r="D925" s="39">
        <v>918</v>
      </c>
      <c r="E925" s="39">
        <v>53</v>
      </c>
      <c r="F925" s="39" t="s">
        <v>1427</v>
      </c>
    </row>
    <row r="926" spans="1:6" x14ac:dyDescent="0.2">
      <c r="A926" s="92">
        <v>35.029999999999994</v>
      </c>
      <c r="B926" s="39">
        <v>35</v>
      </c>
      <c r="C926" s="39" t="s">
        <v>2443</v>
      </c>
      <c r="D926" s="39">
        <v>912</v>
      </c>
      <c r="E926" s="39">
        <v>58</v>
      </c>
      <c r="F926" s="39" t="s">
        <v>1380</v>
      </c>
    </row>
    <row r="927" spans="1:6" x14ac:dyDescent="0.2">
      <c r="A927" s="92">
        <v>35.039999999999992</v>
      </c>
      <c r="B927" s="39">
        <v>35</v>
      </c>
      <c r="C927" s="39" t="s">
        <v>2443</v>
      </c>
      <c r="D927" s="39">
        <v>999</v>
      </c>
      <c r="E927" s="39">
        <v>99</v>
      </c>
      <c r="F927" s="39" t="s">
        <v>2553</v>
      </c>
    </row>
    <row r="928" spans="1:6" x14ac:dyDescent="0.2">
      <c r="A928" s="92">
        <v>35.04999999999999</v>
      </c>
      <c r="B928" s="39">
        <v>35</v>
      </c>
      <c r="C928" s="39" t="s">
        <v>2443</v>
      </c>
      <c r="D928" s="39">
        <v>999</v>
      </c>
      <c r="E928" s="39">
        <v>99</v>
      </c>
      <c r="F928" s="39" t="s">
        <v>2553</v>
      </c>
    </row>
    <row r="929" spans="1:6" x14ac:dyDescent="0.2">
      <c r="A929" s="92">
        <v>36.01</v>
      </c>
      <c r="B929" s="39">
        <v>36</v>
      </c>
      <c r="C929" s="39" t="s">
        <v>1264</v>
      </c>
      <c r="D929" s="39">
        <v>906</v>
      </c>
      <c r="E929" s="39">
        <v>22</v>
      </c>
      <c r="F929" s="39" t="s">
        <v>1264</v>
      </c>
    </row>
    <row r="930" spans="1:6" x14ac:dyDescent="0.2">
      <c r="A930" s="92">
        <v>36.019999999999996</v>
      </c>
      <c r="B930" s="39">
        <v>36</v>
      </c>
      <c r="C930" s="39" t="s">
        <v>1264</v>
      </c>
      <c r="D930" s="39">
        <v>906</v>
      </c>
      <c r="E930" s="39">
        <v>23</v>
      </c>
      <c r="F930" s="39" t="s">
        <v>1265</v>
      </c>
    </row>
    <row r="931" spans="1:6" x14ac:dyDescent="0.2">
      <c r="A931" s="92">
        <v>36.029999999999994</v>
      </c>
      <c r="B931" s="39">
        <v>36</v>
      </c>
      <c r="C931" s="39" t="s">
        <v>1264</v>
      </c>
      <c r="D931" s="39">
        <v>906</v>
      </c>
      <c r="E931" s="39">
        <v>24</v>
      </c>
      <c r="F931" s="39" t="s">
        <v>1266</v>
      </c>
    </row>
    <row r="932" spans="1:6" x14ac:dyDescent="0.2">
      <c r="A932" s="92">
        <v>36.039999999999992</v>
      </c>
      <c r="B932" s="39">
        <v>36</v>
      </c>
      <c r="C932" s="39" t="s">
        <v>1264</v>
      </c>
      <c r="D932" s="39">
        <v>999</v>
      </c>
      <c r="E932" s="39">
        <v>99</v>
      </c>
      <c r="F932" s="39" t="s">
        <v>2553</v>
      </c>
    </row>
    <row r="933" spans="1:6" x14ac:dyDescent="0.2">
      <c r="A933" s="92">
        <v>37.01</v>
      </c>
      <c r="B933" s="39">
        <v>37</v>
      </c>
      <c r="C933" s="39" t="s">
        <v>2446</v>
      </c>
      <c r="D933" s="39">
        <v>902</v>
      </c>
      <c r="E933" s="39">
        <v>1</v>
      </c>
      <c r="F933" s="39" t="s">
        <v>1149</v>
      </c>
    </row>
    <row r="934" spans="1:6" x14ac:dyDescent="0.2">
      <c r="A934" s="92">
        <v>37.019999999999996</v>
      </c>
      <c r="B934" s="39">
        <v>37</v>
      </c>
      <c r="C934" s="39" t="s">
        <v>2446</v>
      </c>
      <c r="D934" s="39">
        <v>904</v>
      </c>
      <c r="E934" s="39">
        <v>2</v>
      </c>
      <c r="F934" s="39" t="s">
        <v>1167</v>
      </c>
    </row>
    <row r="935" spans="1:6" x14ac:dyDescent="0.2">
      <c r="A935" s="92">
        <v>37.029999999999994</v>
      </c>
      <c r="B935" s="39">
        <v>37</v>
      </c>
      <c r="C935" s="39" t="s">
        <v>2446</v>
      </c>
      <c r="D935" s="39">
        <v>903</v>
      </c>
      <c r="E935" s="39">
        <v>3</v>
      </c>
      <c r="F935" s="39" t="s">
        <v>1163</v>
      </c>
    </row>
    <row r="936" spans="1:6" x14ac:dyDescent="0.2">
      <c r="A936" s="92">
        <v>37.039999999999992</v>
      </c>
      <c r="B936" s="39">
        <v>37</v>
      </c>
      <c r="C936" s="39" t="s">
        <v>2446</v>
      </c>
      <c r="D936" s="39">
        <v>902</v>
      </c>
      <c r="E936" s="39">
        <v>4</v>
      </c>
      <c r="F936" s="39" t="s">
        <v>1179</v>
      </c>
    </row>
    <row r="937" spans="1:6" x14ac:dyDescent="0.2">
      <c r="A937" s="92">
        <v>37.04999999999999</v>
      </c>
      <c r="B937" s="39">
        <v>37</v>
      </c>
      <c r="C937" s="39" t="s">
        <v>2446</v>
      </c>
      <c r="D937" s="39">
        <v>904</v>
      </c>
      <c r="E937" s="39">
        <v>5</v>
      </c>
      <c r="F937" s="39" t="s">
        <v>1197</v>
      </c>
    </row>
    <row r="938" spans="1:6" x14ac:dyDescent="0.2">
      <c r="A938" s="92">
        <v>37.059999999999988</v>
      </c>
      <c r="B938" s="39">
        <v>37</v>
      </c>
      <c r="C938" s="39" t="s">
        <v>2446</v>
      </c>
      <c r="D938" s="39">
        <v>903</v>
      </c>
      <c r="E938" s="39">
        <v>6</v>
      </c>
      <c r="F938" s="39" t="s">
        <v>1195</v>
      </c>
    </row>
    <row r="939" spans="1:6" x14ac:dyDescent="0.2">
      <c r="A939" s="92">
        <v>37.069999999999986</v>
      </c>
      <c r="B939" s="39">
        <v>37</v>
      </c>
      <c r="C939" s="39" t="s">
        <v>2446</v>
      </c>
      <c r="D939" s="39">
        <v>902</v>
      </c>
      <c r="E939" s="39">
        <v>7</v>
      </c>
      <c r="F939" s="39" t="s">
        <v>1204</v>
      </c>
    </row>
    <row r="940" spans="1:6" x14ac:dyDescent="0.2">
      <c r="A940" s="92">
        <v>37.079999999999984</v>
      </c>
      <c r="B940" s="39">
        <v>37</v>
      </c>
      <c r="C940" s="39" t="s">
        <v>2446</v>
      </c>
      <c r="D940" s="39">
        <v>904</v>
      </c>
      <c r="E940" s="39">
        <v>8</v>
      </c>
      <c r="F940" s="39" t="s">
        <v>1228</v>
      </c>
    </row>
    <row r="941" spans="1:6" x14ac:dyDescent="0.2">
      <c r="A941" s="92">
        <v>37.089999999999982</v>
      </c>
      <c r="B941" s="39">
        <v>37</v>
      </c>
      <c r="C941" s="39" t="s">
        <v>2446</v>
      </c>
      <c r="D941" s="39">
        <v>903</v>
      </c>
      <c r="E941" s="39">
        <v>9</v>
      </c>
      <c r="F941" s="39" t="s">
        <v>1223</v>
      </c>
    </row>
    <row r="942" spans="1:6" x14ac:dyDescent="0.2">
      <c r="A942" s="92">
        <v>37.09999999999998</v>
      </c>
      <c r="B942" s="39">
        <v>37</v>
      </c>
      <c r="C942" s="39" t="s">
        <v>2446</v>
      </c>
      <c r="D942" s="39">
        <v>905</v>
      </c>
      <c r="E942" s="39">
        <v>10</v>
      </c>
      <c r="F942" s="39" t="s">
        <v>1232</v>
      </c>
    </row>
    <row r="943" spans="1:6" x14ac:dyDescent="0.2">
      <c r="A943" s="92">
        <v>37.109999999999978</v>
      </c>
      <c r="B943" s="39">
        <v>37</v>
      </c>
      <c r="C943" s="39" t="s">
        <v>2446</v>
      </c>
      <c r="D943" s="39">
        <v>905</v>
      </c>
      <c r="E943" s="39">
        <v>11</v>
      </c>
      <c r="F943" s="39" t="s">
        <v>1236</v>
      </c>
    </row>
    <row r="944" spans="1:6" x14ac:dyDescent="0.2">
      <c r="A944" s="92">
        <v>37.119999999999976</v>
      </c>
      <c r="B944" s="39">
        <v>37</v>
      </c>
      <c r="C944" s="39" t="s">
        <v>2446</v>
      </c>
      <c r="D944" s="39">
        <v>905</v>
      </c>
      <c r="E944" s="39">
        <v>12</v>
      </c>
      <c r="F944" s="39" t="s">
        <v>1237</v>
      </c>
    </row>
    <row r="945" spans="1:6" x14ac:dyDescent="0.2">
      <c r="A945" s="92">
        <v>37.129999999999974</v>
      </c>
      <c r="B945" s="39">
        <v>37</v>
      </c>
      <c r="C945" s="39" t="s">
        <v>2446</v>
      </c>
      <c r="D945" s="39">
        <v>905</v>
      </c>
      <c r="E945" s="39">
        <v>13</v>
      </c>
      <c r="F945" s="39" t="s">
        <v>1238</v>
      </c>
    </row>
    <row r="946" spans="1:6" x14ac:dyDescent="0.2">
      <c r="A946" s="92">
        <v>37.139999999999972</v>
      </c>
      <c r="B946" s="39">
        <v>37</v>
      </c>
      <c r="C946" s="39" t="s">
        <v>2446</v>
      </c>
      <c r="D946" s="39">
        <v>905</v>
      </c>
      <c r="E946" s="39">
        <v>14</v>
      </c>
      <c r="F946" s="39" t="s">
        <v>1239</v>
      </c>
    </row>
    <row r="947" spans="1:6" x14ac:dyDescent="0.2">
      <c r="A947" s="92">
        <v>37.14999999999997</v>
      </c>
      <c r="B947" s="39">
        <v>37</v>
      </c>
      <c r="C947" s="39" t="s">
        <v>2446</v>
      </c>
      <c r="D947" s="39">
        <v>905</v>
      </c>
      <c r="E947" s="39">
        <v>15</v>
      </c>
      <c r="F947" s="39" t="s">
        <v>1245</v>
      </c>
    </row>
    <row r="948" spans="1:6" x14ac:dyDescent="0.2">
      <c r="A948" s="92">
        <v>37.159999999999968</v>
      </c>
      <c r="B948" s="39">
        <v>37</v>
      </c>
      <c r="C948" s="39" t="s">
        <v>2446</v>
      </c>
      <c r="D948" s="39">
        <v>905</v>
      </c>
      <c r="E948" s="39">
        <v>16</v>
      </c>
      <c r="F948" s="39" t="s">
        <v>1246</v>
      </c>
    </row>
    <row r="949" spans="1:6" x14ac:dyDescent="0.2">
      <c r="A949" s="92">
        <v>37.169999999999966</v>
      </c>
      <c r="B949" s="39">
        <v>37</v>
      </c>
      <c r="C949" s="39" t="s">
        <v>2446</v>
      </c>
      <c r="D949" s="39">
        <v>905</v>
      </c>
      <c r="E949" s="39">
        <v>17</v>
      </c>
      <c r="F949" s="39" t="s">
        <v>1253</v>
      </c>
    </row>
    <row r="950" spans="1:6" x14ac:dyDescent="0.2">
      <c r="A950" s="92">
        <v>37.179999999999964</v>
      </c>
      <c r="B950" s="39">
        <v>37</v>
      </c>
      <c r="C950" s="39" t="s">
        <v>2446</v>
      </c>
      <c r="D950" s="39">
        <v>906</v>
      </c>
      <c r="E950" s="39">
        <v>25</v>
      </c>
      <c r="F950" s="39" t="s">
        <v>1268</v>
      </c>
    </row>
    <row r="951" spans="1:6" x14ac:dyDescent="0.2">
      <c r="A951" s="92">
        <v>37.189999999999962</v>
      </c>
      <c r="B951" s="39">
        <v>37</v>
      </c>
      <c r="C951" s="39" t="s">
        <v>2446</v>
      </c>
      <c r="D951" s="39">
        <v>906</v>
      </c>
      <c r="E951" s="39">
        <v>26</v>
      </c>
      <c r="F951" s="39" t="s">
        <v>1276</v>
      </c>
    </row>
    <row r="952" spans="1:6" x14ac:dyDescent="0.2">
      <c r="A952" s="92">
        <v>37.19999999999996</v>
      </c>
      <c r="B952" s="39">
        <v>37</v>
      </c>
      <c r="C952" s="39" t="s">
        <v>2446</v>
      </c>
      <c r="D952" s="39">
        <v>906</v>
      </c>
      <c r="E952" s="39">
        <v>27</v>
      </c>
      <c r="F952" s="39" t="s">
        <v>1277</v>
      </c>
    </row>
    <row r="953" spans="1:6" x14ac:dyDescent="0.2">
      <c r="A953" s="92">
        <v>37.209999999999958</v>
      </c>
      <c r="B953" s="39">
        <v>37</v>
      </c>
      <c r="C953" s="39" t="s">
        <v>2446</v>
      </c>
      <c r="D953" s="39">
        <v>906</v>
      </c>
      <c r="E953" s="39">
        <v>28</v>
      </c>
      <c r="F953" s="39" t="s">
        <v>1278</v>
      </c>
    </row>
    <row r="954" spans="1:6" x14ac:dyDescent="0.2">
      <c r="A954" s="92">
        <v>37.219999999999956</v>
      </c>
      <c r="B954" s="39">
        <v>37</v>
      </c>
      <c r="C954" s="39" t="s">
        <v>2446</v>
      </c>
      <c r="D954" s="39">
        <v>906</v>
      </c>
      <c r="E954" s="39">
        <v>29</v>
      </c>
      <c r="F954" s="39" t="s">
        <v>1280</v>
      </c>
    </row>
    <row r="955" spans="1:6" x14ac:dyDescent="0.2">
      <c r="A955" s="92">
        <v>37.229999999999954</v>
      </c>
      <c r="B955" s="39">
        <v>37</v>
      </c>
      <c r="C955" s="39" t="s">
        <v>2446</v>
      </c>
      <c r="D955" s="39">
        <v>909</v>
      </c>
      <c r="E955" s="39">
        <v>36</v>
      </c>
      <c r="F955" s="39" t="s">
        <v>1294</v>
      </c>
    </row>
    <row r="956" spans="1:6" x14ac:dyDescent="0.2">
      <c r="A956" s="92">
        <v>37.239999999999952</v>
      </c>
      <c r="B956" s="39">
        <v>37</v>
      </c>
      <c r="C956" s="39" t="s">
        <v>2446</v>
      </c>
      <c r="D956" s="39">
        <v>905</v>
      </c>
      <c r="E956" s="39">
        <v>59</v>
      </c>
      <c r="F956" s="39" t="s">
        <v>1256</v>
      </c>
    </row>
    <row r="957" spans="1:6" x14ac:dyDescent="0.2">
      <c r="A957" s="92">
        <v>37.24999999999995</v>
      </c>
      <c r="B957" s="39">
        <v>37</v>
      </c>
      <c r="C957" s="39" t="s">
        <v>2446</v>
      </c>
      <c r="D957" s="39">
        <v>905</v>
      </c>
      <c r="E957" s="39">
        <v>60</v>
      </c>
      <c r="F957" s="39" t="s">
        <v>1257</v>
      </c>
    </row>
    <row r="958" spans="1:6" x14ac:dyDescent="0.2">
      <c r="A958" s="92">
        <v>37.279999999999944</v>
      </c>
      <c r="B958" s="39">
        <v>37</v>
      </c>
      <c r="C958" s="39" t="s">
        <v>2446</v>
      </c>
      <c r="D958" s="39">
        <v>999</v>
      </c>
      <c r="E958" s="39">
        <v>99</v>
      </c>
      <c r="F958" s="39" t="s">
        <v>2553</v>
      </c>
    </row>
    <row r="959" spans="1:6" x14ac:dyDescent="0.2">
      <c r="A959" s="92">
        <v>38.01</v>
      </c>
      <c r="B959" s="39">
        <v>38</v>
      </c>
      <c r="C959" s="39" t="s">
        <v>2448</v>
      </c>
      <c r="D959" s="39">
        <v>905</v>
      </c>
      <c r="E959" s="39">
        <v>55</v>
      </c>
      <c r="F959" s="39" t="s">
        <v>1254</v>
      </c>
    </row>
    <row r="960" spans="1:6" x14ac:dyDescent="0.2">
      <c r="A960" s="92">
        <v>38.019999999999996</v>
      </c>
      <c r="B960" s="39">
        <v>38</v>
      </c>
      <c r="C960" s="39" t="s">
        <v>2448</v>
      </c>
      <c r="D960" s="39">
        <v>999</v>
      </c>
      <c r="E960" s="39">
        <v>99</v>
      </c>
      <c r="F960" s="39" t="s">
        <v>2553</v>
      </c>
    </row>
    <row r="961" spans="1:6" x14ac:dyDescent="0.2">
      <c r="A961" s="92">
        <v>39.01</v>
      </c>
      <c r="B961" s="39">
        <v>39</v>
      </c>
      <c r="C961" s="39" t="s">
        <v>1430</v>
      </c>
      <c r="D961" s="39">
        <v>919</v>
      </c>
      <c r="E961" s="39">
        <v>54</v>
      </c>
      <c r="F961" s="39" t="s">
        <v>1430</v>
      </c>
    </row>
    <row r="962" spans="1:6" x14ac:dyDescent="0.2">
      <c r="A962" s="92">
        <v>39.019999999999996</v>
      </c>
      <c r="B962" s="39">
        <v>39</v>
      </c>
      <c r="C962" s="39" t="s">
        <v>1430</v>
      </c>
      <c r="D962" s="39">
        <v>999</v>
      </c>
      <c r="E962" s="39">
        <v>99</v>
      </c>
      <c r="F962" s="39" t="s">
        <v>2553</v>
      </c>
    </row>
    <row r="963" spans="1:6" x14ac:dyDescent="0.2">
      <c r="A963" s="92">
        <v>40.01</v>
      </c>
      <c r="B963" s="39">
        <v>40</v>
      </c>
      <c r="C963" s="39" t="s">
        <v>1283</v>
      </c>
      <c r="D963" s="39">
        <v>906</v>
      </c>
      <c r="E963" s="39">
        <v>30</v>
      </c>
      <c r="F963" s="39" t="s">
        <v>1283</v>
      </c>
    </row>
    <row r="964" spans="1:6" x14ac:dyDescent="0.2">
      <c r="A964" s="92">
        <v>40.019999999999996</v>
      </c>
      <c r="B964" s="39">
        <v>40</v>
      </c>
      <c r="C964" s="39" t="s">
        <v>1283</v>
      </c>
      <c r="D964" s="39">
        <v>906</v>
      </c>
      <c r="E964" s="39">
        <v>31</v>
      </c>
      <c r="F964" s="39" t="s">
        <v>1284</v>
      </c>
    </row>
    <row r="965" spans="1:6" x14ac:dyDescent="0.2">
      <c r="A965" s="92">
        <v>40.029999999999994</v>
      </c>
      <c r="B965" s="39">
        <v>40</v>
      </c>
      <c r="C965" s="39" t="s">
        <v>1283</v>
      </c>
      <c r="D965" s="39">
        <v>906</v>
      </c>
      <c r="E965" s="39">
        <v>32</v>
      </c>
      <c r="F965" s="39" t="s">
        <v>1285</v>
      </c>
    </row>
    <row r="966" spans="1:6" x14ac:dyDescent="0.2">
      <c r="A966" s="92">
        <v>40.039999999999992</v>
      </c>
      <c r="B966" s="39">
        <v>40</v>
      </c>
      <c r="C966" s="39" t="s">
        <v>1283</v>
      </c>
      <c r="D966" s="39">
        <v>999</v>
      </c>
      <c r="E966" s="39">
        <v>99</v>
      </c>
      <c r="F966" s="39" t="s">
        <v>2553</v>
      </c>
    </row>
    <row r="967" spans="1:6" x14ac:dyDescent="0.2">
      <c r="A967" s="92">
        <v>41.01</v>
      </c>
      <c r="B967" s="39">
        <v>41</v>
      </c>
      <c r="C967" s="39" t="s">
        <v>1286</v>
      </c>
      <c r="D967" s="39">
        <v>906</v>
      </c>
      <c r="E967" s="39">
        <v>33</v>
      </c>
      <c r="F967" s="39" t="s">
        <v>1286</v>
      </c>
    </row>
    <row r="968" spans="1:6" x14ac:dyDescent="0.2">
      <c r="A968" s="92">
        <v>41.019999999999996</v>
      </c>
      <c r="B968" s="39">
        <v>41</v>
      </c>
      <c r="C968" s="39" t="s">
        <v>1286</v>
      </c>
      <c r="D968" s="39">
        <v>906</v>
      </c>
      <c r="E968" s="39">
        <v>34</v>
      </c>
      <c r="F968" s="39" t="s">
        <v>1288</v>
      </c>
    </row>
    <row r="969" spans="1:6" x14ac:dyDescent="0.2">
      <c r="A969" s="92">
        <v>41.029999999999994</v>
      </c>
      <c r="B969" s="39">
        <v>41</v>
      </c>
      <c r="C969" s="39" t="s">
        <v>1286</v>
      </c>
      <c r="D969" s="39">
        <v>906</v>
      </c>
      <c r="E969" s="39">
        <v>35</v>
      </c>
      <c r="F969" s="39" t="s">
        <v>1289</v>
      </c>
    </row>
    <row r="970" spans="1:6" x14ac:dyDescent="0.2">
      <c r="A970" s="92">
        <v>41.039999999999992</v>
      </c>
      <c r="B970" s="39">
        <v>41</v>
      </c>
      <c r="C970" s="39" t="s">
        <v>1286</v>
      </c>
      <c r="D970" s="39">
        <v>999</v>
      </c>
      <c r="E970" s="39">
        <v>99</v>
      </c>
      <c r="F970" s="39" t="s">
        <v>2553</v>
      </c>
    </row>
    <row r="971" spans="1:6" x14ac:dyDescent="0.2">
      <c r="A971" s="92">
        <v>42.01</v>
      </c>
      <c r="B971" s="39">
        <v>42</v>
      </c>
      <c r="C971" s="39" t="s">
        <v>2454</v>
      </c>
      <c r="D971" s="39">
        <v>909</v>
      </c>
      <c r="E971" s="39">
        <v>36</v>
      </c>
      <c r="F971" s="39" t="s">
        <v>1294</v>
      </c>
    </row>
    <row r="972" spans="1:6" x14ac:dyDescent="0.2">
      <c r="A972" s="92">
        <v>42.019999999999996</v>
      </c>
      <c r="B972" s="39">
        <v>42</v>
      </c>
      <c r="C972" s="39" t="s">
        <v>2454</v>
      </c>
      <c r="D972" s="39">
        <v>999</v>
      </c>
      <c r="E972" s="39">
        <v>99</v>
      </c>
      <c r="F972" s="39" t="s">
        <v>2553</v>
      </c>
    </row>
    <row r="973" spans="1:6" x14ac:dyDescent="0.2">
      <c r="A973" s="92">
        <v>43.01</v>
      </c>
      <c r="B973" s="39">
        <v>43</v>
      </c>
      <c r="C973" s="39" t="s">
        <v>2457</v>
      </c>
      <c r="D973" s="39">
        <v>913</v>
      </c>
      <c r="E973" s="39">
        <v>45</v>
      </c>
      <c r="F973" s="39" t="s">
        <v>1384</v>
      </c>
    </row>
    <row r="974" spans="1:6" x14ac:dyDescent="0.2">
      <c r="A974" s="92">
        <v>43.019999999999996</v>
      </c>
      <c r="B974" s="39">
        <v>43</v>
      </c>
      <c r="C974" s="39" t="s">
        <v>2457</v>
      </c>
      <c r="D974" s="39">
        <v>913</v>
      </c>
      <c r="E974" s="39">
        <v>47</v>
      </c>
      <c r="F974" s="39" t="s">
        <v>1395</v>
      </c>
    </row>
    <row r="975" spans="1:6" x14ac:dyDescent="0.2">
      <c r="A975" s="92">
        <v>43.029999999999994</v>
      </c>
      <c r="B975" s="39">
        <v>43</v>
      </c>
      <c r="C975" s="39" t="s">
        <v>2457</v>
      </c>
      <c r="D975" s="39">
        <v>999</v>
      </c>
      <c r="E975" s="39">
        <v>99</v>
      </c>
      <c r="F975" s="39" t="s">
        <v>2553</v>
      </c>
    </row>
    <row r="976" spans="1:6" x14ac:dyDescent="0.2">
      <c r="A976" s="92">
        <v>44.01</v>
      </c>
      <c r="B976" s="39">
        <v>44</v>
      </c>
      <c r="C976" s="39" t="s">
        <v>2460</v>
      </c>
      <c r="D976" s="39">
        <v>913</v>
      </c>
      <c r="E976" s="39">
        <v>45</v>
      </c>
      <c r="F976" s="39" t="s">
        <v>1384</v>
      </c>
    </row>
    <row r="977" spans="1:6" x14ac:dyDescent="0.2">
      <c r="A977" s="92">
        <v>44.019999999999996</v>
      </c>
      <c r="B977" s="39">
        <v>44</v>
      </c>
      <c r="C977" s="39" t="s">
        <v>2460</v>
      </c>
      <c r="D977" s="39">
        <v>913</v>
      </c>
      <c r="E977" s="39">
        <v>47</v>
      </c>
      <c r="F977" s="39" t="s">
        <v>1395</v>
      </c>
    </row>
    <row r="978" spans="1:6" x14ac:dyDescent="0.2">
      <c r="A978" s="92">
        <v>44.029999999999994</v>
      </c>
      <c r="B978" s="39">
        <v>44</v>
      </c>
      <c r="C978" s="39" t="s">
        <v>2460</v>
      </c>
      <c r="D978" s="39">
        <v>999</v>
      </c>
      <c r="E978" s="39">
        <v>99</v>
      </c>
      <c r="F978" s="39" t="s">
        <v>2553</v>
      </c>
    </row>
    <row r="979" spans="1:6" x14ac:dyDescent="0.2">
      <c r="A979" s="92">
        <v>45.01</v>
      </c>
      <c r="B979" s="39">
        <v>45</v>
      </c>
      <c r="C979" s="39" t="s">
        <v>2463</v>
      </c>
      <c r="D979" s="39">
        <v>913</v>
      </c>
      <c r="E979" s="39">
        <v>45</v>
      </c>
      <c r="F979" s="39" t="s">
        <v>1384</v>
      </c>
    </row>
    <row r="980" spans="1:6" x14ac:dyDescent="0.2">
      <c r="A980" s="92">
        <v>45.019999999999996</v>
      </c>
      <c r="B980" s="39">
        <v>45</v>
      </c>
      <c r="C980" s="39" t="s">
        <v>2463</v>
      </c>
      <c r="D980" s="39">
        <v>999</v>
      </c>
      <c r="E980" s="39">
        <v>99</v>
      </c>
      <c r="F980" s="39" t="s">
        <v>2553</v>
      </c>
    </row>
    <row r="981" spans="1:6" x14ac:dyDescent="0.2">
      <c r="A981" s="92">
        <v>46.01</v>
      </c>
      <c r="B981" s="39">
        <v>46</v>
      </c>
      <c r="C981" s="39" t="s">
        <v>2466</v>
      </c>
      <c r="D981" s="39">
        <v>913</v>
      </c>
      <c r="E981" s="39">
        <v>45</v>
      </c>
      <c r="F981" s="39" t="s">
        <v>1384</v>
      </c>
    </row>
    <row r="982" spans="1:6" x14ac:dyDescent="0.2">
      <c r="A982" s="92">
        <v>46.019999999999996</v>
      </c>
      <c r="B982" s="39">
        <v>46</v>
      </c>
      <c r="C982" s="39" t="s">
        <v>2466</v>
      </c>
      <c r="D982" s="39">
        <v>913</v>
      </c>
      <c r="E982" s="39">
        <v>47</v>
      </c>
      <c r="F982" s="39" t="s">
        <v>1395</v>
      </c>
    </row>
    <row r="983" spans="1:6" x14ac:dyDescent="0.2">
      <c r="A983" s="92">
        <v>46.029999999999994</v>
      </c>
      <c r="B983" s="39">
        <v>46</v>
      </c>
      <c r="C983" s="39" t="s">
        <v>2466</v>
      </c>
      <c r="D983" s="39">
        <v>999</v>
      </c>
      <c r="E983" s="39">
        <v>99</v>
      </c>
      <c r="F983" s="39" t="s">
        <v>2553</v>
      </c>
    </row>
    <row r="984" spans="1:6" x14ac:dyDescent="0.2">
      <c r="A984" s="92">
        <v>47.01</v>
      </c>
      <c r="B984" s="39">
        <v>47</v>
      </c>
      <c r="C984" s="39" t="s">
        <v>2469</v>
      </c>
      <c r="D984" s="39">
        <v>909</v>
      </c>
      <c r="E984" s="39">
        <v>36</v>
      </c>
      <c r="F984" s="39" t="s">
        <v>1294</v>
      </c>
    </row>
    <row r="985" spans="1:6" x14ac:dyDescent="0.2">
      <c r="A985" s="92">
        <v>47.019999999999996</v>
      </c>
      <c r="B985" s="39">
        <v>47</v>
      </c>
      <c r="C985" s="39" t="s">
        <v>2469</v>
      </c>
      <c r="D985" s="39">
        <v>912</v>
      </c>
      <c r="E985" s="39">
        <v>58</v>
      </c>
      <c r="F985" s="39" t="s">
        <v>1380</v>
      </c>
    </row>
    <row r="986" spans="1:6" x14ac:dyDescent="0.2">
      <c r="A986" s="92">
        <v>47.029999999999994</v>
      </c>
      <c r="B986" s="39">
        <v>47</v>
      </c>
      <c r="C986" s="39" t="s">
        <v>2469</v>
      </c>
      <c r="D986" s="39">
        <v>999</v>
      </c>
      <c r="E986" s="39">
        <v>99</v>
      </c>
      <c r="F986" s="39" t="s">
        <v>2553</v>
      </c>
    </row>
    <row r="987" spans="1:6" x14ac:dyDescent="0.2">
      <c r="A987" s="92">
        <v>48.01</v>
      </c>
      <c r="B987" s="39">
        <v>48</v>
      </c>
      <c r="C987" s="39" t="s">
        <v>2472</v>
      </c>
      <c r="D987" s="39">
        <v>913</v>
      </c>
      <c r="E987" s="39">
        <v>45</v>
      </c>
      <c r="F987" s="39" t="s">
        <v>1384</v>
      </c>
    </row>
    <row r="988" spans="1:6" x14ac:dyDescent="0.2">
      <c r="A988" s="92">
        <v>48.019999999999996</v>
      </c>
      <c r="B988" s="39">
        <v>48</v>
      </c>
      <c r="C988" s="39" t="s">
        <v>2472</v>
      </c>
      <c r="D988" s="39">
        <v>999</v>
      </c>
      <c r="E988" s="39">
        <v>99</v>
      </c>
      <c r="F988" s="39" t="s">
        <v>2553</v>
      </c>
    </row>
    <row r="989" spans="1:6" x14ac:dyDescent="0.2">
      <c r="A989" s="92">
        <v>49.01</v>
      </c>
      <c r="B989" s="39">
        <v>49</v>
      </c>
      <c r="C989" s="39" t="s">
        <v>2475</v>
      </c>
      <c r="D989" s="39">
        <v>908</v>
      </c>
      <c r="E989" s="39">
        <v>48</v>
      </c>
      <c r="F989" s="39" t="s">
        <v>1290</v>
      </c>
    </row>
    <row r="990" spans="1:6" x14ac:dyDescent="0.2">
      <c r="A990" s="92">
        <v>49.019999999999996</v>
      </c>
      <c r="B990" s="39">
        <v>49</v>
      </c>
      <c r="C990" s="39" t="s">
        <v>2475</v>
      </c>
      <c r="D990" s="39">
        <v>912</v>
      </c>
      <c r="E990" s="39">
        <v>58</v>
      </c>
      <c r="F990" s="39" t="s">
        <v>1380</v>
      </c>
    </row>
    <row r="991" spans="1:6" x14ac:dyDescent="0.2">
      <c r="A991" s="92">
        <v>49.029999999999994</v>
      </c>
      <c r="B991" s="39">
        <v>49</v>
      </c>
      <c r="C991" s="39" t="s">
        <v>2475</v>
      </c>
      <c r="D991" s="39">
        <v>999</v>
      </c>
      <c r="E991" s="39">
        <v>99</v>
      </c>
      <c r="F991" s="39" t="s">
        <v>2553</v>
      </c>
    </row>
    <row r="992" spans="1:6" x14ac:dyDescent="0.2">
      <c r="A992" s="92">
        <v>50.01</v>
      </c>
      <c r="B992" s="39">
        <v>50</v>
      </c>
      <c r="C992" s="39" t="s">
        <v>2478</v>
      </c>
      <c r="D992" s="39">
        <v>908</v>
      </c>
      <c r="E992" s="39">
        <v>48</v>
      </c>
      <c r="F992" s="39" t="s">
        <v>1290</v>
      </c>
    </row>
    <row r="993" spans="1:6" x14ac:dyDescent="0.2">
      <c r="A993" s="92">
        <v>50.019999999999996</v>
      </c>
      <c r="B993" s="39">
        <v>50</v>
      </c>
      <c r="C993" s="39" t="s">
        <v>2478</v>
      </c>
      <c r="D993" s="39">
        <v>999</v>
      </c>
      <c r="E993" s="39">
        <v>99</v>
      </c>
      <c r="F993" s="39" t="s">
        <v>2553</v>
      </c>
    </row>
    <row r="994" spans="1:6" x14ac:dyDescent="0.2">
      <c r="A994" s="92">
        <v>51.01</v>
      </c>
      <c r="B994" s="39">
        <v>51</v>
      </c>
      <c r="C994" s="39" t="s">
        <v>1330</v>
      </c>
      <c r="D994" s="39">
        <v>909</v>
      </c>
      <c r="E994" s="39">
        <v>36</v>
      </c>
      <c r="F994" s="39" t="s">
        <v>1294</v>
      </c>
    </row>
    <row r="995" spans="1:6" x14ac:dyDescent="0.2">
      <c r="A995" s="92">
        <v>51.019999999999996</v>
      </c>
      <c r="B995" s="39">
        <v>51</v>
      </c>
      <c r="C995" s="39" t="s">
        <v>1330</v>
      </c>
      <c r="D995" s="39">
        <v>911</v>
      </c>
      <c r="E995" s="39">
        <v>42</v>
      </c>
      <c r="F995" s="39" t="s">
        <v>1330</v>
      </c>
    </row>
    <row r="996" spans="1:6" x14ac:dyDescent="0.2">
      <c r="A996" s="92">
        <v>51.029999999999994</v>
      </c>
      <c r="B996" s="39">
        <v>51</v>
      </c>
      <c r="C996" s="39" t="s">
        <v>1330</v>
      </c>
      <c r="D996" s="39">
        <v>999</v>
      </c>
      <c r="E996" s="39">
        <v>99</v>
      </c>
      <c r="F996" s="39" t="s">
        <v>2553</v>
      </c>
    </row>
    <row r="997" spans="1:6" x14ac:dyDescent="0.2">
      <c r="A997" s="92">
        <v>52.01</v>
      </c>
      <c r="B997" s="39">
        <v>52</v>
      </c>
      <c r="C997" s="39" t="s">
        <v>2483</v>
      </c>
      <c r="D997" s="39">
        <v>909</v>
      </c>
      <c r="E997" s="39">
        <v>36</v>
      </c>
      <c r="F997" s="39" t="s">
        <v>1294</v>
      </c>
    </row>
    <row r="998" spans="1:6" x14ac:dyDescent="0.2">
      <c r="A998" s="92">
        <v>52.019999999999996</v>
      </c>
      <c r="B998" s="39">
        <v>52</v>
      </c>
      <c r="C998" s="39" t="s">
        <v>2483</v>
      </c>
      <c r="D998" s="39">
        <v>911</v>
      </c>
      <c r="E998" s="39">
        <v>42</v>
      </c>
      <c r="F998" s="39" t="s">
        <v>1330</v>
      </c>
    </row>
    <row r="999" spans="1:6" x14ac:dyDescent="0.2">
      <c r="A999" s="92">
        <v>52.029999999999994</v>
      </c>
      <c r="B999" s="39">
        <v>52</v>
      </c>
      <c r="C999" s="39" t="s">
        <v>2483</v>
      </c>
      <c r="D999" s="39">
        <v>999</v>
      </c>
      <c r="E999" s="39">
        <v>99</v>
      </c>
      <c r="F999" s="39" t="s">
        <v>2553</v>
      </c>
    </row>
    <row r="1000" spans="1:6" x14ac:dyDescent="0.2">
      <c r="A1000" s="92">
        <v>53.01</v>
      </c>
      <c r="B1000" s="39">
        <v>53</v>
      </c>
      <c r="C1000" s="39" t="s">
        <v>2486</v>
      </c>
      <c r="D1000" s="39">
        <v>909</v>
      </c>
      <c r="E1000" s="39">
        <v>36</v>
      </c>
      <c r="F1000" s="39" t="s">
        <v>1294</v>
      </c>
    </row>
    <row r="1001" spans="1:6" x14ac:dyDescent="0.2">
      <c r="A1001" s="92">
        <v>53.019999999999996</v>
      </c>
      <c r="B1001" s="39">
        <v>53</v>
      </c>
      <c r="C1001" s="39" t="s">
        <v>2486</v>
      </c>
      <c r="D1001" s="39">
        <v>911</v>
      </c>
      <c r="E1001" s="39">
        <v>42</v>
      </c>
      <c r="F1001" s="39" t="s">
        <v>1330</v>
      </c>
    </row>
    <row r="1002" spans="1:6" x14ac:dyDescent="0.2">
      <c r="A1002" s="92">
        <v>53.029999999999994</v>
      </c>
      <c r="B1002" s="39">
        <v>53</v>
      </c>
      <c r="C1002" s="39" t="s">
        <v>2486</v>
      </c>
      <c r="D1002" s="39">
        <v>999</v>
      </c>
      <c r="E1002" s="39">
        <v>99</v>
      </c>
      <c r="F1002" s="39" t="s">
        <v>2553</v>
      </c>
    </row>
    <row r="1003" spans="1:6" x14ac:dyDescent="0.2">
      <c r="A1003" s="92">
        <v>54.01</v>
      </c>
      <c r="B1003" s="39">
        <v>54</v>
      </c>
      <c r="C1003" s="39" t="s">
        <v>2489</v>
      </c>
      <c r="D1003" s="39">
        <v>915</v>
      </c>
      <c r="E1003" s="39">
        <v>50</v>
      </c>
      <c r="F1003" s="39" t="s">
        <v>1407</v>
      </c>
    </row>
    <row r="1004" spans="1:6" x14ac:dyDescent="0.2">
      <c r="A1004" s="92">
        <v>54.019999999999996</v>
      </c>
      <c r="B1004" s="39">
        <v>54</v>
      </c>
      <c r="C1004" s="39" t="s">
        <v>2489</v>
      </c>
      <c r="D1004" s="39">
        <v>999</v>
      </c>
      <c r="E1004" s="39">
        <v>99</v>
      </c>
      <c r="F1004" s="39" t="s">
        <v>2553</v>
      </c>
    </row>
    <row r="1005" spans="1:6" x14ac:dyDescent="0.2">
      <c r="A1005" s="92">
        <v>55.01</v>
      </c>
      <c r="B1005" s="39">
        <v>55</v>
      </c>
      <c r="C1005" s="39" t="s">
        <v>2491</v>
      </c>
      <c r="D1005" s="39">
        <v>915</v>
      </c>
      <c r="E1005" s="39">
        <v>50</v>
      </c>
      <c r="F1005" s="39" t="s">
        <v>1407</v>
      </c>
    </row>
    <row r="1006" spans="1:6" x14ac:dyDescent="0.2">
      <c r="A1006" s="92">
        <v>55.019999999999996</v>
      </c>
      <c r="B1006" s="39">
        <v>55</v>
      </c>
      <c r="C1006" s="39" t="s">
        <v>2491</v>
      </c>
      <c r="D1006" s="39">
        <v>999</v>
      </c>
      <c r="E1006" s="39">
        <v>99</v>
      </c>
      <c r="F1006" s="39" t="s">
        <v>2553</v>
      </c>
    </row>
    <row r="1007" spans="1:6" x14ac:dyDescent="0.2">
      <c r="A1007" s="92">
        <v>56.01</v>
      </c>
      <c r="B1007" s="39">
        <v>56</v>
      </c>
      <c r="C1007" s="39" t="s">
        <v>2494</v>
      </c>
      <c r="D1007" s="39">
        <v>915</v>
      </c>
      <c r="E1007" s="39">
        <v>50</v>
      </c>
      <c r="F1007" s="39" t="s">
        <v>1407</v>
      </c>
    </row>
    <row r="1008" spans="1:6" x14ac:dyDescent="0.2">
      <c r="A1008" s="92">
        <v>56.019999999999996</v>
      </c>
      <c r="B1008" s="39">
        <v>56</v>
      </c>
      <c r="C1008" s="39" t="s">
        <v>2494</v>
      </c>
      <c r="D1008" s="39">
        <v>999</v>
      </c>
      <c r="E1008" s="39">
        <v>99</v>
      </c>
      <c r="F1008" s="39" t="s">
        <v>2553</v>
      </c>
    </row>
    <row r="1009" spans="1:6" x14ac:dyDescent="0.2">
      <c r="A1009" s="92">
        <v>57.01</v>
      </c>
      <c r="B1009" s="39">
        <v>57</v>
      </c>
      <c r="C1009" s="39" t="s">
        <v>2497</v>
      </c>
      <c r="D1009" s="39">
        <v>911</v>
      </c>
      <c r="E1009" s="39">
        <v>62</v>
      </c>
      <c r="F1009" s="39" t="s">
        <v>1379</v>
      </c>
    </row>
    <row r="1010" spans="1:6" x14ac:dyDescent="0.2">
      <c r="A1010" s="92">
        <v>57.019999999999996</v>
      </c>
      <c r="B1010" s="39">
        <v>57</v>
      </c>
      <c r="C1010" s="39" t="s">
        <v>2497</v>
      </c>
      <c r="D1010" s="39">
        <v>999</v>
      </c>
      <c r="E1010" s="39">
        <v>99</v>
      </c>
      <c r="F1010" s="39" t="s">
        <v>2553</v>
      </c>
    </row>
    <row r="1011" spans="1:6" x14ac:dyDescent="0.2">
      <c r="A1011" s="92">
        <v>58.01</v>
      </c>
      <c r="B1011" s="39">
        <v>58</v>
      </c>
      <c r="C1011" s="39" t="s">
        <v>2500</v>
      </c>
      <c r="D1011" s="39">
        <v>909</v>
      </c>
      <c r="E1011" s="39">
        <v>36</v>
      </c>
      <c r="F1011" s="39" t="s">
        <v>1294</v>
      </c>
    </row>
    <row r="1012" spans="1:6" x14ac:dyDescent="0.2">
      <c r="A1012" s="92">
        <v>58.019999999999996</v>
      </c>
      <c r="B1012" s="39">
        <v>58</v>
      </c>
      <c r="C1012" s="39" t="s">
        <v>2500</v>
      </c>
      <c r="D1012" s="39">
        <v>911</v>
      </c>
      <c r="E1012" s="39">
        <v>39</v>
      </c>
      <c r="F1012" s="39" t="s">
        <v>1329</v>
      </c>
    </row>
    <row r="1013" spans="1:6" x14ac:dyDescent="0.2">
      <c r="A1013" s="92">
        <v>58.029999999999994</v>
      </c>
      <c r="B1013" s="39">
        <v>58</v>
      </c>
      <c r="C1013" s="39" t="s">
        <v>2500</v>
      </c>
      <c r="D1013" s="39">
        <v>999</v>
      </c>
      <c r="E1013" s="39">
        <v>99</v>
      </c>
      <c r="F1013" s="39" t="s">
        <v>2553</v>
      </c>
    </row>
    <row r="1014" spans="1:6" x14ac:dyDescent="0.2">
      <c r="A1014" s="92">
        <v>59.01</v>
      </c>
      <c r="B1014" s="39">
        <v>59</v>
      </c>
      <c r="C1014" s="39" t="s">
        <v>2502</v>
      </c>
      <c r="D1014" s="39">
        <v>909</v>
      </c>
      <c r="E1014" s="39">
        <v>36</v>
      </c>
      <c r="F1014" s="39" t="s">
        <v>1294</v>
      </c>
    </row>
    <row r="1015" spans="1:6" x14ac:dyDescent="0.2">
      <c r="A1015" s="92">
        <v>59.019999999999996</v>
      </c>
      <c r="B1015" s="39">
        <v>59</v>
      </c>
      <c r="C1015" s="39" t="s">
        <v>2502</v>
      </c>
      <c r="D1015" s="39">
        <v>911</v>
      </c>
      <c r="E1015" s="39">
        <v>42</v>
      </c>
      <c r="F1015" s="39" t="s">
        <v>1330</v>
      </c>
    </row>
    <row r="1016" spans="1:6" x14ac:dyDescent="0.2">
      <c r="A1016" s="92">
        <v>59.029999999999994</v>
      </c>
      <c r="B1016" s="39">
        <v>59</v>
      </c>
      <c r="C1016" s="39" t="s">
        <v>2502</v>
      </c>
      <c r="D1016" s="39">
        <v>999</v>
      </c>
      <c r="E1016" s="39">
        <v>99</v>
      </c>
      <c r="F1016" s="39" t="s">
        <v>2553</v>
      </c>
    </row>
    <row r="1017" spans="1:6" x14ac:dyDescent="0.2">
      <c r="A1017" s="92">
        <v>60.01</v>
      </c>
      <c r="B1017" s="39">
        <v>60</v>
      </c>
      <c r="C1017" s="39" t="s">
        <v>2505</v>
      </c>
      <c r="D1017" s="39">
        <v>909</v>
      </c>
      <c r="E1017" s="39">
        <v>36</v>
      </c>
      <c r="F1017" s="39" t="s">
        <v>1294</v>
      </c>
    </row>
    <row r="1018" spans="1:6" x14ac:dyDescent="0.2">
      <c r="A1018" s="92">
        <v>60.019999999999996</v>
      </c>
      <c r="B1018" s="39">
        <v>60</v>
      </c>
      <c r="C1018" s="39" t="s">
        <v>2505</v>
      </c>
      <c r="D1018" s="39">
        <v>911</v>
      </c>
      <c r="E1018" s="39">
        <v>42</v>
      </c>
      <c r="F1018" s="39" t="s">
        <v>1330</v>
      </c>
    </row>
    <row r="1019" spans="1:6" x14ac:dyDescent="0.2">
      <c r="A1019" s="92">
        <v>60.029999999999994</v>
      </c>
      <c r="B1019" s="39">
        <v>60</v>
      </c>
      <c r="C1019" s="39" t="s">
        <v>2505</v>
      </c>
      <c r="D1019" s="39">
        <v>999</v>
      </c>
      <c r="E1019" s="39">
        <v>99</v>
      </c>
      <c r="F1019" s="39" t="s">
        <v>2553</v>
      </c>
    </row>
    <row r="1020" spans="1:6" x14ac:dyDescent="0.2">
      <c r="A1020" s="92">
        <v>61.01</v>
      </c>
      <c r="B1020" s="39">
        <v>61</v>
      </c>
      <c r="C1020" s="39" t="s">
        <v>2508</v>
      </c>
      <c r="D1020" s="39">
        <v>909</v>
      </c>
      <c r="E1020" s="39">
        <v>36</v>
      </c>
      <c r="F1020" s="39" t="s">
        <v>1294</v>
      </c>
    </row>
    <row r="1021" spans="1:6" x14ac:dyDescent="0.2">
      <c r="A1021" s="92">
        <v>61.019999999999996</v>
      </c>
      <c r="B1021" s="39">
        <v>61</v>
      </c>
      <c r="C1021" s="39" t="s">
        <v>2508</v>
      </c>
      <c r="D1021" s="39">
        <v>911</v>
      </c>
      <c r="E1021" s="39">
        <v>42</v>
      </c>
      <c r="F1021" s="39" t="s">
        <v>1330</v>
      </c>
    </row>
    <row r="1022" spans="1:6" x14ac:dyDescent="0.2">
      <c r="A1022" s="92">
        <v>61.029999999999994</v>
      </c>
      <c r="B1022" s="39">
        <v>61</v>
      </c>
      <c r="C1022" s="39" t="s">
        <v>2508</v>
      </c>
      <c r="D1022" s="39">
        <v>999</v>
      </c>
      <c r="E1022" s="39">
        <v>99</v>
      </c>
      <c r="F1022" s="39" t="s">
        <v>2553</v>
      </c>
    </row>
    <row r="1023" spans="1:6" x14ac:dyDescent="0.2">
      <c r="A1023" s="92">
        <v>62.01</v>
      </c>
      <c r="B1023" s="39">
        <v>62</v>
      </c>
      <c r="C1023" s="39" t="s">
        <v>2511</v>
      </c>
      <c r="D1023" s="39">
        <v>909</v>
      </c>
      <c r="E1023" s="39">
        <v>36</v>
      </c>
      <c r="F1023" s="39" t="s">
        <v>1294</v>
      </c>
    </row>
    <row r="1024" spans="1:6" x14ac:dyDescent="0.2">
      <c r="A1024" s="92">
        <v>62.019999999999996</v>
      </c>
      <c r="B1024" s="39">
        <v>62</v>
      </c>
      <c r="C1024" s="39" t="s">
        <v>2511</v>
      </c>
      <c r="D1024" s="39">
        <v>911</v>
      </c>
      <c r="E1024" s="39">
        <v>38</v>
      </c>
      <c r="F1024" s="39" t="s">
        <v>1325</v>
      </c>
    </row>
    <row r="1025" spans="1:6" x14ac:dyDescent="0.2">
      <c r="A1025" s="92">
        <v>62.029999999999994</v>
      </c>
      <c r="B1025" s="39">
        <v>62</v>
      </c>
      <c r="C1025" s="39" t="s">
        <v>2511</v>
      </c>
      <c r="D1025" s="39">
        <v>999</v>
      </c>
      <c r="E1025" s="39">
        <v>99</v>
      </c>
      <c r="F1025" s="39" t="s">
        <v>2553</v>
      </c>
    </row>
    <row r="1026" spans="1:6" x14ac:dyDescent="0.2">
      <c r="A1026" s="92">
        <v>63.01</v>
      </c>
      <c r="B1026" s="39">
        <v>63</v>
      </c>
      <c r="C1026" s="39" t="s">
        <v>2513</v>
      </c>
      <c r="D1026" s="39">
        <v>909</v>
      </c>
      <c r="E1026" s="39">
        <v>36</v>
      </c>
      <c r="F1026" s="39" t="s">
        <v>1294</v>
      </c>
    </row>
    <row r="1027" spans="1:6" x14ac:dyDescent="0.2">
      <c r="A1027" s="92">
        <v>63.019999999999996</v>
      </c>
      <c r="B1027" s="39">
        <v>63</v>
      </c>
      <c r="C1027" s="39" t="s">
        <v>2513</v>
      </c>
      <c r="D1027" s="39">
        <v>911</v>
      </c>
      <c r="E1027" s="39">
        <v>38</v>
      </c>
      <c r="F1027" s="39" t="s">
        <v>1325</v>
      </c>
    </row>
    <row r="1028" spans="1:6" x14ac:dyDescent="0.2">
      <c r="A1028" s="92">
        <v>63.029999999999994</v>
      </c>
      <c r="B1028" s="39">
        <v>63</v>
      </c>
      <c r="C1028" s="39" t="s">
        <v>2513</v>
      </c>
      <c r="D1028" s="39">
        <v>999</v>
      </c>
      <c r="E1028" s="39">
        <v>99</v>
      </c>
      <c r="F1028" s="39" t="s">
        <v>2553</v>
      </c>
    </row>
    <row r="1029" spans="1:6" x14ac:dyDescent="0.2">
      <c r="A1029" s="92">
        <v>64.010000000000005</v>
      </c>
      <c r="B1029" s="39">
        <v>64</v>
      </c>
      <c r="C1029" s="39" t="s">
        <v>2514</v>
      </c>
      <c r="D1029" s="39">
        <v>909</v>
      </c>
      <c r="E1029" s="39">
        <v>36</v>
      </c>
      <c r="F1029" s="39" t="s">
        <v>1294</v>
      </c>
    </row>
    <row r="1030" spans="1:6" x14ac:dyDescent="0.2">
      <c r="A1030" s="92">
        <v>64.02000000000001</v>
      </c>
      <c r="B1030" s="39">
        <v>64</v>
      </c>
      <c r="C1030" s="39" t="s">
        <v>2514</v>
      </c>
      <c r="D1030" s="39">
        <v>911</v>
      </c>
      <c r="E1030" s="39">
        <v>38</v>
      </c>
      <c r="F1030" s="39" t="s">
        <v>1325</v>
      </c>
    </row>
    <row r="1031" spans="1:6" x14ac:dyDescent="0.2">
      <c r="A1031" s="92">
        <v>64.03</v>
      </c>
      <c r="B1031" s="39">
        <v>64</v>
      </c>
      <c r="C1031" s="39" t="s">
        <v>2514</v>
      </c>
      <c r="D1031" s="39">
        <v>911</v>
      </c>
      <c r="E1031" s="39">
        <v>42</v>
      </c>
      <c r="F1031" s="39" t="s">
        <v>1330</v>
      </c>
    </row>
    <row r="1032" spans="1:6" x14ac:dyDescent="0.2">
      <c r="A1032" s="92">
        <v>64.040000000000006</v>
      </c>
      <c r="B1032" s="39">
        <v>64</v>
      </c>
      <c r="C1032" s="39" t="s">
        <v>2514</v>
      </c>
      <c r="D1032" s="39">
        <v>999</v>
      </c>
      <c r="E1032" s="39">
        <v>99</v>
      </c>
      <c r="F1032" s="39" t="s">
        <v>2553</v>
      </c>
    </row>
    <row r="1033" spans="1:6" x14ac:dyDescent="0.2">
      <c r="A1033" s="92">
        <v>65.010000000000005</v>
      </c>
      <c r="B1033" s="39">
        <v>65</v>
      </c>
      <c r="C1033" s="39" t="s">
        <v>2516</v>
      </c>
      <c r="D1033" s="39">
        <v>909</v>
      </c>
      <c r="E1033" s="39">
        <v>36</v>
      </c>
      <c r="F1033" s="39" t="s">
        <v>1294</v>
      </c>
    </row>
    <row r="1034" spans="1:6" x14ac:dyDescent="0.2">
      <c r="A1034" s="92">
        <v>65.02000000000001</v>
      </c>
      <c r="B1034" s="39">
        <v>65</v>
      </c>
      <c r="C1034" s="39" t="s">
        <v>2516</v>
      </c>
      <c r="D1034" s="39">
        <v>911</v>
      </c>
      <c r="E1034" s="39">
        <v>38</v>
      </c>
      <c r="F1034" s="39" t="s">
        <v>1325</v>
      </c>
    </row>
    <row r="1035" spans="1:6" x14ac:dyDescent="0.2">
      <c r="A1035" s="92">
        <v>65.03</v>
      </c>
      <c r="B1035" s="39">
        <v>65</v>
      </c>
      <c r="C1035" s="39" t="s">
        <v>2516</v>
      </c>
      <c r="D1035" s="39">
        <v>911</v>
      </c>
      <c r="E1035" s="39">
        <v>42</v>
      </c>
      <c r="F1035" s="39" t="s">
        <v>1330</v>
      </c>
    </row>
    <row r="1036" spans="1:6" x14ac:dyDescent="0.2">
      <c r="A1036" s="92">
        <v>65.040000000000006</v>
      </c>
      <c r="B1036" s="39">
        <v>65</v>
      </c>
      <c r="C1036" s="39" t="s">
        <v>2516</v>
      </c>
      <c r="D1036" s="39">
        <v>999</v>
      </c>
      <c r="E1036" s="39">
        <v>99</v>
      </c>
      <c r="F1036" s="39" t="s">
        <v>2553</v>
      </c>
    </row>
    <row r="1037" spans="1:6" x14ac:dyDescent="0.2">
      <c r="A1037" s="92">
        <v>66.010000000000005</v>
      </c>
      <c r="B1037" s="39">
        <v>66</v>
      </c>
      <c r="C1037" s="39" t="s">
        <v>2517</v>
      </c>
      <c r="D1037" s="39">
        <v>909</v>
      </c>
      <c r="E1037" s="39">
        <v>36</v>
      </c>
      <c r="F1037" s="39" t="s">
        <v>1294</v>
      </c>
    </row>
    <row r="1038" spans="1:6" x14ac:dyDescent="0.2">
      <c r="A1038" s="92">
        <v>66.02000000000001</v>
      </c>
      <c r="B1038" s="39">
        <v>66</v>
      </c>
      <c r="C1038" s="39" t="s">
        <v>2517</v>
      </c>
      <c r="D1038" s="39">
        <v>911</v>
      </c>
      <c r="E1038" s="39">
        <v>38</v>
      </c>
      <c r="F1038" s="39" t="s">
        <v>1325</v>
      </c>
    </row>
    <row r="1039" spans="1:6" x14ac:dyDescent="0.2">
      <c r="A1039" s="92">
        <v>66.030000000000015</v>
      </c>
      <c r="B1039" s="39">
        <v>66</v>
      </c>
      <c r="C1039" s="39" t="s">
        <v>2517</v>
      </c>
      <c r="D1039" s="39">
        <v>999</v>
      </c>
      <c r="E1039" s="39">
        <v>99</v>
      </c>
      <c r="F1039" s="39" t="s">
        <v>2553</v>
      </c>
    </row>
    <row r="1040" spans="1:6" x14ac:dyDescent="0.2">
      <c r="A1040" s="92">
        <v>67.010000000000005</v>
      </c>
      <c r="B1040" s="39">
        <v>67</v>
      </c>
      <c r="C1040" s="39" t="s">
        <v>2519</v>
      </c>
      <c r="D1040" s="39">
        <v>909</v>
      </c>
      <c r="E1040" s="39">
        <v>36</v>
      </c>
      <c r="F1040" s="39" t="s">
        <v>1294</v>
      </c>
    </row>
    <row r="1041" spans="1:6" x14ac:dyDescent="0.2">
      <c r="A1041" s="92">
        <v>67.02000000000001</v>
      </c>
      <c r="B1041" s="39">
        <v>67</v>
      </c>
      <c r="C1041" s="39" t="s">
        <v>2519</v>
      </c>
      <c r="D1041" s="39">
        <v>911</v>
      </c>
      <c r="E1041" s="39">
        <v>38</v>
      </c>
      <c r="F1041" s="39" t="s">
        <v>1325</v>
      </c>
    </row>
    <row r="1042" spans="1:6" x14ac:dyDescent="0.2">
      <c r="A1042" s="92">
        <v>67.030000000000015</v>
      </c>
      <c r="B1042" s="39">
        <v>67</v>
      </c>
      <c r="C1042" s="39" t="s">
        <v>2519</v>
      </c>
      <c r="D1042" s="39">
        <v>999</v>
      </c>
      <c r="E1042" s="39">
        <v>99</v>
      </c>
      <c r="F1042" s="39" t="s">
        <v>2553</v>
      </c>
    </row>
    <row r="1043" spans="1:6" x14ac:dyDescent="0.2">
      <c r="A1043" s="92">
        <v>68.010000000000005</v>
      </c>
      <c r="B1043" s="39">
        <v>68</v>
      </c>
      <c r="C1043" s="39" t="s">
        <v>2520</v>
      </c>
      <c r="D1043" s="39">
        <v>909</v>
      </c>
      <c r="E1043" s="39">
        <v>36</v>
      </c>
      <c r="F1043" s="39" t="s">
        <v>1294</v>
      </c>
    </row>
    <row r="1044" spans="1:6" x14ac:dyDescent="0.2">
      <c r="A1044" s="92">
        <v>68.02000000000001</v>
      </c>
      <c r="B1044" s="39">
        <v>68</v>
      </c>
      <c r="C1044" s="39" t="s">
        <v>2520</v>
      </c>
      <c r="D1044" s="39">
        <v>911</v>
      </c>
      <c r="E1044" s="39">
        <v>39</v>
      </c>
      <c r="F1044" s="39" t="s">
        <v>1329</v>
      </c>
    </row>
    <row r="1045" spans="1:6" x14ac:dyDescent="0.2">
      <c r="A1045" s="92">
        <v>68.030000000000015</v>
      </c>
      <c r="B1045" s="39">
        <v>68</v>
      </c>
      <c r="C1045" s="39" t="s">
        <v>2520</v>
      </c>
      <c r="D1045" s="39">
        <v>999</v>
      </c>
      <c r="E1045" s="39">
        <v>99</v>
      </c>
      <c r="F1045" s="39" t="s">
        <v>2553</v>
      </c>
    </row>
    <row r="1046" spans="1:6" x14ac:dyDescent="0.2">
      <c r="A1046" s="92">
        <v>69.010000000000005</v>
      </c>
      <c r="B1046" s="39">
        <v>69</v>
      </c>
      <c r="C1046" s="39" t="s">
        <v>2522</v>
      </c>
      <c r="D1046" s="39">
        <v>909</v>
      </c>
      <c r="E1046" s="39">
        <v>36</v>
      </c>
      <c r="F1046" s="39" t="s">
        <v>1294</v>
      </c>
    </row>
    <row r="1047" spans="1:6" x14ac:dyDescent="0.2">
      <c r="A1047" s="92">
        <v>69.02000000000001</v>
      </c>
      <c r="B1047" s="39">
        <v>69</v>
      </c>
      <c r="C1047" s="39" t="s">
        <v>2522</v>
      </c>
      <c r="D1047" s="39">
        <v>911</v>
      </c>
      <c r="E1047" s="39">
        <v>39</v>
      </c>
      <c r="F1047" s="39" t="s">
        <v>1329</v>
      </c>
    </row>
    <row r="1048" spans="1:6" x14ac:dyDescent="0.2">
      <c r="A1048" s="92">
        <v>69.030000000000015</v>
      </c>
      <c r="B1048" s="39">
        <v>69</v>
      </c>
      <c r="C1048" s="39" t="s">
        <v>2522</v>
      </c>
      <c r="D1048" s="39">
        <v>999</v>
      </c>
      <c r="E1048" s="39">
        <v>99</v>
      </c>
      <c r="F1048" s="39" t="s">
        <v>2553</v>
      </c>
    </row>
    <row r="1049" spans="1:6" x14ac:dyDescent="0.2">
      <c r="A1049" s="92">
        <v>70.010000000000005</v>
      </c>
      <c r="B1049" s="39">
        <v>70</v>
      </c>
      <c r="C1049" s="39" t="s">
        <v>2524</v>
      </c>
      <c r="D1049" s="39">
        <v>911</v>
      </c>
      <c r="E1049" s="39">
        <v>61</v>
      </c>
      <c r="F1049" s="39" t="s">
        <v>1374</v>
      </c>
    </row>
    <row r="1050" spans="1:6" x14ac:dyDescent="0.2">
      <c r="A1050" s="92">
        <v>70.02000000000001</v>
      </c>
      <c r="B1050" s="39">
        <v>70</v>
      </c>
      <c r="C1050" s="39" t="s">
        <v>2524</v>
      </c>
      <c r="D1050" s="39">
        <v>999</v>
      </c>
      <c r="E1050" s="39">
        <v>99</v>
      </c>
      <c r="F1050" s="39" t="s">
        <v>2553</v>
      </c>
    </row>
    <row r="1051" spans="1:6" x14ac:dyDescent="0.2">
      <c r="A1051" s="92">
        <v>71.010000000000005</v>
      </c>
      <c r="B1051" s="39">
        <v>71</v>
      </c>
      <c r="C1051" s="39" t="s">
        <v>2527</v>
      </c>
      <c r="D1051" s="39">
        <v>909</v>
      </c>
      <c r="E1051" s="39">
        <v>36</v>
      </c>
      <c r="F1051" s="39" t="s">
        <v>1294</v>
      </c>
    </row>
    <row r="1052" spans="1:6" x14ac:dyDescent="0.2">
      <c r="A1052" s="92">
        <v>71.02000000000001</v>
      </c>
      <c r="B1052" s="39">
        <v>71</v>
      </c>
      <c r="C1052" s="39" t="s">
        <v>2527</v>
      </c>
      <c r="D1052" s="39">
        <v>911</v>
      </c>
      <c r="E1052" s="39">
        <v>39</v>
      </c>
      <c r="F1052" s="39" t="s">
        <v>1329</v>
      </c>
    </row>
    <row r="1053" spans="1:6" x14ac:dyDescent="0.2">
      <c r="A1053" s="92">
        <v>71.030000000000015</v>
      </c>
      <c r="B1053" s="39">
        <v>71</v>
      </c>
      <c r="C1053" s="39" t="s">
        <v>2527</v>
      </c>
      <c r="D1053" s="39">
        <v>911</v>
      </c>
      <c r="E1053" s="39">
        <v>42</v>
      </c>
      <c r="F1053" s="39" t="s">
        <v>1330</v>
      </c>
    </row>
    <row r="1054" spans="1:6" x14ac:dyDescent="0.2">
      <c r="A1054" s="92">
        <v>71.04000000000002</v>
      </c>
      <c r="B1054" s="39">
        <v>71</v>
      </c>
      <c r="C1054" s="39" t="s">
        <v>2527</v>
      </c>
      <c r="D1054" s="39">
        <v>999</v>
      </c>
      <c r="E1054" s="39">
        <v>99</v>
      </c>
      <c r="F1054" s="39" t="s">
        <v>2553</v>
      </c>
    </row>
    <row r="1055" spans="1:6" x14ac:dyDescent="0.2">
      <c r="A1055" s="92">
        <v>72.010000000000005</v>
      </c>
      <c r="B1055" s="39">
        <v>72</v>
      </c>
      <c r="C1055" s="39" t="s">
        <v>2529</v>
      </c>
      <c r="D1055" s="39">
        <v>902</v>
      </c>
      <c r="E1055" s="39">
        <v>1</v>
      </c>
      <c r="F1055" s="39" t="s">
        <v>1149</v>
      </c>
    </row>
    <row r="1056" spans="1:6" x14ac:dyDescent="0.2">
      <c r="A1056" s="92">
        <v>72.02000000000001</v>
      </c>
      <c r="B1056" s="39">
        <v>72</v>
      </c>
      <c r="C1056" s="39" t="s">
        <v>2529</v>
      </c>
      <c r="D1056" s="39">
        <v>902</v>
      </c>
      <c r="E1056" s="39">
        <v>7</v>
      </c>
      <c r="F1056" s="39" t="s">
        <v>1204</v>
      </c>
    </row>
    <row r="1057" spans="1:6" x14ac:dyDescent="0.2">
      <c r="A1057" s="92">
        <v>72.030000000000015</v>
      </c>
      <c r="B1057" s="39">
        <v>72</v>
      </c>
      <c r="C1057" s="39" t="s">
        <v>2529</v>
      </c>
      <c r="D1057" s="39">
        <v>909</v>
      </c>
      <c r="E1057" s="39">
        <v>36</v>
      </c>
      <c r="F1057" s="39" t="s">
        <v>1294</v>
      </c>
    </row>
    <row r="1058" spans="1:6" x14ac:dyDescent="0.2">
      <c r="A1058" s="92">
        <v>72.04000000000002</v>
      </c>
      <c r="B1058" s="39">
        <v>72</v>
      </c>
      <c r="C1058" s="39" t="s">
        <v>2529</v>
      </c>
      <c r="D1058" s="39">
        <v>999</v>
      </c>
      <c r="E1058" s="39">
        <v>99</v>
      </c>
      <c r="F1058" s="39" t="s">
        <v>2553</v>
      </c>
    </row>
    <row r="1059" spans="1:6" x14ac:dyDescent="0.2">
      <c r="A1059" s="92">
        <v>73.010000000000005</v>
      </c>
      <c r="B1059" s="39">
        <v>73</v>
      </c>
      <c r="C1059" s="39" t="s">
        <v>2531</v>
      </c>
      <c r="D1059" s="39">
        <v>902</v>
      </c>
      <c r="E1059" s="39">
        <v>1</v>
      </c>
      <c r="F1059" s="39" t="s">
        <v>1149</v>
      </c>
    </row>
    <row r="1060" spans="1:6" x14ac:dyDescent="0.2">
      <c r="A1060" s="92">
        <v>73.02000000000001</v>
      </c>
      <c r="B1060" s="39">
        <v>73</v>
      </c>
      <c r="C1060" s="39" t="s">
        <v>2531</v>
      </c>
      <c r="D1060" s="39">
        <v>902</v>
      </c>
      <c r="E1060" s="39">
        <v>7</v>
      </c>
      <c r="F1060" s="39" t="s">
        <v>1204</v>
      </c>
    </row>
    <row r="1061" spans="1:6" x14ac:dyDescent="0.2">
      <c r="A1061" s="92">
        <v>73.030000000000015</v>
      </c>
      <c r="B1061" s="39">
        <v>73</v>
      </c>
      <c r="C1061" s="39" t="s">
        <v>2531</v>
      </c>
      <c r="D1061" s="39">
        <v>909</v>
      </c>
      <c r="E1061" s="39">
        <v>36</v>
      </c>
      <c r="F1061" s="39" t="s">
        <v>1294</v>
      </c>
    </row>
    <row r="1062" spans="1:6" x14ac:dyDescent="0.2">
      <c r="A1062" s="92">
        <v>73.04000000000002</v>
      </c>
      <c r="B1062" s="39">
        <v>73</v>
      </c>
      <c r="C1062" s="39" t="s">
        <v>2531</v>
      </c>
      <c r="D1062" s="39">
        <v>999</v>
      </c>
      <c r="E1062" s="39">
        <v>99</v>
      </c>
      <c r="F1062" s="39" t="s">
        <v>2553</v>
      </c>
    </row>
    <row r="1063" spans="1:6" x14ac:dyDescent="0.2">
      <c r="A1063" s="92">
        <v>74.010000000000005</v>
      </c>
      <c r="B1063" s="39">
        <v>74</v>
      </c>
      <c r="C1063" s="39" t="s">
        <v>1396</v>
      </c>
      <c r="D1063" s="39">
        <v>909</v>
      </c>
      <c r="E1063" s="39">
        <v>36</v>
      </c>
      <c r="F1063" s="39" t="s">
        <v>1294</v>
      </c>
    </row>
    <row r="1064" spans="1:6" x14ac:dyDescent="0.2">
      <c r="A1064" s="92">
        <v>74.02000000000001</v>
      </c>
      <c r="B1064" s="39">
        <v>74</v>
      </c>
      <c r="C1064" s="39" t="s">
        <v>1396</v>
      </c>
      <c r="D1064" s="39">
        <v>999</v>
      </c>
      <c r="E1064" s="39">
        <v>99</v>
      </c>
      <c r="F1064" s="39" t="s">
        <v>2553</v>
      </c>
    </row>
    <row r="1065" spans="1:6" x14ac:dyDescent="0.2">
      <c r="A1065" s="92">
        <v>75.010000000000005</v>
      </c>
      <c r="B1065" s="39">
        <v>75</v>
      </c>
      <c r="C1065" s="39" t="s">
        <v>2535</v>
      </c>
      <c r="D1065" s="39">
        <v>909</v>
      </c>
      <c r="E1065" s="39">
        <v>36</v>
      </c>
      <c r="F1065" s="39" t="s">
        <v>1294</v>
      </c>
    </row>
    <row r="1066" spans="1:6" x14ac:dyDescent="0.2">
      <c r="A1066" s="92">
        <v>75.02000000000001</v>
      </c>
      <c r="B1066" s="39">
        <v>75</v>
      </c>
      <c r="C1066" s="39" t="s">
        <v>2535</v>
      </c>
      <c r="D1066" s="39">
        <v>999</v>
      </c>
      <c r="E1066" s="39">
        <v>99</v>
      </c>
      <c r="F1066" s="39" t="s">
        <v>2553</v>
      </c>
    </row>
    <row r="1067" spans="1:6" x14ac:dyDescent="0.2">
      <c r="A1067" s="92">
        <v>76.010000000000005</v>
      </c>
      <c r="B1067" s="39">
        <v>76</v>
      </c>
      <c r="C1067" s="39" t="s">
        <v>2538</v>
      </c>
      <c r="D1067" s="39">
        <v>909</v>
      </c>
      <c r="E1067" s="39">
        <v>36</v>
      </c>
      <c r="F1067" s="39" t="s">
        <v>1294</v>
      </c>
    </row>
    <row r="1068" spans="1:6" x14ac:dyDescent="0.2">
      <c r="A1068" s="92">
        <v>76.02000000000001</v>
      </c>
      <c r="B1068" s="39">
        <v>76</v>
      </c>
      <c r="C1068" s="39" t="s">
        <v>2538</v>
      </c>
      <c r="D1068" s="39">
        <v>999</v>
      </c>
      <c r="E1068" s="39">
        <v>99</v>
      </c>
      <c r="F1068" s="39" t="s">
        <v>2553</v>
      </c>
    </row>
    <row r="1069" spans="1:6" x14ac:dyDescent="0.2">
      <c r="A1069" s="92">
        <v>77.010000000000005</v>
      </c>
      <c r="B1069" s="39">
        <v>77</v>
      </c>
      <c r="C1069" s="39" t="s">
        <v>2540</v>
      </c>
      <c r="D1069" s="39">
        <v>909</v>
      </c>
      <c r="E1069" s="39">
        <v>36</v>
      </c>
      <c r="F1069" s="39" t="s">
        <v>1294</v>
      </c>
    </row>
    <row r="1070" spans="1:6" x14ac:dyDescent="0.2">
      <c r="A1070" s="92">
        <v>77.02000000000001</v>
      </c>
      <c r="B1070" s="39">
        <v>77</v>
      </c>
      <c r="C1070" s="39" t="s">
        <v>2540</v>
      </c>
      <c r="D1070" s="39">
        <v>999</v>
      </c>
      <c r="E1070" s="39">
        <v>99</v>
      </c>
      <c r="F1070" s="39" t="s">
        <v>2553</v>
      </c>
    </row>
    <row r="1071" spans="1:6" x14ac:dyDescent="0.2">
      <c r="A1071" s="92">
        <v>78.010000000000005</v>
      </c>
      <c r="B1071" s="39">
        <v>78</v>
      </c>
      <c r="C1071" s="39" t="s">
        <v>2542</v>
      </c>
      <c r="D1071" s="39">
        <v>915</v>
      </c>
      <c r="E1071" s="39">
        <v>50</v>
      </c>
      <c r="F1071" s="39" t="s">
        <v>1407</v>
      </c>
    </row>
    <row r="1072" spans="1:6" x14ac:dyDescent="0.2">
      <c r="A1072" s="92">
        <v>78.02000000000001</v>
      </c>
      <c r="B1072" s="39">
        <v>78</v>
      </c>
      <c r="C1072" s="39" t="s">
        <v>2542</v>
      </c>
      <c r="D1072" s="39">
        <v>999</v>
      </c>
      <c r="E1072" s="39">
        <v>99</v>
      </c>
      <c r="F1072" s="39" t="s">
        <v>2553</v>
      </c>
    </row>
    <row r="1073" spans="1:6" x14ac:dyDescent="0.2">
      <c r="A1073" s="92">
        <v>79.010000000000005</v>
      </c>
      <c r="B1073" s="39">
        <v>79</v>
      </c>
      <c r="C1073" s="39" t="s">
        <v>2545</v>
      </c>
      <c r="D1073" s="39">
        <v>999</v>
      </c>
      <c r="E1073" s="39">
        <v>99</v>
      </c>
      <c r="F1073" s="39" t="s">
        <v>2554</v>
      </c>
    </row>
  </sheetData>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9"/>
  <dimension ref="A1:K4981"/>
  <sheetViews>
    <sheetView topLeftCell="A4982" workbookViewId="0">
      <selection activeCell="D4999" sqref="D4999"/>
    </sheetView>
  </sheetViews>
  <sheetFormatPr baseColWidth="10" defaultColWidth="11.44140625" defaultRowHeight="12" x14ac:dyDescent="0.25"/>
  <cols>
    <col min="1" max="1" width="5.6640625" style="1" bestFit="1" customWidth="1"/>
    <col min="2" max="2" width="8.6640625" style="115" bestFit="1" customWidth="1"/>
    <col min="3" max="3" width="12.6640625" style="1" bestFit="1" customWidth="1"/>
    <col min="4" max="4" width="16.33203125" style="1" customWidth="1"/>
    <col min="5" max="5" width="8.5546875" style="1" bestFit="1" customWidth="1"/>
    <col min="6" max="6" width="4.88671875" style="1" bestFit="1" customWidth="1"/>
    <col min="7" max="7" width="6" style="1" customWidth="1"/>
    <col min="8" max="8" width="38.88671875" style="1" customWidth="1"/>
    <col min="9" max="9" width="6.88671875" style="1" customWidth="1"/>
    <col min="10" max="10" width="57.5546875" style="1" customWidth="1"/>
    <col min="11" max="16384" width="11.44140625" style="1"/>
  </cols>
  <sheetData>
    <row r="1" spans="1:11" hidden="1" x14ac:dyDescent="0.25">
      <c r="B1" s="115">
        <f>'Hoja Contable'!K7</f>
        <v>20</v>
      </c>
    </row>
    <row r="2" spans="1:11" hidden="1" x14ac:dyDescent="0.25">
      <c r="B2" s="115" t="s">
        <v>2555</v>
      </c>
      <c r="C2" s="1" t="s">
        <v>2556</v>
      </c>
      <c r="D2" s="1" t="s">
        <v>2557</v>
      </c>
      <c r="E2" s="1" t="s">
        <v>2558</v>
      </c>
      <c r="K2" s="1">
        <v>0.01</v>
      </c>
    </row>
    <row r="3" spans="1:11" hidden="1" x14ac:dyDescent="0.25">
      <c r="A3" s="115">
        <v>1.101</v>
      </c>
      <c r="B3" s="115">
        <v>1.1000000000000001</v>
      </c>
      <c r="C3" s="1">
        <v>10</v>
      </c>
      <c r="D3" s="1" t="s">
        <v>2559</v>
      </c>
      <c r="E3" s="1">
        <v>1</v>
      </c>
      <c r="F3" s="1" t="str">
        <f>CONCATENATE($B$1,".",I3)</f>
        <v>20.101</v>
      </c>
      <c r="G3" s="115">
        <f>F3*1</f>
        <v>20.100999999999999</v>
      </c>
      <c r="H3" s="1" t="str">
        <f>VLOOKUP($G$3,$A$3:$D$4651,4)</f>
        <v>0010-ABARROTES, MERCANCÍAS MIXTAS Y/O MISCELÁNEAS</v>
      </c>
      <c r="I3" s="1">
        <v>101</v>
      </c>
      <c r="J3" s="1" t="str">
        <f>H3</f>
        <v>0010-ABARROTES, MERCANCÍAS MIXTAS Y/O MISCELÁNEAS</v>
      </c>
      <c r="K3" s="1">
        <f>VLOOKUP(G3,$A$3:$E$4651,3)</f>
        <v>10</v>
      </c>
    </row>
    <row r="4" spans="1:11" hidden="1" x14ac:dyDescent="0.25">
      <c r="A4" s="115">
        <v>1.1020000000000001</v>
      </c>
      <c r="B4" s="115">
        <v>1.2</v>
      </c>
      <c r="C4" s="1">
        <v>20</v>
      </c>
      <c r="D4" s="1" t="s">
        <v>2560</v>
      </c>
      <c r="E4" s="1">
        <v>1</v>
      </c>
      <c r="F4" s="1" t="str">
        <f t="shared" ref="F4:F67" si="0">CONCATENATE($B$1,".",I4)</f>
        <v>20.102</v>
      </c>
      <c r="G4" s="115">
        <f t="shared" ref="G4:G67" si="1">F4*1</f>
        <v>20.102</v>
      </c>
      <c r="H4" s="1" t="str">
        <f>VLOOKUP(G4,$A$3:$D$4651,4)</f>
        <v>0020-ACEITES Y/O GRASAS COMESTIBLES DE ANIMALES Y/O VEGETALES</v>
      </c>
      <c r="I4" s="1">
        <v>102</v>
      </c>
      <c r="J4" s="1" t="str">
        <f>IF(H4=H3,"",H4)</f>
        <v>0020-ACEITES Y/O GRASAS COMESTIBLES DE ANIMALES Y/O VEGETALES</v>
      </c>
      <c r="K4" s="1">
        <f t="shared" ref="K4:K67" si="2">VLOOKUP(G4,$A$3:$E$4651,3)</f>
        <v>20</v>
      </c>
    </row>
    <row r="5" spans="1:11" hidden="1" x14ac:dyDescent="0.25">
      <c r="A5" s="115">
        <v>1.103</v>
      </c>
      <c r="B5" s="115">
        <v>1.3</v>
      </c>
      <c r="C5" s="1">
        <v>30</v>
      </c>
      <c r="D5" s="1" t="s">
        <v>2561</v>
      </c>
      <c r="E5" s="1">
        <v>1</v>
      </c>
      <c r="F5" s="1" t="str">
        <f t="shared" si="0"/>
        <v>20.103</v>
      </c>
      <c r="G5" s="115">
        <f t="shared" si="1"/>
        <v>20.103000000000002</v>
      </c>
      <c r="H5" s="1" t="str">
        <f t="shared" ref="H5:H67" si="3">VLOOKUP(G5,$A$3:$D$4651,4)</f>
        <v>0030-ACUMULADORES</v>
      </c>
      <c r="I5" s="1">
        <v>103</v>
      </c>
      <c r="J5" s="1" t="str">
        <f t="shared" ref="J5:J68" si="4">IF(H5=H4,"",H5)</f>
        <v>0030-ACUMULADORES</v>
      </c>
      <c r="K5" s="1">
        <f t="shared" si="2"/>
        <v>30</v>
      </c>
    </row>
    <row r="6" spans="1:11" hidden="1" x14ac:dyDescent="0.25">
      <c r="A6" s="115">
        <v>1.1040000000000001</v>
      </c>
      <c r="B6" s="115">
        <v>1.4</v>
      </c>
      <c r="C6" s="1">
        <v>40</v>
      </c>
      <c r="D6" s="1" t="s">
        <v>2562</v>
      </c>
      <c r="E6" s="1">
        <v>1</v>
      </c>
      <c r="F6" s="1" t="str">
        <f t="shared" si="0"/>
        <v>20.104</v>
      </c>
      <c r="G6" s="115">
        <f t="shared" si="1"/>
        <v>20.103999999999999</v>
      </c>
      <c r="H6" s="1" t="str">
        <f t="shared" si="3"/>
        <v>0040-AGUARDIENTE, ALCOHOL, LICORES, VINOS, SIDRAS Y/U OTRA BEBIDA ALCOHÓLICA (EXCLUYE CERVEZA Y MALTA Ver Giro 0390)</v>
      </c>
      <c r="I6" s="1">
        <v>104</v>
      </c>
      <c r="J6" s="1" t="str">
        <f t="shared" si="4"/>
        <v>0040-AGUARDIENTE, ALCOHOL, LICORES, VINOS, SIDRAS Y/U OTRA BEBIDA ALCOHÓLICA (EXCLUYE CERVEZA Y MALTA Ver Giro 0390)</v>
      </c>
      <c r="K6" s="1">
        <f t="shared" si="2"/>
        <v>40</v>
      </c>
    </row>
    <row r="7" spans="1:11" hidden="1" x14ac:dyDescent="0.25">
      <c r="A7" s="115">
        <v>1.105</v>
      </c>
      <c r="B7" s="115">
        <v>1.5</v>
      </c>
      <c r="C7" s="1">
        <v>50</v>
      </c>
      <c r="D7" s="1" t="s">
        <v>2563</v>
      </c>
      <c r="E7" s="1">
        <v>1</v>
      </c>
      <c r="F7" s="1" t="str">
        <f t="shared" si="0"/>
        <v>20.105</v>
      </c>
      <c r="G7" s="115">
        <f t="shared" si="1"/>
        <v>20.105</v>
      </c>
      <c r="H7" s="1" t="str">
        <f t="shared" si="3"/>
        <v>0050-AGUARRAS</v>
      </c>
      <c r="I7" s="1">
        <v>105</v>
      </c>
      <c r="J7" s="1" t="str">
        <f t="shared" si="4"/>
        <v>0050-AGUARRAS</v>
      </c>
      <c r="K7" s="1">
        <f t="shared" si="2"/>
        <v>50</v>
      </c>
    </row>
    <row r="8" spans="1:11" hidden="1" x14ac:dyDescent="0.25">
      <c r="A8" s="115">
        <v>1.1060000000000001</v>
      </c>
      <c r="B8" s="115">
        <v>1.6</v>
      </c>
      <c r="C8" s="1">
        <v>60</v>
      </c>
      <c r="D8" s="1" t="s">
        <v>2564</v>
      </c>
      <c r="E8" s="1">
        <v>1</v>
      </c>
      <c r="F8" s="1" t="str">
        <f t="shared" si="0"/>
        <v>20.106</v>
      </c>
      <c r="G8" s="115">
        <f t="shared" si="1"/>
        <v>20.106000000000002</v>
      </c>
      <c r="H8" s="1" t="str">
        <f t="shared" si="3"/>
        <v>0060-AGUA, BEBIDAS AZUCARADAS, REFRESCOS, JUGOS Y/U OTRA BEBIDA NO ALCOHÓLICA</v>
      </c>
      <c r="I8" s="1">
        <v>106</v>
      </c>
      <c r="J8" s="1" t="str">
        <f t="shared" si="4"/>
        <v>0060-AGUA, BEBIDAS AZUCARADAS, REFRESCOS, JUGOS Y/U OTRA BEBIDA NO ALCOHÓLICA</v>
      </c>
      <c r="K8" s="1">
        <f t="shared" si="2"/>
        <v>60</v>
      </c>
    </row>
    <row r="9" spans="1:11" hidden="1" x14ac:dyDescent="0.25">
      <c r="A9" s="115">
        <v>1.107</v>
      </c>
      <c r="B9" s="115">
        <v>1.7</v>
      </c>
      <c r="C9" s="1">
        <v>70</v>
      </c>
      <c r="D9" s="1" t="s">
        <v>2565</v>
      </c>
      <c r="E9" s="1">
        <v>1</v>
      </c>
      <c r="F9" s="1" t="str">
        <f t="shared" si="0"/>
        <v>20.107</v>
      </c>
      <c r="G9" s="115">
        <f t="shared" si="1"/>
        <v>20.106999999999999</v>
      </c>
      <c r="H9" s="1" t="str">
        <f t="shared" si="3"/>
        <v>0070-ALFOMBRAS Y/O TAPICES</v>
      </c>
      <c r="I9" s="1">
        <v>107</v>
      </c>
      <c r="J9" s="1" t="str">
        <f t="shared" si="4"/>
        <v>0070-ALFOMBRAS Y/O TAPICES</v>
      </c>
      <c r="K9" s="1">
        <f t="shared" si="2"/>
        <v>70</v>
      </c>
    </row>
    <row r="10" spans="1:11" hidden="1" x14ac:dyDescent="0.25">
      <c r="A10" s="115">
        <v>1.1080000000000001</v>
      </c>
      <c r="B10" s="115">
        <v>1.8</v>
      </c>
      <c r="C10" s="1">
        <v>80</v>
      </c>
      <c r="D10" s="1" t="s">
        <v>2566</v>
      </c>
      <c r="E10" s="1">
        <v>1</v>
      </c>
      <c r="F10" s="1" t="str">
        <f t="shared" si="0"/>
        <v>20.108</v>
      </c>
      <c r="G10" s="115">
        <f t="shared" si="1"/>
        <v>20.108000000000001</v>
      </c>
      <c r="H10" s="1" t="str">
        <f t="shared" si="3"/>
        <v>0080-ALGODÓN ABSORBENTE</v>
      </c>
      <c r="I10" s="1">
        <v>108</v>
      </c>
      <c r="J10" s="1" t="str">
        <f t="shared" si="4"/>
        <v>0080-ALGODÓN ABSORBENTE</v>
      </c>
      <c r="K10" s="1">
        <f t="shared" si="2"/>
        <v>80</v>
      </c>
    </row>
    <row r="11" spans="1:11" hidden="1" x14ac:dyDescent="0.25">
      <c r="A11" s="115">
        <v>1.109</v>
      </c>
      <c r="B11" s="115">
        <v>1.9</v>
      </c>
      <c r="C11" s="1">
        <v>90</v>
      </c>
      <c r="D11" s="1" t="s">
        <v>2567</v>
      </c>
      <c r="E11" s="1">
        <v>1</v>
      </c>
      <c r="F11" s="1" t="str">
        <f t="shared" si="0"/>
        <v>20.109</v>
      </c>
      <c r="G11" s="115">
        <f t="shared" si="1"/>
        <v>20.109000000000002</v>
      </c>
      <c r="H11" s="1" t="str">
        <f t="shared" si="3"/>
        <v>0090-ALIMENTO PARA ANIMALES (EXCLUYE PAJA Y PASTOS SECOS Ver Giro 0980)</v>
      </c>
      <c r="I11" s="1">
        <v>109</v>
      </c>
      <c r="J11" s="1" t="str">
        <f t="shared" si="4"/>
        <v>0090-ALIMENTO PARA ANIMALES (EXCLUYE PAJA Y PASTOS SECOS Ver Giro 0980)</v>
      </c>
      <c r="K11" s="1">
        <f t="shared" si="2"/>
        <v>90</v>
      </c>
    </row>
    <row r="12" spans="1:11" hidden="1" x14ac:dyDescent="0.25">
      <c r="A12" s="115">
        <v>1.1100000000000001</v>
      </c>
      <c r="B12" s="115">
        <v>1.1000000000000001</v>
      </c>
      <c r="C12" s="1">
        <v>100</v>
      </c>
      <c r="D12" s="1" t="s">
        <v>2568</v>
      </c>
      <c r="E12" s="1">
        <v>1</v>
      </c>
      <c r="F12" s="1" t="str">
        <f t="shared" si="0"/>
        <v>20.110</v>
      </c>
      <c r="G12" s="115">
        <f t="shared" si="1"/>
        <v>20.11</v>
      </c>
      <c r="H12" s="1" t="str">
        <f t="shared" si="3"/>
        <v>0100-ALMACENES GENERALES DE DEPOSITO O AGENCIA ADUANAL</v>
      </c>
      <c r="I12" s="1">
        <v>110</v>
      </c>
      <c r="J12" s="1" t="str">
        <f t="shared" si="4"/>
        <v>0100-ALMACENES GENERALES DE DEPOSITO O AGENCIA ADUANAL</v>
      </c>
      <c r="K12" s="1">
        <f t="shared" si="2"/>
        <v>100</v>
      </c>
    </row>
    <row r="13" spans="1:11" hidden="1" x14ac:dyDescent="0.25">
      <c r="A13" s="115">
        <v>1.111</v>
      </c>
      <c r="B13" s="115">
        <v>1.1100000000000001</v>
      </c>
      <c r="C13" s="1">
        <v>110</v>
      </c>
      <c r="D13" s="1" t="s">
        <v>2569</v>
      </c>
      <c r="E13" s="1">
        <v>1</v>
      </c>
      <c r="F13" s="1" t="str">
        <f t="shared" si="0"/>
        <v>20.111</v>
      </c>
      <c r="G13" s="115">
        <f t="shared" si="1"/>
        <v>20.111000000000001</v>
      </c>
      <c r="H13" s="1" t="str">
        <f t="shared" si="3"/>
        <v>0110-ANIMALES</v>
      </c>
      <c r="I13" s="1">
        <v>111</v>
      </c>
      <c r="J13" s="1" t="str">
        <f t="shared" si="4"/>
        <v>0110-ANIMALES</v>
      </c>
      <c r="K13" s="1">
        <f t="shared" si="2"/>
        <v>110</v>
      </c>
    </row>
    <row r="14" spans="1:11" hidden="1" x14ac:dyDescent="0.25">
      <c r="A14" s="115">
        <v>1.1120000000000001</v>
      </c>
      <c r="B14" s="115">
        <v>1.1200000000000001</v>
      </c>
      <c r="C14" s="1">
        <v>120</v>
      </c>
      <c r="D14" s="1" t="s">
        <v>2570</v>
      </c>
      <c r="E14" s="1">
        <v>1</v>
      </c>
      <c r="F14" s="1" t="str">
        <f t="shared" si="0"/>
        <v>20.112</v>
      </c>
      <c r="G14" s="115">
        <f t="shared" si="1"/>
        <v>20.111999999999998</v>
      </c>
      <c r="H14" s="1" t="str">
        <f t="shared" si="3"/>
        <v>0120-ASTILLEROS (ARMADORAS)</v>
      </c>
      <c r="I14" s="1">
        <v>112</v>
      </c>
      <c r="J14" s="1" t="str">
        <f t="shared" si="4"/>
        <v>0120-ASTILLEROS (ARMADORAS)</v>
      </c>
      <c r="K14" s="1">
        <f t="shared" si="2"/>
        <v>120</v>
      </c>
    </row>
    <row r="15" spans="1:11" hidden="1" x14ac:dyDescent="0.25">
      <c r="A15" s="115">
        <v>1.113</v>
      </c>
      <c r="B15" s="115">
        <v>1.1299999999999999</v>
      </c>
      <c r="C15" s="1">
        <v>130</v>
      </c>
      <c r="D15" s="1" t="s">
        <v>2571</v>
      </c>
      <c r="E15" s="1">
        <v>1</v>
      </c>
      <c r="F15" s="1" t="str">
        <f t="shared" si="0"/>
        <v>20.113</v>
      </c>
      <c r="G15" s="115">
        <f t="shared" si="1"/>
        <v>20.113</v>
      </c>
      <c r="H15" s="1" t="str">
        <f t="shared" si="3"/>
        <v>0130-AUTOMÓVILES, CAMIONETAS, AUTOBUSES, CAMIONES, TRACTOCAMIONES, BICICLETAS, MOTOCICLETAS, MAQUINARIA AGRÍCOLA Y/O MAQUINARIA CONSTRUCCIÓN (INCLUYE REFACCIONES)</v>
      </c>
      <c r="I15" s="1">
        <v>113</v>
      </c>
      <c r="J15" s="1" t="str">
        <f t="shared" si="4"/>
        <v>0130-AUTOMÓVILES, CAMIONETAS, AUTOBUSES, CAMIONES, TRACTOCAMIONES, BICICLETAS, MOTOCICLETAS, MAQUINARIA AGRÍCOLA Y/O MAQUINARIA CONSTRUCCIÓN (INCLUYE REFACCIONES)</v>
      </c>
      <c r="K15" s="1">
        <f t="shared" si="2"/>
        <v>130</v>
      </c>
    </row>
    <row r="16" spans="1:11" hidden="1" x14ac:dyDescent="0.25">
      <c r="A16" s="115">
        <v>1.1140000000000001</v>
      </c>
      <c r="B16" s="115">
        <v>1.1399999999999999</v>
      </c>
      <c r="C16" s="1">
        <v>140</v>
      </c>
      <c r="D16" s="1" t="s">
        <v>2572</v>
      </c>
      <c r="E16" s="1">
        <v>1</v>
      </c>
      <c r="F16" s="1" t="str">
        <f t="shared" si="0"/>
        <v>20.114</v>
      </c>
      <c r="G16" s="115">
        <f t="shared" si="1"/>
        <v>20.114000000000001</v>
      </c>
      <c r="H16" s="1" t="str">
        <f t="shared" si="3"/>
        <v>0140-AZÚCAR (INCLUYE AGUARDIENTE Y ALCOHOL)</v>
      </c>
      <c r="I16" s="1">
        <v>114</v>
      </c>
      <c r="J16" s="1" t="str">
        <f t="shared" si="4"/>
        <v>0140-AZÚCAR (INCLUYE AGUARDIENTE Y ALCOHOL)</v>
      </c>
      <c r="K16" s="1">
        <f t="shared" si="2"/>
        <v>140</v>
      </c>
    </row>
    <row r="17" spans="1:11" hidden="1" x14ac:dyDescent="0.25">
      <c r="A17" s="115">
        <v>1.115</v>
      </c>
      <c r="B17" s="115">
        <v>1.1499999999999999</v>
      </c>
      <c r="C17" s="1">
        <v>150</v>
      </c>
      <c r="D17" s="1" t="s">
        <v>2573</v>
      </c>
      <c r="E17" s="1">
        <v>1</v>
      </c>
      <c r="F17" s="1" t="str">
        <f t="shared" si="0"/>
        <v>20.115</v>
      </c>
      <c r="G17" s="115">
        <f t="shared" si="1"/>
        <v>20.114999999999998</v>
      </c>
      <c r="H17" s="1" t="str">
        <f t="shared" si="3"/>
        <v>0150-AZUFRE</v>
      </c>
      <c r="I17" s="1">
        <v>115</v>
      </c>
      <c r="J17" s="1" t="str">
        <f t="shared" si="4"/>
        <v>0150-AZUFRE</v>
      </c>
      <c r="K17" s="1">
        <f t="shared" si="2"/>
        <v>150</v>
      </c>
    </row>
    <row r="18" spans="1:11" hidden="1" x14ac:dyDescent="0.25">
      <c r="A18" s="115">
        <v>1.1160000000000001</v>
      </c>
      <c r="B18" s="115">
        <v>1.1599999999999999</v>
      </c>
      <c r="C18" s="1">
        <v>160</v>
      </c>
      <c r="D18" s="1" t="s">
        <v>2574</v>
      </c>
      <c r="E18" s="1">
        <v>1</v>
      </c>
      <c r="F18" s="1" t="str">
        <f t="shared" si="0"/>
        <v>20.116</v>
      </c>
      <c r="G18" s="115">
        <f t="shared" si="1"/>
        <v>20.116</v>
      </c>
      <c r="H18" s="1" t="str">
        <f t="shared" si="3"/>
        <v>0160-BALATAS Y EMBRAGUES</v>
      </c>
      <c r="I18" s="1">
        <v>116</v>
      </c>
      <c r="J18" s="1" t="str">
        <f t="shared" si="4"/>
        <v>0160-BALATAS Y EMBRAGUES</v>
      </c>
      <c r="K18" s="1">
        <f t="shared" si="2"/>
        <v>160</v>
      </c>
    </row>
    <row r="19" spans="1:11" hidden="1" x14ac:dyDescent="0.25">
      <c r="A19" s="115">
        <v>1.117</v>
      </c>
      <c r="B19" s="115">
        <v>1.17</v>
      </c>
      <c r="C19" s="1">
        <v>170</v>
      </c>
      <c r="D19" s="1" t="s">
        <v>2575</v>
      </c>
      <c r="E19" s="1">
        <v>1</v>
      </c>
      <c r="F19" s="1" t="str">
        <f t="shared" si="0"/>
        <v>20.117</v>
      </c>
      <c r="G19" s="115">
        <f t="shared" si="1"/>
        <v>20.117000000000001</v>
      </c>
      <c r="H19" s="1" t="str">
        <f t="shared" si="3"/>
        <v>0170-BAÑOS PÚBLICOS</v>
      </c>
      <c r="I19" s="1">
        <v>117</v>
      </c>
      <c r="J19" s="1" t="str">
        <f t="shared" si="4"/>
        <v>0170-BAÑOS PÚBLICOS</v>
      </c>
      <c r="K19" s="1">
        <f t="shared" si="2"/>
        <v>170</v>
      </c>
    </row>
    <row r="20" spans="1:11" hidden="1" x14ac:dyDescent="0.25">
      <c r="A20" s="115">
        <v>1.1180000000000001</v>
      </c>
      <c r="B20" s="115">
        <v>1.18</v>
      </c>
      <c r="C20" s="1">
        <v>180</v>
      </c>
      <c r="D20" s="1" t="s">
        <v>2576</v>
      </c>
      <c r="E20" s="1">
        <v>1</v>
      </c>
      <c r="F20" s="1" t="str">
        <f t="shared" si="0"/>
        <v>20.118</v>
      </c>
      <c r="G20" s="115">
        <f t="shared" si="1"/>
        <v>20.117999999999999</v>
      </c>
      <c r="H20" s="1" t="str">
        <f t="shared" si="3"/>
        <v>0180-BARNICES, PINTURAS, TINTAS, COLORANTES, PIGMENTOS Y/O LACAS</v>
      </c>
      <c r="I20" s="1">
        <v>118</v>
      </c>
      <c r="J20" s="1" t="str">
        <f t="shared" si="4"/>
        <v>0180-BARNICES, PINTURAS, TINTAS, COLORANTES, PIGMENTOS Y/O LACAS</v>
      </c>
      <c r="K20" s="1">
        <f t="shared" si="2"/>
        <v>180</v>
      </c>
    </row>
    <row r="21" spans="1:11" hidden="1" x14ac:dyDescent="0.25">
      <c r="A21" s="115">
        <v>1.119</v>
      </c>
      <c r="B21" s="115">
        <v>1.19</v>
      </c>
      <c r="C21" s="1">
        <v>190</v>
      </c>
      <c r="D21" s="1" t="s">
        <v>2577</v>
      </c>
      <c r="E21" s="1">
        <v>1</v>
      </c>
      <c r="F21" s="1" t="str">
        <f t="shared" si="0"/>
        <v>20.119</v>
      </c>
      <c r="G21" s="115">
        <f t="shared" si="1"/>
        <v>20.119</v>
      </c>
      <c r="H21" s="1" t="str">
        <f t="shared" si="3"/>
        <v>0190-BASURA</v>
      </c>
      <c r="I21" s="1">
        <v>119</v>
      </c>
      <c r="J21" s="1" t="str">
        <f t="shared" si="4"/>
        <v>0190-BASURA</v>
      </c>
      <c r="K21" s="1">
        <f t="shared" si="2"/>
        <v>190</v>
      </c>
    </row>
    <row r="22" spans="1:11" hidden="1" x14ac:dyDescent="0.25">
      <c r="A22" s="115">
        <v>1.1200000000000001</v>
      </c>
      <c r="B22" s="115">
        <v>1.2</v>
      </c>
      <c r="C22" s="1">
        <v>200</v>
      </c>
      <c r="D22" s="1" t="s">
        <v>2578</v>
      </c>
      <c r="E22" s="1">
        <v>1</v>
      </c>
      <c r="F22" s="1" t="str">
        <f t="shared" si="0"/>
        <v>20.120</v>
      </c>
      <c r="G22" s="115">
        <f t="shared" si="1"/>
        <v>20.12</v>
      </c>
      <c r="H22" s="1" t="str">
        <f t="shared" si="3"/>
        <v>0200-BATERÍAS ELÉCTRICAS</v>
      </c>
      <c r="I22" s="1">
        <v>120</v>
      </c>
      <c r="J22" s="1" t="str">
        <f t="shared" si="4"/>
        <v>0200-BATERÍAS ELÉCTRICAS</v>
      </c>
      <c r="K22" s="1">
        <f t="shared" si="2"/>
        <v>200</v>
      </c>
    </row>
    <row r="23" spans="1:11" hidden="1" x14ac:dyDescent="0.25">
      <c r="A23" s="115">
        <v>1.121</v>
      </c>
      <c r="B23" s="115">
        <v>1.21</v>
      </c>
      <c r="C23" s="1">
        <v>210</v>
      </c>
      <c r="D23" s="1" t="s">
        <v>2579</v>
      </c>
      <c r="E23" s="1">
        <v>1</v>
      </c>
      <c r="F23" s="1" t="str">
        <f t="shared" si="0"/>
        <v>20.121</v>
      </c>
      <c r="G23" s="115">
        <f t="shared" si="1"/>
        <v>20.120999999999999</v>
      </c>
      <c r="H23" s="1" t="str">
        <f t="shared" si="3"/>
        <v>0210-BAZAR, MONTE DE PIEDAD Y/O CASA DE EMPEÑO</v>
      </c>
      <c r="I23" s="1">
        <v>121</v>
      </c>
      <c r="J23" s="1" t="str">
        <f t="shared" si="4"/>
        <v>0210-BAZAR, MONTE DE PIEDAD Y/O CASA DE EMPEÑO</v>
      </c>
      <c r="K23" s="1">
        <f t="shared" si="2"/>
        <v>210</v>
      </c>
    </row>
    <row r="24" spans="1:11" hidden="1" x14ac:dyDescent="0.25">
      <c r="A24" s="115">
        <v>1.1220000000000001</v>
      </c>
      <c r="B24" s="115">
        <v>1.22</v>
      </c>
      <c r="C24" s="1">
        <v>220</v>
      </c>
      <c r="D24" s="1" t="s">
        <v>2580</v>
      </c>
      <c r="E24" s="1">
        <v>1</v>
      </c>
      <c r="F24" s="1" t="str">
        <f t="shared" si="0"/>
        <v>20.122</v>
      </c>
      <c r="G24" s="115">
        <f t="shared" si="1"/>
        <v>20.122</v>
      </c>
      <c r="H24" s="1" t="str">
        <f t="shared" si="3"/>
        <v>0220-BIBLIOTECAS, MUSEOS, GALERIAS, SITIOS HISTÓRICOS Y/O JARDINES BOTÁNICOS</v>
      </c>
      <c r="I24" s="1">
        <v>122</v>
      </c>
      <c r="J24" s="1" t="str">
        <f t="shared" si="4"/>
        <v>0220-BIBLIOTECAS, MUSEOS, GALERIAS, SITIOS HISTÓRICOS Y/O JARDINES BOTÁNICOS</v>
      </c>
      <c r="K24" s="1">
        <f t="shared" si="2"/>
        <v>220</v>
      </c>
    </row>
    <row r="25" spans="1:11" hidden="1" x14ac:dyDescent="0.25">
      <c r="A25" s="115">
        <v>1.123</v>
      </c>
      <c r="B25" s="115">
        <v>1.23</v>
      </c>
      <c r="C25" s="1">
        <v>230</v>
      </c>
      <c r="D25" s="1" t="s">
        <v>2581</v>
      </c>
      <c r="E25" s="1">
        <v>1</v>
      </c>
      <c r="F25" s="1" t="str">
        <f t="shared" si="0"/>
        <v>20.123</v>
      </c>
      <c r="G25" s="115">
        <f t="shared" si="1"/>
        <v>20.123000000000001</v>
      </c>
      <c r="H25" s="1" t="str">
        <f t="shared" si="3"/>
        <v>0230-BILLARES Y/O BOLICHES</v>
      </c>
      <c r="I25" s="1">
        <v>123</v>
      </c>
      <c r="J25" s="1" t="str">
        <f t="shared" si="4"/>
        <v>0230-BILLARES Y/O BOLICHES</v>
      </c>
      <c r="K25" s="1">
        <f t="shared" si="2"/>
        <v>230</v>
      </c>
    </row>
    <row r="26" spans="1:11" hidden="1" x14ac:dyDescent="0.25">
      <c r="A26" s="115">
        <v>1.1240000000000001</v>
      </c>
      <c r="B26" s="115">
        <v>1.24</v>
      </c>
      <c r="C26" s="1">
        <v>240</v>
      </c>
      <c r="D26" s="1" t="s">
        <v>2582</v>
      </c>
      <c r="E26" s="1">
        <v>1</v>
      </c>
      <c r="F26" s="1" t="str">
        <f t="shared" si="0"/>
        <v>20.124</v>
      </c>
      <c r="G26" s="115">
        <f t="shared" si="1"/>
        <v>20.123999999999999</v>
      </c>
      <c r="H26" s="1" t="str">
        <f t="shared" si="3"/>
        <v>0240-BORRA Y/O ESTOPA</v>
      </c>
      <c r="I26" s="1">
        <v>124</v>
      </c>
      <c r="J26" s="1" t="str">
        <f t="shared" si="4"/>
        <v>0240-BORRA Y/O ESTOPA</v>
      </c>
      <c r="K26" s="1">
        <f t="shared" si="2"/>
        <v>240</v>
      </c>
    </row>
    <row r="27" spans="1:11" hidden="1" x14ac:dyDescent="0.25">
      <c r="A27" s="115">
        <v>1.125</v>
      </c>
      <c r="B27" s="115">
        <v>1.25</v>
      </c>
      <c r="C27" s="1">
        <v>250</v>
      </c>
      <c r="D27" s="1" t="s">
        <v>2583</v>
      </c>
      <c r="E27" s="1">
        <v>1</v>
      </c>
      <c r="F27" s="1" t="str">
        <f t="shared" si="0"/>
        <v>20.125</v>
      </c>
      <c r="G27" s="115">
        <f t="shared" si="1"/>
        <v>20.125</v>
      </c>
      <c r="H27" s="1" t="str">
        <f t="shared" si="3"/>
        <v>0250-BROCHAS Y/O PINCELES</v>
      </c>
      <c r="I27" s="1">
        <v>125</v>
      </c>
      <c r="J27" s="1" t="str">
        <f t="shared" si="4"/>
        <v>0250-BROCHAS Y/O PINCELES</v>
      </c>
      <c r="K27" s="1">
        <f t="shared" si="2"/>
        <v>250</v>
      </c>
    </row>
    <row r="28" spans="1:11" hidden="1" x14ac:dyDescent="0.25">
      <c r="A28" s="115">
        <v>1.1259999999999999</v>
      </c>
      <c r="B28" s="115">
        <v>1.26</v>
      </c>
      <c r="C28" s="1">
        <v>260</v>
      </c>
      <c r="D28" s="1" t="s">
        <v>2584</v>
      </c>
      <c r="E28" s="1">
        <v>1</v>
      </c>
      <c r="F28" s="1" t="str">
        <f t="shared" si="0"/>
        <v>20.126</v>
      </c>
      <c r="G28" s="115">
        <f t="shared" si="1"/>
        <v>20.126000000000001</v>
      </c>
      <c r="H28" s="1" t="str">
        <f t="shared" si="3"/>
        <v>0260-CAFÉ</v>
      </c>
      <c r="I28" s="1">
        <v>126</v>
      </c>
      <c r="J28" s="1" t="str">
        <f t="shared" si="4"/>
        <v>0260-CAFÉ</v>
      </c>
      <c r="K28" s="1">
        <f t="shared" si="2"/>
        <v>260</v>
      </c>
    </row>
    <row r="29" spans="1:11" hidden="1" x14ac:dyDescent="0.25">
      <c r="A29" s="115">
        <v>1.127</v>
      </c>
      <c r="B29" s="115">
        <v>1.27</v>
      </c>
      <c r="C29" s="1">
        <v>270</v>
      </c>
      <c r="D29" s="1" t="s">
        <v>2585</v>
      </c>
      <c r="E29" s="1">
        <v>1</v>
      </c>
      <c r="F29" s="1" t="str">
        <f t="shared" si="0"/>
        <v>20.127</v>
      </c>
      <c r="G29" s="115">
        <f t="shared" si="1"/>
        <v>20.126999999999999</v>
      </c>
      <c r="H29" s="1" t="str">
        <f t="shared" si="3"/>
        <v>0270-CALZADO, INDUSTRIA DEL (INCLUYE ZAPATERIAS)</v>
      </c>
      <c r="I29" s="1">
        <v>127</v>
      </c>
      <c r="J29" s="1" t="str">
        <f t="shared" si="4"/>
        <v>0270-CALZADO, INDUSTRIA DEL (INCLUYE ZAPATERIAS)</v>
      </c>
      <c r="K29" s="1">
        <f t="shared" si="2"/>
        <v>270</v>
      </c>
    </row>
    <row r="30" spans="1:11" hidden="1" x14ac:dyDescent="0.25">
      <c r="A30" s="115">
        <v>1.1279999999999999</v>
      </c>
      <c r="B30" s="115">
        <v>1.28</v>
      </c>
      <c r="C30" s="1">
        <v>280</v>
      </c>
      <c r="D30" s="1" t="s">
        <v>2586</v>
      </c>
      <c r="E30" s="1">
        <v>1</v>
      </c>
      <c r="F30" s="1" t="str">
        <f t="shared" si="0"/>
        <v>20.128</v>
      </c>
      <c r="G30" s="115">
        <f t="shared" si="1"/>
        <v>20.128</v>
      </c>
      <c r="H30" s="1" t="str">
        <f t="shared" si="3"/>
        <v>0280-CALDERAS (EXCLUYE FABRICACIÓN DE CALDERAS Ver Giro 0900)</v>
      </c>
      <c r="I30" s="1">
        <v>128</v>
      </c>
      <c r="J30" s="1" t="str">
        <f t="shared" si="4"/>
        <v>0280-CALDERAS (EXCLUYE FABRICACIÓN DE CALDERAS Ver Giro 0900)</v>
      </c>
      <c r="K30" s="1">
        <f t="shared" si="2"/>
        <v>280</v>
      </c>
    </row>
    <row r="31" spans="1:11" hidden="1" x14ac:dyDescent="0.25">
      <c r="A31" s="115">
        <v>1.129</v>
      </c>
      <c r="B31" s="115">
        <v>1.29</v>
      </c>
      <c r="C31" s="1">
        <v>290</v>
      </c>
      <c r="D31" s="1" t="s">
        <v>2587</v>
      </c>
      <c r="E31" s="1">
        <v>1</v>
      </c>
      <c r="F31" s="1" t="str">
        <f t="shared" si="0"/>
        <v>20.129</v>
      </c>
      <c r="G31" s="115">
        <f t="shared" si="1"/>
        <v>20.129000000000001</v>
      </c>
      <c r="H31" s="1" t="str">
        <f t="shared" si="3"/>
        <v>0290-CARBONES  DE  MOTOR</v>
      </c>
      <c r="I31" s="1">
        <v>129</v>
      </c>
      <c r="J31" s="1" t="str">
        <f t="shared" si="4"/>
        <v>0290-CARBONES  DE  MOTOR</v>
      </c>
      <c r="K31" s="1">
        <f t="shared" si="2"/>
        <v>290</v>
      </c>
    </row>
    <row r="32" spans="1:11" hidden="1" x14ac:dyDescent="0.25">
      <c r="A32" s="115">
        <v>1.1299999999999999</v>
      </c>
      <c r="B32" s="115">
        <v>1.3</v>
      </c>
      <c r="C32" s="1">
        <v>300</v>
      </c>
      <c r="D32" s="1" t="s">
        <v>2588</v>
      </c>
      <c r="E32" s="1">
        <v>1</v>
      </c>
      <c r="F32" s="1" t="str">
        <f t="shared" si="0"/>
        <v>20.130</v>
      </c>
      <c r="G32" s="115">
        <f t="shared" si="1"/>
        <v>20.13</v>
      </c>
      <c r="H32" s="1" t="str">
        <f t="shared" si="3"/>
        <v>0300-CARNES Y SUS DERIVADOS</v>
      </c>
      <c r="I32" s="1">
        <v>130</v>
      </c>
      <c r="J32" s="1" t="str">
        <f t="shared" si="4"/>
        <v>0300-CARNES Y SUS DERIVADOS</v>
      </c>
      <c r="K32" s="1">
        <f t="shared" si="2"/>
        <v>300</v>
      </c>
    </row>
    <row r="33" spans="1:11" hidden="1" x14ac:dyDescent="0.25">
      <c r="A33" s="115">
        <v>1.131</v>
      </c>
      <c r="B33" s="115">
        <v>1.31</v>
      </c>
      <c r="C33" s="1">
        <v>310</v>
      </c>
      <c r="D33" s="1" t="s">
        <v>2589</v>
      </c>
      <c r="E33" s="1">
        <v>1</v>
      </c>
      <c r="F33" s="1" t="str">
        <f t="shared" si="0"/>
        <v>20.131</v>
      </c>
      <c r="G33" s="115">
        <f t="shared" si="1"/>
        <v>20.131</v>
      </c>
      <c r="H33" s="1" t="str">
        <f t="shared" si="3"/>
        <v>0310-CARTUCHOS PARA ARMAS DE FUEGO</v>
      </c>
      <c r="I33" s="1">
        <v>131</v>
      </c>
      <c r="J33" s="1" t="str">
        <f t="shared" si="4"/>
        <v>0310-CARTUCHOS PARA ARMAS DE FUEGO</v>
      </c>
      <c r="K33" s="1">
        <f t="shared" si="2"/>
        <v>310</v>
      </c>
    </row>
    <row r="34" spans="1:11" hidden="1" x14ac:dyDescent="0.25">
      <c r="A34" s="115">
        <v>1.1319999999999999</v>
      </c>
      <c r="B34" s="115">
        <v>1.32</v>
      </c>
      <c r="C34" s="1">
        <v>320</v>
      </c>
      <c r="D34" s="1" t="s">
        <v>2590</v>
      </c>
      <c r="E34" s="1">
        <v>1</v>
      </c>
      <c r="F34" s="1" t="str">
        <f t="shared" si="0"/>
        <v>20.132</v>
      </c>
      <c r="G34" s="115">
        <f t="shared" si="1"/>
        <v>20.132000000000001</v>
      </c>
      <c r="H34" s="1" t="str">
        <f t="shared" si="3"/>
        <v>0320-CELULOSA, INCLUYE FIBRAS ARTIFICIALES (EXCLUYE PAPEL Y CARTÓN Ver Giro 1000)</v>
      </c>
      <c r="I34" s="1">
        <v>132</v>
      </c>
      <c r="J34" s="1" t="str">
        <f t="shared" si="4"/>
        <v>0320-CELULOSA, INCLUYE FIBRAS ARTIFICIALES (EXCLUYE PAPEL Y CARTÓN Ver Giro 1000)</v>
      </c>
      <c r="K34" s="1">
        <f t="shared" si="2"/>
        <v>320</v>
      </c>
    </row>
    <row r="35" spans="1:11" hidden="1" x14ac:dyDescent="0.25">
      <c r="A35" s="115">
        <v>1.133</v>
      </c>
      <c r="B35" s="115">
        <v>1.33</v>
      </c>
      <c r="C35" s="1">
        <v>330</v>
      </c>
      <c r="D35" s="1" t="s">
        <v>2591</v>
      </c>
      <c r="E35" s="1">
        <v>1</v>
      </c>
      <c r="F35" s="1" t="str">
        <f t="shared" si="0"/>
        <v>20.133</v>
      </c>
      <c r="G35" s="115">
        <f t="shared" si="1"/>
        <v>20.132999999999999</v>
      </c>
      <c r="H35" s="1" t="str">
        <f t="shared" si="3"/>
        <v>0330-CEMENTO, CAL Y/O YESO</v>
      </c>
      <c r="I35" s="1">
        <v>133</v>
      </c>
      <c r="J35" s="1" t="str">
        <f t="shared" si="4"/>
        <v>0330-CEMENTO, CAL Y/O YESO</v>
      </c>
      <c r="K35" s="1">
        <f t="shared" si="2"/>
        <v>330</v>
      </c>
    </row>
    <row r="36" spans="1:11" hidden="1" x14ac:dyDescent="0.25">
      <c r="A36" s="115">
        <v>1.1339999999999999</v>
      </c>
      <c r="B36" s="115">
        <v>1.34</v>
      </c>
      <c r="C36" s="1">
        <v>340</v>
      </c>
      <c r="D36" s="1" t="s">
        <v>2592</v>
      </c>
      <c r="E36" s="1">
        <v>1</v>
      </c>
      <c r="F36" s="1" t="str">
        <f t="shared" si="0"/>
        <v>20.134</v>
      </c>
      <c r="G36" s="115">
        <f t="shared" si="1"/>
        <v>20.134</v>
      </c>
      <c r="H36" s="1" t="str">
        <f t="shared" si="3"/>
        <v>0340-CENTROS COMERCIALES, TIENDAS DEPARTAMENTALES, ALMACENES DE AUTOSERVICIO Y/O SUPERMERCADOS (INCLUYE CENTRALES DE ABASTOS, MERCADOS PÚBLICOS Y ARTÍCULOS USADOS)</v>
      </c>
      <c r="I36" s="1">
        <v>134</v>
      </c>
      <c r="J36" s="1" t="str">
        <f t="shared" si="4"/>
        <v>0340-CENTROS COMERCIALES, TIENDAS DEPARTAMENTALES, ALMACENES DE AUTOSERVICIO Y/O SUPERMERCADOS (INCLUYE CENTRALES DE ABASTOS, MERCADOS PÚBLICOS Y ARTÍCULOS USADOS)</v>
      </c>
      <c r="K36" s="1">
        <f t="shared" si="2"/>
        <v>340</v>
      </c>
    </row>
    <row r="37" spans="1:11" hidden="1" x14ac:dyDescent="0.25">
      <c r="A37" s="115">
        <v>1.135</v>
      </c>
      <c r="B37" s="115">
        <v>1.35</v>
      </c>
      <c r="C37" s="1">
        <v>350</v>
      </c>
      <c r="D37" s="1" t="s">
        <v>2593</v>
      </c>
      <c r="E37" s="1">
        <v>1</v>
      </c>
      <c r="F37" s="1" t="str">
        <f t="shared" si="0"/>
        <v>20.135</v>
      </c>
      <c r="G37" s="115">
        <f t="shared" si="1"/>
        <v>20.135000000000002</v>
      </c>
      <c r="H37" s="1" t="str">
        <f t="shared" si="3"/>
        <v>0350-CERÁMICA, BARRO, ARCILLA, LOZA Y/O PORCELANA (INCLUYE ALFARERÍA Y MATERIALES DE CONSTRUCCIÓN)</v>
      </c>
      <c r="I37" s="1">
        <v>135</v>
      </c>
      <c r="J37" s="1" t="str">
        <f t="shared" si="4"/>
        <v>0350-CERÁMICA, BARRO, ARCILLA, LOZA Y/O PORCELANA (INCLUYE ALFARERÍA Y MATERIALES DE CONSTRUCCIÓN)</v>
      </c>
      <c r="K37" s="1">
        <f t="shared" si="2"/>
        <v>350</v>
      </c>
    </row>
    <row r="38" spans="1:11" hidden="1" x14ac:dyDescent="0.25">
      <c r="A38" s="115">
        <v>1.1359999999999999</v>
      </c>
      <c r="B38" s="115">
        <v>1.36</v>
      </c>
      <c r="C38" s="1">
        <v>360</v>
      </c>
      <c r="D38" s="1" t="s">
        <v>2594</v>
      </c>
      <c r="E38" s="1">
        <v>1</v>
      </c>
      <c r="F38" s="1" t="str">
        <f t="shared" si="0"/>
        <v>20.136</v>
      </c>
      <c r="G38" s="115">
        <f t="shared" si="1"/>
        <v>20.135999999999999</v>
      </c>
      <c r="H38" s="1" t="str">
        <f>VLOOKUP(G38,$A$3:$D$4651,4)</f>
        <v>0360-CERAS, PARAFINAS Y/O PASTAS PARA LIMPIAR METALES (INCLUYE VELAS Y VELADORAS)</v>
      </c>
      <c r="I38" s="1">
        <v>136</v>
      </c>
      <c r="J38" s="1" t="str">
        <f t="shared" si="4"/>
        <v>0360-CERAS, PARAFINAS Y/O PASTAS PARA LIMPIAR METALES (INCLUYE VELAS Y VELADORAS)</v>
      </c>
      <c r="K38" s="1">
        <f t="shared" si="2"/>
        <v>360</v>
      </c>
    </row>
    <row r="39" spans="1:11" hidden="1" x14ac:dyDescent="0.25">
      <c r="A39" s="115">
        <v>1.137</v>
      </c>
      <c r="B39" s="115">
        <v>1.37</v>
      </c>
      <c r="C39" s="1">
        <v>370</v>
      </c>
      <c r="D39" s="1" t="s">
        <v>2595</v>
      </c>
      <c r="E39" s="1">
        <v>1</v>
      </c>
      <c r="F39" s="1" t="str">
        <f t="shared" si="0"/>
        <v>20.137</v>
      </c>
      <c r="G39" s="115">
        <f t="shared" si="1"/>
        <v>20.137</v>
      </c>
      <c r="H39" s="1" t="str">
        <f t="shared" si="3"/>
        <v>0370-CEREALES, GRANOS Y/O SEMILLAS</v>
      </c>
      <c r="I39" s="1">
        <v>137</v>
      </c>
      <c r="J39" s="1" t="str">
        <f t="shared" si="4"/>
        <v>0370-CEREALES, GRANOS Y/O SEMILLAS</v>
      </c>
      <c r="K39" s="1">
        <f t="shared" si="2"/>
        <v>370</v>
      </c>
    </row>
    <row r="40" spans="1:11" hidden="1" x14ac:dyDescent="0.25">
      <c r="A40" s="115">
        <v>1.1379999999999999</v>
      </c>
      <c r="B40" s="115">
        <v>1.38</v>
      </c>
      <c r="C40" s="1">
        <v>380</v>
      </c>
      <c r="D40" s="1" t="s">
        <v>2596</v>
      </c>
      <c r="E40" s="1">
        <v>1</v>
      </c>
      <c r="F40" s="1" t="str">
        <f t="shared" si="0"/>
        <v>20.138</v>
      </c>
      <c r="G40" s="115">
        <f t="shared" si="1"/>
        <v>20.138000000000002</v>
      </c>
      <c r="H40" s="1" t="str">
        <f t="shared" si="3"/>
        <v>0380-CERILLOS</v>
      </c>
      <c r="I40" s="1">
        <v>138</v>
      </c>
      <c r="J40" s="1" t="str">
        <f t="shared" si="4"/>
        <v>0380-CERILLOS</v>
      </c>
      <c r="K40" s="1">
        <f t="shared" si="2"/>
        <v>380</v>
      </c>
    </row>
    <row r="41" spans="1:11" hidden="1" x14ac:dyDescent="0.25">
      <c r="A41" s="115">
        <v>1.139</v>
      </c>
      <c r="B41" s="115">
        <v>1.39</v>
      </c>
      <c r="C41" s="1">
        <v>390</v>
      </c>
      <c r="D41" s="1" t="s">
        <v>2597</v>
      </c>
      <c r="E41" s="1">
        <v>1</v>
      </c>
      <c r="F41" s="1" t="str">
        <f t="shared" si="0"/>
        <v>20.139</v>
      </c>
      <c r="G41" s="115">
        <f t="shared" si="1"/>
        <v>20.138999999999999</v>
      </c>
      <c r="H41" s="1" t="str">
        <f t="shared" si="3"/>
        <v>0390-CERVEZA Y/O MALTA</v>
      </c>
      <c r="I41" s="1">
        <v>139</v>
      </c>
      <c r="J41" s="1" t="str">
        <f t="shared" si="4"/>
        <v>0390-CERVEZA Y/O MALTA</v>
      </c>
      <c r="K41" s="1">
        <f t="shared" si="2"/>
        <v>390</v>
      </c>
    </row>
    <row r="42" spans="1:11" hidden="1" x14ac:dyDescent="0.25">
      <c r="A42" s="115">
        <v>1.1399999999999999</v>
      </c>
      <c r="B42" s="115">
        <v>1.4</v>
      </c>
      <c r="C42" s="1">
        <v>400</v>
      </c>
      <c r="D42" s="1" t="s">
        <v>2598</v>
      </c>
      <c r="E42" s="1">
        <v>1</v>
      </c>
      <c r="F42" s="1" t="str">
        <f t="shared" si="0"/>
        <v>20.140</v>
      </c>
      <c r="G42" s="115">
        <f t="shared" si="1"/>
        <v>20.14</v>
      </c>
      <c r="H42" s="1" t="str">
        <f t="shared" si="3"/>
        <v>0400-CHOCOLATES, COCOA Y/O CONFITERIA (EXCLUYE DULCES, SABORIZANTES Y SIMILARES ver Giro 0550)</v>
      </c>
      <c r="I42" s="1">
        <v>140</v>
      </c>
      <c r="J42" s="1" t="str">
        <f t="shared" si="4"/>
        <v>0400-CHOCOLATES, COCOA Y/O CONFITERIA (EXCLUYE DULCES, SABORIZANTES Y SIMILARES ver Giro 0550)</v>
      </c>
      <c r="K42" s="1">
        <f t="shared" si="2"/>
        <v>400</v>
      </c>
    </row>
    <row r="43" spans="1:11" hidden="1" x14ac:dyDescent="0.25">
      <c r="A43" s="115">
        <v>1.141</v>
      </c>
      <c r="B43" s="115">
        <v>1.41</v>
      </c>
      <c r="C43" s="1">
        <v>410</v>
      </c>
      <c r="D43" s="1" t="s">
        <v>2599</v>
      </c>
      <c r="E43" s="1">
        <v>1</v>
      </c>
      <c r="F43" s="1" t="str">
        <f t="shared" si="0"/>
        <v>20.141</v>
      </c>
      <c r="G43" s="115">
        <f t="shared" si="1"/>
        <v>20.140999999999998</v>
      </c>
      <c r="H43" s="1" t="str">
        <f t="shared" si="3"/>
        <v>0410-CIENTÍFICOS, APARATOS Y/O INSTRUMENTOS (INCLUYE MÉDICOS, DE CONTROL, DE NAVEGACIÓN, DE MEDICIÓN Y DE PRECISIÓN)</v>
      </c>
      <c r="I43" s="1">
        <v>141</v>
      </c>
      <c r="J43" s="1" t="str">
        <f t="shared" si="4"/>
        <v>0410-CIENTÍFICOS, APARATOS Y/O INSTRUMENTOS (INCLUYE MÉDICOS, DE CONTROL, DE NAVEGACIÓN, DE MEDICIÓN Y DE PRECISIÓN)</v>
      </c>
      <c r="K43" s="1">
        <f t="shared" si="2"/>
        <v>410</v>
      </c>
    </row>
    <row r="44" spans="1:11" hidden="1" x14ac:dyDescent="0.25">
      <c r="A44" s="115">
        <v>1.1419999999999999</v>
      </c>
      <c r="B44" s="115">
        <v>1.42</v>
      </c>
      <c r="C44" s="1">
        <v>420</v>
      </c>
      <c r="D44" s="1" t="s">
        <v>2600</v>
      </c>
      <c r="E44" s="1">
        <v>1</v>
      </c>
      <c r="F44" s="1" t="str">
        <f t="shared" si="0"/>
        <v>20.142</v>
      </c>
      <c r="G44" s="115">
        <f t="shared" si="1"/>
        <v>20.141999999999999</v>
      </c>
      <c r="H44" s="1" t="str">
        <f t="shared" si="3"/>
        <v>0420-COLCHONES, COLCHONETAS Y/O ALMOHADAS</v>
      </c>
      <c r="I44" s="1">
        <v>142</v>
      </c>
      <c r="J44" s="1" t="str">
        <f t="shared" si="4"/>
        <v>0420-COLCHONES, COLCHONETAS Y/O ALMOHADAS</v>
      </c>
      <c r="K44" s="1">
        <f t="shared" si="2"/>
        <v>420</v>
      </c>
    </row>
    <row r="45" spans="1:11" hidden="1" x14ac:dyDescent="0.25">
      <c r="A45" s="115">
        <v>1.143</v>
      </c>
      <c r="B45" s="115">
        <v>1.43</v>
      </c>
      <c r="C45" s="1">
        <v>430</v>
      </c>
      <c r="D45" s="1" t="s">
        <v>2601</v>
      </c>
      <c r="E45" s="1">
        <v>1</v>
      </c>
      <c r="F45" s="1" t="str">
        <f t="shared" si="0"/>
        <v>20.143</v>
      </c>
      <c r="G45" s="115">
        <f t="shared" si="1"/>
        <v>20.143000000000001</v>
      </c>
      <c r="H45" s="1" t="str">
        <f t="shared" si="3"/>
        <v>0430-COMBUSTIBLES, ADITIVOS Y/O LUBRICANTES DERIVADOS DEL PETRÓLEO</v>
      </c>
      <c r="I45" s="1">
        <v>143</v>
      </c>
      <c r="J45" s="1" t="str">
        <f t="shared" si="4"/>
        <v>0430-COMBUSTIBLES, ADITIVOS Y/O LUBRICANTES DERIVADOS DEL PETRÓLEO</v>
      </c>
      <c r="K45" s="1">
        <f t="shared" si="2"/>
        <v>430</v>
      </c>
    </row>
    <row r="46" spans="1:11" hidden="1" x14ac:dyDescent="0.25">
      <c r="A46" s="115">
        <v>1.1439999999999999</v>
      </c>
      <c r="B46" s="115">
        <v>1.44</v>
      </c>
      <c r="C46" s="1">
        <v>440</v>
      </c>
      <c r="D46" s="1" t="s">
        <v>2602</v>
      </c>
      <c r="E46" s="1">
        <v>1</v>
      </c>
      <c r="F46" s="1" t="str">
        <f t="shared" si="0"/>
        <v>20.144</v>
      </c>
      <c r="G46" s="115">
        <f t="shared" si="1"/>
        <v>20.143999999999998</v>
      </c>
      <c r="H46" s="1" t="str">
        <f t="shared" si="3"/>
        <v>0440-CONSTRUCCIÓN, INDUSTRIA DE LA</v>
      </c>
      <c r="I46" s="1">
        <v>144</v>
      </c>
      <c r="J46" s="1" t="str">
        <f t="shared" si="4"/>
        <v>0440-CONSTRUCCIÓN, INDUSTRIA DE LA</v>
      </c>
      <c r="K46" s="1">
        <f t="shared" si="2"/>
        <v>440</v>
      </c>
    </row>
    <row r="47" spans="1:11" hidden="1" x14ac:dyDescent="0.25">
      <c r="A47" s="115">
        <v>1.145</v>
      </c>
      <c r="B47" s="115">
        <v>1.4450000000000001</v>
      </c>
      <c r="C47" s="1">
        <v>445</v>
      </c>
      <c r="D47" s="1" t="s">
        <v>2603</v>
      </c>
      <c r="E47" s="1">
        <v>1</v>
      </c>
      <c r="F47" s="1" t="str">
        <f t="shared" si="0"/>
        <v>20.145</v>
      </c>
      <c r="G47" s="115">
        <f t="shared" si="1"/>
        <v>20.145</v>
      </c>
      <c r="H47" s="1" t="str">
        <f t="shared" si="3"/>
        <v>0445-CONTRATISTAS</v>
      </c>
      <c r="I47" s="1">
        <v>145</v>
      </c>
      <c r="J47" s="1" t="str">
        <f t="shared" si="4"/>
        <v>0445-CONTRATISTAS</v>
      </c>
      <c r="K47" s="1">
        <f t="shared" si="2"/>
        <v>445</v>
      </c>
    </row>
    <row r="48" spans="1:11" hidden="1" x14ac:dyDescent="0.25">
      <c r="A48" s="115">
        <v>1.1459999999999999</v>
      </c>
      <c r="B48" s="115">
        <v>1.45</v>
      </c>
      <c r="C48" s="1">
        <v>450</v>
      </c>
      <c r="D48" s="1" t="s">
        <v>2604</v>
      </c>
      <c r="E48" s="1">
        <v>1</v>
      </c>
      <c r="F48" s="1" t="str">
        <f t="shared" si="0"/>
        <v>20.146</v>
      </c>
      <c r="G48" s="115">
        <f t="shared" si="1"/>
        <v>20.146000000000001</v>
      </c>
      <c r="H48" s="1" t="str">
        <f t="shared" si="3"/>
        <v>0450-CONSERVAS ALIMENTICIAS, COLORANTES, MERMELADAS, JARABES, CONCENTRADOS NATURALES Y/O SIMILARES (EXCLUYE DESHIDRATADORAS Ver Giro 0530)</v>
      </c>
      <c r="I48" s="1">
        <v>146</v>
      </c>
      <c r="J48" s="1" t="str">
        <f t="shared" si="4"/>
        <v>0450-CONSERVAS ALIMENTICIAS, COLORANTES, MERMELADAS, JARABES, CONCENTRADOS NATURALES Y/O SIMILARES (EXCLUYE DESHIDRATADORAS Ver Giro 0530)</v>
      </c>
      <c r="K48" s="1">
        <f t="shared" si="2"/>
        <v>450</v>
      </c>
    </row>
    <row r="49" spans="1:11" hidden="1" x14ac:dyDescent="0.25">
      <c r="A49" s="115">
        <v>1.147</v>
      </c>
      <c r="B49" s="115">
        <v>1.46</v>
      </c>
      <c r="C49" s="1">
        <v>460</v>
      </c>
      <c r="D49" s="1" t="s">
        <v>2605</v>
      </c>
      <c r="E49" s="1">
        <v>1</v>
      </c>
      <c r="F49" s="1" t="str">
        <f t="shared" si="0"/>
        <v>20.147</v>
      </c>
      <c r="G49" s="115">
        <f t="shared" si="1"/>
        <v>20.146999999999998</v>
      </c>
      <c r="H49" s="1" t="str">
        <f t="shared" si="3"/>
        <v>0460-CORCHO, ARTÍCULOS DE</v>
      </c>
      <c r="I49" s="1">
        <v>147</v>
      </c>
      <c r="J49" s="1" t="str">
        <f t="shared" si="4"/>
        <v>0460-CORCHO, ARTÍCULOS DE</v>
      </c>
      <c r="K49" s="1">
        <f t="shared" si="2"/>
        <v>460</v>
      </c>
    </row>
    <row r="50" spans="1:11" hidden="1" x14ac:dyDescent="0.25">
      <c r="A50" s="115">
        <v>1.1479999999999999</v>
      </c>
      <c r="B50" s="115">
        <v>1.47</v>
      </c>
      <c r="C50" s="1">
        <v>470</v>
      </c>
      <c r="D50" s="1" t="s">
        <v>2606</v>
      </c>
      <c r="E50" s="1">
        <v>1</v>
      </c>
      <c r="F50" s="1" t="str">
        <f t="shared" si="0"/>
        <v>20.148</v>
      </c>
      <c r="G50" s="115">
        <f t="shared" si="1"/>
        <v>20.148</v>
      </c>
      <c r="H50" s="1" t="str">
        <f t="shared" si="3"/>
        <v>0470-CRISTAL Y/O VIDRIO</v>
      </c>
      <c r="I50" s="1">
        <v>148</v>
      </c>
      <c r="J50" s="1" t="str">
        <f t="shared" si="4"/>
        <v>0470-CRISTAL Y/O VIDRIO</v>
      </c>
      <c r="K50" s="1">
        <f t="shared" si="2"/>
        <v>470</v>
      </c>
    </row>
    <row r="51" spans="1:11" hidden="1" x14ac:dyDescent="0.25">
      <c r="A51" s="115">
        <v>1.149</v>
      </c>
      <c r="B51" s="115">
        <v>1.48</v>
      </c>
      <c r="C51" s="1">
        <v>480</v>
      </c>
      <c r="D51" s="1" t="s">
        <v>2607</v>
      </c>
      <c r="E51" s="1">
        <v>1</v>
      </c>
      <c r="F51" s="1" t="str">
        <f t="shared" si="0"/>
        <v>20.149</v>
      </c>
      <c r="G51" s="115">
        <f t="shared" si="1"/>
        <v>20.149000000000001</v>
      </c>
      <c r="H51" s="1" t="str">
        <f t="shared" si="3"/>
        <v>0480-CENTROS DE REHABILITACIÓN SOCIAL (INCLUYE ASILOS Y ORFANATOS)</v>
      </c>
      <c r="I51" s="1">
        <v>149</v>
      </c>
      <c r="J51" s="1" t="str">
        <f t="shared" si="4"/>
        <v>0480-CENTROS DE REHABILITACIÓN SOCIAL (INCLUYE ASILOS Y ORFANATOS)</v>
      </c>
      <c r="K51" s="1">
        <f t="shared" si="2"/>
        <v>480</v>
      </c>
    </row>
    <row r="52" spans="1:11" hidden="1" x14ac:dyDescent="0.25">
      <c r="A52" s="115">
        <v>1.1499999999999999</v>
      </c>
      <c r="B52" s="115">
        <v>1.49</v>
      </c>
      <c r="C52" s="1">
        <v>490</v>
      </c>
      <c r="D52" s="1" t="s">
        <v>2608</v>
      </c>
      <c r="E52" s="1">
        <v>1</v>
      </c>
      <c r="F52" s="1" t="str">
        <f t="shared" si="0"/>
        <v>20.150</v>
      </c>
      <c r="G52" s="115">
        <f t="shared" si="1"/>
        <v>20.149999999999999</v>
      </c>
      <c r="H52" s="1" t="str">
        <f t="shared" si="3"/>
        <v>0490-CUEROS Y/O PIELES, Y SUS PRODUCTOS COMO BOLSAS O CINTURONES (EXCLUYE FABRICACIÓN Y VENTA DE CALZADO Ver Giro 0270)</v>
      </c>
      <c r="I52" s="1">
        <v>150</v>
      </c>
      <c r="J52" s="1" t="str">
        <f t="shared" si="4"/>
        <v>0490-CUEROS Y/O PIELES, Y SUS PRODUCTOS COMO BOLSAS O CINTURONES (EXCLUYE FABRICACIÓN Y VENTA DE CALZADO Ver Giro 0270)</v>
      </c>
      <c r="K52" s="1">
        <f t="shared" si="2"/>
        <v>490</v>
      </c>
    </row>
    <row r="53" spans="1:11" hidden="1" x14ac:dyDescent="0.25">
      <c r="A53" s="115">
        <v>1.151</v>
      </c>
      <c r="B53" s="115">
        <v>1.5</v>
      </c>
      <c r="C53" s="1">
        <v>500</v>
      </c>
      <c r="D53" s="1" t="s">
        <v>2609</v>
      </c>
      <c r="E53" s="1">
        <v>1</v>
      </c>
      <c r="F53" s="1" t="str">
        <f t="shared" si="0"/>
        <v>20.151</v>
      </c>
      <c r="G53" s="115">
        <f t="shared" si="1"/>
        <v>20.151</v>
      </c>
      <c r="H53" s="1" t="str">
        <f t="shared" si="3"/>
        <v>0500-CULTIVOS EN PIE (EXCLUYE FLORES, INVERNADEROS, VIVEROS Y FLORICULTURA Ver Giro 0650)</v>
      </c>
      <c r="I53" s="1">
        <v>151</v>
      </c>
      <c r="J53" s="1" t="str">
        <f t="shared" si="4"/>
        <v>0500-CULTIVOS EN PIE (EXCLUYE FLORES, INVERNADEROS, VIVEROS Y FLORICULTURA Ver Giro 0650)</v>
      </c>
      <c r="K53" s="1">
        <f t="shared" si="2"/>
        <v>500</v>
      </c>
    </row>
    <row r="54" spans="1:11" hidden="1" x14ac:dyDescent="0.25">
      <c r="A54" s="115">
        <v>1.1519999999999999</v>
      </c>
      <c r="B54" s="115">
        <v>1.51</v>
      </c>
      <c r="C54" s="1">
        <v>510</v>
      </c>
      <c r="D54" s="1" t="s">
        <v>2610</v>
      </c>
      <c r="E54" s="1">
        <v>1</v>
      </c>
      <c r="F54" s="1" t="str">
        <f t="shared" si="0"/>
        <v>20.152</v>
      </c>
      <c r="G54" s="115">
        <f t="shared" si="1"/>
        <v>20.152000000000001</v>
      </c>
      <c r="H54" s="1" t="str">
        <f t="shared" si="3"/>
        <v>0510-DEPORTES, ARTÍCULOS, MATERIALES Y/O APARATOS</v>
      </c>
      <c r="I54" s="1">
        <v>152</v>
      </c>
      <c r="J54" s="1" t="str">
        <f t="shared" si="4"/>
        <v>0510-DEPORTES, ARTÍCULOS, MATERIALES Y/O APARATOS</v>
      </c>
      <c r="K54" s="1">
        <f t="shared" si="2"/>
        <v>510</v>
      </c>
    </row>
    <row r="55" spans="1:11" hidden="1" x14ac:dyDescent="0.25">
      <c r="A55" s="115">
        <v>1.153</v>
      </c>
      <c r="B55" s="115">
        <v>1.52</v>
      </c>
      <c r="C55" s="1">
        <v>520</v>
      </c>
      <c r="D55" s="1" t="s">
        <v>2611</v>
      </c>
      <c r="E55" s="1">
        <v>1</v>
      </c>
      <c r="F55" s="1" t="str">
        <f t="shared" si="0"/>
        <v>20.153</v>
      </c>
      <c r="G55" s="115">
        <f t="shared" si="1"/>
        <v>20.152999999999999</v>
      </c>
      <c r="H55" s="1" t="str">
        <f t="shared" si="3"/>
        <v>0520-DEPORTIVOS, CLUBES Y/O CAMPOS DE GOLF (INCLUYE GIMNASIOS Y HOLE IN ONE)</v>
      </c>
      <c r="I55" s="1">
        <v>153</v>
      </c>
      <c r="J55" s="1" t="str">
        <f t="shared" si="4"/>
        <v>0520-DEPORTIVOS, CLUBES Y/O CAMPOS DE GOLF (INCLUYE GIMNASIOS Y HOLE IN ONE)</v>
      </c>
      <c r="K55" s="1">
        <f t="shared" si="2"/>
        <v>520</v>
      </c>
    </row>
    <row r="56" spans="1:11" hidden="1" x14ac:dyDescent="0.25">
      <c r="A56" s="115">
        <v>1.1539999999999999</v>
      </c>
      <c r="B56" s="115">
        <v>1.53</v>
      </c>
      <c r="C56" s="1">
        <v>530</v>
      </c>
      <c r="D56" s="1" t="s">
        <v>2612</v>
      </c>
      <c r="E56" s="1">
        <v>1</v>
      </c>
      <c r="F56" s="1" t="str">
        <f t="shared" si="0"/>
        <v>20.154</v>
      </c>
      <c r="G56" s="115">
        <f t="shared" si="1"/>
        <v>20.154</v>
      </c>
      <c r="H56" s="1" t="str">
        <f t="shared" si="3"/>
        <v>0530-DESHIDRATADORAS DE FRUTAS, LEGUMBRES Y/O SIMILARES (PLANTAS)</v>
      </c>
      <c r="I56" s="1">
        <v>154</v>
      </c>
      <c r="J56" s="1" t="str">
        <f t="shared" si="4"/>
        <v>0530-DESHIDRATADORAS DE FRUTAS, LEGUMBRES Y/O SIMILARES (PLANTAS)</v>
      </c>
      <c r="K56" s="1">
        <f t="shared" si="2"/>
        <v>530</v>
      </c>
    </row>
    <row r="57" spans="1:11" hidden="1" x14ac:dyDescent="0.25">
      <c r="A57" s="115">
        <v>1.155</v>
      </c>
      <c r="B57" s="115">
        <v>1.54</v>
      </c>
      <c r="C57" s="1">
        <v>540</v>
      </c>
      <c r="D57" s="1" t="s">
        <v>2613</v>
      </c>
      <c r="E57" s="1">
        <v>1</v>
      </c>
      <c r="F57" s="1" t="str">
        <f t="shared" si="0"/>
        <v>20.155</v>
      </c>
      <c r="G57" s="115">
        <f t="shared" si="1"/>
        <v>20.155000000000001</v>
      </c>
      <c r="H57" s="1" t="str">
        <f t="shared" si="3"/>
        <v>0540-DETERGENTES, JABONES, LIMPIADORES, DESINFECTANTES Y/O SIMILARES</v>
      </c>
      <c r="I57" s="1">
        <v>155</v>
      </c>
      <c r="J57" s="1" t="str">
        <f t="shared" si="4"/>
        <v>0540-DETERGENTES, JABONES, LIMPIADORES, DESINFECTANTES Y/O SIMILARES</v>
      </c>
      <c r="K57" s="1">
        <f t="shared" si="2"/>
        <v>540</v>
      </c>
    </row>
    <row r="58" spans="1:11" hidden="1" x14ac:dyDescent="0.25">
      <c r="A58" s="115">
        <v>1.1559999999999999</v>
      </c>
      <c r="B58" s="115">
        <v>1.55</v>
      </c>
      <c r="C58" s="1">
        <v>550</v>
      </c>
      <c r="D58" s="1" t="s">
        <v>2614</v>
      </c>
      <c r="E58" s="1">
        <v>1</v>
      </c>
      <c r="F58" s="1" t="str">
        <f t="shared" si="0"/>
        <v>20.156</v>
      </c>
      <c r="G58" s="115">
        <f t="shared" si="1"/>
        <v>20.155999999999999</v>
      </c>
      <c r="H58" s="1" t="str">
        <f t="shared" si="3"/>
        <v>0550-DULCES, CHICLES, BOMBONES, SABORIZANTES Y/O SIMILARES (EXCLUYE CHOCOLATE, COCOA Y CONFITERIA Ver Giro 0400 )</v>
      </c>
      <c r="I58" s="1">
        <v>156</v>
      </c>
      <c r="J58" s="1" t="str">
        <f t="shared" si="4"/>
        <v>0550-DULCES, CHICLES, BOMBONES, SABORIZANTES Y/O SIMILARES (EXCLUYE CHOCOLATE, COCOA Y CONFITERIA Ver Giro 0400 )</v>
      </c>
      <c r="K58" s="1">
        <f t="shared" si="2"/>
        <v>550</v>
      </c>
    </row>
    <row r="59" spans="1:11" hidden="1" x14ac:dyDescent="0.25">
      <c r="A59" s="115">
        <v>1.157</v>
      </c>
      <c r="B59" s="115">
        <v>1.56</v>
      </c>
      <c r="C59" s="1">
        <v>560</v>
      </c>
      <c r="D59" s="1" t="s">
        <v>2615</v>
      </c>
      <c r="E59" s="1">
        <v>1</v>
      </c>
      <c r="F59" s="1" t="str">
        <f t="shared" si="0"/>
        <v>20.157</v>
      </c>
      <c r="G59" s="115">
        <f t="shared" si="1"/>
        <v>20.157</v>
      </c>
      <c r="H59" s="1" t="str">
        <f t="shared" si="3"/>
        <v>0560-ELECTRICIDAD Y APARATOS ELÉCTRICOS (INCLUYE ACCESORIOS DE ILUMINACION)</v>
      </c>
      <c r="I59" s="1">
        <v>157</v>
      </c>
      <c r="J59" s="1" t="str">
        <f t="shared" si="4"/>
        <v>0560-ELECTRICIDAD Y APARATOS ELÉCTRICOS (INCLUYE ACCESORIOS DE ILUMINACION)</v>
      </c>
      <c r="K59" s="1">
        <f t="shared" si="2"/>
        <v>560</v>
      </c>
    </row>
    <row r="60" spans="1:11" hidden="1" x14ac:dyDescent="0.25">
      <c r="A60" s="115">
        <v>1.1579999999999999</v>
      </c>
      <c r="B60" s="115">
        <v>1.57</v>
      </c>
      <c r="C60" s="1">
        <v>570</v>
      </c>
      <c r="D60" s="1" t="s">
        <v>2616</v>
      </c>
      <c r="E60" s="1">
        <v>1</v>
      </c>
      <c r="F60" s="1" t="str">
        <f t="shared" si="0"/>
        <v>20.158</v>
      </c>
      <c r="G60" s="115">
        <f t="shared" si="1"/>
        <v>20.158000000000001</v>
      </c>
      <c r="H60" s="1" t="str">
        <f t="shared" si="3"/>
        <v>0570-ELECTRONICOS, ARTICULOS, INSTRUMENTOS, MEDIOS Y/O APARATOS (INCLUYE ELECTRODOMESTICOS Y LINEA BLANCA)</v>
      </c>
      <c r="I60" s="1">
        <v>158</v>
      </c>
      <c r="J60" s="1" t="str">
        <f t="shared" si="4"/>
        <v>0570-ELECTRONICOS, ARTICULOS, INSTRUMENTOS, MEDIOS Y/O APARATOS (INCLUYE ELECTRODOMESTICOS Y LINEA BLANCA)</v>
      </c>
      <c r="K60" s="1">
        <f t="shared" si="2"/>
        <v>570</v>
      </c>
    </row>
    <row r="61" spans="1:11" hidden="1" x14ac:dyDescent="0.25">
      <c r="A61" s="115">
        <v>1.159</v>
      </c>
      <c r="B61" s="115">
        <v>1.575</v>
      </c>
      <c r="C61" s="1">
        <v>575</v>
      </c>
      <c r="D61" s="1" t="s">
        <v>2617</v>
      </c>
      <c r="E61" s="1">
        <v>1</v>
      </c>
      <c r="F61" s="1" t="str">
        <f t="shared" si="0"/>
        <v>20.159</v>
      </c>
      <c r="G61" s="115">
        <f t="shared" si="1"/>
        <v>20.158999999999999</v>
      </c>
      <c r="H61" s="1" t="str">
        <f t="shared" si="3"/>
        <v>0575-EMBARCACIONES, MUELLES Y/O PUERTOS (EXCLUYE ASTILLEROS Ver Giro 0120)</v>
      </c>
      <c r="I61" s="1">
        <v>159</v>
      </c>
      <c r="J61" s="1" t="str">
        <f t="shared" si="4"/>
        <v>0575-EMBARCACIONES, MUELLES Y/O PUERTOS (EXCLUYE ASTILLEROS Ver Giro 0120)</v>
      </c>
      <c r="K61" s="1">
        <f t="shared" si="2"/>
        <v>575</v>
      </c>
    </row>
    <row r="62" spans="1:11" hidden="1" x14ac:dyDescent="0.25">
      <c r="A62" s="115">
        <v>1.1599999999999999</v>
      </c>
      <c r="B62" s="115">
        <v>1.5760000000000001</v>
      </c>
      <c r="C62" s="1">
        <v>576</v>
      </c>
      <c r="D62" s="1" t="s">
        <v>2618</v>
      </c>
      <c r="E62" s="1">
        <v>1</v>
      </c>
      <c r="F62" s="1" t="str">
        <f t="shared" si="0"/>
        <v>20.160</v>
      </c>
      <c r="G62" s="115">
        <f t="shared" si="1"/>
        <v>20.16</v>
      </c>
      <c r="H62" s="1" t="str">
        <f t="shared" si="3"/>
        <v>0576-EQUIPO DE CONTRATISTAS Y/O MAQUINARIA PESADA MOVIL</v>
      </c>
      <c r="I62" s="1">
        <v>160</v>
      </c>
      <c r="J62" s="1" t="str">
        <f t="shared" si="4"/>
        <v>0576-EQUIPO DE CONTRATISTAS Y/O MAQUINARIA PESADA MOVIL</v>
      </c>
      <c r="K62" s="1">
        <f t="shared" si="2"/>
        <v>576</v>
      </c>
    </row>
    <row r="63" spans="1:11" hidden="1" x14ac:dyDescent="0.25">
      <c r="A63" s="115">
        <v>1.161</v>
      </c>
      <c r="B63" s="115">
        <v>1.58</v>
      </c>
      <c r="C63" s="1">
        <v>580</v>
      </c>
      <c r="D63" s="1" t="s">
        <v>2619</v>
      </c>
      <c r="E63" s="1">
        <v>1</v>
      </c>
      <c r="F63" s="1" t="str">
        <f t="shared" si="0"/>
        <v>20.161</v>
      </c>
      <c r="G63" s="115">
        <f t="shared" si="1"/>
        <v>20.161000000000001</v>
      </c>
      <c r="H63" s="1" t="str">
        <f t="shared" si="3"/>
        <v>0580-ESCUELAS, COLEGIOS, UNIVERSIDADES, JARDINES DE NIÑOS Y/U OTROS SERVICIOS EDUCATIVOS Y DE APOYO (EXCLUYE GUARDERIAS Y ESTANCIAS INFANTILES ver Giro 0690)</v>
      </c>
      <c r="I63" s="1">
        <v>161</v>
      </c>
      <c r="J63" s="1" t="str">
        <f t="shared" si="4"/>
        <v>0580-ESCUELAS, COLEGIOS, UNIVERSIDADES, JARDINES DE NIÑOS Y/U OTROS SERVICIOS EDUCATIVOS Y DE APOYO (EXCLUYE GUARDERIAS Y ESTANCIAS INFANTILES ver Giro 0690)</v>
      </c>
      <c r="K63" s="1">
        <f t="shared" si="2"/>
        <v>580</v>
      </c>
    </row>
    <row r="64" spans="1:11" hidden="1" x14ac:dyDescent="0.25">
      <c r="A64" s="115">
        <v>1.1619999999999999</v>
      </c>
      <c r="B64" s="115">
        <v>1.59</v>
      </c>
      <c r="C64" s="1">
        <v>590</v>
      </c>
      <c r="D64" s="1" t="s">
        <v>1099</v>
      </c>
      <c r="E64" s="1">
        <v>1</v>
      </c>
      <c r="F64" s="1" t="str">
        <f t="shared" si="0"/>
        <v>20.162</v>
      </c>
      <c r="G64" s="115">
        <f t="shared" si="1"/>
        <v>20.161999999999999</v>
      </c>
      <c r="H64" s="1" t="str">
        <f t="shared" si="3"/>
        <v>0590-ESPECTÁCULOS PÚBLICOS, CINES, TEATROS, PARQUES DE DIVERSIÓN, CASINOS Y/O SIMILARES</v>
      </c>
      <c r="I64" s="1">
        <v>162</v>
      </c>
      <c r="J64" s="1" t="str">
        <f t="shared" si="4"/>
        <v>0590-ESPECTÁCULOS PÚBLICOS, CINES, TEATROS, PARQUES DE DIVERSIÓN, CASINOS Y/O SIMILARES</v>
      </c>
      <c r="K64" s="1">
        <f t="shared" si="2"/>
        <v>590</v>
      </c>
    </row>
    <row r="65" spans="1:11" hidden="1" x14ac:dyDescent="0.25">
      <c r="A65" s="115">
        <v>1.163</v>
      </c>
      <c r="B65" s="115">
        <v>1.6</v>
      </c>
      <c r="C65" s="1">
        <v>600</v>
      </c>
      <c r="D65" s="1" t="s">
        <v>2620</v>
      </c>
      <c r="E65" s="1">
        <v>1</v>
      </c>
      <c r="F65" s="1" t="str">
        <f t="shared" si="0"/>
        <v>20.163</v>
      </c>
      <c r="G65" s="115">
        <f t="shared" si="1"/>
        <v>20.163</v>
      </c>
      <c r="H65" s="1" t="str">
        <f t="shared" si="3"/>
        <v>0600-FARMACIA Y/O BOTICA (EXCLUYE FABRICACION DE MEDICINAS Ver Giro 0890)</v>
      </c>
      <c r="I65" s="1">
        <v>163</v>
      </c>
      <c r="J65" s="1" t="str">
        <f t="shared" si="4"/>
        <v>0600-FARMACIA Y/O BOTICA (EXCLUYE FABRICACION DE MEDICINAS Ver Giro 0890)</v>
      </c>
      <c r="K65" s="1">
        <f t="shared" si="2"/>
        <v>600</v>
      </c>
    </row>
    <row r="66" spans="1:11" hidden="1" x14ac:dyDescent="0.25">
      <c r="A66" s="115">
        <v>1.1639999999999999</v>
      </c>
      <c r="B66" s="115">
        <v>1.61</v>
      </c>
      <c r="C66" s="1">
        <v>610</v>
      </c>
      <c r="D66" s="1" t="s">
        <v>2621</v>
      </c>
      <c r="E66" s="1">
        <v>1</v>
      </c>
      <c r="F66" s="1" t="str">
        <f t="shared" si="0"/>
        <v>20.164</v>
      </c>
      <c r="G66" s="115">
        <f t="shared" si="1"/>
        <v>20.164000000000001</v>
      </c>
      <c r="H66" s="1" t="str">
        <f t="shared" si="3"/>
        <v>0610-FERRETERIA Y/O TLAPALERÍA</v>
      </c>
      <c r="I66" s="1">
        <v>164</v>
      </c>
      <c r="J66" s="1" t="str">
        <f t="shared" si="4"/>
        <v>0610-FERRETERIA Y/O TLAPALERÍA</v>
      </c>
      <c r="K66" s="1">
        <f t="shared" si="2"/>
        <v>610</v>
      </c>
    </row>
    <row r="67" spans="1:11" hidden="1" x14ac:dyDescent="0.25">
      <c r="A67" s="115">
        <v>1.165</v>
      </c>
      <c r="B67" s="115">
        <v>1.62</v>
      </c>
      <c r="C67" s="1">
        <v>620</v>
      </c>
      <c r="D67" s="1" t="s">
        <v>2622</v>
      </c>
      <c r="E67" s="1">
        <v>1</v>
      </c>
      <c r="F67" s="1" t="str">
        <f t="shared" si="0"/>
        <v>20.165</v>
      </c>
      <c r="G67" s="115">
        <f t="shared" si="1"/>
        <v>20.164999999999999</v>
      </c>
      <c r="H67" s="1" t="str">
        <f t="shared" si="3"/>
        <v>0620-FERTILIZANTES, ABONOS Y/U OTROS AGROQUIMICOS</v>
      </c>
      <c r="I67" s="1">
        <v>165</v>
      </c>
      <c r="J67" s="1" t="str">
        <f t="shared" si="4"/>
        <v>0620-FERTILIZANTES, ABONOS Y/U OTROS AGROQUIMICOS</v>
      </c>
      <c r="K67" s="1">
        <f t="shared" si="2"/>
        <v>620</v>
      </c>
    </row>
    <row r="68" spans="1:11" hidden="1" x14ac:dyDescent="0.25">
      <c r="A68" s="115">
        <v>1.1659999999999999</v>
      </c>
      <c r="B68" s="115">
        <v>1.63</v>
      </c>
      <c r="C68" s="1">
        <v>630</v>
      </c>
      <c r="D68" s="1" t="s">
        <v>2623</v>
      </c>
      <c r="E68" s="1">
        <v>1</v>
      </c>
      <c r="F68" s="1" t="str">
        <f t="shared" ref="F68:F131" si="5">CONCATENATE($B$1,".",I68)</f>
        <v>20.166</v>
      </c>
      <c r="G68" s="115">
        <f t="shared" ref="G68:G131" si="6">F68*1</f>
        <v>20.166</v>
      </c>
      <c r="H68" s="1" t="str">
        <f t="shared" ref="H68:H131" si="7">VLOOKUP(G68,$A$3:$D$4651,4)</f>
        <v>0630-FIBRAS DURAS</v>
      </c>
      <c r="I68" s="1">
        <v>166</v>
      </c>
      <c r="J68" s="1" t="str">
        <f t="shared" si="4"/>
        <v>0630-FIBRAS DURAS</v>
      </c>
      <c r="K68" s="1">
        <f t="shared" ref="K68:K131" si="8">VLOOKUP(G68,$A$3:$E$4651,3)</f>
        <v>630</v>
      </c>
    </row>
    <row r="69" spans="1:11" hidden="1" x14ac:dyDescent="0.25">
      <c r="A69" s="115">
        <v>1.167</v>
      </c>
      <c r="B69" s="115">
        <v>1.64</v>
      </c>
      <c r="C69" s="1">
        <v>640</v>
      </c>
      <c r="D69" s="1" t="s">
        <v>2624</v>
      </c>
      <c r="E69" s="1">
        <v>1</v>
      </c>
      <c r="F69" s="1" t="str">
        <f t="shared" si="5"/>
        <v>20.167</v>
      </c>
      <c r="G69" s="115">
        <f t="shared" si="6"/>
        <v>20.167000000000002</v>
      </c>
      <c r="H69" s="1" t="str">
        <f t="shared" si="7"/>
        <v>0640-FILTROS INDUSTRIALES Y/O AUTOMOTRICES</v>
      </c>
      <c r="I69" s="1">
        <v>167</v>
      </c>
      <c r="J69" s="1" t="str">
        <f t="shared" ref="J69:J132" si="9">IF(H69=H68,"",H69)</f>
        <v>0640-FILTROS INDUSTRIALES Y/O AUTOMOTRICES</v>
      </c>
      <c r="K69" s="1">
        <f t="shared" si="8"/>
        <v>640</v>
      </c>
    </row>
    <row r="70" spans="1:11" hidden="1" x14ac:dyDescent="0.25">
      <c r="A70" s="115">
        <v>1.1679999999999999</v>
      </c>
      <c r="B70" s="115">
        <v>1.65</v>
      </c>
      <c r="C70" s="1">
        <v>650</v>
      </c>
      <c r="D70" s="1" t="s">
        <v>2625</v>
      </c>
      <c r="E70" s="1">
        <v>1</v>
      </c>
      <c r="F70" s="1" t="str">
        <f t="shared" si="5"/>
        <v>20.168</v>
      </c>
      <c r="G70" s="115">
        <f t="shared" si="6"/>
        <v>20.167999999999999</v>
      </c>
      <c r="H70" s="1" t="str">
        <f t="shared" si="7"/>
        <v>0650-FLORES NATURALES, INVERNADEROS, VIVEROS Y/O FLORICULTURA (EXCLUYE OTROS CULTIVOS EN PIE Ver Giro 0500)</v>
      </c>
      <c r="I70" s="1">
        <v>168</v>
      </c>
      <c r="J70" s="1" t="str">
        <f t="shared" si="9"/>
        <v>0650-FLORES NATURALES, INVERNADEROS, VIVEROS Y/O FLORICULTURA (EXCLUYE OTROS CULTIVOS EN PIE Ver Giro 0500)</v>
      </c>
      <c r="K70" s="1">
        <f t="shared" si="8"/>
        <v>650</v>
      </c>
    </row>
    <row r="71" spans="1:11" hidden="1" x14ac:dyDescent="0.25">
      <c r="A71" s="115">
        <v>1.169</v>
      </c>
      <c r="B71" s="115">
        <v>1.66</v>
      </c>
      <c r="C71" s="1">
        <v>660</v>
      </c>
      <c r="D71" s="1" t="s">
        <v>2626</v>
      </c>
      <c r="E71" s="1">
        <v>1</v>
      </c>
      <c r="F71" s="1" t="str">
        <f t="shared" si="5"/>
        <v>20.169</v>
      </c>
      <c r="G71" s="115">
        <f t="shared" si="6"/>
        <v>20.169</v>
      </c>
      <c r="H71" s="1" t="str">
        <f t="shared" si="7"/>
        <v>0660-FOTOGRAFÍA Y/O FOTOSTÁTICAS (INCLUYE PELICULAS, PLACAS Y PAPEL SENSIBLE PARA FOTOGRAFIA)</v>
      </c>
      <c r="I71" s="1">
        <v>169</v>
      </c>
      <c r="J71" s="1" t="str">
        <f t="shared" si="9"/>
        <v>0660-FOTOGRAFÍA Y/O FOTOSTÁTICAS (INCLUYE PELICULAS, PLACAS Y PAPEL SENSIBLE PARA FOTOGRAFIA)</v>
      </c>
      <c r="K71" s="1">
        <f t="shared" si="8"/>
        <v>660</v>
      </c>
    </row>
    <row r="72" spans="1:11" hidden="1" x14ac:dyDescent="0.25">
      <c r="A72" s="115">
        <v>1.17</v>
      </c>
      <c r="B72" s="115">
        <v>1.67</v>
      </c>
      <c r="C72" s="1">
        <v>670</v>
      </c>
      <c r="D72" s="1" t="s">
        <v>2627</v>
      </c>
      <c r="E72" s="1">
        <v>1</v>
      </c>
      <c r="F72" s="1" t="str">
        <f t="shared" si="5"/>
        <v>20.170</v>
      </c>
      <c r="G72" s="115">
        <f t="shared" si="6"/>
        <v>20.170000000000002</v>
      </c>
      <c r="H72" s="1" t="str">
        <f t="shared" si="7"/>
        <v>0670-FRITURAS, PAPAS FRITAS, CACAHUATES, CHICHARRONES Y/O SIMILARES</v>
      </c>
      <c r="I72" s="1">
        <v>170</v>
      </c>
      <c r="J72" s="1" t="str">
        <f t="shared" si="9"/>
        <v>0670-FRITURAS, PAPAS FRITAS, CACAHUATES, CHICHARRONES Y/O SIMILARES</v>
      </c>
      <c r="K72" s="1">
        <f t="shared" si="8"/>
        <v>670</v>
      </c>
    </row>
    <row r="73" spans="1:11" hidden="1" x14ac:dyDescent="0.25">
      <c r="A73" s="115">
        <v>1.171</v>
      </c>
      <c r="B73" s="115">
        <v>1.68</v>
      </c>
      <c r="C73" s="1">
        <v>680</v>
      </c>
      <c r="D73" s="1" t="s">
        <v>2628</v>
      </c>
      <c r="E73" s="1">
        <v>1</v>
      </c>
      <c r="F73" s="1" t="str">
        <f t="shared" si="5"/>
        <v>20.171</v>
      </c>
      <c r="G73" s="115">
        <f t="shared" si="6"/>
        <v>20.170999999999999</v>
      </c>
      <c r="H73" s="1" t="str">
        <f t="shared" si="7"/>
        <v>0680-FRUTAS Y/O LEGUMBRES (SOLO TIENDA, EXPENDIO, ALMACÉN O BODEGA)</v>
      </c>
      <c r="I73" s="1">
        <v>171</v>
      </c>
      <c r="J73" s="1" t="str">
        <f t="shared" si="9"/>
        <v>0680-FRUTAS Y/O LEGUMBRES (SOLO TIENDA, EXPENDIO, ALMACÉN O BODEGA)</v>
      </c>
      <c r="K73" s="1">
        <f t="shared" si="8"/>
        <v>680</v>
      </c>
    </row>
    <row r="74" spans="1:11" hidden="1" x14ac:dyDescent="0.25">
      <c r="A74" s="115">
        <v>1.1719999999999999</v>
      </c>
      <c r="B74" s="115">
        <v>1.69</v>
      </c>
      <c r="C74" s="1">
        <v>690</v>
      </c>
      <c r="D74" s="1" t="s">
        <v>2629</v>
      </c>
      <c r="E74" s="1">
        <v>1</v>
      </c>
      <c r="F74" s="1" t="str">
        <f t="shared" si="5"/>
        <v>20.172</v>
      </c>
      <c r="G74" s="115">
        <f t="shared" si="6"/>
        <v>20.172000000000001</v>
      </c>
      <c r="H74" s="1" t="str">
        <f t="shared" si="7"/>
        <v>0690-GUARDERÍAS Y/O ESTANCIAS INFANTILES</v>
      </c>
      <c r="I74" s="1">
        <v>172</v>
      </c>
      <c r="J74" s="1" t="str">
        <f t="shared" si="9"/>
        <v>0690-GUARDERÍAS Y/O ESTANCIAS INFANTILES</v>
      </c>
      <c r="K74" s="1">
        <f t="shared" si="8"/>
        <v>690</v>
      </c>
    </row>
    <row r="75" spans="1:11" hidden="1" x14ac:dyDescent="0.25">
      <c r="A75" s="115">
        <v>1.173</v>
      </c>
      <c r="B75" s="115">
        <v>1.7</v>
      </c>
      <c r="C75" s="1">
        <v>700</v>
      </c>
      <c r="D75" s="1" t="s">
        <v>2630</v>
      </c>
      <c r="E75" s="1">
        <v>1</v>
      </c>
      <c r="F75" s="1" t="str">
        <f t="shared" si="5"/>
        <v>20.173</v>
      </c>
      <c r="G75" s="115">
        <f t="shared" si="6"/>
        <v>20.172999999999998</v>
      </c>
      <c r="H75" s="1" t="str">
        <f t="shared" si="7"/>
        <v>0700-GASES INERTES, INCLUYE GASES INDUSTRIALES</v>
      </c>
      <c r="I75" s="1">
        <v>173</v>
      </c>
      <c r="J75" s="1" t="str">
        <f t="shared" si="9"/>
        <v>0700-GASES INERTES, INCLUYE GASES INDUSTRIALES</v>
      </c>
      <c r="K75" s="1">
        <f t="shared" si="8"/>
        <v>700</v>
      </c>
    </row>
    <row r="76" spans="1:11" hidden="1" x14ac:dyDescent="0.25">
      <c r="A76" s="115">
        <v>1.1739999999999999</v>
      </c>
      <c r="B76" s="115">
        <v>1.71</v>
      </c>
      <c r="C76" s="1">
        <v>710</v>
      </c>
      <c r="D76" s="1" t="s">
        <v>2631</v>
      </c>
      <c r="E76" s="1">
        <v>1</v>
      </c>
      <c r="F76" s="1" t="str">
        <f t="shared" si="5"/>
        <v>20.174</v>
      </c>
      <c r="G76" s="115">
        <f t="shared" si="6"/>
        <v>20.173999999999999</v>
      </c>
      <c r="H76" s="1" t="str">
        <f t="shared" si="7"/>
        <v>0710-HABITACIONES PARTICULARES, MASCOTAS Y/O SERVICIOS PARA EL HOGAR</v>
      </c>
      <c r="I76" s="1">
        <v>174</v>
      </c>
      <c r="J76" s="1" t="str">
        <f t="shared" si="9"/>
        <v>0710-HABITACIONES PARTICULARES, MASCOTAS Y/O SERVICIOS PARA EL HOGAR</v>
      </c>
      <c r="K76" s="1">
        <f t="shared" si="8"/>
        <v>710</v>
      </c>
    </row>
    <row r="77" spans="1:11" hidden="1" x14ac:dyDescent="0.25">
      <c r="A77" s="115">
        <v>1.175</v>
      </c>
      <c r="B77" s="115">
        <v>1.72</v>
      </c>
      <c r="C77" s="1">
        <v>720</v>
      </c>
      <c r="D77" s="1" t="s">
        <v>2632</v>
      </c>
      <c r="E77" s="1">
        <v>1</v>
      </c>
      <c r="F77" s="1" t="str">
        <f t="shared" si="5"/>
        <v>20.175</v>
      </c>
      <c r="G77" s="115">
        <f t="shared" si="6"/>
        <v>20.175000000000001</v>
      </c>
      <c r="H77" s="1" t="str">
        <f t="shared" si="7"/>
        <v>0720-HARINA DE PESCADO</v>
      </c>
      <c r="I77" s="1">
        <v>175</v>
      </c>
      <c r="J77" s="1" t="str">
        <f t="shared" si="9"/>
        <v>0720-HARINA DE PESCADO</v>
      </c>
      <c r="K77" s="1">
        <f t="shared" si="8"/>
        <v>720</v>
      </c>
    </row>
    <row r="78" spans="1:11" hidden="1" x14ac:dyDescent="0.25">
      <c r="A78" s="115">
        <v>1.1759999999999999</v>
      </c>
      <c r="B78" s="115">
        <v>1.73</v>
      </c>
      <c r="C78" s="1">
        <v>730</v>
      </c>
      <c r="D78" s="1" t="s">
        <v>2633</v>
      </c>
      <c r="E78" s="1">
        <v>1</v>
      </c>
      <c r="F78" s="1" t="str">
        <f t="shared" si="5"/>
        <v>20.176</v>
      </c>
      <c r="G78" s="115">
        <f t="shared" si="6"/>
        <v>20.175999999999998</v>
      </c>
      <c r="H78" s="1" t="str">
        <f t="shared" si="7"/>
        <v>0730-HELADOS, NIEVES, PALETAS Y/O HIELO</v>
      </c>
      <c r="I78" s="1">
        <v>176</v>
      </c>
      <c r="J78" s="1" t="str">
        <f t="shared" si="9"/>
        <v>0730-HELADOS, NIEVES, PALETAS Y/O HIELO</v>
      </c>
      <c r="K78" s="1">
        <f t="shared" si="8"/>
        <v>730</v>
      </c>
    </row>
    <row r="79" spans="1:11" hidden="1" x14ac:dyDescent="0.25">
      <c r="A79" s="115">
        <v>1.177</v>
      </c>
      <c r="B79" s="115">
        <v>1.74</v>
      </c>
      <c r="C79" s="1">
        <v>740</v>
      </c>
      <c r="D79" s="1" t="s">
        <v>2634</v>
      </c>
      <c r="E79" s="1">
        <v>1</v>
      </c>
      <c r="F79" s="1" t="str">
        <f t="shared" si="5"/>
        <v>20.177</v>
      </c>
      <c r="G79" s="115">
        <f t="shared" si="6"/>
        <v>20.177</v>
      </c>
      <c r="H79" s="1" t="str">
        <f t="shared" si="7"/>
        <v>0740-HOSPITALES, CLÍNICAS, SANATORIOS, LABORATORIOS Y/O SERVICIOS RELACIONADOS (EXCLUYE CONSULTORIOS Ver Giro 0895, ASILOS Y ORFANATOS Ver Giro 0480)</v>
      </c>
      <c r="I79" s="1">
        <v>177</v>
      </c>
      <c r="J79" s="1" t="str">
        <f t="shared" si="9"/>
        <v>0740-HOSPITALES, CLÍNICAS, SANATORIOS, LABORATORIOS Y/O SERVICIOS RELACIONADOS (EXCLUYE CONSULTORIOS Ver Giro 0895, ASILOS Y ORFANATOS Ver Giro 0480)</v>
      </c>
      <c r="K79" s="1">
        <f t="shared" si="8"/>
        <v>740</v>
      </c>
    </row>
    <row r="80" spans="1:11" hidden="1" x14ac:dyDescent="0.25">
      <c r="A80" s="115">
        <v>1.1779999999999999</v>
      </c>
      <c r="B80" s="115">
        <v>1.75</v>
      </c>
      <c r="C80" s="1">
        <v>750</v>
      </c>
      <c r="D80" s="1" t="s">
        <v>2635</v>
      </c>
      <c r="E80" s="1">
        <v>1</v>
      </c>
      <c r="F80" s="1" t="str">
        <f t="shared" si="5"/>
        <v>20.178</v>
      </c>
      <c r="G80" s="115">
        <f t="shared" si="6"/>
        <v>20.178000000000001</v>
      </c>
      <c r="H80" s="1" t="str">
        <f t="shared" si="7"/>
        <v>0750-HOTELES DE 1 A 4 ESTRELLAS, MOTELES, CAMPOS DE TURISTAS, ALBERGUES Y/O SIMILARES</v>
      </c>
      <c r="I80" s="1">
        <v>178</v>
      </c>
      <c r="J80" s="1" t="str">
        <f t="shared" si="9"/>
        <v>0750-HOTELES DE 1 A 4 ESTRELLAS, MOTELES, CAMPOS DE TURISTAS, ALBERGUES Y/O SIMILARES</v>
      </c>
      <c r="K80" s="1">
        <f t="shared" si="8"/>
        <v>750</v>
      </c>
    </row>
    <row r="81" spans="1:11" hidden="1" x14ac:dyDescent="0.25">
      <c r="A81" s="115">
        <v>1.179</v>
      </c>
      <c r="B81" s="115">
        <v>1.7549999999999999</v>
      </c>
      <c r="C81" s="1">
        <v>755</v>
      </c>
      <c r="D81" s="1" t="s">
        <v>1466</v>
      </c>
      <c r="E81" s="1">
        <v>1</v>
      </c>
      <c r="F81" s="1" t="str">
        <f t="shared" si="5"/>
        <v>20.179</v>
      </c>
      <c r="G81" s="115">
        <f t="shared" si="6"/>
        <v>20.178999999999998</v>
      </c>
      <c r="H81" s="1" t="str">
        <f t="shared" si="7"/>
        <v>0755-HOTELES DE 5 O MAS ESTRELLAS (INCLUYE HOTELES VIP)</v>
      </c>
      <c r="I81" s="1">
        <v>179</v>
      </c>
      <c r="J81" s="1" t="str">
        <f t="shared" si="9"/>
        <v>0755-HOTELES DE 5 O MAS ESTRELLAS (INCLUYE HOTELES VIP)</v>
      </c>
      <c r="K81" s="1">
        <f t="shared" si="8"/>
        <v>755</v>
      </c>
    </row>
    <row r="82" spans="1:11" hidden="1" x14ac:dyDescent="0.25">
      <c r="A82" s="115">
        <v>1.18</v>
      </c>
      <c r="B82" s="115">
        <v>1.76</v>
      </c>
      <c r="C82" s="1">
        <v>760</v>
      </c>
      <c r="D82" s="1" t="s">
        <v>2636</v>
      </c>
      <c r="E82" s="1">
        <v>1</v>
      </c>
      <c r="F82" s="1" t="str">
        <f t="shared" si="5"/>
        <v>20.180</v>
      </c>
      <c r="G82" s="115">
        <f t="shared" si="6"/>
        <v>20.18</v>
      </c>
      <c r="H82" s="1" t="str">
        <f t="shared" si="7"/>
        <v>0760-HULE Y/O LATEX  NATURAL (INCLUYE HULE ESPUMA Y SINTETICO)</v>
      </c>
      <c r="I82" s="1">
        <v>180</v>
      </c>
      <c r="J82" s="1" t="str">
        <f t="shared" si="9"/>
        <v>0760-HULE Y/O LATEX  NATURAL (INCLUYE HULE ESPUMA Y SINTETICO)</v>
      </c>
      <c r="K82" s="1">
        <f t="shared" si="8"/>
        <v>760</v>
      </c>
    </row>
    <row r="83" spans="1:11" hidden="1" x14ac:dyDescent="0.25">
      <c r="A83" s="115">
        <v>1.181</v>
      </c>
      <c r="B83" s="115">
        <v>1.77</v>
      </c>
      <c r="C83" s="1">
        <v>770</v>
      </c>
      <c r="D83" s="1" t="s">
        <v>2637</v>
      </c>
      <c r="E83" s="1">
        <v>1</v>
      </c>
      <c r="F83" s="1" t="str">
        <f t="shared" si="5"/>
        <v>20.181</v>
      </c>
      <c r="G83" s="115">
        <f t="shared" si="6"/>
        <v>20.181000000000001</v>
      </c>
      <c r="H83" s="1" t="str">
        <f t="shared" si="7"/>
        <v>0770-IGLESIAS, TEMPLOS, VELATORIOS, SERVICIOS FUNERARIOS Y/O ADMINISTRACIÓN DE CEMENTERIOS</v>
      </c>
      <c r="I83" s="1">
        <v>181</v>
      </c>
      <c r="J83" s="1" t="str">
        <f t="shared" si="9"/>
        <v>0770-IGLESIAS, TEMPLOS, VELATORIOS, SERVICIOS FUNERARIOS Y/O ADMINISTRACIÓN DE CEMENTERIOS</v>
      </c>
      <c r="K83" s="1">
        <f t="shared" si="8"/>
        <v>770</v>
      </c>
    </row>
    <row r="84" spans="1:11" hidden="1" x14ac:dyDescent="0.25">
      <c r="A84" s="115">
        <v>1.1819999999999999</v>
      </c>
      <c r="B84" s="115">
        <v>1.78</v>
      </c>
      <c r="C84" s="1">
        <v>780</v>
      </c>
      <c r="D84" s="1" t="s">
        <v>2638</v>
      </c>
      <c r="E84" s="1">
        <v>1</v>
      </c>
      <c r="F84" s="1" t="str">
        <f t="shared" si="5"/>
        <v>20.182</v>
      </c>
      <c r="G84" s="115">
        <f t="shared" si="6"/>
        <v>20.181999999999999</v>
      </c>
      <c r="H84" s="1" t="str">
        <f t="shared" si="7"/>
        <v>0780-IMPRENTA, LITOGRAFÍA Y/O ENCUADERNACIÓN, TALLER DE (EXCLUYE EDITORIALES Y TIENDA O EXPENDIO DE LIBROS, PERIÓDICOS Y REVISTAS Ver Giro 0850)</v>
      </c>
      <c r="I84" s="1">
        <v>182</v>
      </c>
      <c r="J84" s="1" t="str">
        <f t="shared" si="9"/>
        <v>0780-IMPRENTA, LITOGRAFÍA Y/O ENCUADERNACIÓN, TALLER DE (EXCLUYE EDITORIALES Y TIENDA O EXPENDIO DE LIBROS, PERIÓDICOS Y REVISTAS Ver Giro 0850)</v>
      </c>
      <c r="K84" s="1">
        <f t="shared" si="8"/>
        <v>780</v>
      </c>
    </row>
    <row r="85" spans="1:11" hidden="1" x14ac:dyDescent="0.25">
      <c r="A85" s="115">
        <v>1.1830000000000001</v>
      </c>
      <c r="B85" s="115">
        <v>1.79</v>
      </c>
      <c r="C85" s="1">
        <v>790</v>
      </c>
      <c r="D85" s="1" t="s">
        <v>2639</v>
      </c>
      <c r="E85" s="1">
        <v>1</v>
      </c>
      <c r="F85" s="1" t="str">
        <f t="shared" si="5"/>
        <v>20.183</v>
      </c>
      <c r="G85" s="115">
        <f t="shared" si="6"/>
        <v>20.183</v>
      </c>
      <c r="H85" s="1" t="str">
        <f t="shared" si="7"/>
        <v>0790-INSECTICIDAS, PESTICIDAS Y/O PLAGUICIDAS</v>
      </c>
      <c r="I85" s="1">
        <v>183</v>
      </c>
      <c r="J85" s="1" t="str">
        <f t="shared" si="9"/>
        <v>0790-INSECTICIDAS, PESTICIDAS Y/O PLAGUICIDAS</v>
      </c>
      <c r="K85" s="1">
        <f t="shared" si="8"/>
        <v>790</v>
      </c>
    </row>
    <row r="86" spans="1:11" hidden="1" x14ac:dyDescent="0.25">
      <c r="A86" s="115">
        <v>1.1839999999999999</v>
      </c>
      <c r="B86" s="115">
        <v>1.8</v>
      </c>
      <c r="C86" s="1">
        <v>800</v>
      </c>
      <c r="D86" s="1" t="s">
        <v>2640</v>
      </c>
      <c r="E86" s="1">
        <v>1</v>
      </c>
      <c r="F86" s="1" t="str">
        <f t="shared" si="5"/>
        <v>20.184</v>
      </c>
      <c r="G86" s="115">
        <f t="shared" si="6"/>
        <v>20.184000000000001</v>
      </c>
      <c r="H86" s="1" t="str">
        <f t="shared" si="7"/>
        <v>0800-INSTRUMENTOS MUSICALES</v>
      </c>
      <c r="I86" s="1">
        <v>184</v>
      </c>
      <c r="J86" s="1" t="str">
        <f t="shared" si="9"/>
        <v>0800-INSTRUMENTOS MUSICALES</v>
      </c>
      <c r="K86" s="1">
        <f t="shared" si="8"/>
        <v>800</v>
      </c>
    </row>
    <row r="87" spans="1:11" hidden="1" x14ac:dyDescent="0.25">
      <c r="A87" s="115">
        <v>1.1850000000000001</v>
      </c>
      <c r="B87" s="115">
        <v>1.8049999999999999</v>
      </c>
      <c r="C87" s="1">
        <v>805</v>
      </c>
      <c r="D87" s="1" t="s">
        <v>2641</v>
      </c>
      <c r="E87" s="1">
        <v>1</v>
      </c>
      <c r="F87" s="1" t="str">
        <f t="shared" si="5"/>
        <v>20.185</v>
      </c>
      <c r="G87" s="115">
        <f t="shared" si="6"/>
        <v>20.184999999999999</v>
      </c>
      <c r="H87" s="1" t="str">
        <f t="shared" si="7"/>
        <v>0805-INTERMEDIACIÓN DE COMERCIO, SERVICIOS DE (SOLO OFICINAS, DE ACUERDO AL TIPO DE MERCANCIA SELECCIONE EL GIRO)</v>
      </c>
      <c r="I87" s="1">
        <v>185</v>
      </c>
      <c r="J87" s="1" t="str">
        <f t="shared" si="9"/>
        <v>0805-INTERMEDIACIÓN DE COMERCIO, SERVICIOS DE (SOLO OFICINAS, DE ACUERDO AL TIPO DE MERCANCIA SELECCIONE EL GIRO)</v>
      </c>
      <c r="K87" s="1">
        <f t="shared" si="8"/>
        <v>805</v>
      </c>
    </row>
    <row r="88" spans="1:11" hidden="1" x14ac:dyDescent="0.25">
      <c r="A88" s="115">
        <v>1.1859999999999999</v>
      </c>
      <c r="B88" s="115">
        <v>1.81</v>
      </c>
      <c r="C88" s="1">
        <v>810</v>
      </c>
      <c r="D88" s="1" t="s">
        <v>2642</v>
      </c>
      <c r="E88" s="1">
        <v>1</v>
      </c>
      <c r="F88" s="1" t="str">
        <f t="shared" si="5"/>
        <v>20.186</v>
      </c>
      <c r="G88" s="115">
        <f t="shared" si="6"/>
        <v>20.186</v>
      </c>
      <c r="H88" s="1" t="str">
        <f t="shared" si="7"/>
        <v>0810-JUGUETES</v>
      </c>
      <c r="I88" s="1">
        <v>186</v>
      </c>
      <c r="J88" s="1" t="str">
        <f t="shared" si="9"/>
        <v>0810-JUGUETES</v>
      </c>
      <c r="K88" s="1">
        <f t="shared" si="8"/>
        <v>810</v>
      </c>
    </row>
    <row r="89" spans="1:11" hidden="1" x14ac:dyDescent="0.25">
      <c r="A89" s="115">
        <v>1.1870000000000001</v>
      </c>
      <c r="B89" s="115">
        <v>1.82</v>
      </c>
      <c r="C89" s="1">
        <v>820</v>
      </c>
      <c r="D89" s="1" t="s">
        <v>2643</v>
      </c>
      <c r="E89" s="1">
        <v>1</v>
      </c>
      <c r="F89" s="1" t="str">
        <f t="shared" si="5"/>
        <v>20.187</v>
      </c>
      <c r="G89" s="115">
        <f t="shared" si="6"/>
        <v>20.187000000000001</v>
      </c>
      <c r="H89" s="1" t="str">
        <f t="shared" si="7"/>
        <v>0820-LAVANDERÍAS, PLANCHADURIAS Y/O TINTORERÍAS</v>
      </c>
      <c r="I89" s="1">
        <v>187</v>
      </c>
      <c r="J89" s="1" t="str">
        <f t="shared" si="9"/>
        <v>0820-LAVANDERÍAS, PLANCHADURIAS Y/O TINTORERÍAS</v>
      </c>
      <c r="K89" s="1">
        <f t="shared" si="8"/>
        <v>820</v>
      </c>
    </row>
    <row r="90" spans="1:11" hidden="1" x14ac:dyDescent="0.25">
      <c r="A90" s="115">
        <v>1.1879999999999999</v>
      </c>
      <c r="B90" s="115">
        <v>1.83</v>
      </c>
      <c r="C90" s="1">
        <v>830</v>
      </c>
      <c r="D90" s="1" t="s">
        <v>2644</v>
      </c>
      <c r="E90" s="1">
        <v>1</v>
      </c>
      <c r="F90" s="1" t="str">
        <f t="shared" si="5"/>
        <v>20.188</v>
      </c>
      <c r="G90" s="115">
        <f t="shared" si="6"/>
        <v>20.187999999999999</v>
      </c>
      <c r="H90" s="1" t="str">
        <f t="shared" si="7"/>
        <v>0830-LECHE Y SUS DERIVADOS</v>
      </c>
      <c r="I90" s="1">
        <v>188</v>
      </c>
      <c r="J90" s="1" t="str">
        <f t="shared" si="9"/>
        <v>0830-LECHE Y SUS DERIVADOS</v>
      </c>
      <c r="K90" s="1">
        <f t="shared" si="8"/>
        <v>830</v>
      </c>
    </row>
    <row r="91" spans="1:11" hidden="1" x14ac:dyDescent="0.25">
      <c r="A91" s="115">
        <v>1.1890000000000001</v>
      </c>
      <c r="B91" s="115">
        <v>1.84</v>
      </c>
      <c r="C91" s="1">
        <v>840</v>
      </c>
      <c r="D91" s="1" t="s">
        <v>2645</v>
      </c>
      <c r="E91" s="1">
        <v>1</v>
      </c>
      <c r="F91" s="1" t="str">
        <f t="shared" si="5"/>
        <v>20.189</v>
      </c>
      <c r="G91" s="115">
        <f t="shared" si="6"/>
        <v>20.189</v>
      </c>
      <c r="H91" s="1" t="str">
        <f t="shared" si="7"/>
        <v>0840-LIBROS, PERIÓDICOS Y/O REVISTAS, INCLUYE EDITORIALES (EXCLUYE TALLER DE IMPRENTA, LITOGRAFIA Y CUADERNACIÓN Ver Giro 0780)</v>
      </c>
      <c r="I91" s="1">
        <v>189</v>
      </c>
      <c r="J91" s="1" t="str">
        <f t="shared" si="9"/>
        <v>0840-LIBROS, PERIÓDICOS Y/O REVISTAS, INCLUYE EDITORIALES (EXCLUYE TALLER DE IMPRENTA, LITOGRAFIA Y CUADERNACIÓN Ver Giro 0780)</v>
      </c>
      <c r="K91" s="1">
        <f t="shared" si="8"/>
        <v>840</v>
      </c>
    </row>
    <row r="92" spans="1:11" hidden="1" x14ac:dyDescent="0.25">
      <c r="A92" s="115">
        <v>1.19</v>
      </c>
      <c r="B92" s="115">
        <v>1.85</v>
      </c>
      <c r="C92" s="1">
        <v>850</v>
      </c>
      <c r="D92" s="1" t="s">
        <v>2646</v>
      </c>
      <c r="E92" s="1">
        <v>1</v>
      </c>
      <c r="F92" s="1" t="str">
        <f t="shared" si="5"/>
        <v>20.190</v>
      </c>
      <c r="G92" s="115">
        <f t="shared" si="6"/>
        <v>20.190000000000001</v>
      </c>
      <c r="H92" s="1" t="str">
        <f t="shared" si="7"/>
        <v>0850-LLANTAS Y CÁMARAS</v>
      </c>
      <c r="I92" s="1">
        <v>190</v>
      </c>
      <c r="J92" s="1" t="str">
        <f t="shared" si="9"/>
        <v>0850-LLANTAS Y CÁMARAS</v>
      </c>
      <c r="K92" s="1">
        <f t="shared" si="8"/>
        <v>850</v>
      </c>
    </row>
    <row r="93" spans="1:11" hidden="1" x14ac:dyDescent="0.25">
      <c r="A93" s="115">
        <v>1.1910000000000001</v>
      </c>
      <c r="B93" s="115">
        <v>1.86</v>
      </c>
      <c r="C93" s="1">
        <v>860</v>
      </c>
      <c r="D93" s="1" t="s">
        <v>2647</v>
      </c>
      <c r="E93" s="1">
        <v>1</v>
      </c>
      <c r="F93" s="1" t="str">
        <f t="shared" si="5"/>
        <v>20.191</v>
      </c>
      <c r="G93" s="115">
        <f t="shared" si="6"/>
        <v>20.190999999999999</v>
      </c>
      <c r="H93" s="1" t="str">
        <f t="shared" si="7"/>
        <v xml:space="preserve">0860-MADERA, ARTÍCULOS DE (INCLUYE TRIPLAY, LAMINADO, AGLUTINADO, FIBRACEL Y CHAPA) </v>
      </c>
      <c r="I93" s="1">
        <v>191</v>
      </c>
      <c r="J93" s="1" t="str">
        <f t="shared" si="9"/>
        <v xml:space="preserve">0860-MADERA, ARTÍCULOS DE (INCLUYE TRIPLAY, LAMINADO, AGLUTINADO, FIBRACEL Y CHAPA) </v>
      </c>
      <c r="K93" s="1">
        <f t="shared" si="8"/>
        <v>860</v>
      </c>
    </row>
    <row r="94" spans="1:11" hidden="1" x14ac:dyDescent="0.25">
      <c r="A94" s="115">
        <v>1.1919999999999999</v>
      </c>
      <c r="B94" s="115">
        <v>1.87</v>
      </c>
      <c r="C94" s="1">
        <v>870</v>
      </c>
      <c r="D94" s="1" t="s">
        <v>2648</v>
      </c>
      <c r="E94" s="1">
        <v>1</v>
      </c>
      <c r="F94" s="1" t="str">
        <f t="shared" si="5"/>
        <v>20.192</v>
      </c>
      <c r="G94" s="115">
        <f t="shared" si="6"/>
        <v>20.192</v>
      </c>
      <c r="H94" s="1" t="str">
        <f t="shared" si="7"/>
        <v>0870-MAQUINARIA Y/O EQUIPOS PARA INDUSTRIA, COMERCIO Y/O SERVICIOS (INCLUYE MONTAJE DE MAQUINARIA Y EQUIPOS)</v>
      </c>
      <c r="I94" s="1">
        <v>192</v>
      </c>
      <c r="J94" s="1" t="str">
        <f t="shared" si="9"/>
        <v>0870-MAQUINARIA Y/O EQUIPOS PARA INDUSTRIA, COMERCIO Y/O SERVICIOS (INCLUYE MONTAJE DE MAQUINARIA Y EQUIPOS)</v>
      </c>
      <c r="K94" s="1">
        <f t="shared" si="8"/>
        <v>870</v>
      </c>
    </row>
    <row r="95" spans="1:11" hidden="1" x14ac:dyDescent="0.25">
      <c r="A95" s="115">
        <v>1.1930000000000001</v>
      </c>
      <c r="B95" s="115">
        <v>1.88</v>
      </c>
      <c r="C95" s="1">
        <v>880</v>
      </c>
      <c r="D95" s="1" t="s">
        <v>2649</v>
      </c>
      <c r="E95" s="1">
        <v>1</v>
      </c>
      <c r="F95" s="1" t="str">
        <f t="shared" si="5"/>
        <v>20.193</v>
      </c>
      <c r="G95" s="115">
        <f t="shared" si="6"/>
        <v>20.193000000000001</v>
      </c>
      <c r="H95" s="1" t="str">
        <f t="shared" si="7"/>
        <v>0880-MATERIALES PARA CONSTRUCCIÓN (INCLUYE CEMENTO Y CONCRETO)</v>
      </c>
      <c r="I95" s="1">
        <v>193</v>
      </c>
      <c r="J95" s="1" t="str">
        <f t="shared" si="9"/>
        <v>0880-MATERIALES PARA CONSTRUCCIÓN (INCLUYE CEMENTO Y CONCRETO)</v>
      </c>
      <c r="K95" s="1">
        <f t="shared" si="8"/>
        <v>880</v>
      </c>
    </row>
    <row r="96" spans="1:11" hidden="1" x14ac:dyDescent="0.25">
      <c r="A96" s="115">
        <v>1.194</v>
      </c>
      <c r="B96" s="115">
        <v>1.89</v>
      </c>
      <c r="C96" s="1">
        <v>890</v>
      </c>
      <c r="D96" s="1" t="s">
        <v>2650</v>
      </c>
      <c r="E96" s="1">
        <v>1</v>
      </c>
      <c r="F96" s="1" t="str">
        <f t="shared" si="5"/>
        <v>20.194</v>
      </c>
      <c r="G96" s="115">
        <f t="shared" si="6"/>
        <v>20.193999999999999</v>
      </c>
      <c r="H96" s="1" t="str">
        <f t="shared" si="7"/>
        <v>0890-MEDICINAS, PRODUCTOS FARMACEÚTICOS (EXCLUYE FARMACIA Y BOTICA Ver Giro 0600)</v>
      </c>
      <c r="I96" s="1">
        <v>194</v>
      </c>
      <c r="J96" s="1" t="str">
        <f t="shared" si="9"/>
        <v>0890-MEDICINAS, PRODUCTOS FARMACEÚTICOS (EXCLUYE FARMACIA Y BOTICA Ver Giro 0600)</v>
      </c>
      <c r="K96" s="1">
        <f t="shared" si="8"/>
        <v>890</v>
      </c>
    </row>
    <row r="97" spans="1:11" hidden="1" x14ac:dyDescent="0.25">
      <c r="A97" s="115">
        <v>1.1950000000000001</v>
      </c>
      <c r="B97" s="115">
        <v>1.895</v>
      </c>
      <c r="C97" s="1">
        <v>895</v>
      </c>
      <c r="D97" s="1" t="s">
        <v>2651</v>
      </c>
      <c r="E97" s="1">
        <v>1</v>
      </c>
      <c r="F97" s="1" t="str">
        <f t="shared" si="5"/>
        <v>20.195</v>
      </c>
      <c r="G97" s="115">
        <f t="shared" si="6"/>
        <v>20.195</v>
      </c>
      <c r="H97" s="1" t="str">
        <f t="shared" si="7"/>
        <v>0895-MÉDICOS Y/O CONSULTORIOS MÉDICOS</v>
      </c>
      <c r="I97" s="1">
        <v>195</v>
      </c>
      <c r="J97" s="1" t="str">
        <f t="shared" si="9"/>
        <v>0895-MÉDICOS Y/O CONSULTORIOS MÉDICOS</v>
      </c>
      <c r="K97" s="1">
        <f t="shared" si="8"/>
        <v>895</v>
      </c>
    </row>
    <row r="98" spans="1:11" hidden="1" x14ac:dyDescent="0.25">
      <c r="A98" s="115">
        <v>1.196</v>
      </c>
      <c r="B98" s="115">
        <v>1.9</v>
      </c>
      <c r="C98" s="1">
        <v>900</v>
      </c>
      <c r="D98" s="1" t="s">
        <v>2652</v>
      </c>
      <c r="E98" s="1">
        <v>1</v>
      </c>
      <c r="F98" s="1" t="str">
        <f t="shared" si="5"/>
        <v>20.196</v>
      </c>
      <c r="G98" s="115">
        <f t="shared" si="6"/>
        <v>20.196000000000002</v>
      </c>
      <c r="H98" s="1" t="str">
        <f t="shared" si="7"/>
        <v>0900-METALES Y/O PRODUCTOS DE METAL</v>
      </c>
      <c r="I98" s="1">
        <v>196</v>
      </c>
      <c r="J98" s="1" t="str">
        <f t="shared" si="9"/>
        <v>0900-METALES Y/O PRODUCTOS DE METAL</v>
      </c>
      <c r="K98" s="1">
        <f t="shared" si="8"/>
        <v>900</v>
      </c>
    </row>
    <row r="99" spans="1:11" hidden="1" x14ac:dyDescent="0.25">
      <c r="A99" s="115">
        <v>1.1970000000000001</v>
      </c>
      <c r="B99" s="115">
        <v>1.91</v>
      </c>
      <c r="C99" s="1">
        <v>910</v>
      </c>
      <c r="D99" s="1" t="s">
        <v>2653</v>
      </c>
      <c r="E99" s="1">
        <v>1</v>
      </c>
      <c r="F99" s="1" t="str">
        <f t="shared" si="5"/>
        <v>20.197</v>
      </c>
      <c r="G99" s="115">
        <f t="shared" si="6"/>
        <v>20.196999999999999</v>
      </c>
      <c r="H99" s="1" t="str">
        <f t="shared" si="7"/>
        <v>0910-MIEL DE ABEJA</v>
      </c>
      <c r="I99" s="1">
        <v>197</v>
      </c>
      <c r="J99" s="1" t="str">
        <f t="shared" si="9"/>
        <v>0910-MIEL DE ABEJA</v>
      </c>
      <c r="K99" s="1">
        <f t="shared" si="8"/>
        <v>910</v>
      </c>
    </row>
    <row r="100" spans="1:11" hidden="1" x14ac:dyDescent="0.25">
      <c r="A100" s="115">
        <v>1.198</v>
      </c>
      <c r="B100" s="115">
        <v>1.92</v>
      </c>
      <c r="C100" s="1">
        <v>920</v>
      </c>
      <c r="D100" s="1" t="s">
        <v>2654</v>
      </c>
      <c r="E100" s="1">
        <v>1</v>
      </c>
      <c r="F100" s="1" t="str">
        <f t="shared" si="5"/>
        <v>20.198</v>
      </c>
      <c r="G100" s="115">
        <f t="shared" si="6"/>
        <v>20.198</v>
      </c>
      <c r="H100" s="1" t="str">
        <f t="shared" si="7"/>
        <v>0920-MINAS, MINERALES NO COMBUSTIBLES</v>
      </c>
      <c r="I100" s="1">
        <v>198</v>
      </c>
      <c r="J100" s="1" t="str">
        <f t="shared" si="9"/>
        <v>0920-MINAS, MINERALES NO COMBUSTIBLES</v>
      </c>
      <c r="K100" s="1">
        <f t="shared" si="8"/>
        <v>920</v>
      </c>
    </row>
    <row r="101" spans="1:11" hidden="1" x14ac:dyDescent="0.25">
      <c r="A101" s="115">
        <v>1.1990000000000001</v>
      </c>
      <c r="B101" s="115">
        <v>1.925</v>
      </c>
      <c r="C101" s="1">
        <v>925</v>
      </c>
      <c r="D101" s="1" t="s">
        <v>2655</v>
      </c>
      <c r="E101" s="1">
        <v>1</v>
      </c>
      <c r="F101" s="1" t="str">
        <f t="shared" si="5"/>
        <v>20.199</v>
      </c>
      <c r="G101" s="115">
        <f t="shared" si="6"/>
        <v>20.199000000000002</v>
      </c>
      <c r="H101" s="1" t="str">
        <f t="shared" si="7"/>
        <v>0925-MINAS, MINERALES COMBUSTIBLES (INCLUYE CARBÓN MINERAL Y DERIVADOS)</v>
      </c>
      <c r="I101" s="1">
        <v>199</v>
      </c>
      <c r="J101" s="1" t="str">
        <f t="shared" si="9"/>
        <v>0925-MINAS, MINERALES COMBUSTIBLES (INCLUYE CARBÓN MINERAL Y DERIVADOS)</v>
      </c>
      <c r="K101" s="1">
        <f t="shared" si="8"/>
        <v>925</v>
      </c>
    </row>
    <row r="102" spans="1:11" hidden="1" x14ac:dyDescent="0.25">
      <c r="A102" s="115">
        <v>1.2</v>
      </c>
      <c r="B102" s="115">
        <v>1.93</v>
      </c>
      <c r="C102" s="1">
        <v>930</v>
      </c>
      <c r="D102" s="1" t="s">
        <v>2656</v>
      </c>
      <c r="E102" s="1">
        <v>1</v>
      </c>
      <c r="F102" s="1" t="str">
        <f t="shared" si="5"/>
        <v>20.200</v>
      </c>
      <c r="G102" s="115">
        <f t="shared" si="6"/>
        <v>20.2</v>
      </c>
      <c r="H102" s="1" t="str">
        <f t="shared" si="7"/>
        <v>0930-MINAS, MINERALES FERROSOS</v>
      </c>
      <c r="I102" s="1">
        <v>200</v>
      </c>
      <c r="J102" s="1" t="str">
        <f t="shared" si="9"/>
        <v>0930-MINAS, MINERALES FERROSOS</v>
      </c>
      <c r="K102" s="1">
        <f t="shared" si="8"/>
        <v>930</v>
      </c>
    </row>
    <row r="103" spans="1:11" hidden="1" x14ac:dyDescent="0.25">
      <c r="A103" s="115">
        <v>1.2010000000000001</v>
      </c>
      <c r="B103" s="115">
        <v>1.9350000000000001</v>
      </c>
      <c r="C103" s="1">
        <v>935</v>
      </c>
      <c r="D103" s="1" t="s">
        <v>2657</v>
      </c>
      <c r="E103" s="1">
        <v>1</v>
      </c>
      <c r="F103" s="1" t="str">
        <f t="shared" si="5"/>
        <v>20.201</v>
      </c>
      <c r="G103" s="115">
        <f t="shared" si="6"/>
        <v>20.201000000000001</v>
      </c>
      <c r="H103" s="1" t="str">
        <f t="shared" si="7"/>
        <v>0935-MINAS, MINERALES NO FERROSOS (INCLUYE ARENA, ARCILLA, ROCAS Y SIMILARES)</v>
      </c>
      <c r="I103" s="1">
        <v>201</v>
      </c>
      <c r="J103" s="1" t="str">
        <f t="shared" si="9"/>
        <v>0935-MINAS, MINERALES NO FERROSOS (INCLUYE ARENA, ARCILLA, ROCAS Y SIMILARES)</v>
      </c>
      <c r="K103" s="1">
        <f t="shared" si="8"/>
        <v>935</v>
      </c>
    </row>
    <row r="104" spans="1:11" hidden="1" x14ac:dyDescent="0.25">
      <c r="A104" s="115">
        <v>1.202</v>
      </c>
      <c r="B104" s="115">
        <v>1.94</v>
      </c>
      <c r="C104" s="1">
        <v>940</v>
      </c>
      <c r="D104" s="1" t="s">
        <v>2658</v>
      </c>
      <c r="E104" s="1">
        <v>1</v>
      </c>
      <c r="F104" s="1" t="str">
        <f t="shared" si="5"/>
        <v>20.202</v>
      </c>
      <c r="G104" s="115">
        <f t="shared" si="6"/>
        <v>20.202000000000002</v>
      </c>
      <c r="H104" s="1" t="str">
        <f t="shared" si="7"/>
        <v>0940-MUEBLES Y/O ARTÍCULOS RELACIONADOS (INCLUYE MUEBLES DE OFICINA Y ESTANTERÍA)</v>
      </c>
      <c r="I104" s="1">
        <v>202</v>
      </c>
      <c r="J104" s="1" t="str">
        <f t="shared" si="9"/>
        <v>0940-MUEBLES Y/O ARTÍCULOS RELACIONADOS (INCLUYE MUEBLES DE OFICINA Y ESTANTERÍA)</v>
      </c>
      <c r="K104" s="1">
        <f t="shared" si="8"/>
        <v>940</v>
      </c>
    </row>
    <row r="105" spans="1:11" hidden="1" x14ac:dyDescent="0.25">
      <c r="A105" s="115">
        <v>1.2030000000000001</v>
      </c>
      <c r="B105" s="115">
        <v>1.95</v>
      </c>
      <c r="C105" s="1">
        <v>950</v>
      </c>
      <c r="D105" s="1" t="s">
        <v>2659</v>
      </c>
      <c r="E105" s="1">
        <v>1</v>
      </c>
      <c r="F105" s="1" t="str">
        <f t="shared" si="5"/>
        <v>20.203</v>
      </c>
      <c r="G105" s="115">
        <f t="shared" si="6"/>
        <v>20.202999999999999</v>
      </c>
      <c r="H105" s="1" t="str">
        <f t="shared" si="7"/>
        <v>0950-OFICINAS Y/O DESPACHOS PRIVADOS</v>
      </c>
      <c r="I105" s="1">
        <v>203</v>
      </c>
      <c r="J105" s="1" t="str">
        <f t="shared" si="9"/>
        <v>0950-OFICINAS Y/O DESPACHOS PRIVADOS</v>
      </c>
      <c r="K105" s="1">
        <f t="shared" si="8"/>
        <v>950</v>
      </c>
    </row>
    <row r="106" spans="1:11" hidden="1" x14ac:dyDescent="0.25">
      <c r="A106" s="115">
        <v>1.204</v>
      </c>
      <c r="B106" s="115">
        <v>1.9550000000000001</v>
      </c>
      <c r="C106" s="1">
        <v>955</v>
      </c>
      <c r="D106" s="1" t="s">
        <v>2660</v>
      </c>
      <c r="E106" s="1">
        <v>1</v>
      </c>
      <c r="F106" s="1" t="str">
        <f t="shared" si="5"/>
        <v>20.204</v>
      </c>
      <c r="G106" s="115">
        <f t="shared" si="6"/>
        <v>20.204000000000001</v>
      </c>
      <c r="H106" s="1" t="str">
        <f t="shared" si="7"/>
        <v>0955-OFICINAS DE GOBIERNO, ENTES Y/O SERVIDORES PÚBLICOS</v>
      </c>
      <c r="I106" s="1">
        <v>204</v>
      </c>
      <c r="J106" s="1" t="str">
        <f t="shared" si="9"/>
        <v>0955-OFICINAS DE GOBIERNO, ENTES Y/O SERVIDORES PÚBLICOS</v>
      </c>
      <c r="K106" s="1">
        <f t="shared" si="8"/>
        <v>955</v>
      </c>
    </row>
    <row r="107" spans="1:11" hidden="1" x14ac:dyDescent="0.25">
      <c r="A107" s="115">
        <v>1.2050000000000001</v>
      </c>
      <c r="B107" s="115">
        <v>1.96</v>
      </c>
      <c r="C107" s="1">
        <v>960</v>
      </c>
      <c r="D107" s="1" t="s">
        <v>2661</v>
      </c>
      <c r="E107" s="1">
        <v>1</v>
      </c>
      <c r="F107" s="1" t="str">
        <f t="shared" si="5"/>
        <v>20.205</v>
      </c>
      <c r="G107" s="115">
        <f t="shared" si="6"/>
        <v>20.204999999999998</v>
      </c>
      <c r="H107" s="1" t="str">
        <f t="shared" si="7"/>
        <v>0960-OLEAGINOSAS</v>
      </c>
      <c r="I107" s="1">
        <v>205</v>
      </c>
      <c r="J107" s="1" t="str">
        <f t="shared" si="9"/>
        <v>0960-OLEAGINOSAS</v>
      </c>
      <c r="K107" s="1">
        <f t="shared" si="8"/>
        <v>960</v>
      </c>
    </row>
    <row r="108" spans="1:11" hidden="1" x14ac:dyDescent="0.25">
      <c r="A108" s="115">
        <v>1.206</v>
      </c>
      <c r="B108" s="115">
        <v>1.97</v>
      </c>
      <c r="C108" s="1">
        <v>970</v>
      </c>
      <c r="D108" s="1" t="s">
        <v>2662</v>
      </c>
      <c r="E108" s="1">
        <v>1</v>
      </c>
      <c r="F108" s="1" t="str">
        <f t="shared" si="5"/>
        <v>20.206</v>
      </c>
      <c r="G108" s="115">
        <f t="shared" si="6"/>
        <v>20.206</v>
      </c>
      <c r="H108" s="1" t="str">
        <f t="shared" si="7"/>
        <v>0970-ÓPTICA, ARTÍCULOS DE</v>
      </c>
      <c r="I108" s="1">
        <v>206</v>
      </c>
      <c r="J108" s="1" t="str">
        <f t="shared" si="9"/>
        <v>0970-ÓPTICA, ARTÍCULOS DE</v>
      </c>
      <c r="K108" s="1">
        <f t="shared" si="8"/>
        <v>970</v>
      </c>
    </row>
    <row r="109" spans="1:11" hidden="1" x14ac:dyDescent="0.25">
      <c r="A109" s="115">
        <v>1.2070000000000001</v>
      </c>
      <c r="B109" s="115">
        <v>1.98</v>
      </c>
      <c r="C109" s="1">
        <v>980</v>
      </c>
      <c r="D109" s="1" t="s">
        <v>2663</v>
      </c>
      <c r="E109" s="1">
        <v>1</v>
      </c>
      <c r="F109" s="1" t="str">
        <f t="shared" si="5"/>
        <v>20.207</v>
      </c>
      <c r="G109" s="115">
        <f t="shared" si="6"/>
        <v>20.207000000000001</v>
      </c>
      <c r="H109" s="1" t="str">
        <f t="shared" si="7"/>
        <v>0980-PAJA Y/O PASTOS SECOS</v>
      </c>
      <c r="I109" s="1">
        <v>207</v>
      </c>
      <c r="J109" s="1" t="str">
        <f t="shared" si="9"/>
        <v>0980-PAJA Y/O PASTOS SECOS</v>
      </c>
      <c r="K109" s="1">
        <f t="shared" si="8"/>
        <v>980</v>
      </c>
    </row>
    <row r="110" spans="1:11" hidden="1" x14ac:dyDescent="0.25">
      <c r="A110" s="115">
        <v>1.208</v>
      </c>
      <c r="B110" s="115">
        <v>1.99</v>
      </c>
      <c r="C110" s="1">
        <v>990</v>
      </c>
      <c r="D110" s="1" t="s">
        <v>2664</v>
      </c>
      <c r="E110" s="1">
        <v>1</v>
      </c>
      <c r="F110" s="1" t="str">
        <f t="shared" si="5"/>
        <v>20.208</v>
      </c>
      <c r="G110" s="115">
        <f t="shared" si="6"/>
        <v>20.207999999999998</v>
      </c>
      <c r="H110" s="1" t="str">
        <f t="shared" si="7"/>
        <v>0990-PAN, PASTAS ALIMENTICIAS, GALLETAS, TORTILLAS Y/O SIMILARES (INCLUYE ALMIDONES, FÉCULAS Y LEVADURAS)</v>
      </c>
      <c r="I110" s="1">
        <v>208</v>
      </c>
      <c r="J110" s="1" t="str">
        <f t="shared" si="9"/>
        <v>0990-PAN, PASTAS ALIMENTICIAS, GALLETAS, TORTILLAS Y/O SIMILARES (INCLUYE ALMIDONES, FÉCULAS Y LEVADURAS)</v>
      </c>
      <c r="K110" s="1">
        <f t="shared" si="8"/>
        <v>990</v>
      </c>
    </row>
    <row r="111" spans="1:11" hidden="1" x14ac:dyDescent="0.25">
      <c r="A111" s="115">
        <v>1.2090000000000001</v>
      </c>
      <c r="B111" s="115">
        <v>1.1000000000000001</v>
      </c>
      <c r="C111" s="1">
        <v>1000</v>
      </c>
      <c r="D111" s="1" t="s">
        <v>2665</v>
      </c>
      <c r="E111" s="1">
        <v>1</v>
      </c>
      <c r="F111" s="1" t="str">
        <f t="shared" si="5"/>
        <v>20.209</v>
      </c>
      <c r="G111" s="115">
        <f t="shared" si="6"/>
        <v>20.209</v>
      </c>
      <c r="H111" s="1" t="str">
        <f t="shared" si="7"/>
        <v>1000-PAPEL Y/O CARTÓN Y SUS PRODUCTOS (EXCLUYE FABRICACIÓN DE CELULOSA Ver Giro 0320)</v>
      </c>
      <c r="I111" s="1">
        <v>209</v>
      </c>
      <c r="J111" s="1" t="str">
        <f t="shared" si="9"/>
        <v>1000-PAPEL Y/O CARTÓN Y SUS PRODUCTOS (EXCLUYE FABRICACIÓN DE CELULOSA Ver Giro 0320)</v>
      </c>
      <c r="K111" s="1">
        <f t="shared" si="8"/>
        <v>1000</v>
      </c>
    </row>
    <row r="112" spans="1:11" hidden="1" x14ac:dyDescent="0.25">
      <c r="A112" s="115">
        <v>1.21</v>
      </c>
      <c r="B112" s="115">
        <v>1.1100000000000001</v>
      </c>
      <c r="C112" s="1">
        <v>1100</v>
      </c>
      <c r="D112" s="1" t="s">
        <v>2666</v>
      </c>
      <c r="E112" s="1">
        <v>1</v>
      </c>
      <c r="F112" s="1" t="str">
        <f t="shared" si="5"/>
        <v>20.210</v>
      </c>
      <c r="G112" s="115">
        <f t="shared" si="6"/>
        <v>20.21</v>
      </c>
      <c r="H112" s="1" t="str">
        <f t="shared" si="7"/>
        <v>1100-PAPELERÍA, UTILES ESCOLARES Y/O ARTÍCULOS DE ESCRITORIO</v>
      </c>
      <c r="I112" s="1">
        <v>210</v>
      </c>
      <c r="J112" s="1" t="str">
        <f t="shared" si="9"/>
        <v>1100-PAPELERÍA, UTILES ESCOLARES Y/O ARTÍCULOS DE ESCRITORIO</v>
      </c>
      <c r="K112" s="1">
        <f t="shared" si="8"/>
        <v>1100</v>
      </c>
    </row>
    <row r="113" spans="1:11" hidden="1" x14ac:dyDescent="0.25">
      <c r="A113" s="115">
        <v>1.2110000000000001</v>
      </c>
      <c r="B113" s="115">
        <v>1.111</v>
      </c>
      <c r="C113" s="1">
        <v>1110</v>
      </c>
      <c r="D113" s="1" t="s">
        <v>2667</v>
      </c>
      <c r="E113" s="1">
        <v>1</v>
      </c>
      <c r="F113" s="1" t="str">
        <f t="shared" si="5"/>
        <v>20.211</v>
      </c>
      <c r="G113" s="115">
        <f t="shared" si="6"/>
        <v>20.210999999999999</v>
      </c>
      <c r="H113" s="1" t="str">
        <f t="shared" si="7"/>
        <v>1110-PEGAMENTOS, ADHESIVOS, SELLADORES, RECUBRIMIENTOS Y/O SIMILARES</v>
      </c>
      <c r="I113" s="1">
        <v>211</v>
      </c>
      <c r="J113" s="1" t="str">
        <f t="shared" si="9"/>
        <v>1110-PEGAMENTOS, ADHESIVOS, SELLADORES, RECUBRIMIENTOS Y/O SIMILARES</v>
      </c>
      <c r="K113" s="1">
        <f t="shared" si="8"/>
        <v>1110</v>
      </c>
    </row>
    <row r="114" spans="1:11" hidden="1" x14ac:dyDescent="0.25">
      <c r="A114" s="115">
        <v>1.212</v>
      </c>
      <c r="B114" s="115">
        <v>1.1120000000000001</v>
      </c>
      <c r="C114" s="1">
        <v>1120</v>
      </c>
      <c r="D114" s="1" t="s">
        <v>2668</v>
      </c>
      <c r="E114" s="1">
        <v>1</v>
      </c>
      <c r="F114" s="1" t="str">
        <f t="shared" si="5"/>
        <v>20.212</v>
      </c>
      <c r="G114" s="115">
        <f t="shared" si="6"/>
        <v>20.212</v>
      </c>
      <c r="H114" s="1" t="str">
        <f t="shared" si="7"/>
        <v>1120-PELUQUERÍAS, SALONES Y/O CLÍNICAS DE BELLEZA</v>
      </c>
      <c r="I114" s="1">
        <v>212</v>
      </c>
      <c r="J114" s="1" t="str">
        <f t="shared" si="9"/>
        <v>1120-PELUQUERÍAS, SALONES Y/O CLÍNICAS DE BELLEZA</v>
      </c>
      <c r="K114" s="1">
        <f t="shared" si="8"/>
        <v>1120</v>
      </c>
    </row>
    <row r="115" spans="1:11" hidden="1" x14ac:dyDescent="0.25">
      <c r="A115" s="115">
        <v>1.2130000000000001</v>
      </c>
      <c r="B115" s="115">
        <v>1.113</v>
      </c>
      <c r="C115" s="1">
        <v>1130</v>
      </c>
      <c r="D115" s="1" t="s">
        <v>2669</v>
      </c>
      <c r="E115" s="1">
        <v>1</v>
      </c>
      <c r="F115" s="1" t="str">
        <f t="shared" si="5"/>
        <v>20.213</v>
      </c>
      <c r="G115" s="115">
        <f t="shared" si="6"/>
        <v>20.213000000000001</v>
      </c>
      <c r="H115" s="1" t="str">
        <f t="shared" si="7"/>
        <v>1130-PERFUMES Y/O ARTÍCULOS DE TOCADOR</v>
      </c>
      <c r="I115" s="1">
        <v>213</v>
      </c>
      <c r="J115" s="1" t="str">
        <f t="shared" si="9"/>
        <v>1130-PERFUMES Y/O ARTÍCULOS DE TOCADOR</v>
      </c>
      <c r="K115" s="1">
        <f t="shared" si="8"/>
        <v>1130</v>
      </c>
    </row>
    <row r="116" spans="1:11" hidden="1" x14ac:dyDescent="0.25">
      <c r="A116" s="115">
        <v>1.214</v>
      </c>
      <c r="B116" s="115">
        <v>1.1140000000000001</v>
      </c>
      <c r="C116" s="1">
        <v>1140</v>
      </c>
      <c r="D116" s="1" t="s">
        <v>2670</v>
      </c>
      <c r="E116" s="1">
        <v>1</v>
      </c>
      <c r="F116" s="1" t="str">
        <f t="shared" si="5"/>
        <v>20.214</v>
      </c>
      <c r="G116" s="115">
        <f t="shared" si="6"/>
        <v>20.213999999999999</v>
      </c>
      <c r="H116" s="1" t="str">
        <f t="shared" si="7"/>
        <v>1140-PINTURA, TALLER ARTÍSTICO</v>
      </c>
      <c r="I116" s="1">
        <v>214</v>
      </c>
      <c r="J116" s="1" t="str">
        <f t="shared" si="9"/>
        <v>1140-PINTURA, TALLER ARTÍSTICO</v>
      </c>
      <c r="K116" s="1">
        <f t="shared" si="8"/>
        <v>1140</v>
      </c>
    </row>
    <row r="117" spans="1:11" hidden="1" x14ac:dyDescent="0.25">
      <c r="A117" s="115">
        <v>1.2150000000000001</v>
      </c>
      <c r="B117" s="115">
        <v>1.115</v>
      </c>
      <c r="C117" s="1">
        <v>1150</v>
      </c>
      <c r="D117" s="1" t="s">
        <v>2671</v>
      </c>
      <c r="E117" s="1">
        <v>1</v>
      </c>
      <c r="F117" s="1" t="str">
        <f t="shared" si="5"/>
        <v>20.215</v>
      </c>
      <c r="G117" s="115">
        <f t="shared" si="6"/>
        <v>20.215</v>
      </c>
      <c r="H117" s="1" t="str">
        <f t="shared" si="7"/>
        <v>1150-PLANTAS DE ASFALTO</v>
      </c>
      <c r="I117" s="1">
        <v>215</v>
      </c>
      <c r="J117" s="1" t="str">
        <f t="shared" si="9"/>
        <v>1150-PLANTAS DE ASFALTO</v>
      </c>
      <c r="K117" s="1">
        <f t="shared" si="8"/>
        <v>1150</v>
      </c>
    </row>
    <row r="118" spans="1:11" hidden="1" x14ac:dyDescent="0.25">
      <c r="A118" s="115">
        <v>1.216</v>
      </c>
      <c r="B118" s="115">
        <v>1.1160000000000001</v>
      </c>
      <c r="C118" s="1">
        <v>1160</v>
      </c>
      <c r="D118" s="1" t="s">
        <v>2672</v>
      </c>
      <c r="E118" s="1">
        <v>1</v>
      </c>
      <c r="F118" s="1" t="str">
        <f t="shared" si="5"/>
        <v>20.216</v>
      </c>
      <c r="G118" s="115">
        <f t="shared" si="6"/>
        <v>20.216000000000001</v>
      </c>
      <c r="H118" s="1" t="str">
        <f t="shared" si="7"/>
        <v>1160-PLÁSTICOS, PIEZAS, ARTÍCULOS Y/O PRODUCTOS DE</v>
      </c>
      <c r="I118" s="1">
        <v>216</v>
      </c>
      <c r="J118" s="1" t="str">
        <f t="shared" si="9"/>
        <v>1160-PLÁSTICOS, PIEZAS, ARTÍCULOS Y/O PRODUCTOS DE</v>
      </c>
      <c r="K118" s="1">
        <f t="shared" si="8"/>
        <v>1160</v>
      </c>
    </row>
    <row r="119" spans="1:11" hidden="1" x14ac:dyDescent="0.25">
      <c r="A119" s="115">
        <v>1.2170000000000001</v>
      </c>
      <c r="B119" s="115">
        <v>1.117</v>
      </c>
      <c r="C119" s="1">
        <v>1170</v>
      </c>
      <c r="D119" s="1" t="s">
        <v>2673</v>
      </c>
      <c r="E119" s="1">
        <v>1</v>
      </c>
      <c r="F119" s="1" t="str">
        <f t="shared" si="5"/>
        <v>20.217</v>
      </c>
      <c r="G119" s="115">
        <f t="shared" si="6"/>
        <v>20.216999999999999</v>
      </c>
      <c r="H119" s="1" t="str">
        <f t="shared" si="7"/>
        <v>1170-PRODUCTOS QUÍMICOS</v>
      </c>
      <c r="I119" s="1">
        <v>217</v>
      </c>
      <c r="J119" s="1" t="str">
        <f t="shared" si="9"/>
        <v>1170-PRODUCTOS QUÍMICOS</v>
      </c>
      <c r="K119" s="1">
        <f t="shared" si="8"/>
        <v>1170</v>
      </c>
    </row>
    <row r="120" spans="1:11" hidden="1" x14ac:dyDescent="0.25">
      <c r="A120" s="115">
        <v>1.218</v>
      </c>
      <c r="B120" s="115">
        <v>1.1180000000000001</v>
      </c>
      <c r="C120" s="1">
        <v>1180</v>
      </c>
      <c r="D120" s="1" t="s">
        <v>2674</v>
      </c>
      <c r="E120" s="1">
        <v>1</v>
      </c>
      <c r="F120" s="1" t="str">
        <f t="shared" si="5"/>
        <v>20.218</v>
      </c>
      <c r="G120" s="115">
        <f t="shared" si="6"/>
        <v>20.218</v>
      </c>
      <c r="H120" s="1" t="str">
        <f t="shared" si="7"/>
        <v>1180-PROTEÍNAS DE PESCADO</v>
      </c>
      <c r="I120" s="1">
        <v>218</v>
      </c>
      <c r="J120" s="1" t="str">
        <f t="shared" si="9"/>
        <v>1180-PROTEÍNAS DE PESCADO</v>
      </c>
      <c r="K120" s="1">
        <f t="shared" si="8"/>
        <v>1180</v>
      </c>
    </row>
    <row r="121" spans="1:11" hidden="1" x14ac:dyDescent="0.25">
      <c r="A121" s="115">
        <v>1.2190000000000001</v>
      </c>
      <c r="B121" s="115">
        <v>1.119</v>
      </c>
      <c r="C121" s="1">
        <v>1190</v>
      </c>
      <c r="D121" s="1" t="s">
        <v>2675</v>
      </c>
      <c r="E121" s="1">
        <v>1</v>
      </c>
      <c r="F121" s="1" t="str">
        <f t="shared" si="5"/>
        <v>20.219</v>
      </c>
      <c r="G121" s="115">
        <f t="shared" si="6"/>
        <v>20.219000000000001</v>
      </c>
      <c r="H121" s="1" t="str">
        <f t="shared" si="7"/>
        <v>1190-REFRIGERADORA O CONGELADORA, PLANTA</v>
      </c>
      <c r="I121" s="1">
        <v>219</v>
      </c>
      <c r="J121" s="1" t="str">
        <f t="shared" si="9"/>
        <v>1190-REFRIGERADORA O CONGELADORA, PLANTA</v>
      </c>
      <c r="K121" s="1">
        <f t="shared" si="8"/>
        <v>1190</v>
      </c>
    </row>
    <row r="122" spans="1:11" hidden="1" x14ac:dyDescent="0.25">
      <c r="A122" s="115">
        <v>1.22</v>
      </c>
      <c r="B122" s="115">
        <v>1.1200000000000001</v>
      </c>
      <c r="C122" s="1">
        <v>1200</v>
      </c>
      <c r="D122" s="1" t="s">
        <v>2676</v>
      </c>
      <c r="E122" s="1">
        <v>1</v>
      </c>
      <c r="F122" s="1" t="str">
        <f t="shared" si="5"/>
        <v>20.220</v>
      </c>
      <c r="G122" s="115">
        <f t="shared" si="6"/>
        <v>20.22</v>
      </c>
      <c r="H122" s="1" t="str">
        <f t="shared" si="7"/>
        <v>1200-RELOJERÍA Y JOYERÍA</v>
      </c>
      <c r="I122" s="1">
        <v>220</v>
      </c>
      <c r="J122" s="1" t="str">
        <f t="shared" si="9"/>
        <v>1200-RELOJERÍA Y JOYERÍA</v>
      </c>
      <c r="K122" s="1">
        <f t="shared" si="8"/>
        <v>1200</v>
      </c>
    </row>
    <row r="123" spans="1:11" hidden="1" x14ac:dyDescent="0.25">
      <c r="A123" s="115">
        <v>1.2210000000000001</v>
      </c>
      <c r="B123" s="115">
        <v>1.121</v>
      </c>
      <c r="C123" s="1">
        <v>1210</v>
      </c>
      <c r="D123" s="1" t="s">
        <v>2677</v>
      </c>
      <c r="E123" s="1">
        <v>1</v>
      </c>
      <c r="F123" s="1" t="str">
        <f t="shared" si="5"/>
        <v>20.221</v>
      </c>
      <c r="G123" s="115">
        <f t="shared" si="6"/>
        <v>20.221</v>
      </c>
      <c r="H123" s="1" t="str">
        <f t="shared" si="7"/>
        <v>1210-RESTAURANTES, BARES, CANTINAS, CENTROS NOCTURNOS, CABARETS Y/O DISCOTECAS</v>
      </c>
      <c r="I123" s="1">
        <v>221</v>
      </c>
      <c r="J123" s="1" t="str">
        <f t="shared" si="9"/>
        <v>1210-RESTAURANTES, BARES, CANTINAS, CENTROS NOCTURNOS, CABARETS Y/O DISCOTECAS</v>
      </c>
      <c r="K123" s="1">
        <f t="shared" si="8"/>
        <v>1210</v>
      </c>
    </row>
    <row r="124" spans="1:11" hidden="1" x14ac:dyDescent="0.25">
      <c r="A124" s="115">
        <v>1.222</v>
      </c>
      <c r="B124" s="115">
        <v>1.1220000000000001</v>
      </c>
      <c r="C124" s="1">
        <v>1220</v>
      </c>
      <c r="D124" s="1" t="s">
        <v>2678</v>
      </c>
      <c r="E124" s="1">
        <v>1</v>
      </c>
      <c r="F124" s="1" t="str">
        <f t="shared" si="5"/>
        <v>20.222</v>
      </c>
      <c r="G124" s="115">
        <f t="shared" si="6"/>
        <v>20.222000000000001</v>
      </c>
      <c r="H124" s="1" t="str">
        <f t="shared" si="7"/>
        <v>1220-SAL</v>
      </c>
      <c r="I124" s="1">
        <v>222</v>
      </c>
      <c r="J124" s="1" t="str">
        <f t="shared" si="9"/>
        <v>1220-SAL</v>
      </c>
      <c r="K124" s="1">
        <f t="shared" si="8"/>
        <v>1220</v>
      </c>
    </row>
    <row r="125" spans="1:11" hidden="1" x14ac:dyDescent="0.25">
      <c r="A125" s="115">
        <v>1.2230000000000001</v>
      </c>
      <c r="B125" s="115">
        <v>1.123</v>
      </c>
      <c r="C125" s="1">
        <v>1230</v>
      </c>
      <c r="D125" s="1" t="s">
        <v>2679</v>
      </c>
      <c r="E125" s="1">
        <v>1</v>
      </c>
      <c r="F125" s="1" t="str">
        <f t="shared" si="5"/>
        <v>20.223</v>
      </c>
      <c r="G125" s="115">
        <f t="shared" si="6"/>
        <v>20.222999999999999</v>
      </c>
      <c r="H125" s="1" t="str">
        <f t="shared" si="7"/>
        <v>1230-SOFTWARE, PROCESAMIENTO DE INFORMACIÓN, INTERNET, PAGINAS WEB Y/O SERVICIOS RELACIONADOS</v>
      </c>
      <c r="I125" s="1">
        <v>223</v>
      </c>
      <c r="J125" s="1" t="str">
        <f t="shared" si="9"/>
        <v>1230-SOFTWARE, PROCESAMIENTO DE INFORMACIÓN, INTERNET, PAGINAS WEB Y/O SERVICIOS RELACIONADOS</v>
      </c>
      <c r="K125" s="1">
        <f t="shared" si="8"/>
        <v>1230</v>
      </c>
    </row>
    <row r="126" spans="1:11" hidden="1" x14ac:dyDescent="0.25">
      <c r="A126" s="115">
        <v>1.224</v>
      </c>
      <c r="B126" s="115">
        <v>1.1240000000000001</v>
      </c>
      <c r="C126" s="1">
        <v>1240</v>
      </c>
      <c r="D126" s="1" t="s">
        <v>2680</v>
      </c>
      <c r="E126" s="1">
        <v>1</v>
      </c>
      <c r="F126" s="1" t="str">
        <f t="shared" si="5"/>
        <v>20.224</v>
      </c>
      <c r="G126" s="115">
        <f t="shared" si="6"/>
        <v>20.224</v>
      </c>
      <c r="H126" s="1" t="str">
        <f t="shared" si="7"/>
        <v>1240-TABACO</v>
      </c>
      <c r="I126" s="1">
        <v>224</v>
      </c>
      <c r="J126" s="1" t="str">
        <f t="shared" si="9"/>
        <v>1240-TABACO</v>
      </c>
      <c r="K126" s="1">
        <f t="shared" si="8"/>
        <v>1240</v>
      </c>
    </row>
    <row r="127" spans="1:11" hidden="1" x14ac:dyDescent="0.25">
      <c r="A127" s="115">
        <v>1.2250000000000001</v>
      </c>
      <c r="B127" s="115">
        <v>1.125</v>
      </c>
      <c r="C127" s="1">
        <v>1250</v>
      </c>
      <c r="D127" s="1" t="s">
        <v>2681</v>
      </c>
      <c r="E127" s="1">
        <v>1</v>
      </c>
      <c r="F127" s="1" t="str">
        <f t="shared" si="5"/>
        <v>20.225</v>
      </c>
      <c r="G127" s="115">
        <f t="shared" si="6"/>
        <v>20.225000000000001</v>
      </c>
      <c r="H127" s="1" t="str">
        <f t="shared" si="7"/>
        <v>1250-TAPICERIA</v>
      </c>
      <c r="I127" s="1">
        <v>225</v>
      </c>
      <c r="J127" s="1" t="str">
        <f t="shared" si="9"/>
        <v>1250-TAPICERIA</v>
      </c>
      <c r="K127" s="1">
        <f t="shared" si="8"/>
        <v>1250</v>
      </c>
    </row>
    <row r="128" spans="1:11" hidden="1" x14ac:dyDescent="0.25">
      <c r="A128" s="115">
        <v>1.226</v>
      </c>
      <c r="B128" s="115">
        <v>1.1259999999999999</v>
      </c>
      <c r="C128" s="1">
        <v>1260</v>
      </c>
      <c r="D128" s="1" t="s">
        <v>2682</v>
      </c>
      <c r="E128" s="1">
        <v>1</v>
      </c>
      <c r="F128" s="1" t="str">
        <f t="shared" si="5"/>
        <v>20.226</v>
      </c>
      <c r="G128" s="115">
        <f t="shared" si="6"/>
        <v>20.225999999999999</v>
      </c>
      <c r="H128" s="1" t="str">
        <f t="shared" si="7"/>
        <v>1260-TELEFONÍA, TELÉGRAFO, CORREO Y MENSAJERÍA</v>
      </c>
      <c r="I128" s="1">
        <v>226</v>
      </c>
      <c r="J128" s="1" t="str">
        <f t="shared" si="9"/>
        <v>1260-TELEFONÍA, TELÉGRAFO, CORREO Y MENSAJERÍA</v>
      </c>
      <c r="K128" s="1">
        <f t="shared" si="8"/>
        <v>1260</v>
      </c>
    </row>
    <row r="129" spans="1:11" hidden="1" x14ac:dyDescent="0.25">
      <c r="A129" s="115">
        <v>1.2270000000000001</v>
      </c>
      <c r="B129" s="115">
        <v>1.127</v>
      </c>
      <c r="C129" s="1">
        <v>1270</v>
      </c>
      <c r="D129" s="1" t="s">
        <v>2683</v>
      </c>
      <c r="E129" s="1">
        <v>1</v>
      </c>
      <c r="F129" s="1" t="str">
        <f t="shared" si="5"/>
        <v>20.227</v>
      </c>
      <c r="G129" s="115">
        <f t="shared" si="6"/>
        <v>20.227</v>
      </c>
      <c r="H129" s="1" t="str">
        <f t="shared" si="7"/>
        <v>1270-TELEVISIÓN Y/O RADIO</v>
      </c>
      <c r="I129" s="1">
        <v>227</v>
      </c>
      <c r="J129" s="1" t="str">
        <f t="shared" si="9"/>
        <v>1270-TELEVISIÓN Y/O RADIO</v>
      </c>
      <c r="K129" s="1">
        <f t="shared" si="8"/>
        <v>1270</v>
      </c>
    </row>
    <row r="130" spans="1:11" hidden="1" x14ac:dyDescent="0.25">
      <c r="A130" s="115">
        <v>1.228</v>
      </c>
      <c r="B130" s="115">
        <v>1.1279999999999999</v>
      </c>
      <c r="C130" s="1">
        <v>1280</v>
      </c>
      <c r="D130" s="1" t="s">
        <v>2684</v>
      </c>
      <c r="E130" s="1">
        <v>1</v>
      </c>
      <c r="F130" s="1" t="str">
        <f t="shared" si="5"/>
        <v>20.228</v>
      </c>
      <c r="G130" s="115">
        <f t="shared" si="6"/>
        <v>20.228000000000002</v>
      </c>
      <c r="H130" s="1" t="str">
        <f t="shared" si="7"/>
        <v>1280-TEXTILERAS</v>
      </c>
      <c r="I130" s="1">
        <v>228</v>
      </c>
      <c r="J130" s="1" t="str">
        <f t="shared" si="9"/>
        <v>1280-TEXTILERAS</v>
      </c>
      <c r="K130" s="1">
        <f t="shared" si="8"/>
        <v>1280</v>
      </c>
    </row>
    <row r="131" spans="1:11" hidden="1" x14ac:dyDescent="0.25">
      <c r="A131" s="115">
        <v>1.2290000000000001</v>
      </c>
      <c r="B131" s="115">
        <v>1.1299999999999999</v>
      </c>
      <c r="C131" s="1">
        <v>1300</v>
      </c>
      <c r="D131" s="1" t="s">
        <v>2685</v>
      </c>
      <c r="E131" s="1">
        <v>1</v>
      </c>
      <c r="F131" s="1" t="str">
        <f t="shared" si="5"/>
        <v>20.229</v>
      </c>
      <c r="G131" s="115">
        <f t="shared" si="6"/>
        <v>20.228999999999999</v>
      </c>
      <c r="H131" s="1" t="str">
        <f t="shared" si="7"/>
        <v>1300-VIDEO CLUBS</v>
      </c>
      <c r="I131" s="1">
        <v>229</v>
      </c>
      <c r="J131" s="1" t="str">
        <f t="shared" si="9"/>
        <v>1300-VIDEO CLUBS</v>
      </c>
      <c r="K131" s="1">
        <f t="shared" si="8"/>
        <v>1300</v>
      </c>
    </row>
    <row r="132" spans="1:11" hidden="1" x14ac:dyDescent="0.25">
      <c r="A132" s="115">
        <v>1.23</v>
      </c>
      <c r="B132" s="115">
        <v>1.131</v>
      </c>
      <c r="C132" s="1">
        <v>1310</v>
      </c>
      <c r="D132" s="1" t="s">
        <v>2686</v>
      </c>
      <c r="E132" s="1">
        <v>1</v>
      </c>
      <c r="F132" s="1" t="str">
        <f t="shared" ref="F132:F134" si="10">CONCATENATE($B$1,".",I132)</f>
        <v>20.230</v>
      </c>
      <c r="G132" s="115">
        <f t="shared" ref="G132:G134" si="11">F132*1</f>
        <v>20.23</v>
      </c>
      <c r="H132" s="1" t="str">
        <f t="shared" ref="H132:H134" si="12">VLOOKUP(G132,$A$3:$D$4651,4)</f>
        <v>1310-RIESGOS INACTIVOS</v>
      </c>
      <c r="I132" s="1">
        <v>230</v>
      </c>
      <c r="J132" s="1" t="str">
        <f t="shared" si="9"/>
        <v>1310-RIESGOS INACTIVOS</v>
      </c>
      <c r="K132" s="1">
        <f t="shared" ref="K132:K134" si="13">VLOOKUP(G132,$A$3:$E$4651,3)</f>
        <v>1310</v>
      </c>
    </row>
    <row r="133" spans="1:11" hidden="1" x14ac:dyDescent="0.25">
      <c r="A133" s="115">
        <v>1.2310000000000001</v>
      </c>
      <c r="B133" s="115">
        <v>1.1319999999999999</v>
      </c>
      <c r="C133" s="1">
        <v>1320</v>
      </c>
      <c r="D133" s="1" t="s">
        <v>2687</v>
      </c>
      <c r="E133" s="1">
        <v>1</v>
      </c>
      <c r="F133" s="1" t="str">
        <f t="shared" si="10"/>
        <v>20.231</v>
      </c>
      <c r="G133" s="115">
        <f t="shared" si="11"/>
        <v>20.231000000000002</v>
      </c>
      <c r="H133" s="1" t="str">
        <f t="shared" si="12"/>
        <v>1320-SERVICIOS PROFESIONALES (PROFESIONES)</v>
      </c>
      <c r="I133" s="1">
        <v>231</v>
      </c>
      <c r="J133" s="1" t="str">
        <f t="shared" ref="J133:J134" si="14">IF(H133=H132,"",H133)</f>
        <v>1320-SERVICIOS PROFESIONALES (PROFESIONES)</v>
      </c>
      <c r="K133" s="1">
        <f t="shared" si="13"/>
        <v>1320</v>
      </c>
    </row>
    <row r="134" spans="1:11" hidden="1" x14ac:dyDescent="0.25">
      <c r="A134" s="115">
        <v>2.101</v>
      </c>
      <c r="B134" s="115">
        <v>2.1</v>
      </c>
      <c r="C134" s="1">
        <v>10</v>
      </c>
      <c r="D134" s="1" t="s">
        <v>2559</v>
      </c>
      <c r="E134" s="1">
        <v>2</v>
      </c>
      <c r="F134" s="1" t="str">
        <f t="shared" si="10"/>
        <v>20.232</v>
      </c>
      <c r="G134" s="115">
        <f t="shared" si="11"/>
        <v>20.231999999999999</v>
      </c>
      <c r="H134" s="1" t="str">
        <f t="shared" si="12"/>
        <v>1320-SERVICIOS PROFESIONALES (PROFESIONES)</v>
      </c>
      <c r="I134" s="1">
        <v>232</v>
      </c>
      <c r="J134" s="1" t="str">
        <f t="shared" si="14"/>
        <v/>
      </c>
      <c r="K134" s="1">
        <f t="shared" si="13"/>
        <v>1320</v>
      </c>
    </row>
    <row r="135" spans="1:11" hidden="1" x14ac:dyDescent="0.25">
      <c r="A135" s="115">
        <v>2.1019999999999999</v>
      </c>
      <c r="B135" s="115">
        <v>2.2000000000000002</v>
      </c>
      <c r="C135" s="1">
        <v>20</v>
      </c>
      <c r="D135" s="1" t="s">
        <v>2560</v>
      </c>
      <c r="E135" s="1">
        <v>2</v>
      </c>
    </row>
    <row r="136" spans="1:11" hidden="1" x14ac:dyDescent="0.25">
      <c r="A136" s="115">
        <v>2.1030000000000002</v>
      </c>
      <c r="B136" s="115">
        <v>2.2999999999999998</v>
      </c>
      <c r="C136" s="1">
        <v>30</v>
      </c>
      <c r="D136" s="1" t="s">
        <v>2561</v>
      </c>
      <c r="E136" s="1">
        <v>2</v>
      </c>
    </row>
    <row r="137" spans="1:11" hidden="1" x14ac:dyDescent="0.25">
      <c r="A137" s="115">
        <v>2.1040000000000001</v>
      </c>
      <c r="B137" s="115">
        <v>2.4</v>
      </c>
      <c r="C137" s="1">
        <v>40</v>
      </c>
      <c r="D137" s="1" t="s">
        <v>2562</v>
      </c>
      <c r="E137" s="1">
        <v>2</v>
      </c>
    </row>
    <row r="138" spans="1:11" hidden="1" x14ac:dyDescent="0.25">
      <c r="A138" s="115">
        <v>2.105</v>
      </c>
      <c r="B138" s="115">
        <v>2.5</v>
      </c>
      <c r="C138" s="1">
        <v>50</v>
      </c>
      <c r="D138" s="1" t="s">
        <v>2563</v>
      </c>
      <c r="E138" s="1">
        <v>2</v>
      </c>
    </row>
    <row r="139" spans="1:11" hidden="1" x14ac:dyDescent="0.25">
      <c r="A139" s="115">
        <v>2.1059999999999999</v>
      </c>
      <c r="B139" s="115">
        <v>2.6</v>
      </c>
      <c r="C139" s="1">
        <v>60</v>
      </c>
      <c r="D139" s="1" t="s">
        <v>2564</v>
      </c>
      <c r="E139" s="1">
        <v>2</v>
      </c>
    </row>
    <row r="140" spans="1:11" hidden="1" x14ac:dyDescent="0.25">
      <c r="A140" s="115">
        <v>2.1070000000000002</v>
      </c>
      <c r="B140" s="115">
        <v>2.7</v>
      </c>
      <c r="C140" s="1">
        <v>70</v>
      </c>
      <c r="D140" s="1" t="s">
        <v>2565</v>
      </c>
      <c r="E140" s="1">
        <v>2</v>
      </c>
    </row>
    <row r="141" spans="1:11" hidden="1" x14ac:dyDescent="0.25">
      <c r="A141" s="115">
        <v>2.1080000000000001</v>
      </c>
      <c r="B141" s="115">
        <v>2.8</v>
      </c>
      <c r="C141" s="1">
        <v>80</v>
      </c>
      <c r="D141" s="1" t="s">
        <v>2566</v>
      </c>
      <c r="E141" s="1">
        <v>2</v>
      </c>
    </row>
    <row r="142" spans="1:11" hidden="1" x14ac:dyDescent="0.25">
      <c r="A142" s="115">
        <v>2.109</v>
      </c>
      <c r="B142" s="115">
        <v>2.9</v>
      </c>
      <c r="C142" s="1">
        <v>90</v>
      </c>
      <c r="D142" s="1" t="s">
        <v>2567</v>
      </c>
      <c r="E142" s="1">
        <v>2</v>
      </c>
    </row>
    <row r="143" spans="1:11" hidden="1" x14ac:dyDescent="0.25">
      <c r="A143" s="115">
        <v>2.11</v>
      </c>
      <c r="B143" s="115">
        <v>2.1</v>
      </c>
      <c r="C143" s="1">
        <v>100</v>
      </c>
      <c r="D143" s="1" t="s">
        <v>2568</v>
      </c>
      <c r="E143" s="1">
        <v>2</v>
      </c>
    </row>
    <row r="144" spans="1:11" hidden="1" x14ac:dyDescent="0.25">
      <c r="A144" s="115">
        <v>2.1110000000000002</v>
      </c>
      <c r="B144" s="115">
        <v>2.11</v>
      </c>
      <c r="C144" s="1">
        <v>110</v>
      </c>
      <c r="D144" s="1" t="s">
        <v>2569</v>
      </c>
      <c r="E144" s="1">
        <v>2</v>
      </c>
    </row>
    <row r="145" spans="1:5" hidden="1" x14ac:dyDescent="0.25">
      <c r="A145" s="115">
        <v>2.1120000000000001</v>
      </c>
      <c r="B145" s="115">
        <v>2.12</v>
      </c>
      <c r="C145" s="1">
        <v>120</v>
      </c>
      <c r="D145" s="1" t="s">
        <v>2570</v>
      </c>
      <c r="E145" s="1">
        <v>2</v>
      </c>
    </row>
    <row r="146" spans="1:5" hidden="1" x14ac:dyDescent="0.25">
      <c r="A146" s="115">
        <v>2.113</v>
      </c>
      <c r="B146" s="115">
        <v>2.13</v>
      </c>
      <c r="C146" s="1">
        <v>130</v>
      </c>
      <c r="D146" s="1" t="s">
        <v>2571</v>
      </c>
      <c r="E146" s="1">
        <v>2</v>
      </c>
    </row>
    <row r="147" spans="1:5" hidden="1" x14ac:dyDescent="0.25">
      <c r="A147" s="115">
        <v>2.1139999999999999</v>
      </c>
      <c r="B147" s="115">
        <v>2.14</v>
      </c>
      <c r="C147" s="1">
        <v>140</v>
      </c>
      <c r="D147" s="1" t="s">
        <v>2572</v>
      </c>
      <c r="E147" s="1">
        <v>2</v>
      </c>
    </row>
    <row r="148" spans="1:5" hidden="1" x14ac:dyDescent="0.25">
      <c r="A148" s="115">
        <v>2.1150000000000002</v>
      </c>
      <c r="B148" s="115">
        <v>2.15</v>
      </c>
      <c r="C148" s="1">
        <v>150</v>
      </c>
      <c r="D148" s="1" t="s">
        <v>2573</v>
      </c>
      <c r="E148" s="1">
        <v>2</v>
      </c>
    </row>
    <row r="149" spans="1:5" hidden="1" x14ac:dyDescent="0.25">
      <c r="A149" s="115">
        <v>2.1160000000000001</v>
      </c>
      <c r="B149" s="115">
        <v>2.16</v>
      </c>
      <c r="C149" s="1">
        <v>160</v>
      </c>
      <c r="D149" s="1" t="s">
        <v>2574</v>
      </c>
      <c r="E149" s="1">
        <v>2</v>
      </c>
    </row>
    <row r="150" spans="1:5" hidden="1" x14ac:dyDescent="0.25">
      <c r="A150" s="115">
        <v>2.117</v>
      </c>
      <c r="B150" s="115">
        <v>2.17</v>
      </c>
      <c r="C150" s="1">
        <v>170</v>
      </c>
      <c r="D150" s="1" t="s">
        <v>2575</v>
      </c>
      <c r="E150" s="1">
        <v>2</v>
      </c>
    </row>
    <row r="151" spans="1:5" hidden="1" x14ac:dyDescent="0.25">
      <c r="A151" s="115">
        <v>2.1179999999999999</v>
      </c>
      <c r="B151" s="115">
        <v>2.1800000000000002</v>
      </c>
      <c r="C151" s="1">
        <v>180</v>
      </c>
      <c r="D151" s="1" t="s">
        <v>2576</v>
      </c>
      <c r="E151" s="1">
        <v>2</v>
      </c>
    </row>
    <row r="152" spans="1:5" hidden="1" x14ac:dyDescent="0.25">
      <c r="A152" s="115">
        <v>2.1190000000000002</v>
      </c>
      <c r="B152" s="115">
        <v>2.19</v>
      </c>
      <c r="C152" s="1">
        <v>190</v>
      </c>
      <c r="D152" s="1" t="s">
        <v>2577</v>
      </c>
      <c r="E152" s="1">
        <v>2</v>
      </c>
    </row>
    <row r="153" spans="1:5" hidden="1" x14ac:dyDescent="0.25">
      <c r="A153" s="115">
        <v>2.12</v>
      </c>
      <c r="B153" s="115">
        <v>2.2000000000000002</v>
      </c>
      <c r="C153" s="1">
        <v>200</v>
      </c>
      <c r="D153" s="1" t="s">
        <v>2578</v>
      </c>
      <c r="E153" s="1">
        <v>2</v>
      </c>
    </row>
    <row r="154" spans="1:5" hidden="1" x14ac:dyDescent="0.25">
      <c r="A154" s="115">
        <v>2.121</v>
      </c>
      <c r="B154" s="115">
        <v>2.21</v>
      </c>
      <c r="C154" s="1">
        <v>210</v>
      </c>
      <c r="D154" s="1" t="s">
        <v>2579</v>
      </c>
      <c r="E154" s="1">
        <v>2</v>
      </c>
    </row>
    <row r="155" spans="1:5" hidden="1" x14ac:dyDescent="0.25">
      <c r="A155" s="115">
        <v>2.1219999999999999</v>
      </c>
      <c r="B155" s="115">
        <v>2.2200000000000002</v>
      </c>
      <c r="C155" s="1">
        <v>220</v>
      </c>
      <c r="D155" s="1" t="s">
        <v>2580</v>
      </c>
      <c r="E155" s="1">
        <v>2</v>
      </c>
    </row>
    <row r="156" spans="1:5" hidden="1" x14ac:dyDescent="0.25">
      <c r="A156" s="115">
        <v>2.1230000000000002</v>
      </c>
      <c r="B156" s="115">
        <v>2.23</v>
      </c>
      <c r="C156" s="1">
        <v>230</v>
      </c>
      <c r="D156" s="1" t="s">
        <v>2581</v>
      </c>
      <c r="E156" s="1">
        <v>2</v>
      </c>
    </row>
    <row r="157" spans="1:5" hidden="1" x14ac:dyDescent="0.25">
      <c r="A157" s="115">
        <v>2.1240000000000001</v>
      </c>
      <c r="B157" s="115">
        <v>2.2400000000000002</v>
      </c>
      <c r="C157" s="1">
        <v>240</v>
      </c>
      <c r="D157" s="1" t="s">
        <v>2582</v>
      </c>
      <c r="E157" s="1">
        <v>2</v>
      </c>
    </row>
    <row r="158" spans="1:5" hidden="1" x14ac:dyDescent="0.25">
      <c r="A158" s="115">
        <v>2.125</v>
      </c>
      <c r="B158" s="115">
        <v>2.25</v>
      </c>
      <c r="C158" s="1">
        <v>250</v>
      </c>
      <c r="D158" s="1" t="s">
        <v>2583</v>
      </c>
      <c r="E158" s="1">
        <v>2</v>
      </c>
    </row>
    <row r="159" spans="1:5" hidden="1" x14ac:dyDescent="0.25">
      <c r="A159" s="115">
        <v>2.1259999999999999</v>
      </c>
      <c r="B159" s="115">
        <v>2.2599999999999998</v>
      </c>
      <c r="C159" s="1">
        <v>260</v>
      </c>
      <c r="D159" s="1" t="s">
        <v>2584</v>
      </c>
      <c r="E159" s="1">
        <v>2</v>
      </c>
    </row>
    <row r="160" spans="1:5" hidden="1" x14ac:dyDescent="0.25">
      <c r="A160" s="115">
        <v>2.1269999999999998</v>
      </c>
      <c r="B160" s="115">
        <v>2.27</v>
      </c>
      <c r="C160" s="1">
        <v>270</v>
      </c>
      <c r="D160" s="1" t="s">
        <v>2585</v>
      </c>
      <c r="E160" s="1">
        <v>2</v>
      </c>
    </row>
    <row r="161" spans="1:5" hidden="1" x14ac:dyDescent="0.25">
      <c r="A161" s="115">
        <v>2.1280000000000001</v>
      </c>
      <c r="B161" s="115">
        <v>2.2799999999999998</v>
      </c>
      <c r="C161" s="1">
        <v>280</v>
      </c>
      <c r="D161" s="1" t="s">
        <v>2586</v>
      </c>
      <c r="E161" s="1">
        <v>2</v>
      </c>
    </row>
    <row r="162" spans="1:5" hidden="1" x14ac:dyDescent="0.25">
      <c r="A162" s="115">
        <v>2.129</v>
      </c>
      <c r="B162" s="115">
        <v>2.29</v>
      </c>
      <c r="C162" s="1">
        <v>290</v>
      </c>
      <c r="D162" s="1" t="s">
        <v>2587</v>
      </c>
      <c r="E162" s="1">
        <v>2</v>
      </c>
    </row>
    <row r="163" spans="1:5" hidden="1" x14ac:dyDescent="0.25">
      <c r="A163" s="115">
        <v>2.13</v>
      </c>
      <c r="B163" s="115">
        <v>2.2999999999999998</v>
      </c>
      <c r="C163" s="1">
        <v>300</v>
      </c>
      <c r="D163" s="1" t="s">
        <v>2588</v>
      </c>
      <c r="E163" s="1">
        <v>2</v>
      </c>
    </row>
    <row r="164" spans="1:5" hidden="1" x14ac:dyDescent="0.25">
      <c r="A164" s="115">
        <v>2.1309999999999998</v>
      </c>
      <c r="B164" s="115">
        <v>2.31</v>
      </c>
      <c r="C164" s="1">
        <v>310</v>
      </c>
      <c r="D164" s="1" t="s">
        <v>2589</v>
      </c>
      <c r="E164" s="1">
        <v>2</v>
      </c>
    </row>
    <row r="165" spans="1:5" hidden="1" x14ac:dyDescent="0.25">
      <c r="A165" s="115">
        <v>2.1320000000000001</v>
      </c>
      <c r="B165" s="115">
        <v>2.3199999999999998</v>
      </c>
      <c r="C165" s="1">
        <v>320</v>
      </c>
      <c r="D165" s="1" t="s">
        <v>2590</v>
      </c>
      <c r="E165" s="1">
        <v>2</v>
      </c>
    </row>
    <row r="166" spans="1:5" hidden="1" x14ac:dyDescent="0.25">
      <c r="A166" s="115">
        <v>2.133</v>
      </c>
      <c r="B166" s="115">
        <v>2.33</v>
      </c>
      <c r="C166" s="1">
        <v>330</v>
      </c>
      <c r="D166" s="1" t="s">
        <v>2591</v>
      </c>
      <c r="E166" s="1">
        <v>2</v>
      </c>
    </row>
    <row r="167" spans="1:5" hidden="1" x14ac:dyDescent="0.25">
      <c r="A167" s="115">
        <v>2.1339999999999999</v>
      </c>
      <c r="B167" s="115">
        <v>2.34</v>
      </c>
      <c r="C167" s="1">
        <v>340</v>
      </c>
      <c r="D167" s="1" t="s">
        <v>2592</v>
      </c>
      <c r="E167" s="1">
        <v>2</v>
      </c>
    </row>
    <row r="168" spans="1:5" hidden="1" x14ac:dyDescent="0.25">
      <c r="A168" s="115">
        <v>2.1349999999999998</v>
      </c>
      <c r="B168" s="115">
        <v>2.35</v>
      </c>
      <c r="C168" s="1">
        <v>350</v>
      </c>
      <c r="D168" s="1" t="s">
        <v>2593</v>
      </c>
      <c r="E168" s="1">
        <v>2</v>
      </c>
    </row>
    <row r="169" spans="1:5" hidden="1" x14ac:dyDescent="0.25">
      <c r="A169" s="115">
        <v>2.1360000000000001</v>
      </c>
      <c r="B169" s="115">
        <v>2.36</v>
      </c>
      <c r="C169" s="1">
        <v>360</v>
      </c>
      <c r="D169" s="1" t="s">
        <v>2594</v>
      </c>
      <c r="E169" s="1">
        <v>2</v>
      </c>
    </row>
    <row r="170" spans="1:5" hidden="1" x14ac:dyDescent="0.25">
      <c r="A170" s="115">
        <v>2.137</v>
      </c>
      <c r="B170" s="115">
        <v>2.37</v>
      </c>
      <c r="C170" s="1">
        <v>370</v>
      </c>
      <c r="D170" s="1" t="s">
        <v>2595</v>
      </c>
      <c r="E170" s="1">
        <v>2</v>
      </c>
    </row>
    <row r="171" spans="1:5" hidden="1" x14ac:dyDescent="0.25">
      <c r="A171" s="115">
        <v>2.1379999999999999</v>
      </c>
      <c r="B171" s="115">
        <v>2.38</v>
      </c>
      <c r="C171" s="1">
        <v>380</v>
      </c>
      <c r="D171" s="1" t="s">
        <v>2596</v>
      </c>
      <c r="E171" s="1">
        <v>2</v>
      </c>
    </row>
    <row r="172" spans="1:5" hidden="1" x14ac:dyDescent="0.25">
      <c r="A172" s="115">
        <v>2.1389999999999998</v>
      </c>
      <c r="B172" s="115">
        <v>2.39</v>
      </c>
      <c r="C172" s="1">
        <v>390</v>
      </c>
      <c r="D172" s="1" t="s">
        <v>2597</v>
      </c>
      <c r="E172" s="1">
        <v>2</v>
      </c>
    </row>
    <row r="173" spans="1:5" hidden="1" x14ac:dyDescent="0.25">
      <c r="A173" s="115">
        <v>2.14</v>
      </c>
      <c r="B173" s="115">
        <v>2.4</v>
      </c>
      <c r="C173" s="1">
        <v>400</v>
      </c>
      <c r="D173" s="1" t="s">
        <v>2598</v>
      </c>
      <c r="E173" s="1">
        <v>2</v>
      </c>
    </row>
    <row r="174" spans="1:5" hidden="1" x14ac:dyDescent="0.25">
      <c r="A174" s="115">
        <v>2.141</v>
      </c>
      <c r="B174" s="115">
        <v>2.41</v>
      </c>
      <c r="C174" s="1">
        <v>410</v>
      </c>
      <c r="D174" s="1" t="s">
        <v>2599</v>
      </c>
      <c r="E174" s="1">
        <v>2</v>
      </c>
    </row>
    <row r="175" spans="1:5" hidden="1" x14ac:dyDescent="0.25">
      <c r="A175" s="115">
        <v>2.1419999999999999</v>
      </c>
      <c r="B175" s="115">
        <v>2.42</v>
      </c>
      <c r="C175" s="1">
        <v>420</v>
      </c>
      <c r="D175" s="1" t="s">
        <v>2600</v>
      </c>
      <c r="E175" s="1">
        <v>2</v>
      </c>
    </row>
    <row r="176" spans="1:5" hidden="1" x14ac:dyDescent="0.25">
      <c r="A176" s="115">
        <v>2.1429999999999998</v>
      </c>
      <c r="B176" s="115">
        <v>2.4300000000000002</v>
      </c>
      <c r="C176" s="1">
        <v>430</v>
      </c>
      <c r="D176" s="1" t="s">
        <v>2601</v>
      </c>
      <c r="E176" s="1">
        <v>2</v>
      </c>
    </row>
    <row r="177" spans="1:5" hidden="1" x14ac:dyDescent="0.25">
      <c r="A177" s="115">
        <v>2.1440000000000001</v>
      </c>
      <c r="B177" s="115">
        <v>2.44</v>
      </c>
      <c r="C177" s="1">
        <v>440</v>
      </c>
      <c r="D177" s="1" t="s">
        <v>2602</v>
      </c>
      <c r="E177" s="1">
        <v>2</v>
      </c>
    </row>
    <row r="178" spans="1:5" hidden="1" x14ac:dyDescent="0.25">
      <c r="A178" s="115">
        <v>2.145</v>
      </c>
      <c r="B178" s="115">
        <v>2.4449999999999998</v>
      </c>
      <c r="C178" s="1">
        <v>445</v>
      </c>
      <c r="D178" s="1" t="s">
        <v>2603</v>
      </c>
      <c r="E178" s="1">
        <v>2</v>
      </c>
    </row>
    <row r="179" spans="1:5" hidden="1" x14ac:dyDescent="0.25">
      <c r="A179" s="115">
        <v>2.1459999999999999</v>
      </c>
      <c r="B179" s="115">
        <v>2.4500000000000002</v>
      </c>
      <c r="C179" s="1">
        <v>450</v>
      </c>
      <c r="D179" s="1" t="s">
        <v>2604</v>
      </c>
      <c r="E179" s="1">
        <v>2</v>
      </c>
    </row>
    <row r="180" spans="1:5" hidden="1" x14ac:dyDescent="0.25">
      <c r="A180" s="115">
        <v>2.1469999999999998</v>
      </c>
      <c r="B180" s="115">
        <v>2.46</v>
      </c>
      <c r="C180" s="1">
        <v>460</v>
      </c>
      <c r="D180" s="1" t="s">
        <v>2605</v>
      </c>
      <c r="E180" s="1">
        <v>2</v>
      </c>
    </row>
    <row r="181" spans="1:5" hidden="1" x14ac:dyDescent="0.25">
      <c r="A181" s="115">
        <v>2.1480000000000001</v>
      </c>
      <c r="B181" s="115">
        <v>2.4700000000000002</v>
      </c>
      <c r="C181" s="1">
        <v>470</v>
      </c>
      <c r="D181" s="1" t="s">
        <v>2606</v>
      </c>
      <c r="E181" s="1">
        <v>2</v>
      </c>
    </row>
    <row r="182" spans="1:5" hidden="1" x14ac:dyDescent="0.25">
      <c r="A182" s="115">
        <v>2.149</v>
      </c>
      <c r="B182" s="115">
        <v>2.48</v>
      </c>
      <c r="C182" s="1">
        <v>480</v>
      </c>
      <c r="D182" s="1" t="s">
        <v>2607</v>
      </c>
      <c r="E182" s="1">
        <v>2</v>
      </c>
    </row>
    <row r="183" spans="1:5" hidden="1" x14ac:dyDescent="0.25">
      <c r="A183" s="115">
        <v>2.15</v>
      </c>
      <c r="B183" s="115">
        <v>2.4900000000000002</v>
      </c>
      <c r="C183" s="1">
        <v>490</v>
      </c>
      <c r="D183" s="1" t="s">
        <v>2608</v>
      </c>
      <c r="E183" s="1">
        <v>2</v>
      </c>
    </row>
    <row r="184" spans="1:5" hidden="1" x14ac:dyDescent="0.25">
      <c r="A184" s="115">
        <v>2.1509999999999998</v>
      </c>
      <c r="B184" s="115">
        <v>2.5</v>
      </c>
      <c r="C184" s="1">
        <v>500</v>
      </c>
      <c r="D184" s="1" t="s">
        <v>2609</v>
      </c>
      <c r="E184" s="1">
        <v>2</v>
      </c>
    </row>
    <row r="185" spans="1:5" hidden="1" x14ac:dyDescent="0.25">
      <c r="A185" s="115">
        <v>2.1520000000000001</v>
      </c>
      <c r="B185" s="115">
        <v>2.5099999999999998</v>
      </c>
      <c r="C185" s="1">
        <v>510</v>
      </c>
      <c r="D185" s="1" t="s">
        <v>2610</v>
      </c>
      <c r="E185" s="1">
        <v>2</v>
      </c>
    </row>
    <row r="186" spans="1:5" hidden="1" x14ac:dyDescent="0.25">
      <c r="A186" s="115">
        <v>2.153</v>
      </c>
      <c r="B186" s="115">
        <v>2.52</v>
      </c>
      <c r="C186" s="1">
        <v>520</v>
      </c>
      <c r="D186" s="1" t="s">
        <v>2611</v>
      </c>
      <c r="E186" s="1">
        <v>2</v>
      </c>
    </row>
    <row r="187" spans="1:5" hidden="1" x14ac:dyDescent="0.25">
      <c r="A187" s="115">
        <v>2.1539999999999999</v>
      </c>
      <c r="B187" s="115">
        <v>2.5299999999999998</v>
      </c>
      <c r="C187" s="1">
        <v>530</v>
      </c>
      <c r="D187" s="1" t="s">
        <v>2612</v>
      </c>
      <c r="E187" s="1">
        <v>2</v>
      </c>
    </row>
    <row r="188" spans="1:5" hidden="1" x14ac:dyDescent="0.25">
      <c r="A188" s="115">
        <v>2.1549999999999998</v>
      </c>
      <c r="B188" s="115">
        <v>2.54</v>
      </c>
      <c r="C188" s="1">
        <v>540</v>
      </c>
      <c r="D188" s="1" t="s">
        <v>2613</v>
      </c>
      <c r="E188" s="1">
        <v>2</v>
      </c>
    </row>
    <row r="189" spans="1:5" hidden="1" x14ac:dyDescent="0.25">
      <c r="A189" s="115">
        <v>2.1560000000000001</v>
      </c>
      <c r="B189" s="115">
        <v>2.5499999999999998</v>
      </c>
      <c r="C189" s="1">
        <v>550</v>
      </c>
      <c r="D189" s="1" t="s">
        <v>2614</v>
      </c>
      <c r="E189" s="1">
        <v>2</v>
      </c>
    </row>
    <row r="190" spans="1:5" hidden="1" x14ac:dyDescent="0.25">
      <c r="A190" s="115">
        <v>2.157</v>
      </c>
      <c r="B190" s="115">
        <v>2.56</v>
      </c>
      <c r="C190" s="1">
        <v>560</v>
      </c>
      <c r="D190" s="1" t="s">
        <v>2615</v>
      </c>
      <c r="E190" s="1">
        <v>2</v>
      </c>
    </row>
    <row r="191" spans="1:5" hidden="1" x14ac:dyDescent="0.25">
      <c r="A191" s="115">
        <v>2.1579999999999999</v>
      </c>
      <c r="B191" s="115">
        <v>2.57</v>
      </c>
      <c r="C191" s="1">
        <v>570</v>
      </c>
      <c r="D191" s="1" t="s">
        <v>2616</v>
      </c>
      <c r="E191" s="1">
        <v>2</v>
      </c>
    </row>
    <row r="192" spans="1:5" hidden="1" x14ac:dyDescent="0.25">
      <c r="A192" s="115">
        <v>2.1589999999999998</v>
      </c>
      <c r="B192" s="115">
        <v>2.5750000000000002</v>
      </c>
      <c r="C192" s="1">
        <v>575</v>
      </c>
      <c r="D192" s="1" t="s">
        <v>2617</v>
      </c>
      <c r="E192" s="1">
        <v>2</v>
      </c>
    </row>
    <row r="193" spans="1:5" hidden="1" x14ac:dyDescent="0.25">
      <c r="A193" s="115">
        <v>2.16</v>
      </c>
      <c r="B193" s="115">
        <v>2.5760000000000001</v>
      </c>
      <c r="C193" s="1">
        <v>576</v>
      </c>
      <c r="D193" s="1" t="s">
        <v>2618</v>
      </c>
      <c r="E193" s="1">
        <v>2</v>
      </c>
    </row>
    <row r="194" spans="1:5" hidden="1" x14ac:dyDescent="0.25">
      <c r="A194" s="115">
        <v>2.161</v>
      </c>
      <c r="B194" s="115">
        <v>2.58</v>
      </c>
      <c r="C194" s="1">
        <v>580</v>
      </c>
      <c r="D194" s="1" t="s">
        <v>2619</v>
      </c>
      <c r="E194" s="1">
        <v>2</v>
      </c>
    </row>
    <row r="195" spans="1:5" hidden="1" x14ac:dyDescent="0.25">
      <c r="A195" s="115">
        <v>2.1619999999999999</v>
      </c>
      <c r="B195" s="115">
        <v>2.59</v>
      </c>
      <c r="C195" s="1">
        <v>590</v>
      </c>
      <c r="D195" s="1" t="s">
        <v>1099</v>
      </c>
      <c r="E195" s="1">
        <v>2</v>
      </c>
    </row>
    <row r="196" spans="1:5" hidden="1" x14ac:dyDescent="0.25">
      <c r="A196" s="115">
        <v>2.1629999999999998</v>
      </c>
      <c r="B196" s="115">
        <v>2.6</v>
      </c>
      <c r="C196" s="1">
        <v>600</v>
      </c>
      <c r="D196" s="1" t="s">
        <v>2620</v>
      </c>
      <c r="E196" s="1">
        <v>2</v>
      </c>
    </row>
    <row r="197" spans="1:5" hidden="1" x14ac:dyDescent="0.25">
      <c r="A197" s="115">
        <v>2.1640000000000001</v>
      </c>
      <c r="B197" s="115">
        <v>2.61</v>
      </c>
      <c r="C197" s="1">
        <v>610</v>
      </c>
      <c r="D197" s="1" t="s">
        <v>2621</v>
      </c>
      <c r="E197" s="1">
        <v>2</v>
      </c>
    </row>
    <row r="198" spans="1:5" hidden="1" x14ac:dyDescent="0.25">
      <c r="A198" s="115">
        <v>2.165</v>
      </c>
      <c r="B198" s="115">
        <v>2.62</v>
      </c>
      <c r="C198" s="1">
        <v>620</v>
      </c>
      <c r="D198" s="1" t="s">
        <v>2622</v>
      </c>
      <c r="E198" s="1">
        <v>2</v>
      </c>
    </row>
    <row r="199" spans="1:5" hidden="1" x14ac:dyDescent="0.25">
      <c r="A199" s="115">
        <v>2.1659999999999999</v>
      </c>
      <c r="B199" s="115">
        <v>2.63</v>
      </c>
      <c r="C199" s="1">
        <v>630</v>
      </c>
      <c r="D199" s="1" t="s">
        <v>2623</v>
      </c>
      <c r="E199" s="1">
        <v>2</v>
      </c>
    </row>
    <row r="200" spans="1:5" hidden="1" x14ac:dyDescent="0.25">
      <c r="A200" s="115">
        <v>2.1669999999999998</v>
      </c>
      <c r="B200" s="115">
        <v>2.64</v>
      </c>
      <c r="C200" s="1">
        <v>640</v>
      </c>
      <c r="D200" s="1" t="s">
        <v>2624</v>
      </c>
      <c r="E200" s="1">
        <v>2</v>
      </c>
    </row>
    <row r="201" spans="1:5" hidden="1" x14ac:dyDescent="0.25">
      <c r="A201" s="115">
        <v>2.1680000000000001</v>
      </c>
      <c r="B201" s="115">
        <v>2.65</v>
      </c>
      <c r="C201" s="1">
        <v>650</v>
      </c>
      <c r="D201" s="1" t="s">
        <v>2625</v>
      </c>
      <c r="E201" s="1">
        <v>2</v>
      </c>
    </row>
    <row r="202" spans="1:5" hidden="1" x14ac:dyDescent="0.25">
      <c r="A202" s="115">
        <v>2.169</v>
      </c>
      <c r="B202" s="115">
        <v>2.66</v>
      </c>
      <c r="C202" s="1">
        <v>660</v>
      </c>
      <c r="D202" s="1" t="s">
        <v>2626</v>
      </c>
      <c r="E202" s="1">
        <v>2</v>
      </c>
    </row>
    <row r="203" spans="1:5" hidden="1" x14ac:dyDescent="0.25">
      <c r="A203" s="115">
        <v>2.17</v>
      </c>
      <c r="B203" s="115">
        <v>2.67</v>
      </c>
      <c r="C203" s="1">
        <v>670</v>
      </c>
      <c r="D203" s="1" t="s">
        <v>2627</v>
      </c>
      <c r="E203" s="1">
        <v>2</v>
      </c>
    </row>
    <row r="204" spans="1:5" hidden="1" x14ac:dyDescent="0.25">
      <c r="A204" s="115">
        <v>2.1709999999999998</v>
      </c>
      <c r="B204" s="115">
        <v>2.68</v>
      </c>
      <c r="C204" s="1">
        <v>680</v>
      </c>
      <c r="D204" s="1" t="s">
        <v>2628</v>
      </c>
      <c r="E204" s="1">
        <v>2</v>
      </c>
    </row>
    <row r="205" spans="1:5" hidden="1" x14ac:dyDescent="0.25">
      <c r="A205" s="115">
        <v>2.1720000000000002</v>
      </c>
      <c r="B205" s="115">
        <v>2.69</v>
      </c>
      <c r="C205" s="1">
        <v>690</v>
      </c>
      <c r="D205" s="1" t="s">
        <v>2629</v>
      </c>
      <c r="E205" s="1">
        <v>2</v>
      </c>
    </row>
    <row r="206" spans="1:5" hidden="1" x14ac:dyDescent="0.25">
      <c r="A206" s="115">
        <v>2.173</v>
      </c>
      <c r="B206" s="115">
        <v>2.7</v>
      </c>
      <c r="C206" s="1">
        <v>700</v>
      </c>
      <c r="D206" s="1" t="s">
        <v>2630</v>
      </c>
      <c r="E206" s="1">
        <v>2</v>
      </c>
    </row>
    <row r="207" spans="1:5" hidden="1" x14ac:dyDescent="0.25">
      <c r="A207" s="115">
        <v>2.1739999999999999</v>
      </c>
      <c r="B207" s="115">
        <v>2.71</v>
      </c>
      <c r="C207" s="1">
        <v>710</v>
      </c>
      <c r="D207" s="1" t="s">
        <v>2631</v>
      </c>
      <c r="E207" s="1">
        <v>2</v>
      </c>
    </row>
    <row r="208" spans="1:5" hidden="1" x14ac:dyDescent="0.25">
      <c r="A208" s="115">
        <v>2.1749999999999998</v>
      </c>
      <c r="B208" s="115">
        <v>2.72</v>
      </c>
      <c r="C208" s="1">
        <v>720</v>
      </c>
      <c r="D208" s="1" t="s">
        <v>2632</v>
      </c>
      <c r="E208" s="1">
        <v>2</v>
      </c>
    </row>
    <row r="209" spans="1:5" hidden="1" x14ac:dyDescent="0.25">
      <c r="A209" s="115">
        <v>2.1760000000000002</v>
      </c>
      <c r="B209" s="115">
        <v>2.73</v>
      </c>
      <c r="C209" s="1">
        <v>730</v>
      </c>
      <c r="D209" s="1" t="s">
        <v>2633</v>
      </c>
      <c r="E209" s="1">
        <v>2</v>
      </c>
    </row>
    <row r="210" spans="1:5" hidden="1" x14ac:dyDescent="0.25">
      <c r="A210" s="115">
        <v>2.177</v>
      </c>
      <c r="B210" s="115">
        <v>2.74</v>
      </c>
      <c r="C210" s="1">
        <v>740</v>
      </c>
      <c r="D210" s="1" t="s">
        <v>2634</v>
      </c>
      <c r="E210" s="1">
        <v>2</v>
      </c>
    </row>
    <row r="211" spans="1:5" hidden="1" x14ac:dyDescent="0.25">
      <c r="A211" s="115">
        <v>2.1779999999999999</v>
      </c>
      <c r="B211" s="115">
        <v>2.75</v>
      </c>
      <c r="C211" s="1">
        <v>750</v>
      </c>
      <c r="D211" s="1" t="s">
        <v>2635</v>
      </c>
      <c r="E211" s="1">
        <v>2</v>
      </c>
    </row>
    <row r="212" spans="1:5" hidden="1" x14ac:dyDescent="0.25">
      <c r="A212" s="115">
        <v>2.1789999999999998</v>
      </c>
      <c r="B212" s="115">
        <v>2.7549999999999999</v>
      </c>
      <c r="C212" s="1">
        <v>755</v>
      </c>
      <c r="D212" s="1" t="s">
        <v>1466</v>
      </c>
      <c r="E212" s="1">
        <v>2</v>
      </c>
    </row>
    <row r="213" spans="1:5" hidden="1" x14ac:dyDescent="0.25">
      <c r="A213" s="115">
        <v>2.1800000000000002</v>
      </c>
      <c r="B213" s="115">
        <v>2.76</v>
      </c>
      <c r="C213" s="1">
        <v>760</v>
      </c>
      <c r="D213" s="1" t="s">
        <v>2636</v>
      </c>
      <c r="E213" s="1">
        <v>2</v>
      </c>
    </row>
    <row r="214" spans="1:5" hidden="1" x14ac:dyDescent="0.25">
      <c r="A214" s="115">
        <v>2.181</v>
      </c>
      <c r="B214" s="115">
        <v>2.77</v>
      </c>
      <c r="C214" s="1">
        <v>770</v>
      </c>
      <c r="D214" s="1" t="s">
        <v>2637</v>
      </c>
      <c r="E214" s="1">
        <v>2</v>
      </c>
    </row>
    <row r="215" spans="1:5" hidden="1" x14ac:dyDescent="0.25">
      <c r="A215" s="115">
        <v>2.1819999999999999</v>
      </c>
      <c r="B215" s="115">
        <v>2.78</v>
      </c>
      <c r="C215" s="1">
        <v>780</v>
      </c>
      <c r="D215" s="1" t="s">
        <v>2638</v>
      </c>
      <c r="E215" s="1">
        <v>2</v>
      </c>
    </row>
    <row r="216" spans="1:5" hidden="1" x14ac:dyDescent="0.25">
      <c r="A216" s="115">
        <v>2.1829999999999998</v>
      </c>
      <c r="B216" s="115">
        <v>2.79</v>
      </c>
      <c r="C216" s="1">
        <v>790</v>
      </c>
      <c r="D216" s="1" t="s">
        <v>2639</v>
      </c>
      <c r="E216" s="1">
        <v>2</v>
      </c>
    </row>
    <row r="217" spans="1:5" hidden="1" x14ac:dyDescent="0.25">
      <c r="A217" s="115">
        <v>2.1840000000000002</v>
      </c>
      <c r="B217" s="115">
        <v>2.8</v>
      </c>
      <c r="C217" s="1">
        <v>800</v>
      </c>
      <c r="D217" s="1" t="s">
        <v>2640</v>
      </c>
      <c r="E217" s="1">
        <v>2</v>
      </c>
    </row>
    <row r="218" spans="1:5" hidden="1" x14ac:dyDescent="0.25">
      <c r="A218" s="115">
        <v>2.1850000000000001</v>
      </c>
      <c r="B218" s="115">
        <v>2.8050000000000002</v>
      </c>
      <c r="C218" s="1">
        <v>805</v>
      </c>
      <c r="D218" s="1" t="s">
        <v>2641</v>
      </c>
      <c r="E218" s="1">
        <v>2</v>
      </c>
    </row>
    <row r="219" spans="1:5" hidden="1" x14ac:dyDescent="0.25">
      <c r="A219" s="115">
        <v>2.1859999999999999</v>
      </c>
      <c r="B219" s="115">
        <v>2.81</v>
      </c>
      <c r="C219" s="1">
        <v>810</v>
      </c>
      <c r="D219" s="1" t="s">
        <v>2642</v>
      </c>
      <c r="E219" s="1">
        <v>2</v>
      </c>
    </row>
    <row r="220" spans="1:5" hidden="1" x14ac:dyDescent="0.25">
      <c r="A220" s="115">
        <v>2.1869999999999998</v>
      </c>
      <c r="B220" s="115">
        <v>2.82</v>
      </c>
      <c r="C220" s="1">
        <v>820</v>
      </c>
      <c r="D220" s="1" t="s">
        <v>2643</v>
      </c>
      <c r="E220" s="1">
        <v>2</v>
      </c>
    </row>
    <row r="221" spans="1:5" hidden="1" x14ac:dyDescent="0.25">
      <c r="A221" s="115">
        <v>2.1880000000000002</v>
      </c>
      <c r="B221" s="115">
        <v>2.83</v>
      </c>
      <c r="C221" s="1">
        <v>830</v>
      </c>
      <c r="D221" s="1" t="s">
        <v>2644</v>
      </c>
      <c r="E221" s="1">
        <v>2</v>
      </c>
    </row>
    <row r="222" spans="1:5" hidden="1" x14ac:dyDescent="0.25">
      <c r="A222" s="115">
        <v>2.1890000000000001</v>
      </c>
      <c r="B222" s="115">
        <v>2.84</v>
      </c>
      <c r="C222" s="1">
        <v>840</v>
      </c>
      <c r="D222" s="1" t="s">
        <v>2645</v>
      </c>
      <c r="E222" s="1">
        <v>2</v>
      </c>
    </row>
    <row r="223" spans="1:5" hidden="1" x14ac:dyDescent="0.25">
      <c r="A223" s="115">
        <v>2.19</v>
      </c>
      <c r="B223" s="115">
        <v>2.85</v>
      </c>
      <c r="C223" s="1">
        <v>850</v>
      </c>
      <c r="D223" s="1" t="s">
        <v>2646</v>
      </c>
      <c r="E223" s="1">
        <v>2</v>
      </c>
    </row>
    <row r="224" spans="1:5" hidden="1" x14ac:dyDescent="0.25">
      <c r="A224" s="115">
        <v>2.1909999999999998</v>
      </c>
      <c r="B224" s="115">
        <v>2.86</v>
      </c>
      <c r="C224" s="1">
        <v>860</v>
      </c>
      <c r="D224" s="1" t="s">
        <v>2647</v>
      </c>
      <c r="E224" s="1">
        <v>2</v>
      </c>
    </row>
    <row r="225" spans="1:5" hidden="1" x14ac:dyDescent="0.25">
      <c r="A225" s="115">
        <v>2.1920000000000002</v>
      </c>
      <c r="B225" s="115">
        <v>2.87</v>
      </c>
      <c r="C225" s="1">
        <v>870</v>
      </c>
      <c r="D225" s="1" t="s">
        <v>2648</v>
      </c>
      <c r="E225" s="1">
        <v>2</v>
      </c>
    </row>
    <row r="226" spans="1:5" hidden="1" x14ac:dyDescent="0.25">
      <c r="A226" s="115">
        <v>2.1930000000000001</v>
      </c>
      <c r="B226" s="115">
        <v>2.88</v>
      </c>
      <c r="C226" s="1">
        <v>880</v>
      </c>
      <c r="D226" s="1" t="s">
        <v>2649</v>
      </c>
      <c r="E226" s="1">
        <v>2</v>
      </c>
    </row>
    <row r="227" spans="1:5" hidden="1" x14ac:dyDescent="0.25">
      <c r="A227" s="115">
        <v>2.194</v>
      </c>
      <c r="B227" s="115">
        <v>2.89</v>
      </c>
      <c r="C227" s="1">
        <v>890</v>
      </c>
      <c r="D227" s="1" t="s">
        <v>2650</v>
      </c>
      <c r="E227" s="1">
        <v>2</v>
      </c>
    </row>
    <row r="228" spans="1:5" hidden="1" x14ac:dyDescent="0.25">
      <c r="A228" s="115">
        <v>2.1949999999999998</v>
      </c>
      <c r="B228" s="115">
        <v>2.895</v>
      </c>
      <c r="C228" s="1">
        <v>895</v>
      </c>
      <c r="D228" s="1" t="s">
        <v>2651</v>
      </c>
      <c r="E228" s="1">
        <v>2</v>
      </c>
    </row>
    <row r="229" spans="1:5" hidden="1" x14ac:dyDescent="0.25">
      <c r="A229" s="115">
        <v>2.1960000000000002</v>
      </c>
      <c r="B229" s="115">
        <v>2.9</v>
      </c>
      <c r="C229" s="1">
        <v>900</v>
      </c>
      <c r="D229" s="1" t="s">
        <v>2652</v>
      </c>
      <c r="E229" s="1">
        <v>2</v>
      </c>
    </row>
    <row r="230" spans="1:5" hidden="1" x14ac:dyDescent="0.25">
      <c r="A230" s="115">
        <v>2.1970000000000001</v>
      </c>
      <c r="B230" s="115">
        <v>2.91</v>
      </c>
      <c r="C230" s="1">
        <v>910</v>
      </c>
      <c r="D230" s="1" t="s">
        <v>2653</v>
      </c>
      <c r="E230" s="1">
        <v>2</v>
      </c>
    </row>
    <row r="231" spans="1:5" hidden="1" x14ac:dyDescent="0.25">
      <c r="A231" s="115">
        <v>2.198</v>
      </c>
      <c r="B231" s="115">
        <v>2.92</v>
      </c>
      <c r="C231" s="1">
        <v>920</v>
      </c>
      <c r="D231" s="1" t="s">
        <v>2654</v>
      </c>
      <c r="E231" s="1">
        <v>2</v>
      </c>
    </row>
    <row r="232" spans="1:5" hidden="1" x14ac:dyDescent="0.25">
      <c r="A232" s="115">
        <v>2.1989999999999998</v>
      </c>
      <c r="B232" s="115">
        <v>2.9249999999999998</v>
      </c>
      <c r="C232" s="1">
        <v>925</v>
      </c>
      <c r="D232" s="1" t="s">
        <v>2655</v>
      </c>
      <c r="E232" s="1">
        <v>2</v>
      </c>
    </row>
    <row r="233" spans="1:5" hidden="1" x14ac:dyDescent="0.25">
      <c r="A233" s="115">
        <v>2.2000000000000002</v>
      </c>
      <c r="B233" s="115">
        <v>2.93</v>
      </c>
      <c r="C233" s="1">
        <v>930</v>
      </c>
      <c r="D233" s="1" t="s">
        <v>2656</v>
      </c>
      <c r="E233" s="1">
        <v>2</v>
      </c>
    </row>
    <row r="234" spans="1:5" hidden="1" x14ac:dyDescent="0.25">
      <c r="A234" s="115">
        <v>2.2010000000000001</v>
      </c>
      <c r="B234" s="115">
        <v>2.9350000000000001</v>
      </c>
      <c r="C234" s="1">
        <v>935</v>
      </c>
      <c r="D234" s="1" t="s">
        <v>2657</v>
      </c>
      <c r="E234" s="1">
        <v>2</v>
      </c>
    </row>
    <row r="235" spans="1:5" hidden="1" x14ac:dyDescent="0.25">
      <c r="A235" s="115">
        <v>2.202</v>
      </c>
      <c r="B235" s="115">
        <v>2.94</v>
      </c>
      <c r="C235" s="1">
        <v>940</v>
      </c>
      <c r="D235" s="1" t="s">
        <v>2658</v>
      </c>
      <c r="E235" s="1">
        <v>2</v>
      </c>
    </row>
    <row r="236" spans="1:5" hidden="1" x14ac:dyDescent="0.25">
      <c r="A236" s="115">
        <v>2.2029999999999998</v>
      </c>
      <c r="B236" s="115">
        <v>2.95</v>
      </c>
      <c r="C236" s="1">
        <v>950</v>
      </c>
      <c r="D236" s="1" t="s">
        <v>2659</v>
      </c>
      <c r="E236" s="1">
        <v>2</v>
      </c>
    </row>
    <row r="237" spans="1:5" hidden="1" x14ac:dyDescent="0.25">
      <c r="A237" s="115">
        <v>2.2040000000000002</v>
      </c>
      <c r="B237" s="115">
        <v>2.9550000000000001</v>
      </c>
      <c r="C237" s="1">
        <v>955</v>
      </c>
      <c r="D237" s="1" t="s">
        <v>2660</v>
      </c>
      <c r="E237" s="1">
        <v>2</v>
      </c>
    </row>
    <row r="238" spans="1:5" hidden="1" x14ac:dyDescent="0.25">
      <c r="A238" s="115">
        <v>2.2050000000000001</v>
      </c>
      <c r="B238" s="115">
        <v>2.96</v>
      </c>
      <c r="C238" s="1">
        <v>960</v>
      </c>
      <c r="D238" s="1" t="s">
        <v>2661</v>
      </c>
      <c r="E238" s="1">
        <v>2</v>
      </c>
    </row>
    <row r="239" spans="1:5" hidden="1" x14ac:dyDescent="0.25">
      <c r="A239" s="115">
        <v>2.206</v>
      </c>
      <c r="B239" s="115">
        <v>2.97</v>
      </c>
      <c r="C239" s="1">
        <v>970</v>
      </c>
      <c r="D239" s="1" t="s">
        <v>2662</v>
      </c>
      <c r="E239" s="1">
        <v>2</v>
      </c>
    </row>
    <row r="240" spans="1:5" hidden="1" x14ac:dyDescent="0.25">
      <c r="A240" s="115">
        <v>2.2069999999999999</v>
      </c>
      <c r="B240" s="115">
        <v>2.98</v>
      </c>
      <c r="C240" s="1">
        <v>980</v>
      </c>
      <c r="D240" s="1" t="s">
        <v>2663</v>
      </c>
      <c r="E240" s="1">
        <v>2</v>
      </c>
    </row>
    <row r="241" spans="1:5" hidden="1" x14ac:dyDescent="0.25">
      <c r="A241" s="115">
        <v>2.2080000000000002</v>
      </c>
      <c r="B241" s="115">
        <v>2.99</v>
      </c>
      <c r="C241" s="1">
        <v>990</v>
      </c>
      <c r="D241" s="1" t="s">
        <v>2664</v>
      </c>
      <c r="E241" s="1">
        <v>2</v>
      </c>
    </row>
    <row r="242" spans="1:5" hidden="1" x14ac:dyDescent="0.25">
      <c r="A242" s="115">
        <v>2.2090000000000001</v>
      </c>
      <c r="B242" s="115">
        <v>2.1</v>
      </c>
      <c r="C242" s="1">
        <v>1000</v>
      </c>
      <c r="D242" s="1" t="s">
        <v>2665</v>
      </c>
      <c r="E242" s="1">
        <v>2</v>
      </c>
    </row>
    <row r="243" spans="1:5" hidden="1" x14ac:dyDescent="0.25">
      <c r="A243" s="115">
        <v>2.21</v>
      </c>
      <c r="B243" s="115">
        <v>2.11</v>
      </c>
      <c r="C243" s="1">
        <v>1100</v>
      </c>
      <c r="D243" s="1" t="s">
        <v>2666</v>
      </c>
      <c r="E243" s="1">
        <v>2</v>
      </c>
    </row>
    <row r="244" spans="1:5" hidden="1" x14ac:dyDescent="0.25">
      <c r="A244" s="115">
        <v>2.2109999999999999</v>
      </c>
      <c r="B244" s="115">
        <v>2.1110000000000002</v>
      </c>
      <c r="C244" s="1">
        <v>1110</v>
      </c>
      <c r="D244" s="1" t="s">
        <v>2667</v>
      </c>
      <c r="E244" s="1">
        <v>2</v>
      </c>
    </row>
    <row r="245" spans="1:5" hidden="1" x14ac:dyDescent="0.25">
      <c r="A245" s="115">
        <v>2.2120000000000002</v>
      </c>
      <c r="B245" s="115">
        <v>2.1120000000000001</v>
      </c>
      <c r="C245" s="1">
        <v>1120</v>
      </c>
      <c r="D245" s="1" t="s">
        <v>2668</v>
      </c>
      <c r="E245" s="1">
        <v>2</v>
      </c>
    </row>
    <row r="246" spans="1:5" hidden="1" x14ac:dyDescent="0.25">
      <c r="A246" s="115">
        <v>2.2130000000000001</v>
      </c>
      <c r="B246" s="115">
        <v>2.113</v>
      </c>
      <c r="C246" s="1">
        <v>1130</v>
      </c>
      <c r="D246" s="1" t="s">
        <v>2669</v>
      </c>
      <c r="E246" s="1">
        <v>2</v>
      </c>
    </row>
    <row r="247" spans="1:5" hidden="1" x14ac:dyDescent="0.25">
      <c r="A247" s="115">
        <v>2.214</v>
      </c>
      <c r="B247" s="115">
        <v>2.1139999999999999</v>
      </c>
      <c r="C247" s="1">
        <v>1140</v>
      </c>
      <c r="D247" s="1" t="s">
        <v>2670</v>
      </c>
      <c r="E247" s="1">
        <v>2</v>
      </c>
    </row>
    <row r="248" spans="1:5" hidden="1" x14ac:dyDescent="0.25">
      <c r="A248" s="115">
        <v>2.2149999999999999</v>
      </c>
      <c r="B248" s="115">
        <v>2.1150000000000002</v>
      </c>
      <c r="C248" s="1">
        <v>1150</v>
      </c>
      <c r="D248" s="1" t="s">
        <v>2671</v>
      </c>
      <c r="E248" s="1">
        <v>2</v>
      </c>
    </row>
    <row r="249" spans="1:5" hidden="1" x14ac:dyDescent="0.25">
      <c r="A249" s="115">
        <v>2.2160000000000002</v>
      </c>
      <c r="B249" s="115">
        <v>2.1160000000000001</v>
      </c>
      <c r="C249" s="1">
        <v>1160</v>
      </c>
      <c r="D249" s="1" t="s">
        <v>2672</v>
      </c>
      <c r="E249" s="1">
        <v>2</v>
      </c>
    </row>
    <row r="250" spans="1:5" hidden="1" x14ac:dyDescent="0.25">
      <c r="A250" s="115">
        <v>2.2170000000000001</v>
      </c>
      <c r="B250" s="115">
        <v>2.117</v>
      </c>
      <c r="C250" s="1">
        <v>1170</v>
      </c>
      <c r="D250" s="1" t="s">
        <v>2673</v>
      </c>
      <c r="E250" s="1">
        <v>2</v>
      </c>
    </row>
    <row r="251" spans="1:5" hidden="1" x14ac:dyDescent="0.25">
      <c r="A251" s="115">
        <v>2.218</v>
      </c>
      <c r="B251" s="115">
        <v>2.1179999999999999</v>
      </c>
      <c r="C251" s="1">
        <v>1180</v>
      </c>
      <c r="D251" s="1" t="s">
        <v>2674</v>
      </c>
      <c r="E251" s="1">
        <v>2</v>
      </c>
    </row>
    <row r="252" spans="1:5" hidden="1" x14ac:dyDescent="0.25">
      <c r="A252" s="115">
        <v>2.2189999999999999</v>
      </c>
      <c r="B252" s="115">
        <v>2.1190000000000002</v>
      </c>
      <c r="C252" s="1">
        <v>1190</v>
      </c>
      <c r="D252" s="1" t="s">
        <v>2675</v>
      </c>
      <c r="E252" s="1">
        <v>2</v>
      </c>
    </row>
    <row r="253" spans="1:5" hidden="1" x14ac:dyDescent="0.25">
      <c r="A253" s="115">
        <v>2.2200000000000002</v>
      </c>
      <c r="B253" s="115">
        <v>2.12</v>
      </c>
      <c r="C253" s="1">
        <v>1200</v>
      </c>
      <c r="D253" s="1" t="s">
        <v>2676</v>
      </c>
      <c r="E253" s="1">
        <v>2</v>
      </c>
    </row>
    <row r="254" spans="1:5" hidden="1" x14ac:dyDescent="0.25">
      <c r="A254" s="115">
        <v>2.2210000000000001</v>
      </c>
      <c r="B254" s="115">
        <v>2.121</v>
      </c>
      <c r="C254" s="1">
        <v>1210</v>
      </c>
      <c r="D254" s="1" t="s">
        <v>2677</v>
      </c>
      <c r="E254" s="1">
        <v>2</v>
      </c>
    </row>
    <row r="255" spans="1:5" hidden="1" x14ac:dyDescent="0.25">
      <c r="A255" s="115">
        <v>2.222</v>
      </c>
      <c r="B255" s="115">
        <v>2.1219999999999999</v>
      </c>
      <c r="C255" s="1">
        <v>1220</v>
      </c>
      <c r="D255" s="1" t="s">
        <v>2678</v>
      </c>
      <c r="E255" s="1">
        <v>2</v>
      </c>
    </row>
    <row r="256" spans="1:5" hidden="1" x14ac:dyDescent="0.25">
      <c r="A256" s="115">
        <v>2.2229999999999999</v>
      </c>
      <c r="B256" s="115">
        <v>2.1230000000000002</v>
      </c>
      <c r="C256" s="1">
        <v>1230</v>
      </c>
      <c r="D256" s="1" t="s">
        <v>2679</v>
      </c>
      <c r="E256" s="1">
        <v>2</v>
      </c>
    </row>
    <row r="257" spans="1:5" hidden="1" x14ac:dyDescent="0.25">
      <c r="A257" s="115">
        <v>2.2240000000000002</v>
      </c>
      <c r="B257" s="115">
        <v>2.1240000000000001</v>
      </c>
      <c r="C257" s="1">
        <v>1240</v>
      </c>
      <c r="D257" s="1" t="s">
        <v>2680</v>
      </c>
      <c r="E257" s="1">
        <v>2</v>
      </c>
    </row>
    <row r="258" spans="1:5" hidden="1" x14ac:dyDescent="0.25">
      <c r="A258" s="115">
        <v>2.2250000000000001</v>
      </c>
      <c r="B258" s="115">
        <v>2.125</v>
      </c>
      <c r="C258" s="1">
        <v>1250</v>
      </c>
      <c r="D258" s="1" t="s">
        <v>2681</v>
      </c>
      <c r="E258" s="1">
        <v>2</v>
      </c>
    </row>
    <row r="259" spans="1:5" hidden="1" x14ac:dyDescent="0.25">
      <c r="A259" s="115">
        <v>2.226</v>
      </c>
      <c r="B259" s="115">
        <v>2.1259999999999999</v>
      </c>
      <c r="C259" s="1">
        <v>1260</v>
      </c>
      <c r="D259" s="1" t="s">
        <v>2682</v>
      </c>
      <c r="E259" s="1">
        <v>2</v>
      </c>
    </row>
    <row r="260" spans="1:5" hidden="1" x14ac:dyDescent="0.25">
      <c r="A260" s="115">
        <v>2.2269999999999999</v>
      </c>
      <c r="B260" s="115">
        <v>2.1269999999999998</v>
      </c>
      <c r="C260" s="1">
        <v>1270</v>
      </c>
      <c r="D260" s="1" t="s">
        <v>2683</v>
      </c>
      <c r="E260" s="1">
        <v>2</v>
      </c>
    </row>
    <row r="261" spans="1:5" hidden="1" x14ac:dyDescent="0.25">
      <c r="A261" s="115">
        <v>2.2280000000000002</v>
      </c>
      <c r="B261" s="115">
        <v>2.1280000000000001</v>
      </c>
      <c r="C261" s="1">
        <v>1280</v>
      </c>
      <c r="D261" s="1" t="s">
        <v>2684</v>
      </c>
      <c r="E261" s="1">
        <v>2</v>
      </c>
    </row>
    <row r="262" spans="1:5" hidden="1" x14ac:dyDescent="0.25">
      <c r="A262" s="115">
        <v>2.2290000000000001</v>
      </c>
      <c r="B262" s="115">
        <v>2.13</v>
      </c>
      <c r="C262" s="1">
        <v>1300</v>
      </c>
      <c r="D262" s="1" t="s">
        <v>2685</v>
      </c>
      <c r="E262" s="1">
        <v>2</v>
      </c>
    </row>
    <row r="263" spans="1:5" hidden="1" x14ac:dyDescent="0.25">
      <c r="A263" s="115">
        <v>2.23</v>
      </c>
      <c r="B263" s="115">
        <v>2.1309999999999998</v>
      </c>
      <c r="C263" s="1">
        <v>1310</v>
      </c>
      <c r="D263" s="1" t="s">
        <v>2686</v>
      </c>
      <c r="E263" s="1">
        <v>2</v>
      </c>
    </row>
    <row r="264" spans="1:5" hidden="1" x14ac:dyDescent="0.25">
      <c r="A264" s="115">
        <v>2.2309999999999999</v>
      </c>
      <c r="B264" s="115">
        <v>2.1320000000000001</v>
      </c>
      <c r="C264" s="1">
        <v>1320</v>
      </c>
      <c r="D264" s="1" t="s">
        <v>2687</v>
      </c>
      <c r="E264" s="1">
        <v>2</v>
      </c>
    </row>
    <row r="265" spans="1:5" hidden="1" x14ac:dyDescent="0.25">
      <c r="A265" s="115">
        <v>3.101</v>
      </c>
      <c r="B265" s="115">
        <v>3.1</v>
      </c>
      <c r="C265" s="1">
        <v>10</v>
      </c>
      <c r="D265" s="1" t="s">
        <v>2559</v>
      </c>
      <c r="E265" s="1">
        <v>3</v>
      </c>
    </row>
    <row r="266" spans="1:5" hidden="1" x14ac:dyDescent="0.25">
      <c r="A266" s="115">
        <v>3.1019999999999999</v>
      </c>
      <c r="B266" s="115">
        <v>3.2</v>
      </c>
      <c r="C266" s="1">
        <v>20</v>
      </c>
      <c r="D266" s="1" t="s">
        <v>2560</v>
      </c>
      <c r="E266" s="1">
        <v>3</v>
      </c>
    </row>
    <row r="267" spans="1:5" hidden="1" x14ac:dyDescent="0.25">
      <c r="A267" s="115">
        <v>3.1030000000000002</v>
      </c>
      <c r="B267" s="115">
        <v>3.3</v>
      </c>
      <c r="C267" s="1">
        <v>30</v>
      </c>
      <c r="D267" s="1" t="s">
        <v>2561</v>
      </c>
      <c r="E267" s="1">
        <v>3</v>
      </c>
    </row>
    <row r="268" spans="1:5" hidden="1" x14ac:dyDescent="0.25">
      <c r="A268" s="115">
        <v>3.1040000000000001</v>
      </c>
      <c r="B268" s="115">
        <v>3.4</v>
      </c>
      <c r="C268" s="1">
        <v>40</v>
      </c>
      <c r="D268" s="1" t="s">
        <v>2562</v>
      </c>
      <c r="E268" s="1">
        <v>3</v>
      </c>
    </row>
    <row r="269" spans="1:5" hidden="1" x14ac:dyDescent="0.25">
      <c r="A269" s="115">
        <v>3.105</v>
      </c>
      <c r="B269" s="115">
        <v>3.5</v>
      </c>
      <c r="C269" s="1">
        <v>50</v>
      </c>
      <c r="D269" s="1" t="s">
        <v>2563</v>
      </c>
      <c r="E269" s="1">
        <v>3</v>
      </c>
    </row>
    <row r="270" spans="1:5" hidden="1" x14ac:dyDescent="0.25">
      <c r="A270" s="115">
        <v>3.1059999999999999</v>
      </c>
      <c r="B270" s="115">
        <v>3.6</v>
      </c>
      <c r="C270" s="1">
        <v>60</v>
      </c>
      <c r="D270" s="1" t="s">
        <v>2564</v>
      </c>
      <c r="E270" s="1">
        <v>3</v>
      </c>
    </row>
    <row r="271" spans="1:5" hidden="1" x14ac:dyDescent="0.25">
      <c r="A271" s="115">
        <v>3.1070000000000002</v>
      </c>
      <c r="B271" s="115">
        <v>3.7</v>
      </c>
      <c r="C271" s="1">
        <v>70</v>
      </c>
      <c r="D271" s="1" t="s">
        <v>2565</v>
      </c>
      <c r="E271" s="1">
        <v>3</v>
      </c>
    </row>
    <row r="272" spans="1:5" hidden="1" x14ac:dyDescent="0.25">
      <c r="A272" s="115">
        <v>3.1080000000000001</v>
      </c>
      <c r="B272" s="115">
        <v>3.8</v>
      </c>
      <c r="C272" s="1">
        <v>80</v>
      </c>
      <c r="D272" s="1" t="s">
        <v>2566</v>
      </c>
      <c r="E272" s="1">
        <v>3</v>
      </c>
    </row>
    <row r="273" spans="1:5" hidden="1" x14ac:dyDescent="0.25">
      <c r="A273" s="115">
        <v>3.109</v>
      </c>
      <c r="B273" s="115">
        <v>3.9</v>
      </c>
      <c r="C273" s="1">
        <v>90</v>
      </c>
      <c r="D273" s="1" t="s">
        <v>2567</v>
      </c>
      <c r="E273" s="1">
        <v>3</v>
      </c>
    </row>
    <row r="274" spans="1:5" hidden="1" x14ac:dyDescent="0.25">
      <c r="A274" s="115">
        <v>3.11</v>
      </c>
      <c r="B274" s="115">
        <v>3.1</v>
      </c>
      <c r="C274" s="1">
        <v>100</v>
      </c>
      <c r="D274" s="1" t="s">
        <v>2568</v>
      </c>
      <c r="E274" s="1">
        <v>3</v>
      </c>
    </row>
    <row r="275" spans="1:5" hidden="1" x14ac:dyDescent="0.25">
      <c r="A275" s="115">
        <v>3.1110000000000002</v>
      </c>
      <c r="B275" s="115">
        <v>3.11</v>
      </c>
      <c r="C275" s="1">
        <v>110</v>
      </c>
      <c r="D275" s="1" t="s">
        <v>2569</v>
      </c>
      <c r="E275" s="1">
        <v>3</v>
      </c>
    </row>
    <row r="276" spans="1:5" hidden="1" x14ac:dyDescent="0.25">
      <c r="A276" s="115">
        <v>3.1120000000000001</v>
      </c>
      <c r="B276" s="115">
        <v>3.12</v>
      </c>
      <c r="C276" s="1">
        <v>120</v>
      </c>
      <c r="D276" s="1" t="s">
        <v>2570</v>
      </c>
      <c r="E276" s="1">
        <v>3</v>
      </c>
    </row>
    <row r="277" spans="1:5" hidden="1" x14ac:dyDescent="0.25">
      <c r="A277" s="115">
        <v>3.113</v>
      </c>
      <c r="B277" s="115">
        <v>3.13</v>
      </c>
      <c r="C277" s="1">
        <v>130</v>
      </c>
      <c r="D277" s="1" t="s">
        <v>2571</v>
      </c>
      <c r="E277" s="1">
        <v>3</v>
      </c>
    </row>
    <row r="278" spans="1:5" hidden="1" x14ac:dyDescent="0.25">
      <c r="A278" s="115">
        <v>3.1139999999999999</v>
      </c>
      <c r="B278" s="115">
        <v>3.14</v>
      </c>
      <c r="C278" s="1">
        <v>140</v>
      </c>
      <c r="D278" s="1" t="s">
        <v>2572</v>
      </c>
      <c r="E278" s="1">
        <v>3</v>
      </c>
    </row>
    <row r="279" spans="1:5" hidden="1" x14ac:dyDescent="0.25">
      <c r="A279" s="115">
        <v>3.1150000000000002</v>
      </c>
      <c r="B279" s="115">
        <v>3.15</v>
      </c>
      <c r="C279" s="1">
        <v>150</v>
      </c>
      <c r="D279" s="1" t="s">
        <v>2573</v>
      </c>
      <c r="E279" s="1">
        <v>3</v>
      </c>
    </row>
    <row r="280" spans="1:5" hidden="1" x14ac:dyDescent="0.25">
      <c r="A280" s="115">
        <v>3.1160000000000001</v>
      </c>
      <c r="B280" s="115">
        <v>3.16</v>
      </c>
      <c r="C280" s="1">
        <v>160</v>
      </c>
      <c r="D280" s="1" t="s">
        <v>2574</v>
      </c>
      <c r="E280" s="1">
        <v>3</v>
      </c>
    </row>
    <row r="281" spans="1:5" hidden="1" x14ac:dyDescent="0.25">
      <c r="A281" s="115">
        <v>3.117</v>
      </c>
      <c r="B281" s="115">
        <v>3.17</v>
      </c>
      <c r="C281" s="1">
        <v>170</v>
      </c>
      <c r="D281" s="1" t="s">
        <v>2575</v>
      </c>
      <c r="E281" s="1">
        <v>3</v>
      </c>
    </row>
    <row r="282" spans="1:5" hidden="1" x14ac:dyDescent="0.25">
      <c r="A282" s="115">
        <v>3.1179999999999999</v>
      </c>
      <c r="B282" s="115">
        <v>3.18</v>
      </c>
      <c r="C282" s="1">
        <v>180</v>
      </c>
      <c r="D282" s="1" t="s">
        <v>2576</v>
      </c>
      <c r="E282" s="1">
        <v>3</v>
      </c>
    </row>
    <row r="283" spans="1:5" hidden="1" x14ac:dyDescent="0.25">
      <c r="A283" s="115">
        <v>3.1190000000000002</v>
      </c>
      <c r="B283" s="115">
        <v>3.19</v>
      </c>
      <c r="C283" s="1">
        <v>190</v>
      </c>
      <c r="D283" s="1" t="s">
        <v>2577</v>
      </c>
      <c r="E283" s="1">
        <v>3</v>
      </c>
    </row>
    <row r="284" spans="1:5" hidden="1" x14ac:dyDescent="0.25">
      <c r="A284" s="115">
        <v>3.12</v>
      </c>
      <c r="B284" s="115">
        <v>3.2</v>
      </c>
      <c r="C284" s="1">
        <v>200</v>
      </c>
      <c r="D284" s="1" t="s">
        <v>2578</v>
      </c>
      <c r="E284" s="1">
        <v>3</v>
      </c>
    </row>
    <row r="285" spans="1:5" hidden="1" x14ac:dyDescent="0.25">
      <c r="A285" s="115">
        <v>3.121</v>
      </c>
      <c r="B285" s="115">
        <v>3.21</v>
      </c>
      <c r="C285" s="1">
        <v>210</v>
      </c>
      <c r="D285" s="1" t="s">
        <v>2579</v>
      </c>
      <c r="E285" s="1">
        <v>3</v>
      </c>
    </row>
    <row r="286" spans="1:5" hidden="1" x14ac:dyDescent="0.25">
      <c r="A286" s="115">
        <v>3.1219999999999999</v>
      </c>
      <c r="B286" s="115">
        <v>3.22</v>
      </c>
      <c r="C286" s="1">
        <v>220</v>
      </c>
      <c r="D286" s="1" t="s">
        <v>2580</v>
      </c>
      <c r="E286" s="1">
        <v>3</v>
      </c>
    </row>
    <row r="287" spans="1:5" hidden="1" x14ac:dyDescent="0.25">
      <c r="A287" s="115">
        <v>3.1230000000000002</v>
      </c>
      <c r="B287" s="115">
        <v>3.23</v>
      </c>
      <c r="C287" s="1">
        <v>230</v>
      </c>
      <c r="D287" s="1" t="s">
        <v>2581</v>
      </c>
      <c r="E287" s="1">
        <v>3</v>
      </c>
    </row>
    <row r="288" spans="1:5" hidden="1" x14ac:dyDescent="0.25">
      <c r="A288" s="115">
        <v>3.1240000000000001</v>
      </c>
      <c r="B288" s="115">
        <v>3.24</v>
      </c>
      <c r="C288" s="1">
        <v>240</v>
      </c>
      <c r="D288" s="1" t="s">
        <v>2582</v>
      </c>
      <c r="E288" s="1">
        <v>3</v>
      </c>
    </row>
    <row r="289" spans="1:5" hidden="1" x14ac:dyDescent="0.25">
      <c r="A289" s="115">
        <v>3.125</v>
      </c>
      <c r="B289" s="115">
        <v>3.25</v>
      </c>
      <c r="C289" s="1">
        <v>250</v>
      </c>
      <c r="D289" s="1" t="s">
        <v>2583</v>
      </c>
      <c r="E289" s="1">
        <v>3</v>
      </c>
    </row>
    <row r="290" spans="1:5" hidden="1" x14ac:dyDescent="0.25">
      <c r="A290" s="115">
        <v>3.1259999999999999</v>
      </c>
      <c r="B290" s="115">
        <v>3.26</v>
      </c>
      <c r="C290" s="1">
        <v>260</v>
      </c>
      <c r="D290" s="1" t="s">
        <v>2584</v>
      </c>
      <c r="E290" s="1">
        <v>3</v>
      </c>
    </row>
    <row r="291" spans="1:5" hidden="1" x14ac:dyDescent="0.25">
      <c r="A291" s="115">
        <v>3.1269999999999998</v>
      </c>
      <c r="B291" s="115">
        <v>3.27</v>
      </c>
      <c r="C291" s="1">
        <v>270</v>
      </c>
      <c r="D291" s="1" t="s">
        <v>2585</v>
      </c>
      <c r="E291" s="1">
        <v>3</v>
      </c>
    </row>
    <row r="292" spans="1:5" hidden="1" x14ac:dyDescent="0.25">
      <c r="A292" s="115">
        <v>3.1280000000000001</v>
      </c>
      <c r="B292" s="115">
        <v>3.28</v>
      </c>
      <c r="C292" s="1">
        <v>280</v>
      </c>
      <c r="D292" s="1" t="s">
        <v>2586</v>
      </c>
      <c r="E292" s="1">
        <v>3</v>
      </c>
    </row>
    <row r="293" spans="1:5" hidden="1" x14ac:dyDescent="0.25">
      <c r="A293" s="115">
        <v>3.129</v>
      </c>
      <c r="B293" s="115">
        <v>3.29</v>
      </c>
      <c r="C293" s="1">
        <v>290</v>
      </c>
      <c r="D293" s="1" t="s">
        <v>2587</v>
      </c>
      <c r="E293" s="1">
        <v>3</v>
      </c>
    </row>
    <row r="294" spans="1:5" hidden="1" x14ac:dyDescent="0.25">
      <c r="A294" s="115">
        <v>3.13</v>
      </c>
      <c r="B294" s="115">
        <v>3.3</v>
      </c>
      <c r="C294" s="1">
        <v>300</v>
      </c>
      <c r="D294" s="1" t="s">
        <v>2588</v>
      </c>
      <c r="E294" s="1">
        <v>3</v>
      </c>
    </row>
    <row r="295" spans="1:5" hidden="1" x14ac:dyDescent="0.25">
      <c r="A295" s="115">
        <v>3.1309999999999998</v>
      </c>
      <c r="B295" s="115">
        <v>3.31</v>
      </c>
      <c r="C295" s="1">
        <v>310</v>
      </c>
      <c r="D295" s="1" t="s">
        <v>2589</v>
      </c>
      <c r="E295" s="1">
        <v>3</v>
      </c>
    </row>
    <row r="296" spans="1:5" hidden="1" x14ac:dyDescent="0.25">
      <c r="A296" s="115">
        <v>3.1320000000000001</v>
      </c>
      <c r="B296" s="115">
        <v>3.32</v>
      </c>
      <c r="C296" s="1">
        <v>320</v>
      </c>
      <c r="D296" s="1" t="s">
        <v>2590</v>
      </c>
      <c r="E296" s="1">
        <v>3</v>
      </c>
    </row>
    <row r="297" spans="1:5" hidden="1" x14ac:dyDescent="0.25">
      <c r="A297" s="115">
        <v>3.133</v>
      </c>
      <c r="B297" s="115">
        <v>3.33</v>
      </c>
      <c r="C297" s="1">
        <v>330</v>
      </c>
      <c r="D297" s="1" t="s">
        <v>2591</v>
      </c>
      <c r="E297" s="1">
        <v>3</v>
      </c>
    </row>
    <row r="298" spans="1:5" hidden="1" x14ac:dyDescent="0.25">
      <c r="A298" s="115">
        <v>3.1339999999999999</v>
      </c>
      <c r="B298" s="115">
        <v>3.34</v>
      </c>
      <c r="C298" s="1">
        <v>340</v>
      </c>
      <c r="D298" s="1" t="s">
        <v>2592</v>
      </c>
      <c r="E298" s="1">
        <v>3</v>
      </c>
    </row>
    <row r="299" spans="1:5" hidden="1" x14ac:dyDescent="0.25">
      <c r="A299" s="115">
        <v>3.1349999999999998</v>
      </c>
      <c r="B299" s="115">
        <v>3.35</v>
      </c>
      <c r="C299" s="1">
        <v>350</v>
      </c>
      <c r="D299" s="1" t="s">
        <v>2593</v>
      </c>
      <c r="E299" s="1">
        <v>3</v>
      </c>
    </row>
    <row r="300" spans="1:5" hidden="1" x14ac:dyDescent="0.25">
      <c r="A300" s="115">
        <v>3.1360000000000001</v>
      </c>
      <c r="B300" s="115">
        <v>3.36</v>
      </c>
      <c r="C300" s="1">
        <v>360</v>
      </c>
      <c r="D300" s="1" t="s">
        <v>2594</v>
      </c>
      <c r="E300" s="1">
        <v>3</v>
      </c>
    </row>
    <row r="301" spans="1:5" hidden="1" x14ac:dyDescent="0.25">
      <c r="A301" s="115">
        <v>3.137</v>
      </c>
      <c r="B301" s="115">
        <v>3.37</v>
      </c>
      <c r="C301" s="1">
        <v>370</v>
      </c>
      <c r="D301" s="1" t="s">
        <v>2595</v>
      </c>
      <c r="E301" s="1">
        <v>3</v>
      </c>
    </row>
    <row r="302" spans="1:5" hidden="1" x14ac:dyDescent="0.25">
      <c r="A302" s="115">
        <v>3.1379999999999999</v>
      </c>
      <c r="B302" s="115">
        <v>3.38</v>
      </c>
      <c r="C302" s="1">
        <v>380</v>
      </c>
      <c r="D302" s="1" t="s">
        <v>2596</v>
      </c>
      <c r="E302" s="1">
        <v>3</v>
      </c>
    </row>
    <row r="303" spans="1:5" hidden="1" x14ac:dyDescent="0.25">
      <c r="A303" s="115">
        <v>3.1389999999999998</v>
      </c>
      <c r="B303" s="115">
        <v>3.39</v>
      </c>
      <c r="C303" s="1">
        <v>390</v>
      </c>
      <c r="D303" s="1" t="s">
        <v>2597</v>
      </c>
      <c r="E303" s="1">
        <v>3</v>
      </c>
    </row>
    <row r="304" spans="1:5" hidden="1" x14ac:dyDescent="0.25">
      <c r="A304" s="115">
        <v>3.14</v>
      </c>
      <c r="B304" s="115">
        <v>3.4</v>
      </c>
      <c r="C304" s="1">
        <v>400</v>
      </c>
      <c r="D304" s="1" t="s">
        <v>2598</v>
      </c>
      <c r="E304" s="1">
        <v>3</v>
      </c>
    </row>
    <row r="305" spans="1:5" hidden="1" x14ac:dyDescent="0.25">
      <c r="A305" s="115">
        <v>3.141</v>
      </c>
      <c r="B305" s="115">
        <v>3.41</v>
      </c>
      <c r="C305" s="1">
        <v>410</v>
      </c>
      <c r="D305" s="1" t="s">
        <v>2599</v>
      </c>
      <c r="E305" s="1">
        <v>3</v>
      </c>
    </row>
    <row r="306" spans="1:5" hidden="1" x14ac:dyDescent="0.25">
      <c r="A306" s="115">
        <v>3.1419999999999999</v>
      </c>
      <c r="B306" s="115">
        <v>3.42</v>
      </c>
      <c r="C306" s="1">
        <v>420</v>
      </c>
      <c r="D306" s="1" t="s">
        <v>2600</v>
      </c>
      <c r="E306" s="1">
        <v>3</v>
      </c>
    </row>
    <row r="307" spans="1:5" hidden="1" x14ac:dyDescent="0.25">
      <c r="A307" s="115">
        <v>3.1429999999999998</v>
      </c>
      <c r="B307" s="115">
        <v>3.43</v>
      </c>
      <c r="C307" s="1">
        <v>430</v>
      </c>
      <c r="D307" s="1" t="s">
        <v>2601</v>
      </c>
      <c r="E307" s="1">
        <v>3</v>
      </c>
    </row>
    <row r="308" spans="1:5" hidden="1" x14ac:dyDescent="0.25">
      <c r="A308" s="115">
        <v>3.1440000000000001</v>
      </c>
      <c r="B308" s="115">
        <v>3.44</v>
      </c>
      <c r="C308" s="1">
        <v>440</v>
      </c>
      <c r="D308" s="1" t="s">
        <v>2602</v>
      </c>
      <c r="E308" s="1">
        <v>3</v>
      </c>
    </row>
    <row r="309" spans="1:5" hidden="1" x14ac:dyDescent="0.25">
      <c r="A309" s="115">
        <v>3.145</v>
      </c>
      <c r="B309" s="115">
        <v>3.4449999999999998</v>
      </c>
      <c r="C309" s="1">
        <v>445</v>
      </c>
      <c r="D309" s="1" t="s">
        <v>2603</v>
      </c>
      <c r="E309" s="1">
        <v>3</v>
      </c>
    </row>
    <row r="310" spans="1:5" hidden="1" x14ac:dyDescent="0.25">
      <c r="A310" s="115">
        <v>3.1459999999999999</v>
      </c>
      <c r="B310" s="115">
        <v>3.45</v>
      </c>
      <c r="C310" s="1">
        <v>450</v>
      </c>
      <c r="D310" s="1" t="s">
        <v>2604</v>
      </c>
      <c r="E310" s="1">
        <v>3</v>
      </c>
    </row>
    <row r="311" spans="1:5" hidden="1" x14ac:dyDescent="0.25">
      <c r="A311" s="115">
        <v>3.1469999999999998</v>
      </c>
      <c r="B311" s="115">
        <v>3.46</v>
      </c>
      <c r="C311" s="1">
        <v>460</v>
      </c>
      <c r="D311" s="1" t="s">
        <v>2605</v>
      </c>
      <c r="E311" s="1">
        <v>3</v>
      </c>
    </row>
    <row r="312" spans="1:5" hidden="1" x14ac:dyDescent="0.25">
      <c r="A312" s="115">
        <v>3.1480000000000001</v>
      </c>
      <c r="B312" s="115">
        <v>3.47</v>
      </c>
      <c r="C312" s="1">
        <v>470</v>
      </c>
      <c r="D312" s="1" t="s">
        <v>2606</v>
      </c>
      <c r="E312" s="1">
        <v>3</v>
      </c>
    </row>
    <row r="313" spans="1:5" hidden="1" x14ac:dyDescent="0.25">
      <c r="A313" s="115">
        <v>3.149</v>
      </c>
      <c r="B313" s="115">
        <v>3.48</v>
      </c>
      <c r="C313" s="1">
        <v>480</v>
      </c>
      <c r="D313" s="1" t="s">
        <v>2607</v>
      </c>
      <c r="E313" s="1">
        <v>3</v>
      </c>
    </row>
    <row r="314" spans="1:5" hidden="1" x14ac:dyDescent="0.25">
      <c r="A314" s="115">
        <v>3.15</v>
      </c>
      <c r="B314" s="115">
        <v>3.49</v>
      </c>
      <c r="C314" s="1">
        <v>490</v>
      </c>
      <c r="D314" s="1" t="s">
        <v>2608</v>
      </c>
      <c r="E314" s="1">
        <v>3</v>
      </c>
    </row>
    <row r="315" spans="1:5" hidden="1" x14ac:dyDescent="0.25">
      <c r="A315" s="115">
        <v>3.1509999999999998</v>
      </c>
      <c r="B315" s="115">
        <v>3.5</v>
      </c>
      <c r="C315" s="1">
        <v>500</v>
      </c>
      <c r="D315" s="1" t="s">
        <v>2609</v>
      </c>
      <c r="E315" s="1">
        <v>3</v>
      </c>
    </row>
    <row r="316" spans="1:5" hidden="1" x14ac:dyDescent="0.25">
      <c r="A316" s="115">
        <v>3.1520000000000001</v>
      </c>
      <c r="B316" s="115">
        <v>3.51</v>
      </c>
      <c r="C316" s="1">
        <v>510</v>
      </c>
      <c r="D316" s="1" t="s">
        <v>2610</v>
      </c>
      <c r="E316" s="1">
        <v>3</v>
      </c>
    </row>
    <row r="317" spans="1:5" hidden="1" x14ac:dyDescent="0.25">
      <c r="A317" s="115">
        <v>3.153</v>
      </c>
      <c r="B317" s="115">
        <v>3.52</v>
      </c>
      <c r="C317" s="1">
        <v>520</v>
      </c>
      <c r="D317" s="1" t="s">
        <v>2688</v>
      </c>
      <c r="E317" s="1">
        <v>3</v>
      </c>
    </row>
    <row r="318" spans="1:5" hidden="1" x14ac:dyDescent="0.25">
      <c r="A318" s="115">
        <v>3.1539999999999999</v>
      </c>
      <c r="B318" s="115">
        <v>3.53</v>
      </c>
      <c r="C318" s="1">
        <v>530</v>
      </c>
      <c r="D318" s="1" t="s">
        <v>2612</v>
      </c>
      <c r="E318" s="1">
        <v>3</v>
      </c>
    </row>
    <row r="319" spans="1:5" hidden="1" x14ac:dyDescent="0.25">
      <c r="A319" s="115">
        <v>3.1549999999999998</v>
      </c>
      <c r="B319" s="115">
        <v>3.54</v>
      </c>
      <c r="C319" s="1">
        <v>540</v>
      </c>
      <c r="D319" s="1" t="s">
        <v>2613</v>
      </c>
      <c r="E319" s="1">
        <v>3</v>
      </c>
    </row>
    <row r="320" spans="1:5" hidden="1" x14ac:dyDescent="0.25">
      <c r="A320" s="115">
        <v>3.1560000000000001</v>
      </c>
      <c r="B320" s="115">
        <v>3.55</v>
      </c>
      <c r="C320" s="1">
        <v>550</v>
      </c>
      <c r="D320" s="1" t="s">
        <v>2614</v>
      </c>
      <c r="E320" s="1">
        <v>3</v>
      </c>
    </row>
    <row r="321" spans="1:5" hidden="1" x14ac:dyDescent="0.25">
      <c r="A321" s="115">
        <v>3.157</v>
      </c>
      <c r="B321" s="115">
        <v>3.56</v>
      </c>
      <c r="C321" s="1">
        <v>560</v>
      </c>
      <c r="D321" s="1" t="s">
        <v>2615</v>
      </c>
      <c r="E321" s="1">
        <v>3</v>
      </c>
    </row>
    <row r="322" spans="1:5" hidden="1" x14ac:dyDescent="0.25">
      <c r="A322" s="115">
        <v>3.1579999999999999</v>
      </c>
      <c r="B322" s="115">
        <v>3.57</v>
      </c>
      <c r="C322" s="1">
        <v>570</v>
      </c>
      <c r="D322" s="1" t="s">
        <v>2616</v>
      </c>
      <c r="E322" s="1">
        <v>3</v>
      </c>
    </row>
    <row r="323" spans="1:5" hidden="1" x14ac:dyDescent="0.25">
      <c r="A323" s="115">
        <v>3.1589999999999998</v>
      </c>
      <c r="B323" s="115">
        <v>3.5750000000000002</v>
      </c>
      <c r="C323" s="1">
        <v>575</v>
      </c>
      <c r="D323" s="1" t="s">
        <v>2617</v>
      </c>
      <c r="E323" s="1">
        <v>3</v>
      </c>
    </row>
    <row r="324" spans="1:5" hidden="1" x14ac:dyDescent="0.25">
      <c r="A324" s="115">
        <v>3.16</v>
      </c>
      <c r="B324" s="115">
        <v>3.5760000000000001</v>
      </c>
      <c r="C324" s="1">
        <v>576</v>
      </c>
      <c r="D324" s="1" t="s">
        <v>2618</v>
      </c>
      <c r="E324" s="1">
        <v>3</v>
      </c>
    </row>
    <row r="325" spans="1:5" hidden="1" x14ac:dyDescent="0.25">
      <c r="A325" s="115">
        <v>3.161</v>
      </c>
      <c r="B325" s="115">
        <v>3.58</v>
      </c>
      <c r="C325" s="1">
        <v>580</v>
      </c>
      <c r="D325" s="1" t="s">
        <v>2619</v>
      </c>
      <c r="E325" s="1">
        <v>3</v>
      </c>
    </row>
    <row r="326" spans="1:5" hidden="1" x14ac:dyDescent="0.25">
      <c r="A326" s="115">
        <v>3.1619999999999999</v>
      </c>
      <c r="B326" s="115">
        <v>3.59</v>
      </c>
      <c r="C326" s="1">
        <v>590</v>
      </c>
      <c r="D326" s="1" t="s">
        <v>1099</v>
      </c>
      <c r="E326" s="1">
        <v>3</v>
      </c>
    </row>
    <row r="327" spans="1:5" hidden="1" x14ac:dyDescent="0.25">
      <c r="A327" s="115">
        <v>3.1629999999999998</v>
      </c>
      <c r="B327" s="115">
        <v>3.6</v>
      </c>
      <c r="C327" s="1">
        <v>600</v>
      </c>
      <c r="D327" s="1" t="s">
        <v>2620</v>
      </c>
      <c r="E327" s="1">
        <v>3</v>
      </c>
    </row>
    <row r="328" spans="1:5" hidden="1" x14ac:dyDescent="0.25">
      <c r="A328" s="115">
        <v>3.1640000000000001</v>
      </c>
      <c r="B328" s="115">
        <v>3.61</v>
      </c>
      <c r="C328" s="1">
        <v>610</v>
      </c>
      <c r="D328" s="1" t="s">
        <v>2621</v>
      </c>
      <c r="E328" s="1">
        <v>3</v>
      </c>
    </row>
    <row r="329" spans="1:5" hidden="1" x14ac:dyDescent="0.25">
      <c r="A329" s="115">
        <v>3.165</v>
      </c>
      <c r="B329" s="115">
        <v>3.62</v>
      </c>
      <c r="C329" s="1">
        <v>620</v>
      </c>
      <c r="D329" s="1" t="s">
        <v>2622</v>
      </c>
      <c r="E329" s="1">
        <v>3</v>
      </c>
    </row>
    <row r="330" spans="1:5" hidden="1" x14ac:dyDescent="0.25">
      <c r="A330" s="115">
        <v>3.1659999999999999</v>
      </c>
      <c r="B330" s="115">
        <v>3.63</v>
      </c>
      <c r="C330" s="1">
        <v>630</v>
      </c>
      <c r="D330" s="1" t="s">
        <v>2623</v>
      </c>
      <c r="E330" s="1">
        <v>3</v>
      </c>
    </row>
    <row r="331" spans="1:5" hidden="1" x14ac:dyDescent="0.25">
      <c r="A331" s="115">
        <v>3.1669999999999998</v>
      </c>
      <c r="B331" s="115">
        <v>3.64</v>
      </c>
      <c r="C331" s="1">
        <v>640</v>
      </c>
      <c r="D331" s="1" t="s">
        <v>2624</v>
      </c>
      <c r="E331" s="1">
        <v>3</v>
      </c>
    </row>
    <row r="332" spans="1:5" hidden="1" x14ac:dyDescent="0.25">
      <c r="A332" s="115">
        <v>3.1680000000000001</v>
      </c>
      <c r="B332" s="115">
        <v>3.65</v>
      </c>
      <c r="C332" s="1">
        <v>650</v>
      </c>
      <c r="D332" s="1" t="s">
        <v>2625</v>
      </c>
      <c r="E332" s="1">
        <v>3</v>
      </c>
    </row>
    <row r="333" spans="1:5" hidden="1" x14ac:dyDescent="0.25">
      <c r="A333" s="115">
        <v>3.169</v>
      </c>
      <c r="B333" s="115">
        <v>3.66</v>
      </c>
      <c r="C333" s="1">
        <v>660</v>
      </c>
      <c r="D333" s="1" t="s">
        <v>2626</v>
      </c>
      <c r="E333" s="1">
        <v>3</v>
      </c>
    </row>
    <row r="334" spans="1:5" hidden="1" x14ac:dyDescent="0.25">
      <c r="A334" s="115">
        <v>3.17</v>
      </c>
      <c r="B334" s="115">
        <v>3.67</v>
      </c>
      <c r="C334" s="1">
        <v>670</v>
      </c>
      <c r="D334" s="1" t="s">
        <v>2627</v>
      </c>
      <c r="E334" s="1">
        <v>3</v>
      </c>
    </row>
    <row r="335" spans="1:5" hidden="1" x14ac:dyDescent="0.25">
      <c r="A335" s="115">
        <v>3.1709999999999998</v>
      </c>
      <c r="B335" s="115">
        <v>3.68</v>
      </c>
      <c r="C335" s="1">
        <v>680</v>
      </c>
      <c r="D335" s="1" t="s">
        <v>2628</v>
      </c>
      <c r="E335" s="1">
        <v>3</v>
      </c>
    </row>
    <row r="336" spans="1:5" hidden="1" x14ac:dyDescent="0.25">
      <c r="A336" s="115">
        <v>3.1720000000000002</v>
      </c>
      <c r="B336" s="115">
        <v>3.69</v>
      </c>
      <c r="C336" s="1">
        <v>690</v>
      </c>
      <c r="D336" s="1" t="s">
        <v>2629</v>
      </c>
      <c r="E336" s="1">
        <v>3</v>
      </c>
    </row>
    <row r="337" spans="1:5" hidden="1" x14ac:dyDescent="0.25">
      <c r="A337" s="115">
        <v>3.173</v>
      </c>
      <c r="B337" s="115">
        <v>3.7</v>
      </c>
      <c r="C337" s="1">
        <v>700</v>
      </c>
      <c r="D337" s="1" t="s">
        <v>2630</v>
      </c>
      <c r="E337" s="1">
        <v>3</v>
      </c>
    </row>
    <row r="338" spans="1:5" hidden="1" x14ac:dyDescent="0.25">
      <c r="A338" s="115">
        <v>3.1739999999999999</v>
      </c>
      <c r="B338" s="115">
        <v>3.71</v>
      </c>
      <c r="C338" s="1">
        <v>710</v>
      </c>
      <c r="D338" s="1" t="s">
        <v>2631</v>
      </c>
      <c r="E338" s="1">
        <v>3</v>
      </c>
    </row>
    <row r="339" spans="1:5" hidden="1" x14ac:dyDescent="0.25">
      <c r="A339" s="115">
        <v>3.1749999999999998</v>
      </c>
      <c r="B339" s="115">
        <v>3.72</v>
      </c>
      <c r="C339" s="1">
        <v>720</v>
      </c>
      <c r="D339" s="1" t="s">
        <v>2632</v>
      </c>
      <c r="E339" s="1">
        <v>3</v>
      </c>
    </row>
    <row r="340" spans="1:5" hidden="1" x14ac:dyDescent="0.25">
      <c r="A340" s="115">
        <v>3.1760000000000002</v>
      </c>
      <c r="B340" s="115">
        <v>3.73</v>
      </c>
      <c r="C340" s="1">
        <v>730</v>
      </c>
      <c r="D340" s="1" t="s">
        <v>2633</v>
      </c>
      <c r="E340" s="1">
        <v>3</v>
      </c>
    </row>
    <row r="341" spans="1:5" hidden="1" x14ac:dyDescent="0.25">
      <c r="A341" s="115">
        <v>3.177</v>
      </c>
      <c r="B341" s="115">
        <v>3.74</v>
      </c>
      <c r="C341" s="1">
        <v>740</v>
      </c>
      <c r="D341" s="1" t="s">
        <v>2634</v>
      </c>
      <c r="E341" s="1">
        <v>3</v>
      </c>
    </row>
    <row r="342" spans="1:5" hidden="1" x14ac:dyDescent="0.25">
      <c r="A342" s="115">
        <v>3.1779999999999999</v>
      </c>
      <c r="B342" s="115">
        <v>3.75</v>
      </c>
      <c r="C342" s="1">
        <v>750</v>
      </c>
      <c r="D342" s="1" t="s">
        <v>2635</v>
      </c>
      <c r="E342" s="1">
        <v>3</v>
      </c>
    </row>
    <row r="343" spans="1:5" hidden="1" x14ac:dyDescent="0.25">
      <c r="A343" s="115">
        <v>3.1789999999999998</v>
      </c>
      <c r="B343" s="115">
        <v>3.7549999999999999</v>
      </c>
      <c r="C343" s="1">
        <v>755</v>
      </c>
      <c r="D343" s="1" t="s">
        <v>1466</v>
      </c>
      <c r="E343" s="1">
        <v>3</v>
      </c>
    </row>
    <row r="344" spans="1:5" hidden="1" x14ac:dyDescent="0.25">
      <c r="A344" s="115">
        <v>3.18</v>
      </c>
      <c r="B344" s="115">
        <v>3.76</v>
      </c>
      <c r="C344" s="1">
        <v>760</v>
      </c>
      <c r="D344" s="1" t="s">
        <v>2636</v>
      </c>
      <c r="E344" s="1">
        <v>3</v>
      </c>
    </row>
    <row r="345" spans="1:5" hidden="1" x14ac:dyDescent="0.25">
      <c r="A345" s="115">
        <v>3.181</v>
      </c>
      <c r="B345" s="115">
        <v>3.77</v>
      </c>
      <c r="C345" s="1">
        <v>770</v>
      </c>
      <c r="D345" s="1" t="s">
        <v>2637</v>
      </c>
      <c r="E345" s="1">
        <v>3</v>
      </c>
    </row>
    <row r="346" spans="1:5" hidden="1" x14ac:dyDescent="0.25">
      <c r="A346" s="115">
        <v>3.1819999999999999</v>
      </c>
      <c r="B346" s="115">
        <v>3.78</v>
      </c>
      <c r="C346" s="1">
        <v>780</v>
      </c>
      <c r="D346" s="1" t="s">
        <v>2638</v>
      </c>
      <c r="E346" s="1">
        <v>3</v>
      </c>
    </row>
    <row r="347" spans="1:5" hidden="1" x14ac:dyDescent="0.25">
      <c r="A347" s="115">
        <v>3.1829999999999998</v>
      </c>
      <c r="B347" s="115">
        <v>3.79</v>
      </c>
      <c r="C347" s="1">
        <v>790</v>
      </c>
      <c r="D347" s="1" t="s">
        <v>2639</v>
      </c>
      <c r="E347" s="1">
        <v>3</v>
      </c>
    </row>
    <row r="348" spans="1:5" hidden="1" x14ac:dyDescent="0.25">
      <c r="A348" s="115">
        <v>3.1840000000000002</v>
      </c>
      <c r="B348" s="115">
        <v>3.8</v>
      </c>
      <c r="C348" s="1">
        <v>800</v>
      </c>
      <c r="D348" s="1" t="s">
        <v>2640</v>
      </c>
      <c r="E348" s="1">
        <v>3</v>
      </c>
    </row>
    <row r="349" spans="1:5" hidden="1" x14ac:dyDescent="0.25">
      <c r="A349" s="115">
        <v>3.1850000000000001</v>
      </c>
      <c r="B349" s="115">
        <v>3.8050000000000002</v>
      </c>
      <c r="C349" s="1">
        <v>805</v>
      </c>
      <c r="D349" s="1" t="s">
        <v>2641</v>
      </c>
      <c r="E349" s="1">
        <v>3</v>
      </c>
    </row>
    <row r="350" spans="1:5" hidden="1" x14ac:dyDescent="0.25">
      <c r="A350" s="115">
        <v>3.1859999999999999</v>
      </c>
      <c r="B350" s="115">
        <v>3.81</v>
      </c>
      <c r="C350" s="1">
        <v>810</v>
      </c>
      <c r="D350" s="1" t="s">
        <v>2642</v>
      </c>
      <c r="E350" s="1">
        <v>3</v>
      </c>
    </row>
    <row r="351" spans="1:5" hidden="1" x14ac:dyDescent="0.25">
      <c r="A351" s="115">
        <v>3.1869999999999998</v>
      </c>
      <c r="B351" s="115">
        <v>3.82</v>
      </c>
      <c r="C351" s="1">
        <v>820</v>
      </c>
      <c r="D351" s="1" t="s">
        <v>2643</v>
      </c>
      <c r="E351" s="1">
        <v>3</v>
      </c>
    </row>
    <row r="352" spans="1:5" hidden="1" x14ac:dyDescent="0.25">
      <c r="A352" s="115">
        <v>3.1880000000000002</v>
      </c>
      <c r="B352" s="115">
        <v>3.83</v>
      </c>
      <c r="C352" s="1">
        <v>830</v>
      </c>
      <c r="D352" s="1" t="s">
        <v>2644</v>
      </c>
      <c r="E352" s="1">
        <v>3</v>
      </c>
    </row>
    <row r="353" spans="1:5" hidden="1" x14ac:dyDescent="0.25">
      <c r="A353" s="115">
        <v>3.1890000000000001</v>
      </c>
      <c r="B353" s="115">
        <v>3.84</v>
      </c>
      <c r="C353" s="1">
        <v>840</v>
      </c>
      <c r="D353" s="1" t="s">
        <v>2645</v>
      </c>
      <c r="E353" s="1">
        <v>3</v>
      </c>
    </row>
    <row r="354" spans="1:5" hidden="1" x14ac:dyDescent="0.25">
      <c r="A354" s="115">
        <v>3.19</v>
      </c>
      <c r="B354" s="115">
        <v>3.85</v>
      </c>
      <c r="C354" s="1">
        <v>850</v>
      </c>
      <c r="D354" s="1" t="s">
        <v>2646</v>
      </c>
      <c r="E354" s="1">
        <v>3</v>
      </c>
    </row>
    <row r="355" spans="1:5" hidden="1" x14ac:dyDescent="0.25">
      <c r="A355" s="115">
        <v>3.1909999999999998</v>
      </c>
      <c r="B355" s="115">
        <v>3.86</v>
      </c>
      <c r="C355" s="1">
        <v>860</v>
      </c>
      <c r="D355" s="1" t="s">
        <v>2647</v>
      </c>
      <c r="E355" s="1">
        <v>3</v>
      </c>
    </row>
    <row r="356" spans="1:5" hidden="1" x14ac:dyDescent="0.25">
      <c r="A356" s="115">
        <v>3.1920000000000002</v>
      </c>
      <c r="B356" s="115">
        <v>3.87</v>
      </c>
      <c r="C356" s="1">
        <v>870</v>
      </c>
      <c r="D356" s="1" t="s">
        <v>2648</v>
      </c>
      <c r="E356" s="1">
        <v>3</v>
      </c>
    </row>
    <row r="357" spans="1:5" hidden="1" x14ac:dyDescent="0.25">
      <c r="A357" s="115">
        <v>3.1930000000000001</v>
      </c>
      <c r="B357" s="115">
        <v>3.88</v>
      </c>
      <c r="C357" s="1">
        <v>880</v>
      </c>
      <c r="D357" s="1" t="s">
        <v>2649</v>
      </c>
      <c r="E357" s="1">
        <v>3</v>
      </c>
    </row>
    <row r="358" spans="1:5" hidden="1" x14ac:dyDescent="0.25">
      <c r="A358" s="115">
        <v>3.194</v>
      </c>
      <c r="B358" s="115">
        <v>3.89</v>
      </c>
      <c r="C358" s="1">
        <v>890</v>
      </c>
      <c r="D358" s="1" t="s">
        <v>2650</v>
      </c>
      <c r="E358" s="1">
        <v>3</v>
      </c>
    </row>
    <row r="359" spans="1:5" hidden="1" x14ac:dyDescent="0.25">
      <c r="A359" s="115">
        <v>3.1949999999999998</v>
      </c>
      <c r="B359" s="115">
        <v>3.895</v>
      </c>
      <c r="C359" s="1">
        <v>895</v>
      </c>
      <c r="D359" s="1" t="s">
        <v>2651</v>
      </c>
      <c r="E359" s="1">
        <v>3</v>
      </c>
    </row>
    <row r="360" spans="1:5" hidden="1" x14ac:dyDescent="0.25">
      <c r="A360" s="115">
        <v>3.1960000000000002</v>
      </c>
      <c r="B360" s="115">
        <v>3.9</v>
      </c>
      <c r="C360" s="1">
        <v>900</v>
      </c>
      <c r="D360" s="1" t="s">
        <v>2652</v>
      </c>
      <c r="E360" s="1">
        <v>3</v>
      </c>
    </row>
    <row r="361" spans="1:5" hidden="1" x14ac:dyDescent="0.25">
      <c r="A361" s="115">
        <v>3.1970000000000001</v>
      </c>
      <c r="B361" s="115">
        <v>3.91</v>
      </c>
      <c r="C361" s="1">
        <v>910</v>
      </c>
      <c r="D361" s="1" t="s">
        <v>2653</v>
      </c>
      <c r="E361" s="1">
        <v>3</v>
      </c>
    </row>
    <row r="362" spans="1:5" hidden="1" x14ac:dyDescent="0.25">
      <c r="A362" s="115">
        <v>3.198</v>
      </c>
      <c r="B362" s="115">
        <v>3.92</v>
      </c>
      <c r="C362" s="1">
        <v>920</v>
      </c>
      <c r="D362" s="1" t="s">
        <v>2654</v>
      </c>
      <c r="E362" s="1">
        <v>3</v>
      </c>
    </row>
    <row r="363" spans="1:5" hidden="1" x14ac:dyDescent="0.25">
      <c r="A363" s="115">
        <v>3.1989999999999998</v>
      </c>
      <c r="B363" s="115">
        <v>3.9249999999999998</v>
      </c>
      <c r="C363" s="1">
        <v>925</v>
      </c>
      <c r="D363" s="1" t="s">
        <v>2655</v>
      </c>
      <c r="E363" s="1">
        <v>3</v>
      </c>
    </row>
    <row r="364" spans="1:5" hidden="1" x14ac:dyDescent="0.25">
      <c r="A364" s="115">
        <v>3.2</v>
      </c>
      <c r="B364" s="115">
        <v>3.93</v>
      </c>
      <c r="C364" s="1">
        <v>930</v>
      </c>
      <c r="D364" s="1" t="s">
        <v>2656</v>
      </c>
      <c r="E364" s="1">
        <v>3</v>
      </c>
    </row>
    <row r="365" spans="1:5" hidden="1" x14ac:dyDescent="0.25">
      <c r="A365" s="115">
        <v>3.2010000000000001</v>
      </c>
      <c r="B365" s="115">
        <v>3.9350000000000001</v>
      </c>
      <c r="C365" s="1">
        <v>935</v>
      </c>
      <c r="D365" s="1" t="s">
        <v>2657</v>
      </c>
      <c r="E365" s="1">
        <v>3</v>
      </c>
    </row>
    <row r="366" spans="1:5" hidden="1" x14ac:dyDescent="0.25">
      <c r="A366" s="115">
        <v>3.202</v>
      </c>
      <c r="B366" s="115">
        <v>3.94</v>
      </c>
      <c r="C366" s="1">
        <v>940</v>
      </c>
      <c r="D366" s="1" t="s">
        <v>2658</v>
      </c>
      <c r="E366" s="1">
        <v>3</v>
      </c>
    </row>
    <row r="367" spans="1:5" hidden="1" x14ac:dyDescent="0.25">
      <c r="A367" s="115">
        <v>3.2029999999999998</v>
      </c>
      <c r="B367" s="115">
        <v>3.95</v>
      </c>
      <c r="C367" s="1">
        <v>950</v>
      </c>
      <c r="D367" s="1" t="s">
        <v>2659</v>
      </c>
      <c r="E367" s="1">
        <v>3</v>
      </c>
    </row>
    <row r="368" spans="1:5" hidden="1" x14ac:dyDescent="0.25">
      <c r="A368" s="115">
        <v>3.2040000000000002</v>
      </c>
      <c r="B368" s="115">
        <v>3.9550000000000001</v>
      </c>
      <c r="C368" s="1">
        <v>955</v>
      </c>
      <c r="D368" s="1" t="s">
        <v>2660</v>
      </c>
      <c r="E368" s="1">
        <v>3</v>
      </c>
    </row>
    <row r="369" spans="1:5" hidden="1" x14ac:dyDescent="0.25">
      <c r="A369" s="115">
        <v>3.2050000000000001</v>
      </c>
      <c r="B369" s="115">
        <v>3.96</v>
      </c>
      <c r="C369" s="1">
        <v>960</v>
      </c>
      <c r="D369" s="1" t="s">
        <v>2661</v>
      </c>
      <c r="E369" s="1">
        <v>3</v>
      </c>
    </row>
    <row r="370" spans="1:5" hidden="1" x14ac:dyDescent="0.25">
      <c r="A370" s="115">
        <v>3.206</v>
      </c>
      <c r="B370" s="115">
        <v>3.97</v>
      </c>
      <c r="C370" s="1">
        <v>970</v>
      </c>
      <c r="D370" s="1" t="s">
        <v>2662</v>
      </c>
      <c r="E370" s="1">
        <v>3</v>
      </c>
    </row>
    <row r="371" spans="1:5" hidden="1" x14ac:dyDescent="0.25">
      <c r="A371" s="115">
        <v>3.2069999999999999</v>
      </c>
      <c r="B371" s="115">
        <v>3.98</v>
      </c>
      <c r="C371" s="1">
        <v>980</v>
      </c>
      <c r="D371" s="1" t="s">
        <v>2663</v>
      </c>
      <c r="E371" s="1">
        <v>3</v>
      </c>
    </row>
    <row r="372" spans="1:5" hidden="1" x14ac:dyDescent="0.25">
      <c r="A372" s="115">
        <v>3.2080000000000002</v>
      </c>
      <c r="B372" s="115">
        <v>3.99</v>
      </c>
      <c r="C372" s="1">
        <v>990</v>
      </c>
      <c r="D372" s="1" t="s">
        <v>2664</v>
      </c>
      <c r="E372" s="1">
        <v>3</v>
      </c>
    </row>
    <row r="373" spans="1:5" hidden="1" x14ac:dyDescent="0.25">
      <c r="A373" s="115">
        <v>3.2090000000000001</v>
      </c>
      <c r="B373" s="115">
        <v>3.1</v>
      </c>
      <c r="C373" s="1">
        <v>1000</v>
      </c>
      <c r="D373" s="1" t="s">
        <v>2665</v>
      </c>
      <c r="E373" s="1">
        <v>3</v>
      </c>
    </row>
    <row r="374" spans="1:5" hidden="1" x14ac:dyDescent="0.25">
      <c r="A374" s="115">
        <v>3.21</v>
      </c>
      <c r="B374" s="115">
        <v>3.11</v>
      </c>
      <c r="C374" s="1">
        <v>1100</v>
      </c>
      <c r="D374" s="1" t="s">
        <v>2666</v>
      </c>
      <c r="E374" s="1">
        <v>3</v>
      </c>
    </row>
    <row r="375" spans="1:5" hidden="1" x14ac:dyDescent="0.25">
      <c r="A375" s="115">
        <v>3.2109999999999999</v>
      </c>
      <c r="B375" s="115">
        <v>3.1110000000000002</v>
      </c>
      <c r="C375" s="1">
        <v>1110</v>
      </c>
      <c r="D375" s="1" t="s">
        <v>2667</v>
      </c>
      <c r="E375" s="1">
        <v>3</v>
      </c>
    </row>
    <row r="376" spans="1:5" hidden="1" x14ac:dyDescent="0.25">
      <c r="A376" s="115">
        <v>3.2120000000000002</v>
      </c>
      <c r="B376" s="115">
        <v>3.1120000000000001</v>
      </c>
      <c r="C376" s="1">
        <v>1120</v>
      </c>
      <c r="D376" s="1" t="s">
        <v>2668</v>
      </c>
      <c r="E376" s="1">
        <v>3</v>
      </c>
    </row>
    <row r="377" spans="1:5" hidden="1" x14ac:dyDescent="0.25">
      <c r="A377" s="115">
        <v>3.2130000000000001</v>
      </c>
      <c r="B377" s="115">
        <v>3.113</v>
      </c>
      <c r="C377" s="1">
        <v>1130</v>
      </c>
      <c r="D377" s="1" t="s">
        <v>2669</v>
      </c>
      <c r="E377" s="1">
        <v>3</v>
      </c>
    </row>
    <row r="378" spans="1:5" hidden="1" x14ac:dyDescent="0.25">
      <c r="A378" s="115">
        <v>3.214</v>
      </c>
      <c r="B378" s="115">
        <v>3.1139999999999999</v>
      </c>
      <c r="C378" s="1">
        <v>1140</v>
      </c>
      <c r="D378" s="1" t="s">
        <v>2670</v>
      </c>
      <c r="E378" s="1">
        <v>3</v>
      </c>
    </row>
    <row r="379" spans="1:5" hidden="1" x14ac:dyDescent="0.25">
      <c r="A379" s="115">
        <v>3.2149999999999999</v>
      </c>
      <c r="B379" s="115">
        <v>3.1150000000000002</v>
      </c>
      <c r="C379" s="1">
        <v>1150</v>
      </c>
      <c r="D379" s="1" t="s">
        <v>2671</v>
      </c>
      <c r="E379" s="1">
        <v>3</v>
      </c>
    </row>
    <row r="380" spans="1:5" hidden="1" x14ac:dyDescent="0.25">
      <c r="A380" s="115">
        <v>3.2160000000000002</v>
      </c>
      <c r="B380" s="115">
        <v>3.1160000000000001</v>
      </c>
      <c r="C380" s="1">
        <v>1160</v>
      </c>
      <c r="D380" s="1" t="s">
        <v>2672</v>
      </c>
      <c r="E380" s="1">
        <v>3</v>
      </c>
    </row>
    <row r="381" spans="1:5" hidden="1" x14ac:dyDescent="0.25">
      <c r="A381" s="115">
        <v>3.2170000000000001</v>
      </c>
      <c r="B381" s="115">
        <v>3.117</v>
      </c>
      <c r="C381" s="1">
        <v>1170</v>
      </c>
      <c r="D381" s="1" t="s">
        <v>2673</v>
      </c>
      <c r="E381" s="1">
        <v>3</v>
      </c>
    </row>
    <row r="382" spans="1:5" hidden="1" x14ac:dyDescent="0.25">
      <c r="A382" s="115">
        <v>3.218</v>
      </c>
      <c r="B382" s="115">
        <v>3.1179999999999999</v>
      </c>
      <c r="C382" s="1">
        <v>1180</v>
      </c>
      <c r="D382" s="1" t="s">
        <v>2674</v>
      </c>
      <c r="E382" s="1">
        <v>3</v>
      </c>
    </row>
    <row r="383" spans="1:5" hidden="1" x14ac:dyDescent="0.25">
      <c r="A383" s="115">
        <v>3.2189999999999999</v>
      </c>
      <c r="B383" s="115">
        <v>3.1190000000000002</v>
      </c>
      <c r="C383" s="1">
        <v>1190</v>
      </c>
      <c r="D383" s="1" t="s">
        <v>2675</v>
      </c>
      <c r="E383" s="1">
        <v>3</v>
      </c>
    </row>
    <row r="384" spans="1:5" hidden="1" x14ac:dyDescent="0.25">
      <c r="A384" s="115">
        <v>3.22</v>
      </c>
      <c r="B384" s="115">
        <v>3.12</v>
      </c>
      <c r="C384" s="1">
        <v>1200</v>
      </c>
      <c r="D384" s="1" t="s">
        <v>2676</v>
      </c>
      <c r="E384" s="1">
        <v>3</v>
      </c>
    </row>
    <row r="385" spans="1:5" hidden="1" x14ac:dyDescent="0.25">
      <c r="A385" s="115">
        <v>3.2210000000000001</v>
      </c>
      <c r="B385" s="115">
        <v>3.121</v>
      </c>
      <c r="C385" s="1">
        <v>1210</v>
      </c>
      <c r="D385" s="1" t="s">
        <v>2677</v>
      </c>
      <c r="E385" s="1">
        <v>3</v>
      </c>
    </row>
    <row r="386" spans="1:5" hidden="1" x14ac:dyDescent="0.25">
      <c r="A386" s="115">
        <v>3.222</v>
      </c>
      <c r="B386" s="115">
        <v>3.1219999999999999</v>
      </c>
      <c r="C386" s="1">
        <v>1220</v>
      </c>
      <c r="D386" s="1" t="s">
        <v>2678</v>
      </c>
      <c r="E386" s="1">
        <v>3</v>
      </c>
    </row>
    <row r="387" spans="1:5" hidden="1" x14ac:dyDescent="0.25">
      <c r="A387" s="115">
        <v>3.2229999999999999</v>
      </c>
      <c r="B387" s="115">
        <v>3.1230000000000002</v>
      </c>
      <c r="C387" s="1">
        <v>1230</v>
      </c>
      <c r="D387" s="1" t="s">
        <v>2679</v>
      </c>
      <c r="E387" s="1">
        <v>3</v>
      </c>
    </row>
    <row r="388" spans="1:5" hidden="1" x14ac:dyDescent="0.25">
      <c r="A388" s="115">
        <v>3.2240000000000002</v>
      </c>
      <c r="B388" s="115">
        <v>3.1240000000000001</v>
      </c>
      <c r="C388" s="1">
        <v>1240</v>
      </c>
      <c r="D388" s="1" t="s">
        <v>2680</v>
      </c>
      <c r="E388" s="1">
        <v>3</v>
      </c>
    </row>
    <row r="389" spans="1:5" hidden="1" x14ac:dyDescent="0.25">
      <c r="A389" s="115">
        <v>3.2250000000000001</v>
      </c>
      <c r="B389" s="115">
        <v>3.125</v>
      </c>
      <c r="C389" s="1">
        <v>1250</v>
      </c>
      <c r="D389" s="1" t="s">
        <v>2681</v>
      </c>
      <c r="E389" s="1">
        <v>3</v>
      </c>
    </row>
    <row r="390" spans="1:5" hidden="1" x14ac:dyDescent="0.25">
      <c r="A390" s="115">
        <v>3.226</v>
      </c>
      <c r="B390" s="115">
        <v>3.1259999999999999</v>
      </c>
      <c r="C390" s="1">
        <v>1260</v>
      </c>
      <c r="D390" s="1" t="s">
        <v>2682</v>
      </c>
      <c r="E390" s="1">
        <v>3</v>
      </c>
    </row>
    <row r="391" spans="1:5" hidden="1" x14ac:dyDescent="0.25">
      <c r="A391" s="115">
        <v>3.2269999999999999</v>
      </c>
      <c r="B391" s="115">
        <v>3.1269999999999998</v>
      </c>
      <c r="C391" s="1">
        <v>1270</v>
      </c>
      <c r="D391" s="1" t="s">
        <v>2683</v>
      </c>
      <c r="E391" s="1">
        <v>3</v>
      </c>
    </row>
    <row r="392" spans="1:5" hidden="1" x14ac:dyDescent="0.25">
      <c r="A392" s="115">
        <v>3.2280000000000002</v>
      </c>
      <c r="B392" s="115">
        <v>3.1280000000000001</v>
      </c>
      <c r="C392" s="1">
        <v>1280</v>
      </c>
      <c r="D392" s="1" t="s">
        <v>2684</v>
      </c>
      <c r="E392" s="1">
        <v>3</v>
      </c>
    </row>
    <row r="393" spans="1:5" hidden="1" x14ac:dyDescent="0.25">
      <c r="A393" s="115">
        <v>3.2290000000000001</v>
      </c>
      <c r="B393" s="115">
        <v>3.13</v>
      </c>
      <c r="C393" s="1">
        <v>1300</v>
      </c>
      <c r="D393" s="1" t="s">
        <v>2685</v>
      </c>
      <c r="E393" s="1">
        <v>3</v>
      </c>
    </row>
    <row r="394" spans="1:5" hidden="1" x14ac:dyDescent="0.25">
      <c r="A394" s="115">
        <v>3.23</v>
      </c>
      <c r="B394" s="115">
        <v>3.1309999999999998</v>
      </c>
      <c r="C394" s="1">
        <v>1310</v>
      </c>
      <c r="D394" s="1" t="s">
        <v>2686</v>
      </c>
      <c r="E394" s="1">
        <v>3</v>
      </c>
    </row>
    <row r="395" spans="1:5" hidden="1" x14ac:dyDescent="0.25">
      <c r="A395" s="115">
        <v>3.2309999999999999</v>
      </c>
      <c r="B395" s="115">
        <v>3.1320000000000001</v>
      </c>
      <c r="C395" s="1">
        <v>1320</v>
      </c>
      <c r="D395" s="1" t="s">
        <v>2687</v>
      </c>
      <c r="E395" s="1">
        <v>3</v>
      </c>
    </row>
    <row r="396" spans="1:5" hidden="1" x14ac:dyDescent="0.25">
      <c r="A396" s="115">
        <v>4.101</v>
      </c>
      <c r="B396" s="115">
        <v>4.0999999999999996</v>
      </c>
      <c r="C396" s="1">
        <v>10</v>
      </c>
      <c r="D396" s="1" t="s">
        <v>2559</v>
      </c>
      <c r="E396" s="1">
        <v>4</v>
      </c>
    </row>
    <row r="397" spans="1:5" hidden="1" x14ac:dyDescent="0.25">
      <c r="A397" s="115">
        <v>4.1020000000000003</v>
      </c>
      <c r="B397" s="115">
        <v>4.2</v>
      </c>
      <c r="C397" s="1">
        <v>20</v>
      </c>
      <c r="D397" s="1" t="s">
        <v>2560</v>
      </c>
      <c r="E397" s="1">
        <v>4</v>
      </c>
    </row>
    <row r="398" spans="1:5" hidden="1" x14ac:dyDescent="0.25">
      <c r="A398" s="115">
        <v>4.1029999999999998</v>
      </c>
      <c r="B398" s="115">
        <v>4.3</v>
      </c>
      <c r="C398" s="1">
        <v>30</v>
      </c>
      <c r="D398" s="1" t="s">
        <v>2561</v>
      </c>
      <c r="E398" s="1">
        <v>4</v>
      </c>
    </row>
    <row r="399" spans="1:5" hidden="1" x14ac:dyDescent="0.25">
      <c r="A399" s="115">
        <v>4.1040000000000001</v>
      </c>
      <c r="B399" s="115">
        <v>4.4000000000000004</v>
      </c>
      <c r="C399" s="1">
        <v>40</v>
      </c>
      <c r="D399" s="1" t="s">
        <v>2562</v>
      </c>
      <c r="E399" s="1">
        <v>4</v>
      </c>
    </row>
    <row r="400" spans="1:5" hidden="1" x14ac:dyDescent="0.25">
      <c r="A400" s="115">
        <v>4.1050000000000004</v>
      </c>
      <c r="B400" s="115">
        <v>4.5</v>
      </c>
      <c r="C400" s="1">
        <v>50</v>
      </c>
      <c r="D400" s="1" t="s">
        <v>2563</v>
      </c>
      <c r="E400" s="1">
        <v>4</v>
      </c>
    </row>
    <row r="401" spans="1:5" hidden="1" x14ac:dyDescent="0.25">
      <c r="A401" s="115">
        <v>4.1059999999999999</v>
      </c>
      <c r="B401" s="115">
        <v>4.5999999999999996</v>
      </c>
      <c r="C401" s="1">
        <v>60</v>
      </c>
      <c r="D401" s="1" t="s">
        <v>2564</v>
      </c>
      <c r="E401" s="1">
        <v>4</v>
      </c>
    </row>
    <row r="402" spans="1:5" hidden="1" x14ac:dyDescent="0.25">
      <c r="A402" s="115">
        <v>4.1070000000000002</v>
      </c>
      <c r="B402" s="115">
        <v>4.7</v>
      </c>
      <c r="C402" s="1">
        <v>70</v>
      </c>
      <c r="D402" s="1" t="s">
        <v>2565</v>
      </c>
      <c r="E402" s="1">
        <v>4</v>
      </c>
    </row>
    <row r="403" spans="1:5" hidden="1" x14ac:dyDescent="0.25">
      <c r="A403" s="115">
        <v>4.1079999999999997</v>
      </c>
      <c r="B403" s="115">
        <v>4.8</v>
      </c>
      <c r="C403" s="1">
        <v>80</v>
      </c>
      <c r="D403" s="1" t="s">
        <v>2566</v>
      </c>
      <c r="E403" s="1">
        <v>4</v>
      </c>
    </row>
    <row r="404" spans="1:5" hidden="1" x14ac:dyDescent="0.25">
      <c r="A404" s="115">
        <v>4.109</v>
      </c>
      <c r="B404" s="115">
        <v>4.9000000000000004</v>
      </c>
      <c r="C404" s="1">
        <v>90</v>
      </c>
      <c r="D404" s="1" t="s">
        <v>2567</v>
      </c>
      <c r="E404" s="1">
        <v>4</v>
      </c>
    </row>
    <row r="405" spans="1:5" hidden="1" x14ac:dyDescent="0.25">
      <c r="A405" s="115">
        <v>4.1100000000000003</v>
      </c>
      <c r="B405" s="115">
        <v>4.0999999999999996</v>
      </c>
      <c r="C405" s="1">
        <v>100</v>
      </c>
      <c r="D405" s="1" t="s">
        <v>2568</v>
      </c>
      <c r="E405" s="1">
        <v>4</v>
      </c>
    </row>
    <row r="406" spans="1:5" hidden="1" x14ac:dyDescent="0.25">
      <c r="A406" s="115">
        <v>4.1109999999999998</v>
      </c>
      <c r="B406" s="115">
        <v>4.1100000000000003</v>
      </c>
      <c r="C406" s="1">
        <v>110</v>
      </c>
      <c r="D406" s="1" t="s">
        <v>2569</v>
      </c>
      <c r="E406" s="1">
        <v>4</v>
      </c>
    </row>
    <row r="407" spans="1:5" hidden="1" x14ac:dyDescent="0.25">
      <c r="A407" s="115">
        <v>4.1120000000000001</v>
      </c>
      <c r="B407" s="115">
        <v>4.12</v>
      </c>
      <c r="C407" s="1">
        <v>120</v>
      </c>
      <c r="D407" s="1" t="s">
        <v>2570</v>
      </c>
      <c r="E407" s="1">
        <v>4</v>
      </c>
    </row>
    <row r="408" spans="1:5" hidden="1" x14ac:dyDescent="0.25">
      <c r="A408" s="115">
        <v>4.1130000000000004</v>
      </c>
      <c r="B408" s="115">
        <v>4.13</v>
      </c>
      <c r="C408" s="1">
        <v>130</v>
      </c>
      <c r="D408" s="1" t="s">
        <v>2571</v>
      </c>
      <c r="E408" s="1">
        <v>4</v>
      </c>
    </row>
    <row r="409" spans="1:5" hidden="1" x14ac:dyDescent="0.25">
      <c r="A409" s="115">
        <v>4.1139999999999999</v>
      </c>
      <c r="B409" s="115">
        <v>4.1399999999999997</v>
      </c>
      <c r="C409" s="1">
        <v>140</v>
      </c>
      <c r="D409" s="1" t="s">
        <v>2572</v>
      </c>
      <c r="E409" s="1">
        <v>4</v>
      </c>
    </row>
    <row r="410" spans="1:5" hidden="1" x14ac:dyDescent="0.25">
      <c r="A410" s="115">
        <v>4.1150000000000002</v>
      </c>
      <c r="B410" s="115">
        <v>4.1500000000000004</v>
      </c>
      <c r="C410" s="1">
        <v>150</v>
      </c>
      <c r="D410" s="1" t="s">
        <v>2573</v>
      </c>
      <c r="E410" s="1">
        <v>4</v>
      </c>
    </row>
    <row r="411" spans="1:5" hidden="1" x14ac:dyDescent="0.25">
      <c r="A411" s="115">
        <v>4.1159999999999997</v>
      </c>
      <c r="B411" s="115">
        <v>4.16</v>
      </c>
      <c r="C411" s="1">
        <v>160</v>
      </c>
      <c r="D411" s="1" t="s">
        <v>2574</v>
      </c>
      <c r="E411" s="1">
        <v>4</v>
      </c>
    </row>
    <row r="412" spans="1:5" hidden="1" x14ac:dyDescent="0.25">
      <c r="A412" s="115">
        <v>4.117</v>
      </c>
      <c r="B412" s="115">
        <v>4.17</v>
      </c>
      <c r="C412" s="1">
        <v>170</v>
      </c>
      <c r="D412" s="1" t="s">
        <v>2575</v>
      </c>
      <c r="E412" s="1">
        <v>4</v>
      </c>
    </row>
    <row r="413" spans="1:5" hidden="1" x14ac:dyDescent="0.25">
      <c r="A413" s="115">
        <v>4.1180000000000003</v>
      </c>
      <c r="B413" s="115">
        <v>4.18</v>
      </c>
      <c r="C413" s="1">
        <v>180</v>
      </c>
      <c r="D413" s="1" t="s">
        <v>2576</v>
      </c>
      <c r="E413" s="1">
        <v>4</v>
      </c>
    </row>
    <row r="414" spans="1:5" hidden="1" x14ac:dyDescent="0.25">
      <c r="A414" s="115">
        <v>4.1189999999999998</v>
      </c>
      <c r="B414" s="115">
        <v>4.1900000000000004</v>
      </c>
      <c r="C414" s="1">
        <v>190</v>
      </c>
      <c r="D414" s="1" t="s">
        <v>2577</v>
      </c>
      <c r="E414" s="1">
        <v>4</v>
      </c>
    </row>
    <row r="415" spans="1:5" hidden="1" x14ac:dyDescent="0.25">
      <c r="A415" s="115">
        <v>4.12</v>
      </c>
      <c r="B415" s="115">
        <v>4.2</v>
      </c>
      <c r="C415" s="1">
        <v>200</v>
      </c>
      <c r="D415" s="1" t="s">
        <v>2578</v>
      </c>
      <c r="E415" s="1">
        <v>4</v>
      </c>
    </row>
    <row r="416" spans="1:5" hidden="1" x14ac:dyDescent="0.25">
      <c r="A416" s="115">
        <v>4.1210000000000004</v>
      </c>
      <c r="B416" s="115">
        <v>4.21</v>
      </c>
      <c r="C416" s="1">
        <v>210</v>
      </c>
      <c r="D416" s="1" t="s">
        <v>2579</v>
      </c>
      <c r="E416" s="1">
        <v>4</v>
      </c>
    </row>
    <row r="417" spans="1:5" hidden="1" x14ac:dyDescent="0.25">
      <c r="A417" s="115">
        <v>4.1219999999999999</v>
      </c>
      <c r="B417" s="115">
        <v>4.22</v>
      </c>
      <c r="C417" s="1">
        <v>220</v>
      </c>
      <c r="D417" s="1" t="s">
        <v>2580</v>
      </c>
      <c r="E417" s="1">
        <v>4</v>
      </c>
    </row>
    <row r="418" spans="1:5" hidden="1" x14ac:dyDescent="0.25">
      <c r="A418" s="115">
        <v>4.1230000000000002</v>
      </c>
      <c r="B418" s="115">
        <v>4.2300000000000004</v>
      </c>
      <c r="C418" s="1">
        <v>230</v>
      </c>
      <c r="D418" s="1" t="s">
        <v>2581</v>
      </c>
      <c r="E418" s="1">
        <v>4</v>
      </c>
    </row>
    <row r="419" spans="1:5" hidden="1" x14ac:dyDescent="0.25">
      <c r="A419" s="115">
        <v>4.1239999999999997</v>
      </c>
      <c r="B419" s="115">
        <v>4.24</v>
      </c>
      <c r="C419" s="1">
        <v>240</v>
      </c>
      <c r="D419" s="1" t="s">
        <v>2582</v>
      </c>
      <c r="E419" s="1">
        <v>4</v>
      </c>
    </row>
    <row r="420" spans="1:5" hidden="1" x14ac:dyDescent="0.25">
      <c r="A420" s="115">
        <v>4.125</v>
      </c>
      <c r="B420" s="115">
        <v>4.25</v>
      </c>
      <c r="C420" s="1">
        <v>250</v>
      </c>
      <c r="D420" s="1" t="s">
        <v>2583</v>
      </c>
      <c r="E420" s="1">
        <v>4</v>
      </c>
    </row>
    <row r="421" spans="1:5" hidden="1" x14ac:dyDescent="0.25">
      <c r="A421" s="115">
        <v>4.1260000000000003</v>
      </c>
      <c r="B421" s="115">
        <v>4.26</v>
      </c>
      <c r="C421" s="1">
        <v>260</v>
      </c>
      <c r="D421" s="1" t="s">
        <v>2584</v>
      </c>
      <c r="E421" s="1">
        <v>4</v>
      </c>
    </row>
    <row r="422" spans="1:5" hidden="1" x14ac:dyDescent="0.25">
      <c r="A422" s="115">
        <v>4.1269999999999998</v>
      </c>
      <c r="B422" s="115">
        <v>4.2699999999999996</v>
      </c>
      <c r="C422" s="1">
        <v>270</v>
      </c>
      <c r="D422" s="1" t="s">
        <v>2585</v>
      </c>
      <c r="E422" s="1">
        <v>4</v>
      </c>
    </row>
    <row r="423" spans="1:5" hidden="1" x14ac:dyDescent="0.25">
      <c r="A423" s="115">
        <v>4.1280000000000001</v>
      </c>
      <c r="B423" s="115">
        <v>4.28</v>
      </c>
      <c r="C423" s="1">
        <v>280</v>
      </c>
      <c r="D423" s="1" t="s">
        <v>2586</v>
      </c>
      <c r="E423" s="1">
        <v>4</v>
      </c>
    </row>
    <row r="424" spans="1:5" hidden="1" x14ac:dyDescent="0.25">
      <c r="A424" s="115">
        <v>4.1289999999999996</v>
      </c>
      <c r="B424" s="115">
        <v>4.29</v>
      </c>
      <c r="C424" s="1">
        <v>290</v>
      </c>
      <c r="D424" s="1" t="s">
        <v>2587</v>
      </c>
      <c r="E424" s="1">
        <v>4</v>
      </c>
    </row>
    <row r="425" spans="1:5" hidden="1" x14ac:dyDescent="0.25">
      <c r="A425" s="115">
        <v>4.13</v>
      </c>
      <c r="B425" s="115">
        <v>4.3</v>
      </c>
      <c r="C425" s="1">
        <v>300</v>
      </c>
      <c r="D425" s="1" t="s">
        <v>2588</v>
      </c>
      <c r="E425" s="1">
        <v>4</v>
      </c>
    </row>
    <row r="426" spans="1:5" hidden="1" x14ac:dyDescent="0.25">
      <c r="A426" s="115">
        <v>4.1310000000000002</v>
      </c>
      <c r="B426" s="115">
        <v>4.3099999999999996</v>
      </c>
      <c r="C426" s="1">
        <v>310</v>
      </c>
      <c r="D426" s="1" t="s">
        <v>2589</v>
      </c>
      <c r="E426" s="1">
        <v>4</v>
      </c>
    </row>
    <row r="427" spans="1:5" hidden="1" x14ac:dyDescent="0.25">
      <c r="A427" s="115">
        <v>4.1319999999999997</v>
      </c>
      <c r="B427" s="115">
        <v>4.32</v>
      </c>
      <c r="C427" s="1">
        <v>320</v>
      </c>
      <c r="D427" s="1" t="s">
        <v>2590</v>
      </c>
      <c r="E427" s="1">
        <v>4</v>
      </c>
    </row>
    <row r="428" spans="1:5" hidden="1" x14ac:dyDescent="0.25">
      <c r="A428" s="115">
        <v>4.133</v>
      </c>
      <c r="B428" s="115">
        <v>4.33</v>
      </c>
      <c r="C428" s="1">
        <v>330</v>
      </c>
      <c r="D428" s="1" t="s">
        <v>2591</v>
      </c>
      <c r="E428" s="1">
        <v>4</v>
      </c>
    </row>
    <row r="429" spans="1:5" hidden="1" x14ac:dyDescent="0.25">
      <c r="A429" s="115">
        <v>4.1340000000000003</v>
      </c>
      <c r="B429" s="115">
        <v>4.34</v>
      </c>
      <c r="C429" s="1">
        <v>340</v>
      </c>
      <c r="D429" s="1" t="s">
        <v>2592</v>
      </c>
      <c r="E429" s="1">
        <v>4</v>
      </c>
    </row>
    <row r="430" spans="1:5" hidden="1" x14ac:dyDescent="0.25">
      <c r="A430" s="115">
        <v>4.1349999999999998</v>
      </c>
      <c r="B430" s="115">
        <v>4.3499999999999996</v>
      </c>
      <c r="C430" s="1">
        <v>350</v>
      </c>
      <c r="D430" s="1" t="s">
        <v>2593</v>
      </c>
      <c r="E430" s="1">
        <v>4</v>
      </c>
    </row>
    <row r="431" spans="1:5" hidden="1" x14ac:dyDescent="0.25">
      <c r="A431" s="115">
        <v>4.1360000000000001</v>
      </c>
      <c r="B431" s="115">
        <v>4.3600000000000003</v>
      </c>
      <c r="C431" s="1">
        <v>360</v>
      </c>
      <c r="D431" s="1" t="s">
        <v>2594</v>
      </c>
      <c r="E431" s="1">
        <v>4</v>
      </c>
    </row>
    <row r="432" spans="1:5" hidden="1" x14ac:dyDescent="0.25">
      <c r="A432" s="115">
        <v>4.1369999999999996</v>
      </c>
      <c r="B432" s="115">
        <v>4.37</v>
      </c>
      <c r="C432" s="1">
        <v>370</v>
      </c>
      <c r="D432" s="1" t="s">
        <v>2595</v>
      </c>
      <c r="E432" s="1">
        <v>4</v>
      </c>
    </row>
    <row r="433" spans="1:5" hidden="1" x14ac:dyDescent="0.25">
      <c r="A433" s="115">
        <v>4.1379999999999999</v>
      </c>
      <c r="B433" s="115">
        <v>4.38</v>
      </c>
      <c r="C433" s="1">
        <v>380</v>
      </c>
      <c r="D433" s="1" t="s">
        <v>2596</v>
      </c>
      <c r="E433" s="1">
        <v>4</v>
      </c>
    </row>
    <row r="434" spans="1:5" hidden="1" x14ac:dyDescent="0.25">
      <c r="A434" s="115">
        <v>4.1390000000000002</v>
      </c>
      <c r="B434" s="115">
        <v>4.3899999999999997</v>
      </c>
      <c r="C434" s="1">
        <v>390</v>
      </c>
      <c r="D434" s="1" t="s">
        <v>2597</v>
      </c>
      <c r="E434" s="1">
        <v>4</v>
      </c>
    </row>
    <row r="435" spans="1:5" hidden="1" x14ac:dyDescent="0.25">
      <c r="A435" s="115">
        <v>4.1399999999999997</v>
      </c>
      <c r="B435" s="115">
        <v>4.4000000000000004</v>
      </c>
      <c r="C435" s="1">
        <v>400</v>
      </c>
      <c r="D435" s="1" t="s">
        <v>2598</v>
      </c>
      <c r="E435" s="1">
        <v>4</v>
      </c>
    </row>
    <row r="436" spans="1:5" hidden="1" x14ac:dyDescent="0.25">
      <c r="A436" s="115">
        <v>4.141</v>
      </c>
      <c r="B436" s="115">
        <v>4.41</v>
      </c>
      <c r="C436" s="1">
        <v>410</v>
      </c>
      <c r="D436" s="1" t="s">
        <v>2599</v>
      </c>
      <c r="E436" s="1">
        <v>4</v>
      </c>
    </row>
    <row r="437" spans="1:5" hidden="1" x14ac:dyDescent="0.25">
      <c r="A437" s="115">
        <v>4.1420000000000003</v>
      </c>
      <c r="B437" s="115">
        <v>4.42</v>
      </c>
      <c r="C437" s="1">
        <v>420</v>
      </c>
      <c r="D437" s="1" t="s">
        <v>2600</v>
      </c>
      <c r="E437" s="1">
        <v>4</v>
      </c>
    </row>
    <row r="438" spans="1:5" hidden="1" x14ac:dyDescent="0.25">
      <c r="A438" s="115">
        <v>4.1429999999999998</v>
      </c>
      <c r="B438" s="115">
        <v>4.43</v>
      </c>
      <c r="C438" s="1">
        <v>430</v>
      </c>
      <c r="D438" s="1" t="s">
        <v>2601</v>
      </c>
      <c r="E438" s="1">
        <v>4</v>
      </c>
    </row>
    <row r="439" spans="1:5" hidden="1" x14ac:dyDescent="0.25">
      <c r="A439" s="115">
        <v>4.1440000000000001</v>
      </c>
      <c r="B439" s="115">
        <v>4.4400000000000004</v>
      </c>
      <c r="C439" s="1">
        <v>440</v>
      </c>
      <c r="D439" s="1" t="s">
        <v>2602</v>
      </c>
      <c r="E439" s="1">
        <v>4</v>
      </c>
    </row>
    <row r="440" spans="1:5" hidden="1" x14ac:dyDescent="0.25">
      <c r="A440" s="115">
        <v>4.1449999999999996</v>
      </c>
      <c r="B440" s="115">
        <v>4.4450000000000003</v>
      </c>
      <c r="C440" s="1">
        <v>445</v>
      </c>
      <c r="D440" s="1" t="s">
        <v>2603</v>
      </c>
      <c r="E440" s="1">
        <v>4</v>
      </c>
    </row>
    <row r="441" spans="1:5" hidden="1" x14ac:dyDescent="0.25">
      <c r="A441" s="115">
        <v>4.1459999999999999</v>
      </c>
      <c r="B441" s="115">
        <v>4.45</v>
      </c>
      <c r="C441" s="1">
        <v>450</v>
      </c>
      <c r="D441" s="1" t="s">
        <v>2604</v>
      </c>
      <c r="E441" s="1">
        <v>4</v>
      </c>
    </row>
    <row r="442" spans="1:5" hidden="1" x14ac:dyDescent="0.25">
      <c r="A442" s="115">
        <v>4.1470000000000002</v>
      </c>
      <c r="B442" s="115">
        <v>4.46</v>
      </c>
      <c r="C442" s="1">
        <v>460</v>
      </c>
      <c r="D442" s="1" t="s">
        <v>2605</v>
      </c>
      <c r="E442" s="1">
        <v>4</v>
      </c>
    </row>
    <row r="443" spans="1:5" hidden="1" x14ac:dyDescent="0.25">
      <c r="A443" s="115">
        <v>4.1479999999999997</v>
      </c>
      <c r="B443" s="115">
        <v>4.47</v>
      </c>
      <c r="C443" s="1">
        <v>470</v>
      </c>
      <c r="D443" s="1" t="s">
        <v>2606</v>
      </c>
      <c r="E443" s="1">
        <v>4</v>
      </c>
    </row>
    <row r="444" spans="1:5" hidden="1" x14ac:dyDescent="0.25">
      <c r="A444" s="115">
        <v>4.149</v>
      </c>
      <c r="B444" s="115">
        <v>4.4800000000000004</v>
      </c>
      <c r="C444" s="1">
        <v>480</v>
      </c>
      <c r="D444" s="1" t="s">
        <v>2607</v>
      </c>
      <c r="E444" s="1">
        <v>4</v>
      </c>
    </row>
    <row r="445" spans="1:5" hidden="1" x14ac:dyDescent="0.25">
      <c r="A445" s="115">
        <v>4.1500000000000004</v>
      </c>
      <c r="B445" s="115">
        <v>4.49</v>
      </c>
      <c r="C445" s="1">
        <v>490</v>
      </c>
      <c r="D445" s="1" t="s">
        <v>2608</v>
      </c>
      <c r="E445" s="1">
        <v>4</v>
      </c>
    </row>
    <row r="446" spans="1:5" hidden="1" x14ac:dyDescent="0.25">
      <c r="A446" s="115">
        <v>4.1509999999999998</v>
      </c>
      <c r="B446" s="115">
        <v>4.5</v>
      </c>
      <c r="C446" s="1">
        <v>500</v>
      </c>
      <c r="D446" s="1" t="s">
        <v>2609</v>
      </c>
      <c r="E446" s="1">
        <v>4</v>
      </c>
    </row>
    <row r="447" spans="1:5" hidden="1" x14ac:dyDescent="0.25">
      <c r="A447" s="115">
        <v>4.1520000000000001</v>
      </c>
      <c r="B447" s="115">
        <v>4.51</v>
      </c>
      <c r="C447" s="1">
        <v>510</v>
      </c>
      <c r="D447" s="1" t="s">
        <v>2610</v>
      </c>
      <c r="E447" s="1">
        <v>4</v>
      </c>
    </row>
    <row r="448" spans="1:5" hidden="1" x14ac:dyDescent="0.25">
      <c r="A448" s="115">
        <v>4.1529999999999996</v>
      </c>
      <c r="B448" s="115">
        <v>4.5199999999999996</v>
      </c>
      <c r="C448" s="1">
        <v>520</v>
      </c>
      <c r="D448" s="1" t="s">
        <v>2611</v>
      </c>
      <c r="E448" s="1">
        <v>4</v>
      </c>
    </row>
    <row r="449" spans="1:5" hidden="1" x14ac:dyDescent="0.25">
      <c r="A449" s="115">
        <v>4.1539999999999999</v>
      </c>
      <c r="B449" s="115">
        <v>4.53</v>
      </c>
      <c r="C449" s="1">
        <v>530</v>
      </c>
      <c r="D449" s="1" t="s">
        <v>2612</v>
      </c>
      <c r="E449" s="1">
        <v>4</v>
      </c>
    </row>
    <row r="450" spans="1:5" hidden="1" x14ac:dyDescent="0.25">
      <c r="A450" s="115">
        <v>4.1550000000000002</v>
      </c>
      <c r="B450" s="115">
        <v>4.54</v>
      </c>
      <c r="C450" s="1">
        <v>540</v>
      </c>
      <c r="D450" s="1" t="s">
        <v>2613</v>
      </c>
      <c r="E450" s="1">
        <v>4</v>
      </c>
    </row>
    <row r="451" spans="1:5" hidden="1" x14ac:dyDescent="0.25">
      <c r="A451" s="115">
        <v>4.1559999999999997</v>
      </c>
      <c r="B451" s="115">
        <v>4.55</v>
      </c>
      <c r="C451" s="1">
        <v>550</v>
      </c>
      <c r="D451" s="1" t="s">
        <v>2614</v>
      </c>
      <c r="E451" s="1">
        <v>4</v>
      </c>
    </row>
    <row r="452" spans="1:5" hidden="1" x14ac:dyDescent="0.25">
      <c r="A452" s="115">
        <v>4.157</v>
      </c>
      <c r="B452" s="115">
        <v>4.5599999999999996</v>
      </c>
      <c r="C452" s="1">
        <v>560</v>
      </c>
      <c r="D452" s="1" t="s">
        <v>2615</v>
      </c>
      <c r="E452" s="1">
        <v>4</v>
      </c>
    </row>
    <row r="453" spans="1:5" hidden="1" x14ac:dyDescent="0.25">
      <c r="A453" s="115">
        <v>4.1580000000000004</v>
      </c>
      <c r="B453" s="115">
        <v>4.57</v>
      </c>
      <c r="C453" s="1">
        <v>570</v>
      </c>
      <c r="D453" s="1" t="s">
        <v>2616</v>
      </c>
      <c r="E453" s="1">
        <v>4</v>
      </c>
    </row>
    <row r="454" spans="1:5" hidden="1" x14ac:dyDescent="0.25">
      <c r="A454" s="115">
        <v>4.1589999999999998</v>
      </c>
      <c r="B454" s="115">
        <v>4.5750000000000002</v>
      </c>
      <c r="C454" s="1">
        <v>575</v>
      </c>
      <c r="D454" s="1" t="s">
        <v>2617</v>
      </c>
      <c r="E454" s="1">
        <v>4</v>
      </c>
    </row>
    <row r="455" spans="1:5" hidden="1" x14ac:dyDescent="0.25">
      <c r="A455" s="115">
        <v>4.16</v>
      </c>
      <c r="B455" s="115">
        <v>4.5759999999999996</v>
      </c>
      <c r="C455" s="1">
        <v>576</v>
      </c>
      <c r="D455" s="1" t="s">
        <v>2618</v>
      </c>
      <c r="E455" s="1">
        <v>4</v>
      </c>
    </row>
    <row r="456" spans="1:5" hidden="1" x14ac:dyDescent="0.25">
      <c r="A456" s="115">
        <v>4.1609999999999996</v>
      </c>
      <c r="B456" s="115">
        <v>4.58</v>
      </c>
      <c r="C456" s="1">
        <v>580</v>
      </c>
      <c r="D456" s="1" t="s">
        <v>2619</v>
      </c>
      <c r="E456" s="1">
        <v>4</v>
      </c>
    </row>
    <row r="457" spans="1:5" hidden="1" x14ac:dyDescent="0.25">
      <c r="A457" s="115">
        <v>4.1619999999999999</v>
      </c>
      <c r="B457" s="115">
        <v>4.59</v>
      </c>
      <c r="C457" s="1">
        <v>590</v>
      </c>
      <c r="D457" s="1" t="s">
        <v>1099</v>
      </c>
      <c r="E457" s="1">
        <v>4</v>
      </c>
    </row>
    <row r="458" spans="1:5" hidden="1" x14ac:dyDescent="0.25">
      <c r="A458" s="115">
        <v>4.1630000000000003</v>
      </c>
      <c r="B458" s="115">
        <v>4.5999999999999996</v>
      </c>
      <c r="C458" s="1">
        <v>600</v>
      </c>
      <c r="D458" s="1" t="s">
        <v>2620</v>
      </c>
      <c r="E458" s="1">
        <v>4</v>
      </c>
    </row>
    <row r="459" spans="1:5" hidden="1" x14ac:dyDescent="0.25">
      <c r="A459" s="115">
        <v>4.1639999999999997</v>
      </c>
      <c r="B459" s="115">
        <v>4.6100000000000003</v>
      </c>
      <c r="C459" s="1">
        <v>610</v>
      </c>
      <c r="D459" s="1" t="s">
        <v>2621</v>
      </c>
      <c r="E459" s="1">
        <v>4</v>
      </c>
    </row>
    <row r="460" spans="1:5" hidden="1" x14ac:dyDescent="0.25">
      <c r="A460" s="115">
        <v>4.165</v>
      </c>
      <c r="B460" s="115">
        <v>4.62</v>
      </c>
      <c r="C460" s="1">
        <v>620</v>
      </c>
      <c r="D460" s="1" t="s">
        <v>2622</v>
      </c>
      <c r="E460" s="1">
        <v>4</v>
      </c>
    </row>
    <row r="461" spans="1:5" hidden="1" x14ac:dyDescent="0.25">
      <c r="A461" s="115">
        <v>4.1660000000000004</v>
      </c>
      <c r="B461" s="115">
        <v>4.63</v>
      </c>
      <c r="C461" s="1">
        <v>630</v>
      </c>
      <c r="D461" s="1" t="s">
        <v>2623</v>
      </c>
      <c r="E461" s="1">
        <v>4</v>
      </c>
    </row>
    <row r="462" spans="1:5" hidden="1" x14ac:dyDescent="0.25">
      <c r="A462" s="115">
        <v>4.1669999999999998</v>
      </c>
      <c r="B462" s="115">
        <v>4.6399999999999997</v>
      </c>
      <c r="C462" s="1">
        <v>640</v>
      </c>
      <c r="D462" s="1" t="s">
        <v>2624</v>
      </c>
      <c r="E462" s="1">
        <v>4</v>
      </c>
    </row>
    <row r="463" spans="1:5" hidden="1" x14ac:dyDescent="0.25">
      <c r="A463" s="115">
        <v>4.1680000000000001</v>
      </c>
      <c r="B463" s="115">
        <v>4.6500000000000004</v>
      </c>
      <c r="C463" s="1">
        <v>650</v>
      </c>
      <c r="D463" s="1" t="s">
        <v>2625</v>
      </c>
      <c r="E463" s="1">
        <v>4</v>
      </c>
    </row>
    <row r="464" spans="1:5" hidden="1" x14ac:dyDescent="0.25">
      <c r="A464" s="115">
        <v>4.1689999999999996</v>
      </c>
      <c r="B464" s="115">
        <v>4.66</v>
      </c>
      <c r="C464" s="1">
        <v>660</v>
      </c>
      <c r="D464" s="1" t="s">
        <v>2626</v>
      </c>
      <c r="E464" s="1">
        <v>4</v>
      </c>
    </row>
    <row r="465" spans="1:5" hidden="1" x14ac:dyDescent="0.25">
      <c r="A465" s="115">
        <v>4.17</v>
      </c>
      <c r="B465" s="115">
        <v>4.67</v>
      </c>
      <c r="C465" s="1">
        <v>670</v>
      </c>
      <c r="D465" s="1" t="s">
        <v>2627</v>
      </c>
      <c r="E465" s="1">
        <v>4</v>
      </c>
    </row>
    <row r="466" spans="1:5" hidden="1" x14ac:dyDescent="0.25">
      <c r="A466" s="115">
        <v>4.1710000000000003</v>
      </c>
      <c r="B466" s="115">
        <v>4.68</v>
      </c>
      <c r="C466" s="1">
        <v>680</v>
      </c>
      <c r="D466" s="1" t="s">
        <v>2628</v>
      </c>
      <c r="E466" s="1">
        <v>4</v>
      </c>
    </row>
    <row r="467" spans="1:5" hidden="1" x14ac:dyDescent="0.25">
      <c r="A467" s="115">
        <v>4.1719999999999997</v>
      </c>
      <c r="B467" s="115">
        <v>4.6900000000000004</v>
      </c>
      <c r="C467" s="1">
        <v>690</v>
      </c>
      <c r="D467" s="1" t="s">
        <v>2629</v>
      </c>
      <c r="E467" s="1">
        <v>4</v>
      </c>
    </row>
    <row r="468" spans="1:5" hidden="1" x14ac:dyDescent="0.25">
      <c r="A468" s="115">
        <v>4.173</v>
      </c>
      <c r="B468" s="115">
        <v>4.7</v>
      </c>
      <c r="C468" s="1">
        <v>700</v>
      </c>
      <c r="D468" s="1" t="s">
        <v>2630</v>
      </c>
      <c r="E468" s="1">
        <v>4</v>
      </c>
    </row>
    <row r="469" spans="1:5" hidden="1" x14ac:dyDescent="0.25">
      <c r="A469" s="115">
        <v>4.1740000000000004</v>
      </c>
      <c r="B469" s="115">
        <v>4.71</v>
      </c>
      <c r="C469" s="1">
        <v>710</v>
      </c>
      <c r="D469" s="1" t="s">
        <v>2631</v>
      </c>
      <c r="E469" s="1">
        <v>4</v>
      </c>
    </row>
    <row r="470" spans="1:5" hidden="1" x14ac:dyDescent="0.25">
      <c r="A470" s="115">
        <v>4.1749999999999998</v>
      </c>
      <c r="B470" s="115">
        <v>4.72</v>
      </c>
      <c r="C470" s="1">
        <v>720</v>
      </c>
      <c r="D470" s="1" t="s">
        <v>2632</v>
      </c>
      <c r="E470" s="1">
        <v>4</v>
      </c>
    </row>
    <row r="471" spans="1:5" hidden="1" x14ac:dyDescent="0.25">
      <c r="A471" s="115">
        <v>4.1760000000000002</v>
      </c>
      <c r="B471" s="115">
        <v>4.7300000000000004</v>
      </c>
      <c r="C471" s="1">
        <v>730</v>
      </c>
      <c r="D471" s="1" t="s">
        <v>2633</v>
      </c>
      <c r="E471" s="1">
        <v>4</v>
      </c>
    </row>
    <row r="472" spans="1:5" hidden="1" x14ac:dyDescent="0.25">
      <c r="A472" s="115">
        <v>4.1769999999999996</v>
      </c>
      <c r="B472" s="115">
        <v>4.74</v>
      </c>
      <c r="C472" s="1">
        <v>740</v>
      </c>
      <c r="D472" s="1" t="s">
        <v>2634</v>
      </c>
      <c r="E472" s="1">
        <v>4</v>
      </c>
    </row>
    <row r="473" spans="1:5" hidden="1" x14ac:dyDescent="0.25">
      <c r="A473" s="115">
        <v>4.1779999999999999</v>
      </c>
      <c r="B473" s="115">
        <v>4.75</v>
      </c>
      <c r="C473" s="1">
        <v>750</v>
      </c>
      <c r="D473" s="1" t="s">
        <v>2635</v>
      </c>
      <c r="E473" s="1">
        <v>4</v>
      </c>
    </row>
    <row r="474" spans="1:5" hidden="1" x14ac:dyDescent="0.25">
      <c r="A474" s="115">
        <v>4.1790000000000003</v>
      </c>
      <c r="B474" s="115">
        <v>4.7549999999999999</v>
      </c>
      <c r="C474" s="1">
        <v>755</v>
      </c>
      <c r="D474" s="1" t="s">
        <v>1466</v>
      </c>
      <c r="E474" s="1">
        <v>4</v>
      </c>
    </row>
    <row r="475" spans="1:5" hidden="1" x14ac:dyDescent="0.25">
      <c r="A475" s="115">
        <v>4.18</v>
      </c>
      <c r="B475" s="115">
        <v>4.76</v>
      </c>
      <c r="C475" s="1">
        <v>760</v>
      </c>
      <c r="D475" s="1" t="s">
        <v>2636</v>
      </c>
      <c r="E475" s="1">
        <v>4</v>
      </c>
    </row>
    <row r="476" spans="1:5" hidden="1" x14ac:dyDescent="0.25">
      <c r="A476" s="115">
        <v>4.181</v>
      </c>
      <c r="B476" s="115">
        <v>4.7699999999999996</v>
      </c>
      <c r="C476" s="1">
        <v>770</v>
      </c>
      <c r="D476" s="1" t="s">
        <v>2637</v>
      </c>
      <c r="E476" s="1">
        <v>4</v>
      </c>
    </row>
    <row r="477" spans="1:5" hidden="1" x14ac:dyDescent="0.25">
      <c r="A477" s="115">
        <v>4.1820000000000004</v>
      </c>
      <c r="B477" s="115">
        <v>4.78</v>
      </c>
      <c r="C477" s="1">
        <v>780</v>
      </c>
      <c r="D477" s="1" t="s">
        <v>2638</v>
      </c>
      <c r="E477" s="1">
        <v>4</v>
      </c>
    </row>
    <row r="478" spans="1:5" hidden="1" x14ac:dyDescent="0.25">
      <c r="A478" s="115">
        <v>4.1829999999999998</v>
      </c>
      <c r="B478" s="115">
        <v>4.79</v>
      </c>
      <c r="C478" s="1">
        <v>790</v>
      </c>
      <c r="D478" s="1" t="s">
        <v>2639</v>
      </c>
      <c r="E478" s="1">
        <v>4</v>
      </c>
    </row>
    <row r="479" spans="1:5" hidden="1" x14ac:dyDescent="0.25">
      <c r="A479" s="115">
        <v>4.1840000000000002</v>
      </c>
      <c r="B479" s="115">
        <v>4.8</v>
      </c>
      <c r="C479" s="1">
        <v>800</v>
      </c>
      <c r="D479" s="1" t="s">
        <v>2640</v>
      </c>
      <c r="E479" s="1">
        <v>4</v>
      </c>
    </row>
    <row r="480" spans="1:5" hidden="1" x14ac:dyDescent="0.25">
      <c r="A480" s="115">
        <v>4.1849999999999996</v>
      </c>
      <c r="B480" s="115">
        <v>4.8049999999999997</v>
      </c>
      <c r="C480" s="1">
        <v>805</v>
      </c>
      <c r="D480" s="1" t="s">
        <v>2641</v>
      </c>
      <c r="E480" s="1">
        <v>4</v>
      </c>
    </row>
    <row r="481" spans="1:5" hidden="1" x14ac:dyDescent="0.25">
      <c r="A481" s="115">
        <v>4.1859999999999999</v>
      </c>
      <c r="B481" s="115">
        <v>4.8099999999999996</v>
      </c>
      <c r="C481" s="1">
        <v>810</v>
      </c>
      <c r="D481" s="1" t="s">
        <v>2642</v>
      </c>
      <c r="E481" s="1">
        <v>4</v>
      </c>
    </row>
    <row r="482" spans="1:5" hidden="1" x14ac:dyDescent="0.25">
      <c r="A482" s="115">
        <v>4.1870000000000003</v>
      </c>
      <c r="B482" s="115">
        <v>4.82</v>
      </c>
      <c r="C482" s="1">
        <v>820</v>
      </c>
      <c r="D482" s="1" t="s">
        <v>2643</v>
      </c>
      <c r="E482" s="1">
        <v>4</v>
      </c>
    </row>
    <row r="483" spans="1:5" hidden="1" x14ac:dyDescent="0.25">
      <c r="A483" s="115">
        <v>4.1879999999999997</v>
      </c>
      <c r="B483" s="115">
        <v>4.83</v>
      </c>
      <c r="C483" s="1">
        <v>830</v>
      </c>
      <c r="D483" s="1" t="s">
        <v>2644</v>
      </c>
      <c r="E483" s="1">
        <v>4</v>
      </c>
    </row>
    <row r="484" spans="1:5" hidden="1" x14ac:dyDescent="0.25">
      <c r="A484" s="115">
        <v>4.1890000000000001</v>
      </c>
      <c r="B484" s="115">
        <v>4.84</v>
      </c>
      <c r="C484" s="1">
        <v>840</v>
      </c>
      <c r="D484" s="1" t="s">
        <v>2645</v>
      </c>
      <c r="E484" s="1">
        <v>4</v>
      </c>
    </row>
    <row r="485" spans="1:5" hidden="1" x14ac:dyDescent="0.25">
      <c r="A485" s="115">
        <v>4.1900000000000004</v>
      </c>
      <c r="B485" s="115">
        <v>4.8499999999999996</v>
      </c>
      <c r="C485" s="1">
        <v>850</v>
      </c>
      <c r="D485" s="1" t="s">
        <v>2646</v>
      </c>
      <c r="E485" s="1">
        <v>4</v>
      </c>
    </row>
    <row r="486" spans="1:5" hidden="1" x14ac:dyDescent="0.25">
      <c r="A486" s="115">
        <v>4.1909999999999998</v>
      </c>
      <c r="B486" s="115">
        <v>4.8600000000000003</v>
      </c>
      <c r="C486" s="1">
        <v>860</v>
      </c>
      <c r="D486" s="1" t="s">
        <v>2647</v>
      </c>
      <c r="E486" s="1">
        <v>4</v>
      </c>
    </row>
    <row r="487" spans="1:5" hidden="1" x14ac:dyDescent="0.25">
      <c r="A487" s="115">
        <v>4.1920000000000002</v>
      </c>
      <c r="B487" s="115">
        <v>4.87</v>
      </c>
      <c r="C487" s="1">
        <v>870</v>
      </c>
      <c r="D487" s="1" t="s">
        <v>2648</v>
      </c>
      <c r="E487" s="1">
        <v>4</v>
      </c>
    </row>
    <row r="488" spans="1:5" hidden="1" x14ac:dyDescent="0.25">
      <c r="A488" s="115">
        <v>4.1929999999999996</v>
      </c>
      <c r="B488" s="115">
        <v>4.88</v>
      </c>
      <c r="C488" s="1">
        <v>880</v>
      </c>
      <c r="D488" s="1" t="s">
        <v>2649</v>
      </c>
      <c r="E488" s="1">
        <v>4</v>
      </c>
    </row>
    <row r="489" spans="1:5" hidden="1" x14ac:dyDescent="0.25">
      <c r="A489" s="115">
        <v>4.194</v>
      </c>
      <c r="B489" s="115">
        <v>4.8899999999999997</v>
      </c>
      <c r="C489" s="1">
        <v>890</v>
      </c>
      <c r="D489" s="1" t="s">
        <v>2650</v>
      </c>
      <c r="E489" s="1">
        <v>4</v>
      </c>
    </row>
    <row r="490" spans="1:5" hidden="1" x14ac:dyDescent="0.25">
      <c r="A490" s="115">
        <v>4.1950000000000003</v>
      </c>
      <c r="B490" s="115">
        <v>4.8949999999999996</v>
      </c>
      <c r="C490" s="1">
        <v>895</v>
      </c>
      <c r="D490" s="1" t="s">
        <v>2651</v>
      </c>
      <c r="E490" s="1">
        <v>4</v>
      </c>
    </row>
    <row r="491" spans="1:5" hidden="1" x14ac:dyDescent="0.25">
      <c r="A491" s="115">
        <v>4.1959999999999997</v>
      </c>
      <c r="B491" s="115">
        <v>4.9000000000000004</v>
      </c>
      <c r="C491" s="1">
        <v>900</v>
      </c>
      <c r="D491" s="1" t="s">
        <v>2652</v>
      </c>
      <c r="E491" s="1">
        <v>4</v>
      </c>
    </row>
    <row r="492" spans="1:5" hidden="1" x14ac:dyDescent="0.25">
      <c r="A492" s="115">
        <v>4.1970000000000001</v>
      </c>
      <c r="B492" s="115">
        <v>4.91</v>
      </c>
      <c r="C492" s="1">
        <v>910</v>
      </c>
      <c r="D492" s="1" t="s">
        <v>2653</v>
      </c>
      <c r="E492" s="1">
        <v>4</v>
      </c>
    </row>
    <row r="493" spans="1:5" hidden="1" x14ac:dyDescent="0.25">
      <c r="A493" s="115">
        <v>4.1980000000000004</v>
      </c>
      <c r="B493" s="115">
        <v>4.92</v>
      </c>
      <c r="C493" s="1">
        <v>920</v>
      </c>
      <c r="D493" s="1" t="s">
        <v>2654</v>
      </c>
      <c r="E493" s="1">
        <v>4</v>
      </c>
    </row>
    <row r="494" spans="1:5" hidden="1" x14ac:dyDescent="0.25">
      <c r="A494" s="115">
        <v>4.1989999999999998</v>
      </c>
      <c r="B494" s="115">
        <v>4.9249999999999998</v>
      </c>
      <c r="C494" s="1">
        <v>925</v>
      </c>
      <c r="D494" s="1" t="s">
        <v>2655</v>
      </c>
      <c r="E494" s="1">
        <v>4</v>
      </c>
    </row>
    <row r="495" spans="1:5" hidden="1" x14ac:dyDescent="0.25">
      <c r="A495" s="115">
        <v>4.2</v>
      </c>
      <c r="B495" s="115">
        <v>4.93</v>
      </c>
      <c r="C495" s="1">
        <v>930</v>
      </c>
      <c r="D495" s="1" t="s">
        <v>2656</v>
      </c>
      <c r="E495" s="1">
        <v>4</v>
      </c>
    </row>
    <row r="496" spans="1:5" hidden="1" x14ac:dyDescent="0.25">
      <c r="A496" s="115">
        <v>4.2009999999999996</v>
      </c>
      <c r="B496" s="115">
        <v>4.9349999999999996</v>
      </c>
      <c r="C496" s="1">
        <v>935</v>
      </c>
      <c r="D496" s="1" t="s">
        <v>2657</v>
      </c>
      <c r="E496" s="1">
        <v>4</v>
      </c>
    </row>
    <row r="497" spans="1:5" hidden="1" x14ac:dyDescent="0.25">
      <c r="A497" s="115">
        <v>4.202</v>
      </c>
      <c r="B497" s="115">
        <v>4.9400000000000004</v>
      </c>
      <c r="C497" s="1">
        <v>940</v>
      </c>
      <c r="D497" s="1" t="s">
        <v>2658</v>
      </c>
      <c r="E497" s="1">
        <v>4</v>
      </c>
    </row>
    <row r="498" spans="1:5" hidden="1" x14ac:dyDescent="0.25">
      <c r="A498" s="115">
        <v>4.2030000000000003</v>
      </c>
      <c r="B498" s="115">
        <v>4.95</v>
      </c>
      <c r="C498" s="1">
        <v>950</v>
      </c>
      <c r="D498" s="1" t="s">
        <v>2659</v>
      </c>
      <c r="E498" s="1">
        <v>4</v>
      </c>
    </row>
    <row r="499" spans="1:5" hidden="1" x14ac:dyDescent="0.25">
      <c r="A499" s="115">
        <v>4.2039999999999997</v>
      </c>
      <c r="B499" s="115">
        <v>4.9550000000000001</v>
      </c>
      <c r="C499" s="1">
        <v>955</v>
      </c>
      <c r="D499" s="1" t="s">
        <v>2660</v>
      </c>
      <c r="E499" s="1">
        <v>4</v>
      </c>
    </row>
    <row r="500" spans="1:5" hidden="1" x14ac:dyDescent="0.25">
      <c r="A500" s="115">
        <v>4.2050000000000001</v>
      </c>
      <c r="B500" s="115">
        <v>4.96</v>
      </c>
      <c r="C500" s="1">
        <v>960</v>
      </c>
      <c r="D500" s="1" t="s">
        <v>2661</v>
      </c>
      <c r="E500" s="1">
        <v>4</v>
      </c>
    </row>
    <row r="501" spans="1:5" hidden="1" x14ac:dyDescent="0.25">
      <c r="A501" s="115">
        <v>4.2060000000000004</v>
      </c>
      <c r="B501" s="115">
        <v>4.97</v>
      </c>
      <c r="C501" s="1">
        <v>970</v>
      </c>
      <c r="D501" s="1" t="s">
        <v>2662</v>
      </c>
      <c r="E501" s="1">
        <v>4</v>
      </c>
    </row>
    <row r="502" spans="1:5" hidden="1" x14ac:dyDescent="0.25">
      <c r="A502" s="115">
        <v>4.2069999999999999</v>
      </c>
      <c r="B502" s="115">
        <v>4.9800000000000004</v>
      </c>
      <c r="C502" s="1">
        <v>980</v>
      </c>
      <c r="D502" s="1" t="s">
        <v>2663</v>
      </c>
      <c r="E502" s="1">
        <v>4</v>
      </c>
    </row>
    <row r="503" spans="1:5" hidden="1" x14ac:dyDescent="0.25">
      <c r="A503" s="115">
        <v>4.2080000000000002</v>
      </c>
      <c r="B503" s="115">
        <v>4.99</v>
      </c>
      <c r="C503" s="1">
        <v>990</v>
      </c>
      <c r="D503" s="1" t="s">
        <v>2664</v>
      </c>
      <c r="E503" s="1">
        <v>4</v>
      </c>
    </row>
    <row r="504" spans="1:5" hidden="1" x14ac:dyDescent="0.25">
      <c r="A504" s="115">
        <v>4.2089999999999996</v>
      </c>
      <c r="B504" s="115">
        <v>4.0999999999999996</v>
      </c>
      <c r="C504" s="1">
        <v>1000</v>
      </c>
      <c r="D504" s="1" t="s">
        <v>2665</v>
      </c>
      <c r="E504" s="1">
        <v>4</v>
      </c>
    </row>
    <row r="505" spans="1:5" hidden="1" x14ac:dyDescent="0.25">
      <c r="A505" s="115">
        <v>4.21</v>
      </c>
      <c r="B505" s="115">
        <v>4.1100000000000003</v>
      </c>
      <c r="C505" s="1">
        <v>1100</v>
      </c>
      <c r="D505" s="1" t="s">
        <v>2666</v>
      </c>
      <c r="E505" s="1">
        <v>4</v>
      </c>
    </row>
    <row r="506" spans="1:5" hidden="1" x14ac:dyDescent="0.25">
      <c r="A506" s="115">
        <v>4.2110000000000003</v>
      </c>
      <c r="B506" s="115">
        <v>4.1109999999999998</v>
      </c>
      <c r="C506" s="1">
        <v>1110</v>
      </c>
      <c r="D506" s="1" t="s">
        <v>2667</v>
      </c>
      <c r="E506" s="1">
        <v>4</v>
      </c>
    </row>
    <row r="507" spans="1:5" hidden="1" x14ac:dyDescent="0.25">
      <c r="A507" s="115">
        <v>4.2119999999999997</v>
      </c>
      <c r="B507" s="115">
        <v>4.1120000000000001</v>
      </c>
      <c r="C507" s="1">
        <v>1120</v>
      </c>
      <c r="D507" s="1" t="s">
        <v>2668</v>
      </c>
      <c r="E507" s="1">
        <v>4</v>
      </c>
    </row>
    <row r="508" spans="1:5" hidden="1" x14ac:dyDescent="0.25">
      <c r="A508" s="115">
        <v>4.2130000000000001</v>
      </c>
      <c r="B508" s="115">
        <v>4.1130000000000004</v>
      </c>
      <c r="C508" s="1">
        <v>1130</v>
      </c>
      <c r="D508" s="1" t="s">
        <v>2669</v>
      </c>
      <c r="E508" s="1">
        <v>4</v>
      </c>
    </row>
    <row r="509" spans="1:5" hidden="1" x14ac:dyDescent="0.25">
      <c r="A509" s="115">
        <v>4.2140000000000004</v>
      </c>
      <c r="B509" s="115">
        <v>4.1139999999999999</v>
      </c>
      <c r="C509" s="1">
        <v>1140</v>
      </c>
      <c r="D509" s="1" t="s">
        <v>2670</v>
      </c>
      <c r="E509" s="1">
        <v>4</v>
      </c>
    </row>
    <row r="510" spans="1:5" hidden="1" x14ac:dyDescent="0.25">
      <c r="A510" s="115">
        <v>4.2149999999999999</v>
      </c>
      <c r="B510" s="115">
        <v>4.1150000000000002</v>
      </c>
      <c r="C510" s="1">
        <v>1150</v>
      </c>
      <c r="D510" s="1" t="s">
        <v>2671</v>
      </c>
      <c r="E510" s="1">
        <v>4</v>
      </c>
    </row>
    <row r="511" spans="1:5" hidden="1" x14ac:dyDescent="0.25">
      <c r="A511" s="115">
        <v>4.2160000000000002</v>
      </c>
      <c r="B511" s="115">
        <v>4.1159999999999997</v>
      </c>
      <c r="C511" s="1">
        <v>1160</v>
      </c>
      <c r="D511" s="1" t="s">
        <v>2672</v>
      </c>
      <c r="E511" s="1">
        <v>4</v>
      </c>
    </row>
    <row r="512" spans="1:5" hidden="1" x14ac:dyDescent="0.25">
      <c r="A512" s="115">
        <v>4.2169999999999996</v>
      </c>
      <c r="B512" s="115">
        <v>4.117</v>
      </c>
      <c r="C512" s="1">
        <v>1170</v>
      </c>
      <c r="D512" s="1" t="s">
        <v>2673</v>
      </c>
      <c r="E512" s="1">
        <v>4</v>
      </c>
    </row>
    <row r="513" spans="1:5" hidden="1" x14ac:dyDescent="0.25">
      <c r="A513" s="115">
        <v>4.218</v>
      </c>
      <c r="B513" s="115">
        <v>4.1180000000000003</v>
      </c>
      <c r="C513" s="1">
        <v>1180</v>
      </c>
      <c r="D513" s="1" t="s">
        <v>2674</v>
      </c>
      <c r="E513" s="1">
        <v>4</v>
      </c>
    </row>
    <row r="514" spans="1:5" hidden="1" x14ac:dyDescent="0.25">
      <c r="A514" s="115">
        <v>4.2190000000000003</v>
      </c>
      <c r="B514" s="115">
        <v>4.1189999999999998</v>
      </c>
      <c r="C514" s="1">
        <v>1190</v>
      </c>
      <c r="D514" s="1" t="s">
        <v>2675</v>
      </c>
      <c r="E514" s="1">
        <v>4</v>
      </c>
    </row>
    <row r="515" spans="1:5" hidden="1" x14ac:dyDescent="0.25">
      <c r="A515" s="115">
        <v>4.22</v>
      </c>
      <c r="B515" s="115">
        <v>4.12</v>
      </c>
      <c r="C515" s="1">
        <v>1200</v>
      </c>
      <c r="D515" s="1" t="s">
        <v>2676</v>
      </c>
      <c r="E515" s="1">
        <v>4</v>
      </c>
    </row>
    <row r="516" spans="1:5" hidden="1" x14ac:dyDescent="0.25">
      <c r="A516" s="115">
        <v>4.2210000000000001</v>
      </c>
      <c r="B516" s="115">
        <v>4.1210000000000004</v>
      </c>
      <c r="C516" s="1">
        <v>1210</v>
      </c>
      <c r="D516" s="1" t="s">
        <v>2677</v>
      </c>
      <c r="E516" s="1">
        <v>4</v>
      </c>
    </row>
    <row r="517" spans="1:5" hidden="1" x14ac:dyDescent="0.25">
      <c r="A517" s="115">
        <v>4.2220000000000004</v>
      </c>
      <c r="B517" s="115">
        <v>4.1219999999999999</v>
      </c>
      <c r="C517" s="1">
        <v>1220</v>
      </c>
      <c r="D517" s="1" t="s">
        <v>2678</v>
      </c>
      <c r="E517" s="1">
        <v>4</v>
      </c>
    </row>
    <row r="518" spans="1:5" hidden="1" x14ac:dyDescent="0.25">
      <c r="A518" s="115">
        <v>4.2229999999999999</v>
      </c>
      <c r="B518" s="115">
        <v>4.1230000000000002</v>
      </c>
      <c r="C518" s="1">
        <v>1230</v>
      </c>
      <c r="D518" s="1" t="s">
        <v>2679</v>
      </c>
      <c r="E518" s="1">
        <v>4</v>
      </c>
    </row>
    <row r="519" spans="1:5" hidden="1" x14ac:dyDescent="0.25">
      <c r="A519" s="115">
        <v>4.2240000000000002</v>
      </c>
      <c r="B519" s="115">
        <v>4.1239999999999997</v>
      </c>
      <c r="C519" s="1">
        <v>1240</v>
      </c>
      <c r="D519" s="1" t="s">
        <v>2680</v>
      </c>
      <c r="E519" s="1">
        <v>4</v>
      </c>
    </row>
    <row r="520" spans="1:5" hidden="1" x14ac:dyDescent="0.25">
      <c r="A520" s="115">
        <v>4.2249999999999996</v>
      </c>
      <c r="B520" s="115">
        <v>4.125</v>
      </c>
      <c r="C520" s="1">
        <v>1250</v>
      </c>
      <c r="D520" s="1" t="s">
        <v>2681</v>
      </c>
      <c r="E520" s="1">
        <v>4</v>
      </c>
    </row>
    <row r="521" spans="1:5" hidden="1" x14ac:dyDescent="0.25">
      <c r="A521" s="115">
        <v>4.226</v>
      </c>
      <c r="B521" s="115">
        <v>4.1260000000000003</v>
      </c>
      <c r="C521" s="1">
        <v>1260</v>
      </c>
      <c r="D521" s="1" t="s">
        <v>2682</v>
      </c>
      <c r="E521" s="1">
        <v>4</v>
      </c>
    </row>
    <row r="522" spans="1:5" hidden="1" x14ac:dyDescent="0.25">
      <c r="A522" s="115">
        <v>4.2270000000000003</v>
      </c>
      <c r="B522" s="115">
        <v>4.1269999999999998</v>
      </c>
      <c r="C522" s="1">
        <v>1270</v>
      </c>
      <c r="D522" s="1" t="s">
        <v>2683</v>
      </c>
      <c r="E522" s="1">
        <v>4</v>
      </c>
    </row>
    <row r="523" spans="1:5" hidden="1" x14ac:dyDescent="0.25">
      <c r="A523" s="115">
        <v>4.2279999999999998</v>
      </c>
      <c r="B523" s="115">
        <v>4.1280000000000001</v>
      </c>
      <c r="C523" s="1">
        <v>1280</v>
      </c>
      <c r="D523" s="1" t="s">
        <v>2684</v>
      </c>
      <c r="E523" s="1">
        <v>4</v>
      </c>
    </row>
    <row r="524" spans="1:5" hidden="1" x14ac:dyDescent="0.25">
      <c r="A524" s="115">
        <v>4.2290000000000001</v>
      </c>
      <c r="B524" s="115">
        <v>4.13</v>
      </c>
      <c r="C524" s="1">
        <v>1300</v>
      </c>
      <c r="D524" s="1" t="s">
        <v>2685</v>
      </c>
      <c r="E524" s="1">
        <v>4</v>
      </c>
    </row>
    <row r="525" spans="1:5" hidden="1" x14ac:dyDescent="0.25">
      <c r="A525" s="115">
        <v>4.2300000000000004</v>
      </c>
      <c r="B525" s="115">
        <v>4.1310000000000002</v>
      </c>
      <c r="C525" s="1">
        <v>1310</v>
      </c>
      <c r="D525" s="1" t="s">
        <v>2686</v>
      </c>
      <c r="E525" s="1">
        <v>4</v>
      </c>
    </row>
    <row r="526" spans="1:5" hidden="1" x14ac:dyDescent="0.25">
      <c r="A526" s="115">
        <v>4.2309999999999999</v>
      </c>
      <c r="B526" s="115">
        <v>4.1319999999999997</v>
      </c>
      <c r="C526" s="1">
        <v>1320</v>
      </c>
      <c r="D526" s="1" t="s">
        <v>2687</v>
      </c>
      <c r="E526" s="1">
        <v>4</v>
      </c>
    </row>
    <row r="527" spans="1:5" hidden="1" x14ac:dyDescent="0.25">
      <c r="A527" s="115">
        <v>5.101</v>
      </c>
      <c r="B527" s="115">
        <v>5.0999999999999996</v>
      </c>
      <c r="C527" s="1">
        <v>10</v>
      </c>
      <c r="D527" s="1" t="s">
        <v>2559</v>
      </c>
      <c r="E527" s="1">
        <v>5</v>
      </c>
    </row>
    <row r="528" spans="1:5" hidden="1" x14ac:dyDescent="0.25">
      <c r="A528" s="115">
        <v>5.1020000000000003</v>
      </c>
      <c r="B528" s="115">
        <v>5.2</v>
      </c>
      <c r="C528" s="1">
        <v>20</v>
      </c>
      <c r="D528" s="1" t="s">
        <v>2560</v>
      </c>
      <c r="E528" s="1">
        <v>5</v>
      </c>
    </row>
    <row r="529" spans="1:5" hidden="1" x14ac:dyDescent="0.25">
      <c r="A529" s="115">
        <v>5.1029999999999998</v>
      </c>
      <c r="B529" s="115">
        <v>5.3</v>
      </c>
      <c r="C529" s="1">
        <v>30</v>
      </c>
      <c r="D529" s="1" t="s">
        <v>2561</v>
      </c>
      <c r="E529" s="1">
        <v>5</v>
      </c>
    </row>
    <row r="530" spans="1:5" hidden="1" x14ac:dyDescent="0.25">
      <c r="A530" s="115">
        <v>5.1040000000000001</v>
      </c>
      <c r="B530" s="115">
        <v>5.4</v>
      </c>
      <c r="C530" s="1">
        <v>40</v>
      </c>
      <c r="D530" s="1" t="s">
        <v>2562</v>
      </c>
      <c r="E530" s="1">
        <v>5</v>
      </c>
    </row>
    <row r="531" spans="1:5" hidden="1" x14ac:dyDescent="0.25">
      <c r="A531" s="115">
        <v>5.1050000000000004</v>
      </c>
      <c r="B531" s="115">
        <v>5.5</v>
      </c>
      <c r="C531" s="1">
        <v>50</v>
      </c>
      <c r="D531" s="1" t="s">
        <v>2563</v>
      </c>
      <c r="E531" s="1">
        <v>5</v>
      </c>
    </row>
    <row r="532" spans="1:5" hidden="1" x14ac:dyDescent="0.25">
      <c r="A532" s="115">
        <v>5.1059999999999999</v>
      </c>
      <c r="B532" s="115">
        <v>5.6</v>
      </c>
      <c r="C532" s="1">
        <v>60</v>
      </c>
      <c r="D532" s="1" t="s">
        <v>2564</v>
      </c>
      <c r="E532" s="1">
        <v>5</v>
      </c>
    </row>
    <row r="533" spans="1:5" hidden="1" x14ac:dyDescent="0.25">
      <c r="A533" s="115">
        <v>5.1070000000000002</v>
      </c>
      <c r="B533" s="115">
        <v>5.7</v>
      </c>
      <c r="C533" s="1">
        <v>70</v>
      </c>
      <c r="D533" s="1" t="s">
        <v>2565</v>
      </c>
      <c r="E533" s="1">
        <v>5</v>
      </c>
    </row>
    <row r="534" spans="1:5" hidden="1" x14ac:dyDescent="0.25">
      <c r="A534" s="115">
        <v>5.1079999999999997</v>
      </c>
      <c r="B534" s="115">
        <v>5.8</v>
      </c>
      <c r="C534" s="1">
        <v>80</v>
      </c>
      <c r="D534" s="1" t="s">
        <v>2566</v>
      </c>
      <c r="E534" s="1">
        <v>5</v>
      </c>
    </row>
    <row r="535" spans="1:5" hidden="1" x14ac:dyDescent="0.25">
      <c r="A535" s="115">
        <v>5.109</v>
      </c>
      <c r="B535" s="115">
        <v>5.9</v>
      </c>
      <c r="C535" s="1">
        <v>90</v>
      </c>
      <c r="D535" s="1" t="s">
        <v>2567</v>
      </c>
      <c r="E535" s="1">
        <v>5</v>
      </c>
    </row>
    <row r="536" spans="1:5" hidden="1" x14ac:dyDescent="0.25">
      <c r="A536" s="115">
        <v>5.1100000000000003</v>
      </c>
      <c r="B536" s="115">
        <v>5.0999999999999996</v>
      </c>
      <c r="C536" s="1">
        <v>100</v>
      </c>
      <c r="D536" s="1" t="s">
        <v>2568</v>
      </c>
      <c r="E536" s="1">
        <v>5</v>
      </c>
    </row>
    <row r="537" spans="1:5" hidden="1" x14ac:dyDescent="0.25">
      <c r="A537" s="115">
        <v>5.1109999999999998</v>
      </c>
      <c r="B537" s="115">
        <v>5.1100000000000003</v>
      </c>
      <c r="C537" s="1">
        <v>110</v>
      </c>
      <c r="D537" s="1" t="s">
        <v>2569</v>
      </c>
      <c r="E537" s="1">
        <v>5</v>
      </c>
    </row>
    <row r="538" spans="1:5" hidden="1" x14ac:dyDescent="0.25">
      <c r="A538" s="115">
        <v>5.1120000000000001</v>
      </c>
      <c r="B538" s="115">
        <v>5.12</v>
      </c>
      <c r="C538" s="1">
        <v>120</v>
      </c>
      <c r="D538" s="1" t="s">
        <v>2570</v>
      </c>
      <c r="E538" s="1">
        <v>5</v>
      </c>
    </row>
    <row r="539" spans="1:5" hidden="1" x14ac:dyDescent="0.25">
      <c r="A539" s="115">
        <v>5.1130000000000004</v>
      </c>
      <c r="B539" s="115">
        <v>5.13</v>
      </c>
      <c r="C539" s="1">
        <v>130</v>
      </c>
      <c r="D539" s="1" t="s">
        <v>2571</v>
      </c>
      <c r="E539" s="1">
        <v>5</v>
      </c>
    </row>
    <row r="540" spans="1:5" hidden="1" x14ac:dyDescent="0.25">
      <c r="A540" s="115">
        <v>5.1139999999999999</v>
      </c>
      <c r="B540" s="115">
        <v>5.14</v>
      </c>
      <c r="C540" s="1">
        <v>140</v>
      </c>
      <c r="D540" s="1" t="s">
        <v>2572</v>
      </c>
      <c r="E540" s="1">
        <v>5</v>
      </c>
    </row>
    <row r="541" spans="1:5" hidden="1" x14ac:dyDescent="0.25">
      <c r="A541" s="115">
        <v>5.1150000000000002</v>
      </c>
      <c r="B541" s="115">
        <v>5.15</v>
      </c>
      <c r="C541" s="1">
        <v>150</v>
      </c>
      <c r="D541" s="1" t="s">
        <v>2573</v>
      </c>
      <c r="E541" s="1">
        <v>5</v>
      </c>
    </row>
    <row r="542" spans="1:5" hidden="1" x14ac:dyDescent="0.25">
      <c r="A542" s="115">
        <v>5.1159999999999997</v>
      </c>
      <c r="B542" s="115">
        <v>5.16</v>
      </c>
      <c r="C542" s="1">
        <v>160</v>
      </c>
      <c r="D542" s="1" t="s">
        <v>2574</v>
      </c>
      <c r="E542" s="1">
        <v>5</v>
      </c>
    </row>
    <row r="543" spans="1:5" hidden="1" x14ac:dyDescent="0.25">
      <c r="A543" s="115">
        <v>5.117</v>
      </c>
      <c r="B543" s="115">
        <v>5.17</v>
      </c>
      <c r="C543" s="1">
        <v>170</v>
      </c>
      <c r="D543" s="1" t="s">
        <v>2575</v>
      </c>
      <c r="E543" s="1">
        <v>5</v>
      </c>
    </row>
    <row r="544" spans="1:5" hidden="1" x14ac:dyDescent="0.25">
      <c r="A544" s="115">
        <v>5.1180000000000003</v>
      </c>
      <c r="B544" s="115">
        <v>5.18</v>
      </c>
      <c r="C544" s="1">
        <v>180</v>
      </c>
      <c r="D544" s="1" t="s">
        <v>2576</v>
      </c>
      <c r="E544" s="1">
        <v>5</v>
      </c>
    </row>
    <row r="545" spans="1:5" hidden="1" x14ac:dyDescent="0.25">
      <c r="A545" s="115">
        <v>5.1189999999999998</v>
      </c>
      <c r="B545" s="115">
        <v>5.19</v>
      </c>
      <c r="C545" s="1">
        <v>190</v>
      </c>
      <c r="D545" s="1" t="s">
        <v>2577</v>
      </c>
      <c r="E545" s="1">
        <v>5</v>
      </c>
    </row>
    <row r="546" spans="1:5" hidden="1" x14ac:dyDescent="0.25">
      <c r="A546" s="115">
        <v>5.12</v>
      </c>
      <c r="B546" s="115">
        <v>5.2</v>
      </c>
      <c r="C546" s="1">
        <v>200</v>
      </c>
      <c r="D546" s="1" t="s">
        <v>2578</v>
      </c>
      <c r="E546" s="1">
        <v>5</v>
      </c>
    </row>
    <row r="547" spans="1:5" hidden="1" x14ac:dyDescent="0.25">
      <c r="A547" s="115">
        <v>5.1210000000000004</v>
      </c>
      <c r="B547" s="115">
        <v>5.21</v>
      </c>
      <c r="C547" s="1">
        <v>210</v>
      </c>
      <c r="D547" s="1" t="s">
        <v>2579</v>
      </c>
      <c r="E547" s="1">
        <v>5</v>
      </c>
    </row>
    <row r="548" spans="1:5" hidden="1" x14ac:dyDescent="0.25">
      <c r="A548" s="115">
        <v>5.1219999999999999</v>
      </c>
      <c r="B548" s="115">
        <v>5.22</v>
      </c>
      <c r="C548" s="1">
        <v>220</v>
      </c>
      <c r="D548" s="1" t="s">
        <v>2580</v>
      </c>
      <c r="E548" s="1">
        <v>5</v>
      </c>
    </row>
    <row r="549" spans="1:5" hidden="1" x14ac:dyDescent="0.25">
      <c r="A549" s="115">
        <v>5.1230000000000002</v>
      </c>
      <c r="B549" s="115">
        <v>5.23</v>
      </c>
      <c r="C549" s="1">
        <v>230</v>
      </c>
      <c r="D549" s="1" t="s">
        <v>2581</v>
      </c>
      <c r="E549" s="1">
        <v>5</v>
      </c>
    </row>
    <row r="550" spans="1:5" hidden="1" x14ac:dyDescent="0.25">
      <c r="A550" s="115">
        <v>5.1239999999999997</v>
      </c>
      <c r="B550" s="115">
        <v>5.24</v>
      </c>
      <c r="C550" s="1">
        <v>240</v>
      </c>
      <c r="D550" s="1" t="s">
        <v>2582</v>
      </c>
      <c r="E550" s="1">
        <v>5</v>
      </c>
    </row>
    <row r="551" spans="1:5" hidden="1" x14ac:dyDescent="0.25">
      <c r="A551" s="115">
        <v>5.125</v>
      </c>
      <c r="B551" s="115">
        <v>5.25</v>
      </c>
      <c r="C551" s="1">
        <v>250</v>
      </c>
      <c r="D551" s="1" t="s">
        <v>2583</v>
      </c>
      <c r="E551" s="1">
        <v>5</v>
      </c>
    </row>
    <row r="552" spans="1:5" hidden="1" x14ac:dyDescent="0.25">
      <c r="A552" s="115">
        <v>5.1260000000000003</v>
      </c>
      <c r="B552" s="115">
        <v>5.26</v>
      </c>
      <c r="C552" s="1">
        <v>260</v>
      </c>
      <c r="D552" s="1" t="s">
        <v>2584</v>
      </c>
      <c r="E552" s="1">
        <v>5</v>
      </c>
    </row>
    <row r="553" spans="1:5" hidden="1" x14ac:dyDescent="0.25">
      <c r="A553" s="115">
        <v>5.1269999999999998</v>
      </c>
      <c r="B553" s="115">
        <v>5.27</v>
      </c>
      <c r="C553" s="1">
        <v>270</v>
      </c>
      <c r="D553" s="1" t="s">
        <v>2585</v>
      </c>
      <c r="E553" s="1">
        <v>5</v>
      </c>
    </row>
    <row r="554" spans="1:5" hidden="1" x14ac:dyDescent="0.25">
      <c r="A554" s="115">
        <v>5.1280000000000001</v>
      </c>
      <c r="B554" s="115">
        <v>5.28</v>
      </c>
      <c r="C554" s="1">
        <v>280</v>
      </c>
      <c r="D554" s="1" t="s">
        <v>2586</v>
      </c>
      <c r="E554" s="1">
        <v>5</v>
      </c>
    </row>
    <row r="555" spans="1:5" hidden="1" x14ac:dyDescent="0.25">
      <c r="A555" s="115">
        <v>5.1289999999999996</v>
      </c>
      <c r="B555" s="115">
        <v>5.29</v>
      </c>
      <c r="C555" s="1">
        <v>290</v>
      </c>
      <c r="D555" s="1" t="s">
        <v>2587</v>
      </c>
      <c r="E555" s="1">
        <v>5</v>
      </c>
    </row>
    <row r="556" spans="1:5" hidden="1" x14ac:dyDescent="0.25">
      <c r="A556" s="115">
        <v>5.13</v>
      </c>
      <c r="B556" s="115">
        <v>5.3</v>
      </c>
      <c r="C556" s="1">
        <v>300</v>
      </c>
      <c r="D556" s="1" t="s">
        <v>2588</v>
      </c>
      <c r="E556" s="1">
        <v>5</v>
      </c>
    </row>
    <row r="557" spans="1:5" hidden="1" x14ac:dyDescent="0.25">
      <c r="A557" s="115">
        <v>5.1310000000000002</v>
      </c>
      <c r="B557" s="115">
        <v>5.31</v>
      </c>
      <c r="C557" s="1">
        <v>310</v>
      </c>
      <c r="D557" s="1" t="s">
        <v>2589</v>
      </c>
      <c r="E557" s="1">
        <v>5</v>
      </c>
    </row>
    <row r="558" spans="1:5" hidden="1" x14ac:dyDescent="0.25">
      <c r="A558" s="115">
        <v>5.1319999999999997</v>
      </c>
      <c r="B558" s="115">
        <v>5.32</v>
      </c>
      <c r="C558" s="1">
        <v>320</v>
      </c>
      <c r="D558" s="1" t="s">
        <v>2590</v>
      </c>
      <c r="E558" s="1">
        <v>5</v>
      </c>
    </row>
    <row r="559" spans="1:5" hidden="1" x14ac:dyDescent="0.25">
      <c r="A559" s="115">
        <v>5.133</v>
      </c>
      <c r="B559" s="115">
        <v>5.33</v>
      </c>
      <c r="C559" s="1">
        <v>330</v>
      </c>
      <c r="D559" s="1" t="s">
        <v>2591</v>
      </c>
      <c r="E559" s="1">
        <v>5</v>
      </c>
    </row>
    <row r="560" spans="1:5" hidden="1" x14ac:dyDescent="0.25">
      <c r="A560" s="115">
        <v>5.1340000000000003</v>
      </c>
      <c r="B560" s="115">
        <v>5.34</v>
      </c>
      <c r="C560" s="1">
        <v>340</v>
      </c>
      <c r="D560" s="1" t="s">
        <v>2592</v>
      </c>
      <c r="E560" s="1">
        <v>5</v>
      </c>
    </row>
    <row r="561" spans="1:5" hidden="1" x14ac:dyDescent="0.25">
      <c r="A561" s="115">
        <v>5.1349999999999998</v>
      </c>
      <c r="B561" s="115">
        <v>5.35</v>
      </c>
      <c r="C561" s="1">
        <v>350</v>
      </c>
      <c r="D561" s="1" t="s">
        <v>2593</v>
      </c>
      <c r="E561" s="1">
        <v>5</v>
      </c>
    </row>
    <row r="562" spans="1:5" hidden="1" x14ac:dyDescent="0.25">
      <c r="A562" s="115">
        <v>5.1360000000000001</v>
      </c>
      <c r="B562" s="115">
        <v>5.36</v>
      </c>
      <c r="C562" s="1">
        <v>360</v>
      </c>
      <c r="D562" s="1" t="s">
        <v>2594</v>
      </c>
      <c r="E562" s="1">
        <v>5</v>
      </c>
    </row>
    <row r="563" spans="1:5" hidden="1" x14ac:dyDescent="0.25">
      <c r="A563" s="115">
        <v>5.1369999999999996</v>
      </c>
      <c r="B563" s="115">
        <v>5.37</v>
      </c>
      <c r="C563" s="1">
        <v>370</v>
      </c>
      <c r="D563" s="1" t="s">
        <v>2595</v>
      </c>
      <c r="E563" s="1">
        <v>5</v>
      </c>
    </row>
    <row r="564" spans="1:5" hidden="1" x14ac:dyDescent="0.25">
      <c r="A564" s="115">
        <v>5.1379999999999999</v>
      </c>
      <c r="B564" s="115">
        <v>5.38</v>
      </c>
      <c r="C564" s="1">
        <v>380</v>
      </c>
      <c r="D564" s="1" t="s">
        <v>2596</v>
      </c>
      <c r="E564" s="1">
        <v>5</v>
      </c>
    </row>
    <row r="565" spans="1:5" hidden="1" x14ac:dyDescent="0.25">
      <c r="A565" s="115">
        <v>5.1390000000000002</v>
      </c>
      <c r="B565" s="115">
        <v>5.39</v>
      </c>
      <c r="C565" s="1">
        <v>390</v>
      </c>
      <c r="D565" s="1" t="s">
        <v>2597</v>
      </c>
      <c r="E565" s="1">
        <v>5</v>
      </c>
    </row>
    <row r="566" spans="1:5" hidden="1" x14ac:dyDescent="0.25">
      <c r="A566" s="115">
        <v>5.14</v>
      </c>
      <c r="B566" s="115">
        <v>5.4</v>
      </c>
      <c r="C566" s="1">
        <v>400</v>
      </c>
      <c r="D566" s="1" t="s">
        <v>2598</v>
      </c>
      <c r="E566" s="1">
        <v>5</v>
      </c>
    </row>
    <row r="567" spans="1:5" hidden="1" x14ac:dyDescent="0.25">
      <c r="A567" s="115">
        <v>5.141</v>
      </c>
      <c r="B567" s="115">
        <v>5.41</v>
      </c>
      <c r="C567" s="1">
        <v>410</v>
      </c>
      <c r="D567" s="1" t="s">
        <v>2599</v>
      </c>
      <c r="E567" s="1">
        <v>5</v>
      </c>
    </row>
    <row r="568" spans="1:5" hidden="1" x14ac:dyDescent="0.25">
      <c r="A568" s="115">
        <v>5.1420000000000003</v>
      </c>
      <c r="B568" s="115">
        <v>5.42</v>
      </c>
      <c r="C568" s="1">
        <v>420</v>
      </c>
      <c r="D568" s="1" t="s">
        <v>2600</v>
      </c>
      <c r="E568" s="1">
        <v>5</v>
      </c>
    </row>
    <row r="569" spans="1:5" hidden="1" x14ac:dyDescent="0.25">
      <c r="A569" s="115">
        <v>5.1429999999999998</v>
      </c>
      <c r="B569" s="115">
        <v>5.43</v>
      </c>
      <c r="C569" s="1">
        <v>430</v>
      </c>
      <c r="D569" s="1" t="s">
        <v>2601</v>
      </c>
      <c r="E569" s="1">
        <v>5</v>
      </c>
    </row>
    <row r="570" spans="1:5" hidden="1" x14ac:dyDescent="0.25">
      <c r="A570" s="115">
        <v>5.1440000000000001</v>
      </c>
      <c r="B570" s="115">
        <v>5.44</v>
      </c>
      <c r="C570" s="1">
        <v>440</v>
      </c>
      <c r="D570" s="1" t="s">
        <v>2602</v>
      </c>
      <c r="E570" s="1">
        <v>5</v>
      </c>
    </row>
    <row r="571" spans="1:5" hidden="1" x14ac:dyDescent="0.25">
      <c r="A571" s="115">
        <v>5.1449999999999996</v>
      </c>
      <c r="B571" s="115">
        <v>5.4450000000000003</v>
      </c>
      <c r="C571" s="1">
        <v>445</v>
      </c>
      <c r="D571" s="1" t="s">
        <v>2603</v>
      </c>
      <c r="E571" s="1">
        <v>5</v>
      </c>
    </row>
    <row r="572" spans="1:5" hidden="1" x14ac:dyDescent="0.25">
      <c r="A572" s="115">
        <v>5.1459999999999999</v>
      </c>
      <c r="B572" s="115">
        <v>5.45</v>
      </c>
      <c r="C572" s="1">
        <v>450</v>
      </c>
      <c r="D572" s="1" t="s">
        <v>2604</v>
      </c>
      <c r="E572" s="1">
        <v>5</v>
      </c>
    </row>
    <row r="573" spans="1:5" hidden="1" x14ac:dyDescent="0.25">
      <c r="A573" s="115">
        <v>5.1470000000000002</v>
      </c>
      <c r="B573" s="115">
        <v>5.46</v>
      </c>
      <c r="C573" s="1">
        <v>460</v>
      </c>
      <c r="D573" s="1" t="s">
        <v>2605</v>
      </c>
      <c r="E573" s="1">
        <v>5</v>
      </c>
    </row>
    <row r="574" spans="1:5" hidden="1" x14ac:dyDescent="0.25">
      <c r="A574" s="115">
        <v>5.1479999999999997</v>
      </c>
      <c r="B574" s="115">
        <v>5.47</v>
      </c>
      <c r="C574" s="1">
        <v>470</v>
      </c>
      <c r="D574" s="1" t="s">
        <v>2606</v>
      </c>
      <c r="E574" s="1">
        <v>5</v>
      </c>
    </row>
    <row r="575" spans="1:5" hidden="1" x14ac:dyDescent="0.25">
      <c r="A575" s="115">
        <v>5.149</v>
      </c>
      <c r="B575" s="115">
        <v>5.48</v>
      </c>
      <c r="C575" s="1">
        <v>480</v>
      </c>
      <c r="D575" s="1" t="s">
        <v>2607</v>
      </c>
      <c r="E575" s="1">
        <v>5</v>
      </c>
    </row>
    <row r="576" spans="1:5" hidden="1" x14ac:dyDescent="0.25">
      <c r="A576" s="115">
        <v>5.15</v>
      </c>
      <c r="B576" s="115">
        <v>5.49</v>
      </c>
      <c r="C576" s="1">
        <v>490</v>
      </c>
      <c r="D576" s="1" t="s">
        <v>2608</v>
      </c>
      <c r="E576" s="1">
        <v>5</v>
      </c>
    </row>
    <row r="577" spans="1:5" hidden="1" x14ac:dyDescent="0.25">
      <c r="A577" s="115">
        <v>5.1509999999999998</v>
      </c>
      <c r="B577" s="115">
        <v>5.5</v>
      </c>
      <c r="C577" s="1">
        <v>500</v>
      </c>
      <c r="D577" s="1" t="s">
        <v>2609</v>
      </c>
      <c r="E577" s="1">
        <v>5</v>
      </c>
    </row>
    <row r="578" spans="1:5" hidden="1" x14ac:dyDescent="0.25">
      <c r="A578" s="115">
        <v>5.1520000000000001</v>
      </c>
      <c r="B578" s="115">
        <v>5.51</v>
      </c>
      <c r="C578" s="1">
        <v>510</v>
      </c>
      <c r="D578" s="1" t="s">
        <v>2610</v>
      </c>
      <c r="E578" s="1">
        <v>5</v>
      </c>
    </row>
    <row r="579" spans="1:5" hidden="1" x14ac:dyDescent="0.25">
      <c r="A579" s="115">
        <v>5.1529999999999996</v>
      </c>
      <c r="B579" s="115">
        <v>5.52</v>
      </c>
      <c r="C579" s="1">
        <v>520</v>
      </c>
      <c r="D579" s="1" t="s">
        <v>2611</v>
      </c>
      <c r="E579" s="1">
        <v>5</v>
      </c>
    </row>
    <row r="580" spans="1:5" hidden="1" x14ac:dyDescent="0.25">
      <c r="A580" s="115">
        <v>5.1539999999999999</v>
      </c>
      <c r="B580" s="115">
        <v>5.53</v>
      </c>
      <c r="C580" s="1">
        <v>530</v>
      </c>
      <c r="D580" s="1" t="s">
        <v>2612</v>
      </c>
      <c r="E580" s="1">
        <v>5</v>
      </c>
    </row>
    <row r="581" spans="1:5" hidden="1" x14ac:dyDescent="0.25">
      <c r="A581" s="115">
        <v>5.1550000000000002</v>
      </c>
      <c r="B581" s="115">
        <v>5.54</v>
      </c>
      <c r="C581" s="1">
        <v>540</v>
      </c>
      <c r="D581" s="1" t="s">
        <v>2613</v>
      </c>
      <c r="E581" s="1">
        <v>5</v>
      </c>
    </row>
    <row r="582" spans="1:5" hidden="1" x14ac:dyDescent="0.25">
      <c r="A582" s="115">
        <v>5.1559999999999997</v>
      </c>
      <c r="B582" s="115">
        <v>5.55</v>
      </c>
      <c r="C582" s="1">
        <v>550</v>
      </c>
      <c r="D582" s="1" t="s">
        <v>2614</v>
      </c>
      <c r="E582" s="1">
        <v>5</v>
      </c>
    </row>
    <row r="583" spans="1:5" hidden="1" x14ac:dyDescent="0.25">
      <c r="A583" s="115">
        <v>5.157</v>
      </c>
      <c r="B583" s="115">
        <v>5.56</v>
      </c>
      <c r="C583" s="1">
        <v>560</v>
      </c>
      <c r="D583" s="1" t="s">
        <v>2615</v>
      </c>
      <c r="E583" s="1">
        <v>5</v>
      </c>
    </row>
    <row r="584" spans="1:5" hidden="1" x14ac:dyDescent="0.25">
      <c r="A584" s="115">
        <v>5.1580000000000004</v>
      </c>
      <c r="B584" s="115">
        <v>5.57</v>
      </c>
      <c r="C584" s="1">
        <v>570</v>
      </c>
      <c r="D584" s="1" t="s">
        <v>2616</v>
      </c>
      <c r="E584" s="1">
        <v>5</v>
      </c>
    </row>
    <row r="585" spans="1:5" hidden="1" x14ac:dyDescent="0.25">
      <c r="A585" s="115">
        <v>5.1589999999999998</v>
      </c>
      <c r="B585" s="115">
        <v>5.5750000000000002</v>
      </c>
      <c r="C585" s="1">
        <v>575</v>
      </c>
      <c r="D585" s="1" t="s">
        <v>2617</v>
      </c>
      <c r="E585" s="1">
        <v>5</v>
      </c>
    </row>
    <row r="586" spans="1:5" hidden="1" x14ac:dyDescent="0.25">
      <c r="A586" s="115">
        <v>5.16</v>
      </c>
      <c r="B586" s="115">
        <v>5.5759999999999996</v>
      </c>
      <c r="C586" s="1">
        <v>576</v>
      </c>
      <c r="D586" s="1" t="s">
        <v>2618</v>
      </c>
      <c r="E586" s="1">
        <v>5</v>
      </c>
    </row>
    <row r="587" spans="1:5" hidden="1" x14ac:dyDescent="0.25">
      <c r="A587" s="115">
        <v>5.1609999999999996</v>
      </c>
      <c r="B587" s="115">
        <v>5.58</v>
      </c>
      <c r="C587" s="1">
        <v>580</v>
      </c>
      <c r="D587" s="1" t="s">
        <v>2619</v>
      </c>
      <c r="E587" s="1">
        <v>5</v>
      </c>
    </row>
    <row r="588" spans="1:5" hidden="1" x14ac:dyDescent="0.25">
      <c r="A588" s="115">
        <v>5.1619999999999999</v>
      </c>
      <c r="B588" s="115">
        <v>5.59</v>
      </c>
      <c r="C588" s="1">
        <v>590</v>
      </c>
      <c r="D588" s="1" t="s">
        <v>1099</v>
      </c>
      <c r="E588" s="1">
        <v>5</v>
      </c>
    </row>
    <row r="589" spans="1:5" hidden="1" x14ac:dyDescent="0.25">
      <c r="A589" s="115">
        <v>5.1630000000000003</v>
      </c>
      <c r="B589" s="115">
        <v>5.6</v>
      </c>
      <c r="C589" s="1">
        <v>600</v>
      </c>
      <c r="D589" s="1" t="s">
        <v>2620</v>
      </c>
      <c r="E589" s="1">
        <v>5</v>
      </c>
    </row>
    <row r="590" spans="1:5" hidden="1" x14ac:dyDescent="0.25">
      <c r="A590" s="115">
        <v>5.1639999999999997</v>
      </c>
      <c r="B590" s="115">
        <v>5.61</v>
      </c>
      <c r="C590" s="1">
        <v>610</v>
      </c>
      <c r="D590" s="1" t="s">
        <v>2621</v>
      </c>
      <c r="E590" s="1">
        <v>5</v>
      </c>
    </row>
    <row r="591" spans="1:5" hidden="1" x14ac:dyDescent="0.25">
      <c r="A591" s="115">
        <v>5.165</v>
      </c>
      <c r="B591" s="115">
        <v>5.62</v>
      </c>
      <c r="C591" s="1">
        <v>620</v>
      </c>
      <c r="D591" s="1" t="s">
        <v>2622</v>
      </c>
      <c r="E591" s="1">
        <v>5</v>
      </c>
    </row>
    <row r="592" spans="1:5" hidden="1" x14ac:dyDescent="0.25">
      <c r="A592" s="115">
        <v>5.1660000000000004</v>
      </c>
      <c r="B592" s="115">
        <v>5.63</v>
      </c>
      <c r="C592" s="1">
        <v>630</v>
      </c>
      <c r="D592" s="1" t="s">
        <v>2623</v>
      </c>
      <c r="E592" s="1">
        <v>5</v>
      </c>
    </row>
    <row r="593" spans="1:5" hidden="1" x14ac:dyDescent="0.25">
      <c r="A593" s="115">
        <v>5.1669999999999998</v>
      </c>
      <c r="B593" s="115">
        <v>5.64</v>
      </c>
      <c r="C593" s="1">
        <v>640</v>
      </c>
      <c r="D593" s="1" t="s">
        <v>2624</v>
      </c>
      <c r="E593" s="1">
        <v>5</v>
      </c>
    </row>
    <row r="594" spans="1:5" hidden="1" x14ac:dyDescent="0.25">
      <c r="A594" s="115">
        <v>5.1680000000000001</v>
      </c>
      <c r="B594" s="115">
        <v>5.65</v>
      </c>
      <c r="C594" s="1">
        <v>650</v>
      </c>
      <c r="D594" s="1" t="s">
        <v>2625</v>
      </c>
      <c r="E594" s="1">
        <v>5</v>
      </c>
    </row>
    <row r="595" spans="1:5" hidden="1" x14ac:dyDescent="0.25">
      <c r="A595" s="115">
        <v>5.1689999999999996</v>
      </c>
      <c r="B595" s="115">
        <v>5.66</v>
      </c>
      <c r="C595" s="1">
        <v>660</v>
      </c>
      <c r="D595" s="1" t="s">
        <v>2626</v>
      </c>
      <c r="E595" s="1">
        <v>5</v>
      </c>
    </row>
    <row r="596" spans="1:5" hidden="1" x14ac:dyDescent="0.25">
      <c r="A596" s="115">
        <v>5.17</v>
      </c>
      <c r="B596" s="115">
        <v>5.67</v>
      </c>
      <c r="C596" s="1">
        <v>670</v>
      </c>
      <c r="D596" s="1" t="s">
        <v>2627</v>
      </c>
      <c r="E596" s="1">
        <v>5</v>
      </c>
    </row>
    <row r="597" spans="1:5" hidden="1" x14ac:dyDescent="0.25">
      <c r="A597" s="115">
        <v>5.1710000000000003</v>
      </c>
      <c r="B597" s="115">
        <v>5.68</v>
      </c>
      <c r="C597" s="1">
        <v>680</v>
      </c>
      <c r="D597" s="1" t="s">
        <v>2628</v>
      </c>
      <c r="E597" s="1">
        <v>5</v>
      </c>
    </row>
    <row r="598" spans="1:5" hidden="1" x14ac:dyDescent="0.25">
      <c r="A598" s="115">
        <v>5.1719999999999997</v>
      </c>
      <c r="B598" s="115">
        <v>5.69</v>
      </c>
      <c r="C598" s="1">
        <v>690</v>
      </c>
      <c r="D598" s="1" t="s">
        <v>2629</v>
      </c>
      <c r="E598" s="1">
        <v>5</v>
      </c>
    </row>
    <row r="599" spans="1:5" hidden="1" x14ac:dyDescent="0.25">
      <c r="A599" s="115">
        <v>5.173</v>
      </c>
      <c r="B599" s="115">
        <v>5.7</v>
      </c>
      <c r="C599" s="1">
        <v>700</v>
      </c>
      <c r="D599" s="1" t="s">
        <v>2630</v>
      </c>
      <c r="E599" s="1">
        <v>5</v>
      </c>
    </row>
    <row r="600" spans="1:5" hidden="1" x14ac:dyDescent="0.25">
      <c r="A600" s="115">
        <v>5.1740000000000004</v>
      </c>
      <c r="B600" s="115">
        <v>5.71</v>
      </c>
      <c r="C600" s="1">
        <v>710</v>
      </c>
      <c r="D600" s="1" t="s">
        <v>2631</v>
      </c>
      <c r="E600" s="1">
        <v>5</v>
      </c>
    </row>
    <row r="601" spans="1:5" hidden="1" x14ac:dyDescent="0.25">
      <c r="A601" s="115">
        <v>5.1749999999999998</v>
      </c>
      <c r="B601" s="115">
        <v>5.72</v>
      </c>
      <c r="C601" s="1">
        <v>720</v>
      </c>
      <c r="D601" s="1" t="s">
        <v>2632</v>
      </c>
      <c r="E601" s="1">
        <v>5</v>
      </c>
    </row>
    <row r="602" spans="1:5" hidden="1" x14ac:dyDescent="0.25">
      <c r="A602" s="115">
        <v>5.1760000000000002</v>
      </c>
      <c r="B602" s="115">
        <v>5.73</v>
      </c>
      <c r="C602" s="1">
        <v>730</v>
      </c>
      <c r="D602" s="1" t="s">
        <v>2633</v>
      </c>
      <c r="E602" s="1">
        <v>5</v>
      </c>
    </row>
    <row r="603" spans="1:5" hidden="1" x14ac:dyDescent="0.25">
      <c r="A603" s="115">
        <v>5.1769999999999996</v>
      </c>
      <c r="B603" s="115">
        <v>5.74</v>
      </c>
      <c r="C603" s="1">
        <v>740</v>
      </c>
      <c r="D603" s="1" t="s">
        <v>2634</v>
      </c>
      <c r="E603" s="1">
        <v>5</v>
      </c>
    </row>
    <row r="604" spans="1:5" hidden="1" x14ac:dyDescent="0.25">
      <c r="A604" s="115">
        <v>5.1779999999999999</v>
      </c>
      <c r="B604" s="115">
        <v>5.75</v>
      </c>
      <c r="C604" s="1">
        <v>750</v>
      </c>
      <c r="D604" s="1" t="s">
        <v>2635</v>
      </c>
      <c r="E604" s="1">
        <v>5</v>
      </c>
    </row>
    <row r="605" spans="1:5" hidden="1" x14ac:dyDescent="0.25">
      <c r="A605" s="115">
        <v>5.1790000000000003</v>
      </c>
      <c r="B605" s="115">
        <v>5.7549999999999999</v>
      </c>
      <c r="C605" s="1">
        <v>755</v>
      </c>
      <c r="D605" s="1" t="s">
        <v>1466</v>
      </c>
      <c r="E605" s="1">
        <v>5</v>
      </c>
    </row>
    <row r="606" spans="1:5" hidden="1" x14ac:dyDescent="0.25">
      <c r="A606" s="115">
        <v>5.18</v>
      </c>
      <c r="B606" s="115">
        <v>5.76</v>
      </c>
      <c r="C606" s="1">
        <v>760</v>
      </c>
      <c r="D606" s="1" t="s">
        <v>2636</v>
      </c>
      <c r="E606" s="1">
        <v>5</v>
      </c>
    </row>
    <row r="607" spans="1:5" hidden="1" x14ac:dyDescent="0.25">
      <c r="A607" s="115">
        <v>5.181</v>
      </c>
      <c r="B607" s="115">
        <v>5.77</v>
      </c>
      <c r="C607" s="1">
        <v>770</v>
      </c>
      <c r="D607" s="1" t="s">
        <v>2637</v>
      </c>
      <c r="E607" s="1">
        <v>5</v>
      </c>
    </row>
    <row r="608" spans="1:5" hidden="1" x14ac:dyDescent="0.25">
      <c r="A608" s="115">
        <v>5.1820000000000004</v>
      </c>
      <c r="B608" s="115">
        <v>5.78</v>
      </c>
      <c r="C608" s="1">
        <v>780</v>
      </c>
      <c r="D608" s="1" t="s">
        <v>2638</v>
      </c>
      <c r="E608" s="1">
        <v>5</v>
      </c>
    </row>
    <row r="609" spans="1:5" hidden="1" x14ac:dyDescent="0.25">
      <c r="A609" s="115">
        <v>5.1829999999999998</v>
      </c>
      <c r="B609" s="115">
        <v>5.79</v>
      </c>
      <c r="C609" s="1">
        <v>790</v>
      </c>
      <c r="D609" s="1" t="s">
        <v>2639</v>
      </c>
      <c r="E609" s="1">
        <v>5</v>
      </c>
    </row>
    <row r="610" spans="1:5" hidden="1" x14ac:dyDescent="0.25">
      <c r="A610" s="115">
        <v>5.1840000000000002</v>
      </c>
      <c r="B610" s="115">
        <v>5.8</v>
      </c>
      <c r="C610" s="1">
        <v>800</v>
      </c>
      <c r="D610" s="1" t="s">
        <v>2640</v>
      </c>
      <c r="E610" s="1">
        <v>5</v>
      </c>
    </row>
    <row r="611" spans="1:5" hidden="1" x14ac:dyDescent="0.25">
      <c r="A611" s="115">
        <v>5.1849999999999996</v>
      </c>
      <c r="B611" s="115">
        <v>5.8049999999999997</v>
      </c>
      <c r="C611" s="1">
        <v>805</v>
      </c>
      <c r="D611" s="1" t="s">
        <v>2641</v>
      </c>
      <c r="E611" s="1">
        <v>5</v>
      </c>
    </row>
    <row r="612" spans="1:5" hidden="1" x14ac:dyDescent="0.25">
      <c r="A612" s="115">
        <v>5.1859999999999999</v>
      </c>
      <c r="B612" s="115">
        <v>5.81</v>
      </c>
      <c r="C612" s="1">
        <v>810</v>
      </c>
      <c r="D612" s="1" t="s">
        <v>2642</v>
      </c>
      <c r="E612" s="1">
        <v>5</v>
      </c>
    </row>
    <row r="613" spans="1:5" hidden="1" x14ac:dyDescent="0.25">
      <c r="A613" s="115">
        <v>5.1870000000000003</v>
      </c>
      <c r="B613" s="115">
        <v>5.82</v>
      </c>
      <c r="C613" s="1">
        <v>820</v>
      </c>
      <c r="D613" s="1" t="s">
        <v>2643</v>
      </c>
      <c r="E613" s="1">
        <v>5</v>
      </c>
    </row>
    <row r="614" spans="1:5" hidden="1" x14ac:dyDescent="0.25">
      <c r="A614" s="115">
        <v>5.1879999999999997</v>
      </c>
      <c r="B614" s="115">
        <v>5.83</v>
      </c>
      <c r="C614" s="1">
        <v>830</v>
      </c>
      <c r="D614" s="1" t="s">
        <v>2644</v>
      </c>
      <c r="E614" s="1">
        <v>5</v>
      </c>
    </row>
    <row r="615" spans="1:5" hidden="1" x14ac:dyDescent="0.25">
      <c r="A615" s="115">
        <v>5.1890000000000001</v>
      </c>
      <c r="B615" s="115">
        <v>5.84</v>
      </c>
      <c r="C615" s="1">
        <v>840</v>
      </c>
      <c r="D615" s="1" t="s">
        <v>2645</v>
      </c>
      <c r="E615" s="1">
        <v>5</v>
      </c>
    </row>
    <row r="616" spans="1:5" hidden="1" x14ac:dyDescent="0.25">
      <c r="A616" s="115">
        <v>5.19</v>
      </c>
      <c r="B616" s="115">
        <v>5.85</v>
      </c>
      <c r="C616" s="1">
        <v>850</v>
      </c>
      <c r="D616" s="1" t="s">
        <v>2646</v>
      </c>
      <c r="E616" s="1">
        <v>5</v>
      </c>
    </row>
    <row r="617" spans="1:5" hidden="1" x14ac:dyDescent="0.25">
      <c r="A617" s="115">
        <v>5.1909999999999998</v>
      </c>
      <c r="B617" s="115">
        <v>5.86</v>
      </c>
      <c r="C617" s="1">
        <v>860</v>
      </c>
      <c r="D617" s="1" t="s">
        <v>2647</v>
      </c>
      <c r="E617" s="1">
        <v>5</v>
      </c>
    </row>
    <row r="618" spans="1:5" hidden="1" x14ac:dyDescent="0.25">
      <c r="A618" s="115">
        <v>5.1920000000000002</v>
      </c>
      <c r="B618" s="115">
        <v>5.87</v>
      </c>
      <c r="C618" s="1">
        <v>870</v>
      </c>
      <c r="D618" s="1" t="s">
        <v>2648</v>
      </c>
      <c r="E618" s="1">
        <v>5</v>
      </c>
    </row>
    <row r="619" spans="1:5" hidden="1" x14ac:dyDescent="0.25">
      <c r="A619" s="115">
        <v>5.1929999999999996</v>
      </c>
      <c r="B619" s="115">
        <v>5.88</v>
      </c>
      <c r="C619" s="1">
        <v>880</v>
      </c>
      <c r="D619" s="1" t="s">
        <v>2649</v>
      </c>
      <c r="E619" s="1">
        <v>5</v>
      </c>
    </row>
    <row r="620" spans="1:5" hidden="1" x14ac:dyDescent="0.25">
      <c r="A620" s="115">
        <v>5.194</v>
      </c>
      <c r="B620" s="115">
        <v>5.89</v>
      </c>
      <c r="C620" s="1">
        <v>890</v>
      </c>
      <c r="D620" s="1" t="s">
        <v>2650</v>
      </c>
      <c r="E620" s="1">
        <v>5</v>
      </c>
    </row>
    <row r="621" spans="1:5" hidden="1" x14ac:dyDescent="0.25">
      <c r="A621" s="115">
        <v>5.1950000000000003</v>
      </c>
      <c r="B621" s="115">
        <v>5.8949999999999996</v>
      </c>
      <c r="C621" s="1">
        <v>895</v>
      </c>
      <c r="D621" s="1" t="s">
        <v>2651</v>
      </c>
      <c r="E621" s="1">
        <v>5</v>
      </c>
    </row>
    <row r="622" spans="1:5" hidden="1" x14ac:dyDescent="0.25">
      <c r="A622" s="115">
        <v>5.1959999999999997</v>
      </c>
      <c r="B622" s="115">
        <v>5.9</v>
      </c>
      <c r="C622" s="1">
        <v>900</v>
      </c>
      <c r="D622" s="1" t="s">
        <v>2652</v>
      </c>
      <c r="E622" s="1">
        <v>5</v>
      </c>
    </row>
    <row r="623" spans="1:5" hidden="1" x14ac:dyDescent="0.25">
      <c r="A623" s="115">
        <v>5.1970000000000001</v>
      </c>
      <c r="B623" s="115">
        <v>5.91</v>
      </c>
      <c r="C623" s="1">
        <v>910</v>
      </c>
      <c r="D623" s="1" t="s">
        <v>2653</v>
      </c>
      <c r="E623" s="1">
        <v>5</v>
      </c>
    </row>
    <row r="624" spans="1:5" hidden="1" x14ac:dyDescent="0.25">
      <c r="A624" s="115">
        <v>5.1980000000000004</v>
      </c>
      <c r="B624" s="115">
        <v>5.92</v>
      </c>
      <c r="C624" s="1">
        <v>920</v>
      </c>
      <c r="D624" s="1" t="s">
        <v>2654</v>
      </c>
      <c r="E624" s="1">
        <v>5</v>
      </c>
    </row>
    <row r="625" spans="1:5" hidden="1" x14ac:dyDescent="0.25">
      <c r="A625" s="115">
        <v>5.1989999999999998</v>
      </c>
      <c r="B625" s="115">
        <v>5.9249999999999998</v>
      </c>
      <c r="C625" s="1">
        <v>925</v>
      </c>
      <c r="D625" s="1" t="s">
        <v>2655</v>
      </c>
      <c r="E625" s="1">
        <v>5</v>
      </c>
    </row>
    <row r="626" spans="1:5" hidden="1" x14ac:dyDescent="0.25">
      <c r="A626" s="115">
        <v>5.2</v>
      </c>
      <c r="B626" s="115">
        <v>5.93</v>
      </c>
      <c r="C626" s="1">
        <v>930</v>
      </c>
      <c r="D626" s="1" t="s">
        <v>2656</v>
      </c>
      <c r="E626" s="1">
        <v>5</v>
      </c>
    </row>
    <row r="627" spans="1:5" hidden="1" x14ac:dyDescent="0.25">
      <c r="A627" s="115">
        <v>5.2009999999999996</v>
      </c>
      <c r="B627" s="115">
        <v>5.9349999999999996</v>
      </c>
      <c r="C627" s="1">
        <v>935</v>
      </c>
      <c r="D627" s="1" t="s">
        <v>2657</v>
      </c>
      <c r="E627" s="1">
        <v>5</v>
      </c>
    </row>
    <row r="628" spans="1:5" hidden="1" x14ac:dyDescent="0.25">
      <c r="A628" s="115">
        <v>5.202</v>
      </c>
      <c r="B628" s="115">
        <v>5.94</v>
      </c>
      <c r="C628" s="1">
        <v>940</v>
      </c>
      <c r="D628" s="1" t="s">
        <v>2658</v>
      </c>
      <c r="E628" s="1">
        <v>5</v>
      </c>
    </row>
    <row r="629" spans="1:5" hidden="1" x14ac:dyDescent="0.25">
      <c r="A629" s="115">
        <v>5.2030000000000003</v>
      </c>
      <c r="B629" s="115">
        <v>5.95</v>
      </c>
      <c r="C629" s="1">
        <v>950</v>
      </c>
      <c r="D629" s="1" t="s">
        <v>2659</v>
      </c>
      <c r="E629" s="1">
        <v>5</v>
      </c>
    </row>
    <row r="630" spans="1:5" hidden="1" x14ac:dyDescent="0.25">
      <c r="A630" s="115">
        <v>5.2039999999999997</v>
      </c>
      <c r="B630" s="115">
        <v>5.9550000000000001</v>
      </c>
      <c r="C630" s="1">
        <v>955</v>
      </c>
      <c r="D630" s="1" t="s">
        <v>2660</v>
      </c>
      <c r="E630" s="1">
        <v>5</v>
      </c>
    </row>
    <row r="631" spans="1:5" hidden="1" x14ac:dyDescent="0.25">
      <c r="A631" s="115">
        <v>5.2050000000000001</v>
      </c>
      <c r="B631" s="115">
        <v>5.96</v>
      </c>
      <c r="C631" s="1">
        <v>960</v>
      </c>
      <c r="D631" s="1" t="s">
        <v>2661</v>
      </c>
      <c r="E631" s="1">
        <v>5</v>
      </c>
    </row>
    <row r="632" spans="1:5" hidden="1" x14ac:dyDescent="0.25">
      <c r="A632" s="115">
        <v>5.2060000000000004</v>
      </c>
      <c r="B632" s="115">
        <v>5.97</v>
      </c>
      <c r="C632" s="1">
        <v>970</v>
      </c>
      <c r="D632" s="1" t="s">
        <v>2662</v>
      </c>
      <c r="E632" s="1">
        <v>5</v>
      </c>
    </row>
    <row r="633" spans="1:5" hidden="1" x14ac:dyDescent="0.25">
      <c r="A633" s="115">
        <v>5.2069999999999999</v>
      </c>
      <c r="B633" s="115">
        <v>5.98</v>
      </c>
      <c r="C633" s="1">
        <v>980</v>
      </c>
      <c r="D633" s="1" t="s">
        <v>2663</v>
      </c>
      <c r="E633" s="1">
        <v>5</v>
      </c>
    </row>
    <row r="634" spans="1:5" hidden="1" x14ac:dyDescent="0.25">
      <c r="A634" s="115">
        <v>5.2080000000000002</v>
      </c>
      <c r="B634" s="115">
        <v>5.99</v>
      </c>
      <c r="C634" s="1">
        <v>990</v>
      </c>
      <c r="D634" s="1" t="s">
        <v>2664</v>
      </c>
      <c r="E634" s="1">
        <v>5</v>
      </c>
    </row>
    <row r="635" spans="1:5" hidden="1" x14ac:dyDescent="0.25">
      <c r="A635" s="115">
        <v>5.2089999999999996</v>
      </c>
      <c r="B635" s="115">
        <v>5.0999999999999996</v>
      </c>
      <c r="C635" s="1">
        <v>1000</v>
      </c>
      <c r="D635" s="1" t="s">
        <v>2665</v>
      </c>
      <c r="E635" s="1">
        <v>5</v>
      </c>
    </row>
    <row r="636" spans="1:5" hidden="1" x14ac:dyDescent="0.25">
      <c r="A636" s="115">
        <v>5.21</v>
      </c>
      <c r="B636" s="115">
        <v>5.1100000000000003</v>
      </c>
      <c r="C636" s="1">
        <v>1100</v>
      </c>
      <c r="D636" s="1" t="s">
        <v>2666</v>
      </c>
      <c r="E636" s="1">
        <v>5</v>
      </c>
    </row>
    <row r="637" spans="1:5" hidden="1" x14ac:dyDescent="0.25">
      <c r="A637" s="115">
        <v>5.2110000000000003</v>
      </c>
      <c r="B637" s="115">
        <v>5.1109999999999998</v>
      </c>
      <c r="C637" s="1">
        <v>1110</v>
      </c>
      <c r="D637" s="1" t="s">
        <v>2667</v>
      </c>
      <c r="E637" s="1">
        <v>5</v>
      </c>
    </row>
    <row r="638" spans="1:5" hidden="1" x14ac:dyDescent="0.25">
      <c r="A638" s="115">
        <v>5.2119999999999997</v>
      </c>
      <c r="B638" s="115">
        <v>5.1120000000000001</v>
      </c>
      <c r="C638" s="1">
        <v>1120</v>
      </c>
      <c r="D638" s="1" t="s">
        <v>2668</v>
      </c>
      <c r="E638" s="1">
        <v>5</v>
      </c>
    </row>
    <row r="639" spans="1:5" hidden="1" x14ac:dyDescent="0.25">
      <c r="A639" s="115">
        <v>5.2130000000000001</v>
      </c>
      <c r="B639" s="115">
        <v>5.1130000000000004</v>
      </c>
      <c r="C639" s="1">
        <v>1130</v>
      </c>
      <c r="D639" s="1" t="s">
        <v>2669</v>
      </c>
      <c r="E639" s="1">
        <v>5</v>
      </c>
    </row>
    <row r="640" spans="1:5" hidden="1" x14ac:dyDescent="0.25">
      <c r="A640" s="115">
        <v>5.2140000000000004</v>
      </c>
      <c r="B640" s="115">
        <v>5.1139999999999999</v>
      </c>
      <c r="C640" s="1">
        <v>1140</v>
      </c>
      <c r="D640" s="1" t="s">
        <v>2670</v>
      </c>
      <c r="E640" s="1">
        <v>5</v>
      </c>
    </row>
    <row r="641" spans="1:5" hidden="1" x14ac:dyDescent="0.25">
      <c r="A641" s="115">
        <v>5.2149999999999999</v>
      </c>
      <c r="B641" s="115">
        <v>5.1150000000000002</v>
      </c>
      <c r="C641" s="1">
        <v>1150</v>
      </c>
      <c r="D641" s="1" t="s">
        <v>2671</v>
      </c>
      <c r="E641" s="1">
        <v>5</v>
      </c>
    </row>
    <row r="642" spans="1:5" hidden="1" x14ac:dyDescent="0.25">
      <c r="A642" s="115">
        <v>5.2160000000000002</v>
      </c>
      <c r="B642" s="115">
        <v>5.1159999999999997</v>
      </c>
      <c r="C642" s="1">
        <v>1160</v>
      </c>
      <c r="D642" s="1" t="s">
        <v>2672</v>
      </c>
      <c r="E642" s="1">
        <v>5</v>
      </c>
    </row>
    <row r="643" spans="1:5" hidden="1" x14ac:dyDescent="0.25">
      <c r="A643" s="115">
        <v>5.2169999999999996</v>
      </c>
      <c r="B643" s="115">
        <v>5.117</v>
      </c>
      <c r="C643" s="1">
        <v>1170</v>
      </c>
      <c r="D643" s="1" t="s">
        <v>2673</v>
      </c>
      <c r="E643" s="1">
        <v>5</v>
      </c>
    </row>
    <row r="644" spans="1:5" hidden="1" x14ac:dyDescent="0.25">
      <c r="A644" s="115">
        <v>5.218</v>
      </c>
      <c r="B644" s="115">
        <v>5.1180000000000003</v>
      </c>
      <c r="C644" s="1">
        <v>1180</v>
      </c>
      <c r="D644" s="1" t="s">
        <v>2674</v>
      </c>
      <c r="E644" s="1">
        <v>5</v>
      </c>
    </row>
    <row r="645" spans="1:5" hidden="1" x14ac:dyDescent="0.25">
      <c r="A645" s="115">
        <v>5.2190000000000003</v>
      </c>
      <c r="B645" s="115">
        <v>5.1189999999999998</v>
      </c>
      <c r="C645" s="1">
        <v>1190</v>
      </c>
      <c r="D645" s="1" t="s">
        <v>2675</v>
      </c>
      <c r="E645" s="1">
        <v>5</v>
      </c>
    </row>
    <row r="646" spans="1:5" hidden="1" x14ac:dyDescent="0.25">
      <c r="A646" s="115">
        <v>5.22</v>
      </c>
      <c r="B646" s="115">
        <v>5.12</v>
      </c>
      <c r="C646" s="1">
        <v>1200</v>
      </c>
      <c r="D646" s="1" t="s">
        <v>2676</v>
      </c>
      <c r="E646" s="1">
        <v>5</v>
      </c>
    </row>
    <row r="647" spans="1:5" hidden="1" x14ac:dyDescent="0.25">
      <c r="A647" s="115">
        <v>5.2210000000000001</v>
      </c>
      <c r="B647" s="115">
        <v>5.1210000000000004</v>
      </c>
      <c r="C647" s="1">
        <v>1210</v>
      </c>
      <c r="D647" s="1" t="s">
        <v>2677</v>
      </c>
      <c r="E647" s="1">
        <v>5</v>
      </c>
    </row>
    <row r="648" spans="1:5" hidden="1" x14ac:dyDescent="0.25">
      <c r="A648" s="115">
        <v>5.2220000000000004</v>
      </c>
      <c r="B648" s="115">
        <v>5.1219999999999999</v>
      </c>
      <c r="C648" s="1">
        <v>1220</v>
      </c>
      <c r="D648" s="1" t="s">
        <v>2678</v>
      </c>
      <c r="E648" s="1">
        <v>5</v>
      </c>
    </row>
    <row r="649" spans="1:5" hidden="1" x14ac:dyDescent="0.25">
      <c r="A649" s="115">
        <v>5.2229999999999999</v>
      </c>
      <c r="B649" s="115">
        <v>5.1230000000000002</v>
      </c>
      <c r="C649" s="1">
        <v>1230</v>
      </c>
      <c r="D649" s="1" t="s">
        <v>2679</v>
      </c>
      <c r="E649" s="1">
        <v>5</v>
      </c>
    </row>
    <row r="650" spans="1:5" hidden="1" x14ac:dyDescent="0.25">
      <c r="A650" s="115">
        <v>5.2240000000000002</v>
      </c>
      <c r="B650" s="115">
        <v>5.1239999999999997</v>
      </c>
      <c r="C650" s="1">
        <v>1240</v>
      </c>
      <c r="D650" s="1" t="s">
        <v>2680</v>
      </c>
      <c r="E650" s="1">
        <v>5</v>
      </c>
    </row>
    <row r="651" spans="1:5" hidden="1" x14ac:dyDescent="0.25">
      <c r="A651" s="115">
        <v>5.2249999999999996</v>
      </c>
      <c r="B651" s="115">
        <v>5.125</v>
      </c>
      <c r="C651" s="1">
        <v>1250</v>
      </c>
      <c r="D651" s="1" t="s">
        <v>2681</v>
      </c>
      <c r="E651" s="1">
        <v>5</v>
      </c>
    </row>
    <row r="652" spans="1:5" hidden="1" x14ac:dyDescent="0.25">
      <c r="A652" s="115">
        <v>5.226</v>
      </c>
      <c r="B652" s="115">
        <v>5.1260000000000003</v>
      </c>
      <c r="C652" s="1">
        <v>1260</v>
      </c>
      <c r="D652" s="1" t="s">
        <v>2682</v>
      </c>
      <c r="E652" s="1">
        <v>5</v>
      </c>
    </row>
    <row r="653" spans="1:5" hidden="1" x14ac:dyDescent="0.25">
      <c r="A653" s="115">
        <v>5.2270000000000003</v>
      </c>
      <c r="B653" s="115">
        <v>5.1269999999999998</v>
      </c>
      <c r="C653" s="1">
        <v>1270</v>
      </c>
      <c r="D653" s="1" t="s">
        <v>2683</v>
      </c>
      <c r="E653" s="1">
        <v>5</v>
      </c>
    </row>
    <row r="654" spans="1:5" hidden="1" x14ac:dyDescent="0.25">
      <c r="A654" s="115">
        <v>5.2279999999999998</v>
      </c>
      <c r="B654" s="115">
        <v>5.1280000000000001</v>
      </c>
      <c r="C654" s="1">
        <v>1280</v>
      </c>
      <c r="D654" s="1" t="s">
        <v>2684</v>
      </c>
      <c r="E654" s="1">
        <v>5</v>
      </c>
    </row>
    <row r="655" spans="1:5" hidden="1" x14ac:dyDescent="0.25">
      <c r="A655" s="115">
        <v>5.2290000000000001</v>
      </c>
      <c r="B655" s="115">
        <v>5.13</v>
      </c>
      <c r="C655" s="1">
        <v>1300</v>
      </c>
      <c r="D655" s="1" t="s">
        <v>2685</v>
      </c>
      <c r="E655" s="1">
        <v>5</v>
      </c>
    </row>
    <row r="656" spans="1:5" hidden="1" x14ac:dyDescent="0.25">
      <c r="A656" s="115">
        <v>5.23</v>
      </c>
      <c r="B656" s="115">
        <v>5.1310000000000002</v>
      </c>
      <c r="C656" s="1">
        <v>1310</v>
      </c>
      <c r="D656" s="1" t="s">
        <v>2686</v>
      </c>
      <c r="E656" s="1">
        <v>5</v>
      </c>
    </row>
    <row r="657" spans="1:5" hidden="1" x14ac:dyDescent="0.25">
      <c r="A657" s="115">
        <v>5.2309999999999999</v>
      </c>
      <c r="B657" s="115">
        <v>5.1319999999999997</v>
      </c>
      <c r="C657" s="1">
        <v>1320</v>
      </c>
      <c r="D657" s="1" t="s">
        <v>2687</v>
      </c>
      <c r="E657" s="1">
        <v>5</v>
      </c>
    </row>
    <row r="658" spans="1:5" hidden="1" x14ac:dyDescent="0.25">
      <c r="A658" s="115">
        <v>6.101</v>
      </c>
      <c r="B658" s="115">
        <v>6.1</v>
      </c>
      <c r="C658" s="1">
        <v>10</v>
      </c>
      <c r="D658" s="1" t="s">
        <v>2559</v>
      </c>
      <c r="E658" s="1">
        <v>6</v>
      </c>
    </row>
    <row r="659" spans="1:5" hidden="1" x14ac:dyDescent="0.25">
      <c r="A659" s="115">
        <v>6.1020000000000003</v>
      </c>
      <c r="B659" s="115">
        <v>6.2</v>
      </c>
      <c r="C659" s="1">
        <v>20</v>
      </c>
      <c r="D659" s="1" t="s">
        <v>2560</v>
      </c>
      <c r="E659" s="1">
        <v>6</v>
      </c>
    </row>
    <row r="660" spans="1:5" hidden="1" x14ac:dyDescent="0.25">
      <c r="A660" s="115">
        <v>6.1029999999999998</v>
      </c>
      <c r="B660" s="115">
        <v>6.3</v>
      </c>
      <c r="C660" s="1">
        <v>30</v>
      </c>
      <c r="D660" s="1" t="s">
        <v>2561</v>
      </c>
      <c r="E660" s="1">
        <v>6</v>
      </c>
    </row>
    <row r="661" spans="1:5" hidden="1" x14ac:dyDescent="0.25">
      <c r="A661" s="115">
        <v>6.1040000000000001</v>
      </c>
      <c r="B661" s="115">
        <v>6.4</v>
      </c>
      <c r="C661" s="1">
        <v>40</v>
      </c>
      <c r="D661" s="1" t="s">
        <v>2562</v>
      </c>
      <c r="E661" s="1">
        <v>6</v>
      </c>
    </row>
    <row r="662" spans="1:5" hidden="1" x14ac:dyDescent="0.25">
      <c r="A662" s="115">
        <v>6.1050000000000004</v>
      </c>
      <c r="B662" s="115">
        <v>6.5</v>
      </c>
      <c r="C662" s="1">
        <v>50</v>
      </c>
      <c r="D662" s="1" t="s">
        <v>2563</v>
      </c>
      <c r="E662" s="1">
        <v>6</v>
      </c>
    </row>
    <row r="663" spans="1:5" hidden="1" x14ac:dyDescent="0.25">
      <c r="A663" s="115">
        <v>6.1059999999999999</v>
      </c>
      <c r="B663" s="115">
        <v>6.6</v>
      </c>
      <c r="C663" s="1">
        <v>60</v>
      </c>
      <c r="D663" s="1" t="s">
        <v>2564</v>
      </c>
      <c r="E663" s="1">
        <v>6</v>
      </c>
    </row>
    <row r="664" spans="1:5" hidden="1" x14ac:dyDescent="0.25">
      <c r="A664" s="115">
        <v>6.1070000000000002</v>
      </c>
      <c r="B664" s="115">
        <v>6.7</v>
      </c>
      <c r="C664" s="1">
        <v>70</v>
      </c>
      <c r="D664" s="1" t="s">
        <v>2565</v>
      </c>
      <c r="E664" s="1">
        <v>6</v>
      </c>
    </row>
    <row r="665" spans="1:5" hidden="1" x14ac:dyDescent="0.25">
      <c r="A665" s="115">
        <v>6.1079999999999997</v>
      </c>
      <c r="B665" s="115">
        <v>6.8</v>
      </c>
      <c r="C665" s="1">
        <v>80</v>
      </c>
      <c r="D665" s="1" t="s">
        <v>2566</v>
      </c>
      <c r="E665" s="1">
        <v>6</v>
      </c>
    </row>
    <row r="666" spans="1:5" hidden="1" x14ac:dyDescent="0.25">
      <c r="A666" s="115">
        <v>6.109</v>
      </c>
      <c r="B666" s="115">
        <v>6.9</v>
      </c>
      <c r="C666" s="1">
        <v>90</v>
      </c>
      <c r="D666" s="1" t="s">
        <v>2567</v>
      </c>
      <c r="E666" s="1">
        <v>6</v>
      </c>
    </row>
    <row r="667" spans="1:5" hidden="1" x14ac:dyDescent="0.25">
      <c r="A667" s="115">
        <v>6.11</v>
      </c>
      <c r="B667" s="115">
        <v>6.1</v>
      </c>
      <c r="C667" s="1">
        <v>100</v>
      </c>
      <c r="D667" s="1" t="s">
        <v>2568</v>
      </c>
      <c r="E667" s="1">
        <v>6</v>
      </c>
    </row>
    <row r="668" spans="1:5" hidden="1" x14ac:dyDescent="0.25">
      <c r="A668" s="115">
        <v>6.1109999999999998</v>
      </c>
      <c r="B668" s="115">
        <v>6.11</v>
      </c>
      <c r="C668" s="1">
        <v>110</v>
      </c>
      <c r="D668" s="1" t="s">
        <v>2569</v>
      </c>
      <c r="E668" s="1">
        <v>6</v>
      </c>
    </row>
    <row r="669" spans="1:5" hidden="1" x14ac:dyDescent="0.25">
      <c r="A669" s="115">
        <v>6.1120000000000001</v>
      </c>
      <c r="B669" s="115">
        <v>6.12</v>
      </c>
      <c r="C669" s="1">
        <v>120</v>
      </c>
      <c r="D669" s="1" t="s">
        <v>2570</v>
      </c>
      <c r="E669" s="1">
        <v>6</v>
      </c>
    </row>
    <row r="670" spans="1:5" hidden="1" x14ac:dyDescent="0.25">
      <c r="A670" s="115">
        <v>6.1130000000000004</v>
      </c>
      <c r="B670" s="115">
        <v>6.13</v>
      </c>
      <c r="C670" s="1">
        <v>130</v>
      </c>
      <c r="D670" s="1" t="s">
        <v>2571</v>
      </c>
      <c r="E670" s="1">
        <v>6</v>
      </c>
    </row>
    <row r="671" spans="1:5" hidden="1" x14ac:dyDescent="0.25">
      <c r="A671" s="115">
        <v>6.1139999999999999</v>
      </c>
      <c r="B671" s="115">
        <v>6.14</v>
      </c>
      <c r="C671" s="1">
        <v>140</v>
      </c>
      <c r="D671" s="1" t="s">
        <v>2572</v>
      </c>
      <c r="E671" s="1">
        <v>6</v>
      </c>
    </row>
    <row r="672" spans="1:5" hidden="1" x14ac:dyDescent="0.25">
      <c r="A672" s="115">
        <v>6.1150000000000002</v>
      </c>
      <c r="B672" s="115">
        <v>6.15</v>
      </c>
      <c r="C672" s="1">
        <v>150</v>
      </c>
      <c r="D672" s="1" t="s">
        <v>2573</v>
      </c>
      <c r="E672" s="1">
        <v>6</v>
      </c>
    </row>
    <row r="673" spans="1:5" hidden="1" x14ac:dyDescent="0.25">
      <c r="A673" s="115">
        <v>6.1159999999999997</v>
      </c>
      <c r="B673" s="115">
        <v>6.16</v>
      </c>
      <c r="C673" s="1">
        <v>160</v>
      </c>
      <c r="D673" s="1" t="s">
        <v>2574</v>
      </c>
      <c r="E673" s="1">
        <v>6</v>
      </c>
    </row>
    <row r="674" spans="1:5" hidden="1" x14ac:dyDescent="0.25">
      <c r="A674" s="115">
        <v>6.117</v>
      </c>
      <c r="B674" s="115">
        <v>6.17</v>
      </c>
      <c r="C674" s="1">
        <v>170</v>
      </c>
      <c r="D674" s="1" t="s">
        <v>2575</v>
      </c>
      <c r="E674" s="1">
        <v>6</v>
      </c>
    </row>
    <row r="675" spans="1:5" hidden="1" x14ac:dyDescent="0.25">
      <c r="A675" s="115">
        <v>6.1180000000000003</v>
      </c>
      <c r="B675" s="115">
        <v>6.18</v>
      </c>
      <c r="C675" s="1">
        <v>180</v>
      </c>
      <c r="D675" s="1" t="s">
        <v>2576</v>
      </c>
      <c r="E675" s="1">
        <v>6</v>
      </c>
    </row>
    <row r="676" spans="1:5" hidden="1" x14ac:dyDescent="0.25">
      <c r="A676" s="115">
        <v>6.1189999999999998</v>
      </c>
      <c r="B676" s="115">
        <v>6.19</v>
      </c>
      <c r="C676" s="1">
        <v>190</v>
      </c>
      <c r="D676" s="1" t="s">
        <v>2577</v>
      </c>
      <c r="E676" s="1">
        <v>6</v>
      </c>
    </row>
    <row r="677" spans="1:5" hidden="1" x14ac:dyDescent="0.25">
      <c r="A677" s="115">
        <v>6.12</v>
      </c>
      <c r="B677" s="115">
        <v>6.2</v>
      </c>
      <c r="C677" s="1">
        <v>200</v>
      </c>
      <c r="D677" s="1" t="s">
        <v>2578</v>
      </c>
      <c r="E677" s="1">
        <v>6</v>
      </c>
    </row>
    <row r="678" spans="1:5" hidden="1" x14ac:dyDescent="0.25">
      <c r="A678" s="115">
        <v>6.1210000000000004</v>
      </c>
      <c r="B678" s="115">
        <v>6.21</v>
      </c>
      <c r="C678" s="1">
        <v>210</v>
      </c>
      <c r="D678" s="1" t="s">
        <v>2579</v>
      </c>
      <c r="E678" s="1">
        <v>6</v>
      </c>
    </row>
    <row r="679" spans="1:5" hidden="1" x14ac:dyDescent="0.25">
      <c r="A679" s="115">
        <v>6.1219999999999999</v>
      </c>
      <c r="B679" s="115">
        <v>6.22</v>
      </c>
      <c r="C679" s="1">
        <v>220</v>
      </c>
      <c r="D679" s="1" t="s">
        <v>2580</v>
      </c>
      <c r="E679" s="1">
        <v>6</v>
      </c>
    </row>
    <row r="680" spans="1:5" hidden="1" x14ac:dyDescent="0.25">
      <c r="A680" s="115">
        <v>6.1230000000000002</v>
      </c>
      <c r="B680" s="115">
        <v>6.23</v>
      </c>
      <c r="C680" s="1">
        <v>230</v>
      </c>
      <c r="D680" s="1" t="s">
        <v>2581</v>
      </c>
      <c r="E680" s="1">
        <v>6</v>
      </c>
    </row>
    <row r="681" spans="1:5" hidden="1" x14ac:dyDescent="0.25">
      <c r="A681" s="115">
        <v>6.1239999999999997</v>
      </c>
      <c r="B681" s="115">
        <v>6.24</v>
      </c>
      <c r="C681" s="1">
        <v>240</v>
      </c>
      <c r="D681" s="1" t="s">
        <v>2582</v>
      </c>
      <c r="E681" s="1">
        <v>6</v>
      </c>
    </row>
    <row r="682" spans="1:5" hidden="1" x14ac:dyDescent="0.25">
      <c r="A682" s="115">
        <v>6.125</v>
      </c>
      <c r="B682" s="115">
        <v>6.25</v>
      </c>
      <c r="C682" s="1">
        <v>250</v>
      </c>
      <c r="D682" s="1" t="s">
        <v>2583</v>
      </c>
      <c r="E682" s="1">
        <v>6</v>
      </c>
    </row>
    <row r="683" spans="1:5" hidden="1" x14ac:dyDescent="0.25">
      <c r="A683" s="115">
        <v>6.1260000000000003</v>
      </c>
      <c r="B683" s="115">
        <v>6.26</v>
      </c>
      <c r="C683" s="1">
        <v>260</v>
      </c>
      <c r="D683" s="1" t="s">
        <v>2584</v>
      </c>
      <c r="E683" s="1">
        <v>6</v>
      </c>
    </row>
    <row r="684" spans="1:5" hidden="1" x14ac:dyDescent="0.25">
      <c r="A684" s="115">
        <v>6.1269999999999998</v>
      </c>
      <c r="B684" s="115">
        <v>6.27</v>
      </c>
      <c r="C684" s="1">
        <v>270</v>
      </c>
      <c r="D684" s="1" t="s">
        <v>2585</v>
      </c>
      <c r="E684" s="1">
        <v>6</v>
      </c>
    </row>
    <row r="685" spans="1:5" hidden="1" x14ac:dyDescent="0.25">
      <c r="A685" s="115">
        <v>6.1280000000000001</v>
      </c>
      <c r="B685" s="115">
        <v>6.28</v>
      </c>
      <c r="C685" s="1">
        <v>280</v>
      </c>
      <c r="D685" s="1" t="s">
        <v>2586</v>
      </c>
      <c r="E685" s="1">
        <v>6</v>
      </c>
    </row>
    <row r="686" spans="1:5" hidden="1" x14ac:dyDescent="0.25">
      <c r="A686" s="115">
        <v>6.1289999999999996</v>
      </c>
      <c r="B686" s="115">
        <v>6.29</v>
      </c>
      <c r="C686" s="1">
        <v>290</v>
      </c>
      <c r="D686" s="1" t="s">
        <v>2587</v>
      </c>
      <c r="E686" s="1">
        <v>6</v>
      </c>
    </row>
    <row r="687" spans="1:5" hidden="1" x14ac:dyDescent="0.25">
      <c r="A687" s="115">
        <v>6.13</v>
      </c>
      <c r="B687" s="115">
        <v>6.3</v>
      </c>
      <c r="C687" s="1">
        <v>300</v>
      </c>
      <c r="D687" s="1" t="s">
        <v>2588</v>
      </c>
      <c r="E687" s="1">
        <v>6</v>
      </c>
    </row>
    <row r="688" spans="1:5" hidden="1" x14ac:dyDescent="0.25">
      <c r="A688" s="115">
        <v>6.1310000000000002</v>
      </c>
      <c r="B688" s="115">
        <v>6.31</v>
      </c>
      <c r="C688" s="1">
        <v>310</v>
      </c>
      <c r="D688" s="1" t="s">
        <v>2589</v>
      </c>
      <c r="E688" s="1">
        <v>6</v>
      </c>
    </row>
    <row r="689" spans="1:5" hidden="1" x14ac:dyDescent="0.25">
      <c r="A689" s="115">
        <v>6.1319999999999997</v>
      </c>
      <c r="B689" s="115">
        <v>6.32</v>
      </c>
      <c r="C689" s="1">
        <v>320</v>
      </c>
      <c r="D689" s="1" t="s">
        <v>2590</v>
      </c>
      <c r="E689" s="1">
        <v>6</v>
      </c>
    </row>
    <row r="690" spans="1:5" hidden="1" x14ac:dyDescent="0.25">
      <c r="A690" s="115">
        <v>6.133</v>
      </c>
      <c r="B690" s="115">
        <v>6.33</v>
      </c>
      <c r="C690" s="1">
        <v>330</v>
      </c>
      <c r="D690" s="1" t="s">
        <v>2591</v>
      </c>
      <c r="E690" s="1">
        <v>6</v>
      </c>
    </row>
    <row r="691" spans="1:5" hidden="1" x14ac:dyDescent="0.25">
      <c r="A691" s="115">
        <v>6.1340000000000003</v>
      </c>
      <c r="B691" s="115">
        <v>6.34</v>
      </c>
      <c r="C691" s="1">
        <v>340</v>
      </c>
      <c r="D691" s="1" t="s">
        <v>2592</v>
      </c>
      <c r="E691" s="1">
        <v>6</v>
      </c>
    </row>
    <row r="692" spans="1:5" hidden="1" x14ac:dyDescent="0.25">
      <c r="A692" s="115">
        <v>6.1349999999999998</v>
      </c>
      <c r="B692" s="115">
        <v>6.35</v>
      </c>
      <c r="C692" s="1">
        <v>350</v>
      </c>
      <c r="D692" s="1" t="s">
        <v>2593</v>
      </c>
      <c r="E692" s="1">
        <v>6</v>
      </c>
    </row>
    <row r="693" spans="1:5" hidden="1" x14ac:dyDescent="0.25">
      <c r="A693" s="115">
        <v>6.1360000000000001</v>
      </c>
      <c r="B693" s="115">
        <v>6.36</v>
      </c>
      <c r="C693" s="1">
        <v>360</v>
      </c>
      <c r="D693" s="1" t="s">
        <v>2594</v>
      </c>
      <c r="E693" s="1">
        <v>6</v>
      </c>
    </row>
    <row r="694" spans="1:5" hidden="1" x14ac:dyDescent="0.25">
      <c r="A694" s="115">
        <v>6.1369999999999996</v>
      </c>
      <c r="B694" s="115">
        <v>6.37</v>
      </c>
      <c r="C694" s="1">
        <v>370</v>
      </c>
      <c r="D694" s="1" t="s">
        <v>2595</v>
      </c>
      <c r="E694" s="1">
        <v>6</v>
      </c>
    </row>
    <row r="695" spans="1:5" hidden="1" x14ac:dyDescent="0.25">
      <c r="A695" s="115">
        <v>6.1379999999999999</v>
      </c>
      <c r="B695" s="115">
        <v>6.38</v>
      </c>
      <c r="C695" s="1">
        <v>380</v>
      </c>
      <c r="D695" s="1" t="s">
        <v>2596</v>
      </c>
      <c r="E695" s="1">
        <v>6</v>
      </c>
    </row>
    <row r="696" spans="1:5" hidden="1" x14ac:dyDescent="0.25">
      <c r="A696" s="115">
        <v>6.1390000000000002</v>
      </c>
      <c r="B696" s="115">
        <v>6.39</v>
      </c>
      <c r="C696" s="1">
        <v>390</v>
      </c>
      <c r="D696" s="1" t="s">
        <v>2597</v>
      </c>
      <c r="E696" s="1">
        <v>6</v>
      </c>
    </row>
    <row r="697" spans="1:5" hidden="1" x14ac:dyDescent="0.25">
      <c r="A697" s="115">
        <v>6.14</v>
      </c>
      <c r="B697" s="115">
        <v>6.4</v>
      </c>
      <c r="C697" s="1">
        <v>400</v>
      </c>
      <c r="D697" s="1" t="s">
        <v>2598</v>
      </c>
      <c r="E697" s="1">
        <v>6</v>
      </c>
    </row>
    <row r="698" spans="1:5" hidden="1" x14ac:dyDescent="0.25">
      <c r="A698" s="115">
        <v>6.141</v>
      </c>
      <c r="B698" s="115">
        <v>6.41</v>
      </c>
      <c r="C698" s="1">
        <v>410</v>
      </c>
      <c r="D698" s="1" t="s">
        <v>2599</v>
      </c>
      <c r="E698" s="1">
        <v>6</v>
      </c>
    </row>
    <row r="699" spans="1:5" hidden="1" x14ac:dyDescent="0.25">
      <c r="A699" s="115">
        <v>6.1420000000000003</v>
      </c>
      <c r="B699" s="115">
        <v>6.42</v>
      </c>
      <c r="C699" s="1">
        <v>420</v>
      </c>
      <c r="D699" s="1" t="s">
        <v>2600</v>
      </c>
      <c r="E699" s="1">
        <v>6</v>
      </c>
    </row>
    <row r="700" spans="1:5" hidden="1" x14ac:dyDescent="0.25">
      <c r="A700" s="115">
        <v>6.1429999999999998</v>
      </c>
      <c r="B700" s="115">
        <v>6.43</v>
      </c>
      <c r="C700" s="1">
        <v>430</v>
      </c>
      <c r="D700" s="1" t="s">
        <v>2601</v>
      </c>
      <c r="E700" s="1">
        <v>6</v>
      </c>
    </row>
    <row r="701" spans="1:5" hidden="1" x14ac:dyDescent="0.25">
      <c r="A701" s="115">
        <v>6.1440000000000001</v>
      </c>
      <c r="B701" s="115">
        <v>6.44</v>
      </c>
      <c r="C701" s="1">
        <v>440</v>
      </c>
      <c r="D701" s="1" t="s">
        <v>2602</v>
      </c>
      <c r="E701" s="1">
        <v>6</v>
      </c>
    </row>
    <row r="702" spans="1:5" hidden="1" x14ac:dyDescent="0.25">
      <c r="A702" s="115">
        <v>6.1449999999999996</v>
      </c>
      <c r="B702" s="115">
        <v>6.4450000000000003</v>
      </c>
      <c r="C702" s="1">
        <v>445</v>
      </c>
      <c r="D702" s="1" t="s">
        <v>2603</v>
      </c>
      <c r="E702" s="1">
        <v>6</v>
      </c>
    </row>
    <row r="703" spans="1:5" hidden="1" x14ac:dyDescent="0.25">
      <c r="A703" s="115">
        <v>6.1459999999999999</v>
      </c>
      <c r="B703" s="115">
        <v>6.45</v>
      </c>
      <c r="C703" s="1">
        <v>450</v>
      </c>
      <c r="D703" s="1" t="s">
        <v>2604</v>
      </c>
      <c r="E703" s="1">
        <v>6</v>
      </c>
    </row>
    <row r="704" spans="1:5" hidden="1" x14ac:dyDescent="0.25">
      <c r="A704" s="115">
        <v>6.1470000000000002</v>
      </c>
      <c r="B704" s="115">
        <v>6.46</v>
      </c>
      <c r="C704" s="1">
        <v>460</v>
      </c>
      <c r="D704" s="1" t="s">
        <v>2605</v>
      </c>
      <c r="E704" s="1">
        <v>6</v>
      </c>
    </row>
    <row r="705" spans="1:5" hidden="1" x14ac:dyDescent="0.25">
      <c r="A705" s="115">
        <v>6.1479999999999997</v>
      </c>
      <c r="B705" s="115">
        <v>6.47</v>
      </c>
      <c r="C705" s="1">
        <v>470</v>
      </c>
      <c r="D705" s="1" t="s">
        <v>2606</v>
      </c>
      <c r="E705" s="1">
        <v>6</v>
      </c>
    </row>
    <row r="706" spans="1:5" hidden="1" x14ac:dyDescent="0.25">
      <c r="A706" s="115">
        <v>6.149</v>
      </c>
      <c r="B706" s="115">
        <v>6.48</v>
      </c>
      <c r="C706" s="1">
        <v>480</v>
      </c>
      <c r="D706" s="1" t="s">
        <v>2607</v>
      </c>
      <c r="E706" s="1">
        <v>6</v>
      </c>
    </row>
    <row r="707" spans="1:5" hidden="1" x14ac:dyDescent="0.25">
      <c r="A707" s="115">
        <v>6.15</v>
      </c>
      <c r="B707" s="115">
        <v>6.49</v>
      </c>
      <c r="C707" s="1">
        <v>490</v>
      </c>
      <c r="D707" s="1" t="s">
        <v>2608</v>
      </c>
      <c r="E707" s="1">
        <v>6</v>
      </c>
    </row>
    <row r="708" spans="1:5" hidden="1" x14ac:dyDescent="0.25">
      <c r="A708" s="115">
        <v>6.1509999999999998</v>
      </c>
      <c r="B708" s="115">
        <v>6.5</v>
      </c>
      <c r="C708" s="1">
        <v>500</v>
      </c>
      <c r="D708" s="1" t="s">
        <v>2609</v>
      </c>
      <c r="E708" s="1">
        <v>6</v>
      </c>
    </row>
    <row r="709" spans="1:5" hidden="1" x14ac:dyDescent="0.25">
      <c r="A709" s="115">
        <v>6.1520000000000001</v>
      </c>
      <c r="B709" s="115">
        <v>6.51</v>
      </c>
      <c r="C709" s="1">
        <v>510</v>
      </c>
      <c r="D709" s="1" t="s">
        <v>2610</v>
      </c>
      <c r="E709" s="1">
        <v>6</v>
      </c>
    </row>
    <row r="710" spans="1:5" hidden="1" x14ac:dyDescent="0.25">
      <c r="A710" s="115">
        <v>6.1529999999999996</v>
      </c>
      <c r="B710" s="115">
        <v>6.52</v>
      </c>
      <c r="C710" s="1">
        <v>520</v>
      </c>
      <c r="D710" s="1" t="s">
        <v>2611</v>
      </c>
      <c r="E710" s="1">
        <v>6</v>
      </c>
    </row>
    <row r="711" spans="1:5" hidden="1" x14ac:dyDescent="0.25">
      <c r="A711" s="115">
        <v>6.1539999999999999</v>
      </c>
      <c r="B711" s="115">
        <v>6.53</v>
      </c>
      <c r="C711" s="1">
        <v>530</v>
      </c>
      <c r="D711" s="1" t="s">
        <v>2612</v>
      </c>
      <c r="E711" s="1">
        <v>6</v>
      </c>
    </row>
    <row r="712" spans="1:5" hidden="1" x14ac:dyDescent="0.25">
      <c r="A712" s="115">
        <v>6.1550000000000002</v>
      </c>
      <c r="B712" s="115">
        <v>6.54</v>
      </c>
      <c r="C712" s="1">
        <v>540</v>
      </c>
      <c r="D712" s="1" t="s">
        <v>2613</v>
      </c>
      <c r="E712" s="1">
        <v>6</v>
      </c>
    </row>
    <row r="713" spans="1:5" hidden="1" x14ac:dyDescent="0.25">
      <c r="A713" s="115">
        <v>6.1559999999999997</v>
      </c>
      <c r="B713" s="115">
        <v>6.55</v>
      </c>
      <c r="C713" s="1">
        <v>550</v>
      </c>
      <c r="D713" s="1" t="s">
        <v>2614</v>
      </c>
      <c r="E713" s="1">
        <v>6</v>
      </c>
    </row>
    <row r="714" spans="1:5" hidden="1" x14ac:dyDescent="0.25">
      <c r="A714" s="115">
        <v>6.157</v>
      </c>
      <c r="B714" s="115">
        <v>6.56</v>
      </c>
      <c r="C714" s="1">
        <v>560</v>
      </c>
      <c r="D714" s="1" t="s">
        <v>2615</v>
      </c>
      <c r="E714" s="1">
        <v>6</v>
      </c>
    </row>
    <row r="715" spans="1:5" hidden="1" x14ac:dyDescent="0.25">
      <c r="A715" s="115">
        <v>6.1580000000000004</v>
      </c>
      <c r="B715" s="115">
        <v>6.57</v>
      </c>
      <c r="C715" s="1">
        <v>570</v>
      </c>
      <c r="D715" s="1" t="s">
        <v>2616</v>
      </c>
      <c r="E715" s="1">
        <v>6</v>
      </c>
    </row>
    <row r="716" spans="1:5" hidden="1" x14ac:dyDescent="0.25">
      <c r="A716" s="115">
        <v>6.1589999999999998</v>
      </c>
      <c r="B716" s="115">
        <v>6.5750000000000002</v>
      </c>
      <c r="C716" s="1">
        <v>575</v>
      </c>
      <c r="D716" s="1" t="s">
        <v>2617</v>
      </c>
      <c r="E716" s="1">
        <v>6</v>
      </c>
    </row>
    <row r="717" spans="1:5" hidden="1" x14ac:dyDescent="0.25">
      <c r="A717" s="115">
        <v>6.16</v>
      </c>
      <c r="B717" s="115">
        <v>6.5759999999999996</v>
      </c>
      <c r="C717" s="1">
        <v>576</v>
      </c>
      <c r="D717" s="1" t="s">
        <v>2618</v>
      </c>
      <c r="E717" s="1">
        <v>6</v>
      </c>
    </row>
    <row r="718" spans="1:5" hidden="1" x14ac:dyDescent="0.25">
      <c r="A718" s="115">
        <v>6.1609999999999996</v>
      </c>
      <c r="B718" s="115">
        <v>6.58</v>
      </c>
      <c r="C718" s="1">
        <v>580</v>
      </c>
      <c r="D718" s="1" t="s">
        <v>2619</v>
      </c>
      <c r="E718" s="1">
        <v>6</v>
      </c>
    </row>
    <row r="719" spans="1:5" hidden="1" x14ac:dyDescent="0.25">
      <c r="A719" s="115">
        <v>6.1619999999999999</v>
      </c>
      <c r="B719" s="115">
        <v>6.59</v>
      </c>
      <c r="C719" s="1">
        <v>590</v>
      </c>
      <c r="D719" s="1" t="s">
        <v>1099</v>
      </c>
      <c r="E719" s="1">
        <v>6</v>
      </c>
    </row>
    <row r="720" spans="1:5" hidden="1" x14ac:dyDescent="0.25">
      <c r="A720" s="115">
        <v>6.1630000000000003</v>
      </c>
      <c r="B720" s="115">
        <v>6.6</v>
      </c>
      <c r="C720" s="1">
        <v>600</v>
      </c>
      <c r="D720" s="1" t="s">
        <v>2620</v>
      </c>
      <c r="E720" s="1">
        <v>6</v>
      </c>
    </row>
    <row r="721" spans="1:5" hidden="1" x14ac:dyDescent="0.25">
      <c r="A721" s="115">
        <v>6.1639999999999997</v>
      </c>
      <c r="B721" s="115">
        <v>6.61</v>
      </c>
      <c r="C721" s="1">
        <v>610</v>
      </c>
      <c r="D721" s="1" t="s">
        <v>2621</v>
      </c>
      <c r="E721" s="1">
        <v>6</v>
      </c>
    </row>
    <row r="722" spans="1:5" hidden="1" x14ac:dyDescent="0.25">
      <c r="A722" s="115">
        <v>6.165</v>
      </c>
      <c r="B722" s="115">
        <v>6.62</v>
      </c>
      <c r="C722" s="1">
        <v>620</v>
      </c>
      <c r="D722" s="1" t="s">
        <v>2622</v>
      </c>
      <c r="E722" s="1">
        <v>6</v>
      </c>
    </row>
    <row r="723" spans="1:5" hidden="1" x14ac:dyDescent="0.25">
      <c r="A723" s="115">
        <v>6.1660000000000004</v>
      </c>
      <c r="B723" s="115">
        <v>6.63</v>
      </c>
      <c r="C723" s="1">
        <v>630</v>
      </c>
      <c r="D723" s="1" t="s">
        <v>2623</v>
      </c>
      <c r="E723" s="1">
        <v>6</v>
      </c>
    </row>
    <row r="724" spans="1:5" hidden="1" x14ac:dyDescent="0.25">
      <c r="A724" s="115">
        <v>6.1669999999999998</v>
      </c>
      <c r="B724" s="115">
        <v>6.64</v>
      </c>
      <c r="C724" s="1">
        <v>640</v>
      </c>
      <c r="D724" s="1" t="s">
        <v>2624</v>
      </c>
      <c r="E724" s="1">
        <v>6</v>
      </c>
    </row>
    <row r="725" spans="1:5" hidden="1" x14ac:dyDescent="0.25">
      <c r="A725" s="115">
        <v>6.1680000000000001</v>
      </c>
      <c r="B725" s="115">
        <v>6.65</v>
      </c>
      <c r="C725" s="1">
        <v>650</v>
      </c>
      <c r="D725" s="1" t="s">
        <v>2625</v>
      </c>
      <c r="E725" s="1">
        <v>6</v>
      </c>
    </row>
    <row r="726" spans="1:5" hidden="1" x14ac:dyDescent="0.25">
      <c r="A726" s="115">
        <v>6.1689999999999996</v>
      </c>
      <c r="B726" s="115">
        <v>6.66</v>
      </c>
      <c r="C726" s="1">
        <v>660</v>
      </c>
      <c r="D726" s="1" t="s">
        <v>2626</v>
      </c>
      <c r="E726" s="1">
        <v>6</v>
      </c>
    </row>
    <row r="727" spans="1:5" hidden="1" x14ac:dyDescent="0.25">
      <c r="A727" s="115">
        <v>6.17</v>
      </c>
      <c r="B727" s="115">
        <v>6.67</v>
      </c>
      <c r="C727" s="1">
        <v>670</v>
      </c>
      <c r="D727" s="1" t="s">
        <v>2627</v>
      </c>
      <c r="E727" s="1">
        <v>6</v>
      </c>
    </row>
    <row r="728" spans="1:5" hidden="1" x14ac:dyDescent="0.25">
      <c r="A728" s="115">
        <v>6.1710000000000003</v>
      </c>
      <c r="B728" s="115">
        <v>6.68</v>
      </c>
      <c r="C728" s="1">
        <v>680</v>
      </c>
      <c r="D728" s="1" t="s">
        <v>2628</v>
      </c>
      <c r="E728" s="1">
        <v>6</v>
      </c>
    </row>
    <row r="729" spans="1:5" hidden="1" x14ac:dyDescent="0.25">
      <c r="A729" s="115">
        <v>6.1719999999999997</v>
      </c>
      <c r="B729" s="115">
        <v>6.69</v>
      </c>
      <c r="C729" s="1">
        <v>690</v>
      </c>
      <c r="D729" s="1" t="s">
        <v>2629</v>
      </c>
      <c r="E729" s="1">
        <v>6</v>
      </c>
    </row>
    <row r="730" spans="1:5" hidden="1" x14ac:dyDescent="0.25">
      <c r="A730" s="115">
        <v>6.173</v>
      </c>
      <c r="B730" s="115">
        <v>6.7</v>
      </c>
      <c r="C730" s="1">
        <v>700</v>
      </c>
      <c r="D730" s="1" t="s">
        <v>2630</v>
      </c>
      <c r="E730" s="1">
        <v>6</v>
      </c>
    </row>
    <row r="731" spans="1:5" hidden="1" x14ac:dyDescent="0.25">
      <c r="A731" s="115">
        <v>6.1740000000000004</v>
      </c>
      <c r="B731" s="115">
        <v>6.71</v>
      </c>
      <c r="C731" s="1">
        <v>710</v>
      </c>
      <c r="D731" s="1" t="s">
        <v>2631</v>
      </c>
      <c r="E731" s="1">
        <v>6</v>
      </c>
    </row>
    <row r="732" spans="1:5" hidden="1" x14ac:dyDescent="0.25">
      <c r="A732" s="115">
        <v>6.1749999999999998</v>
      </c>
      <c r="B732" s="115">
        <v>6.72</v>
      </c>
      <c r="C732" s="1">
        <v>720</v>
      </c>
      <c r="D732" s="1" t="s">
        <v>2632</v>
      </c>
      <c r="E732" s="1">
        <v>6</v>
      </c>
    </row>
    <row r="733" spans="1:5" hidden="1" x14ac:dyDescent="0.25">
      <c r="A733" s="115">
        <v>6.1760000000000002</v>
      </c>
      <c r="B733" s="115">
        <v>6.73</v>
      </c>
      <c r="C733" s="1">
        <v>730</v>
      </c>
      <c r="D733" s="1" t="s">
        <v>2633</v>
      </c>
      <c r="E733" s="1">
        <v>6</v>
      </c>
    </row>
    <row r="734" spans="1:5" hidden="1" x14ac:dyDescent="0.25">
      <c r="A734" s="115">
        <v>6.1769999999999996</v>
      </c>
      <c r="B734" s="115">
        <v>6.74</v>
      </c>
      <c r="C734" s="1">
        <v>740</v>
      </c>
      <c r="D734" s="1" t="s">
        <v>2634</v>
      </c>
      <c r="E734" s="1">
        <v>6</v>
      </c>
    </row>
    <row r="735" spans="1:5" hidden="1" x14ac:dyDescent="0.25">
      <c r="A735" s="115">
        <v>6.1779999999999999</v>
      </c>
      <c r="B735" s="115">
        <v>6.75</v>
      </c>
      <c r="C735" s="1">
        <v>750</v>
      </c>
      <c r="D735" s="1" t="s">
        <v>2635</v>
      </c>
      <c r="E735" s="1">
        <v>6</v>
      </c>
    </row>
    <row r="736" spans="1:5" hidden="1" x14ac:dyDescent="0.25">
      <c r="A736" s="115">
        <v>6.1790000000000003</v>
      </c>
      <c r="B736" s="115">
        <v>6.7549999999999999</v>
      </c>
      <c r="C736" s="1">
        <v>755</v>
      </c>
      <c r="D736" s="1" t="s">
        <v>1466</v>
      </c>
      <c r="E736" s="1">
        <v>6</v>
      </c>
    </row>
    <row r="737" spans="1:5" hidden="1" x14ac:dyDescent="0.25">
      <c r="A737" s="115">
        <v>6.18</v>
      </c>
      <c r="B737" s="115">
        <v>6.76</v>
      </c>
      <c r="C737" s="1">
        <v>760</v>
      </c>
      <c r="D737" s="1" t="s">
        <v>2636</v>
      </c>
      <c r="E737" s="1">
        <v>6</v>
      </c>
    </row>
    <row r="738" spans="1:5" hidden="1" x14ac:dyDescent="0.25">
      <c r="A738" s="115">
        <v>6.181</v>
      </c>
      <c r="B738" s="115">
        <v>6.77</v>
      </c>
      <c r="C738" s="1">
        <v>770</v>
      </c>
      <c r="D738" s="1" t="s">
        <v>2637</v>
      </c>
      <c r="E738" s="1">
        <v>6</v>
      </c>
    </row>
    <row r="739" spans="1:5" hidden="1" x14ac:dyDescent="0.25">
      <c r="A739" s="115">
        <v>6.1820000000000004</v>
      </c>
      <c r="B739" s="115">
        <v>6.78</v>
      </c>
      <c r="C739" s="1">
        <v>780</v>
      </c>
      <c r="D739" s="1" t="s">
        <v>2638</v>
      </c>
      <c r="E739" s="1">
        <v>6</v>
      </c>
    </row>
    <row r="740" spans="1:5" hidden="1" x14ac:dyDescent="0.25">
      <c r="A740" s="115">
        <v>6.1829999999999998</v>
      </c>
      <c r="B740" s="115">
        <v>6.79</v>
      </c>
      <c r="C740" s="1">
        <v>790</v>
      </c>
      <c r="D740" s="1" t="s">
        <v>2639</v>
      </c>
      <c r="E740" s="1">
        <v>6</v>
      </c>
    </row>
    <row r="741" spans="1:5" hidden="1" x14ac:dyDescent="0.25">
      <c r="A741" s="115">
        <v>6.1840000000000002</v>
      </c>
      <c r="B741" s="115">
        <v>6.8</v>
      </c>
      <c r="C741" s="1">
        <v>800</v>
      </c>
      <c r="D741" s="1" t="s">
        <v>2640</v>
      </c>
      <c r="E741" s="1">
        <v>6</v>
      </c>
    </row>
    <row r="742" spans="1:5" hidden="1" x14ac:dyDescent="0.25">
      <c r="A742" s="115">
        <v>6.1849999999999996</v>
      </c>
      <c r="B742" s="115">
        <v>6.8049999999999997</v>
      </c>
      <c r="C742" s="1">
        <v>805</v>
      </c>
      <c r="D742" s="1" t="s">
        <v>2641</v>
      </c>
      <c r="E742" s="1">
        <v>6</v>
      </c>
    </row>
    <row r="743" spans="1:5" hidden="1" x14ac:dyDescent="0.25">
      <c r="A743" s="115">
        <v>6.1859999999999999</v>
      </c>
      <c r="B743" s="115">
        <v>6.81</v>
      </c>
      <c r="C743" s="1">
        <v>810</v>
      </c>
      <c r="D743" s="1" t="s">
        <v>2642</v>
      </c>
      <c r="E743" s="1">
        <v>6</v>
      </c>
    </row>
    <row r="744" spans="1:5" hidden="1" x14ac:dyDescent="0.25">
      <c r="A744" s="115">
        <v>6.1870000000000003</v>
      </c>
      <c r="B744" s="115">
        <v>6.82</v>
      </c>
      <c r="C744" s="1">
        <v>820</v>
      </c>
      <c r="D744" s="1" t="s">
        <v>2643</v>
      </c>
      <c r="E744" s="1">
        <v>6</v>
      </c>
    </row>
    <row r="745" spans="1:5" hidden="1" x14ac:dyDescent="0.25">
      <c r="A745" s="115">
        <v>6.1879999999999997</v>
      </c>
      <c r="B745" s="115">
        <v>6.83</v>
      </c>
      <c r="C745" s="1">
        <v>830</v>
      </c>
      <c r="D745" s="1" t="s">
        <v>2644</v>
      </c>
      <c r="E745" s="1">
        <v>6</v>
      </c>
    </row>
    <row r="746" spans="1:5" hidden="1" x14ac:dyDescent="0.25">
      <c r="A746" s="115">
        <v>6.1890000000000001</v>
      </c>
      <c r="B746" s="115">
        <v>6.84</v>
      </c>
      <c r="C746" s="1">
        <v>840</v>
      </c>
      <c r="D746" s="1" t="s">
        <v>2645</v>
      </c>
      <c r="E746" s="1">
        <v>6</v>
      </c>
    </row>
    <row r="747" spans="1:5" hidden="1" x14ac:dyDescent="0.25">
      <c r="A747" s="115">
        <v>6.19</v>
      </c>
      <c r="B747" s="115">
        <v>6.85</v>
      </c>
      <c r="C747" s="1">
        <v>850</v>
      </c>
      <c r="D747" s="1" t="s">
        <v>2646</v>
      </c>
      <c r="E747" s="1">
        <v>6</v>
      </c>
    </row>
    <row r="748" spans="1:5" hidden="1" x14ac:dyDescent="0.25">
      <c r="A748" s="115">
        <v>6.1909999999999998</v>
      </c>
      <c r="B748" s="115">
        <v>6.86</v>
      </c>
      <c r="C748" s="1">
        <v>860</v>
      </c>
      <c r="D748" s="1" t="s">
        <v>2647</v>
      </c>
      <c r="E748" s="1">
        <v>6</v>
      </c>
    </row>
    <row r="749" spans="1:5" hidden="1" x14ac:dyDescent="0.25">
      <c r="A749" s="115">
        <v>6.1920000000000002</v>
      </c>
      <c r="B749" s="115">
        <v>6.87</v>
      </c>
      <c r="C749" s="1">
        <v>870</v>
      </c>
      <c r="D749" s="1" t="s">
        <v>2648</v>
      </c>
      <c r="E749" s="1">
        <v>6</v>
      </c>
    </row>
    <row r="750" spans="1:5" hidden="1" x14ac:dyDescent="0.25">
      <c r="A750" s="115">
        <v>6.1929999999999996</v>
      </c>
      <c r="B750" s="115">
        <v>6.88</v>
      </c>
      <c r="C750" s="1">
        <v>880</v>
      </c>
      <c r="D750" s="1" t="s">
        <v>2649</v>
      </c>
      <c r="E750" s="1">
        <v>6</v>
      </c>
    </row>
    <row r="751" spans="1:5" hidden="1" x14ac:dyDescent="0.25">
      <c r="A751" s="115">
        <v>6.194</v>
      </c>
      <c r="B751" s="115">
        <v>6.89</v>
      </c>
      <c r="C751" s="1">
        <v>890</v>
      </c>
      <c r="D751" s="1" t="s">
        <v>2650</v>
      </c>
      <c r="E751" s="1">
        <v>6</v>
      </c>
    </row>
    <row r="752" spans="1:5" hidden="1" x14ac:dyDescent="0.25">
      <c r="A752" s="115">
        <v>6.1950000000000003</v>
      </c>
      <c r="B752" s="115">
        <v>6.8949999999999996</v>
      </c>
      <c r="C752" s="1">
        <v>895</v>
      </c>
      <c r="D752" s="1" t="s">
        <v>2651</v>
      </c>
      <c r="E752" s="1">
        <v>6</v>
      </c>
    </row>
    <row r="753" spans="1:5" hidden="1" x14ac:dyDescent="0.25">
      <c r="A753" s="115">
        <v>6.1959999999999997</v>
      </c>
      <c r="B753" s="115">
        <v>6.9</v>
      </c>
      <c r="C753" s="1">
        <v>900</v>
      </c>
      <c r="D753" s="1" t="s">
        <v>2652</v>
      </c>
      <c r="E753" s="1">
        <v>6</v>
      </c>
    </row>
    <row r="754" spans="1:5" hidden="1" x14ac:dyDescent="0.25">
      <c r="A754" s="115">
        <v>6.1970000000000001</v>
      </c>
      <c r="B754" s="115">
        <v>6.91</v>
      </c>
      <c r="C754" s="1">
        <v>910</v>
      </c>
      <c r="D754" s="1" t="s">
        <v>2653</v>
      </c>
      <c r="E754" s="1">
        <v>6</v>
      </c>
    </row>
    <row r="755" spans="1:5" hidden="1" x14ac:dyDescent="0.25">
      <c r="A755" s="115">
        <v>6.1980000000000004</v>
      </c>
      <c r="B755" s="115">
        <v>6.92</v>
      </c>
      <c r="C755" s="1">
        <v>920</v>
      </c>
      <c r="D755" s="1" t="s">
        <v>2654</v>
      </c>
      <c r="E755" s="1">
        <v>6</v>
      </c>
    </row>
    <row r="756" spans="1:5" hidden="1" x14ac:dyDescent="0.25">
      <c r="A756" s="115">
        <v>6.1989999999999998</v>
      </c>
      <c r="B756" s="115">
        <v>6.9249999999999998</v>
      </c>
      <c r="C756" s="1">
        <v>925</v>
      </c>
      <c r="D756" s="1" t="s">
        <v>2655</v>
      </c>
      <c r="E756" s="1">
        <v>6</v>
      </c>
    </row>
    <row r="757" spans="1:5" hidden="1" x14ac:dyDescent="0.25">
      <c r="A757" s="115">
        <v>6.2</v>
      </c>
      <c r="B757" s="115">
        <v>6.93</v>
      </c>
      <c r="C757" s="1">
        <v>930</v>
      </c>
      <c r="D757" s="1" t="s">
        <v>2656</v>
      </c>
      <c r="E757" s="1">
        <v>6</v>
      </c>
    </row>
    <row r="758" spans="1:5" hidden="1" x14ac:dyDescent="0.25">
      <c r="A758" s="115">
        <v>6.2009999999999996</v>
      </c>
      <c r="B758" s="115">
        <v>6.9349999999999996</v>
      </c>
      <c r="C758" s="1">
        <v>935</v>
      </c>
      <c r="D758" s="1" t="s">
        <v>2657</v>
      </c>
      <c r="E758" s="1">
        <v>6</v>
      </c>
    </row>
    <row r="759" spans="1:5" hidden="1" x14ac:dyDescent="0.25">
      <c r="A759" s="115">
        <v>6.202</v>
      </c>
      <c r="B759" s="115">
        <v>6.94</v>
      </c>
      <c r="C759" s="1">
        <v>940</v>
      </c>
      <c r="D759" s="1" t="s">
        <v>2658</v>
      </c>
      <c r="E759" s="1">
        <v>6</v>
      </c>
    </row>
    <row r="760" spans="1:5" hidden="1" x14ac:dyDescent="0.25">
      <c r="A760" s="115">
        <v>6.2030000000000003</v>
      </c>
      <c r="B760" s="115">
        <v>6.95</v>
      </c>
      <c r="C760" s="1">
        <v>950</v>
      </c>
      <c r="D760" s="1" t="s">
        <v>2659</v>
      </c>
      <c r="E760" s="1">
        <v>6</v>
      </c>
    </row>
    <row r="761" spans="1:5" hidden="1" x14ac:dyDescent="0.25">
      <c r="A761" s="115">
        <v>6.2039999999999997</v>
      </c>
      <c r="B761" s="115">
        <v>6.9550000000000001</v>
      </c>
      <c r="C761" s="1">
        <v>955</v>
      </c>
      <c r="D761" s="1" t="s">
        <v>2660</v>
      </c>
      <c r="E761" s="1">
        <v>6</v>
      </c>
    </row>
    <row r="762" spans="1:5" hidden="1" x14ac:dyDescent="0.25">
      <c r="A762" s="115">
        <v>6.2050000000000001</v>
      </c>
      <c r="B762" s="115">
        <v>6.96</v>
      </c>
      <c r="C762" s="1">
        <v>960</v>
      </c>
      <c r="D762" s="1" t="s">
        <v>2661</v>
      </c>
      <c r="E762" s="1">
        <v>6</v>
      </c>
    </row>
    <row r="763" spans="1:5" hidden="1" x14ac:dyDescent="0.25">
      <c r="A763" s="115">
        <v>6.2060000000000004</v>
      </c>
      <c r="B763" s="115">
        <v>6.97</v>
      </c>
      <c r="C763" s="1">
        <v>970</v>
      </c>
      <c r="D763" s="1" t="s">
        <v>2662</v>
      </c>
      <c r="E763" s="1">
        <v>6</v>
      </c>
    </row>
    <row r="764" spans="1:5" hidden="1" x14ac:dyDescent="0.25">
      <c r="A764" s="115">
        <v>6.2069999999999999</v>
      </c>
      <c r="B764" s="115">
        <v>6.98</v>
      </c>
      <c r="C764" s="1">
        <v>980</v>
      </c>
      <c r="D764" s="1" t="s">
        <v>2663</v>
      </c>
      <c r="E764" s="1">
        <v>6</v>
      </c>
    </row>
    <row r="765" spans="1:5" hidden="1" x14ac:dyDescent="0.25">
      <c r="A765" s="115">
        <v>6.2080000000000002</v>
      </c>
      <c r="B765" s="115">
        <v>6.99</v>
      </c>
      <c r="C765" s="1">
        <v>990</v>
      </c>
      <c r="D765" s="1" t="s">
        <v>2664</v>
      </c>
      <c r="E765" s="1">
        <v>6</v>
      </c>
    </row>
    <row r="766" spans="1:5" hidden="1" x14ac:dyDescent="0.25">
      <c r="A766" s="115">
        <v>6.2089999999999996</v>
      </c>
      <c r="B766" s="115">
        <v>6.1</v>
      </c>
      <c r="C766" s="1">
        <v>1000</v>
      </c>
      <c r="D766" s="1" t="s">
        <v>2665</v>
      </c>
      <c r="E766" s="1">
        <v>6</v>
      </c>
    </row>
    <row r="767" spans="1:5" hidden="1" x14ac:dyDescent="0.25">
      <c r="A767" s="115">
        <v>6.21</v>
      </c>
      <c r="B767" s="115">
        <v>6.11</v>
      </c>
      <c r="C767" s="1">
        <v>1100</v>
      </c>
      <c r="D767" s="1" t="s">
        <v>2666</v>
      </c>
      <c r="E767" s="1">
        <v>6</v>
      </c>
    </row>
    <row r="768" spans="1:5" hidden="1" x14ac:dyDescent="0.25">
      <c r="A768" s="115">
        <v>6.2110000000000003</v>
      </c>
      <c r="B768" s="115">
        <v>6.1109999999999998</v>
      </c>
      <c r="C768" s="1">
        <v>1110</v>
      </c>
      <c r="D768" s="1" t="s">
        <v>2667</v>
      </c>
      <c r="E768" s="1">
        <v>6</v>
      </c>
    </row>
    <row r="769" spans="1:5" hidden="1" x14ac:dyDescent="0.25">
      <c r="A769" s="115">
        <v>6.2119999999999997</v>
      </c>
      <c r="B769" s="115">
        <v>6.1120000000000001</v>
      </c>
      <c r="C769" s="1">
        <v>1120</v>
      </c>
      <c r="D769" s="1" t="s">
        <v>2668</v>
      </c>
      <c r="E769" s="1">
        <v>6</v>
      </c>
    </row>
    <row r="770" spans="1:5" hidden="1" x14ac:dyDescent="0.25">
      <c r="A770" s="115">
        <v>6.2130000000000001</v>
      </c>
      <c r="B770" s="115">
        <v>6.1130000000000004</v>
      </c>
      <c r="C770" s="1">
        <v>1130</v>
      </c>
      <c r="D770" s="1" t="s">
        <v>2669</v>
      </c>
      <c r="E770" s="1">
        <v>6</v>
      </c>
    </row>
    <row r="771" spans="1:5" hidden="1" x14ac:dyDescent="0.25">
      <c r="A771" s="115">
        <v>6.2140000000000004</v>
      </c>
      <c r="B771" s="115">
        <v>6.1139999999999999</v>
      </c>
      <c r="C771" s="1">
        <v>1140</v>
      </c>
      <c r="D771" s="1" t="s">
        <v>2670</v>
      </c>
      <c r="E771" s="1">
        <v>6</v>
      </c>
    </row>
    <row r="772" spans="1:5" hidden="1" x14ac:dyDescent="0.25">
      <c r="A772" s="115">
        <v>6.2149999999999999</v>
      </c>
      <c r="B772" s="115">
        <v>6.1150000000000002</v>
      </c>
      <c r="C772" s="1">
        <v>1150</v>
      </c>
      <c r="D772" s="1" t="s">
        <v>2671</v>
      </c>
      <c r="E772" s="1">
        <v>6</v>
      </c>
    </row>
    <row r="773" spans="1:5" hidden="1" x14ac:dyDescent="0.25">
      <c r="A773" s="115">
        <v>6.2160000000000002</v>
      </c>
      <c r="B773" s="115">
        <v>6.1159999999999997</v>
      </c>
      <c r="C773" s="1">
        <v>1160</v>
      </c>
      <c r="D773" s="1" t="s">
        <v>2672</v>
      </c>
      <c r="E773" s="1">
        <v>6</v>
      </c>
    </row>
    <row r="774" spans="1:5" hidden="1" x14ac:dyDescent="0.25">
      <c r="A774" s="115">
        <v>6.2169999999999996</v>
      </c>
      <c r="B774" s="115">
        <v>6.117</v>
      </c>
      <c r="C774" s="1">
        <v>1170</v>
      </c>
      <c r="D774" s="1" t="s">
        <v>2673</v>
      </c>
      <c r="E774" s="1">
        <v>6</v>
      </c>
    </row>
    <row r="775" spans="1:5" hidden="1" x14ac:dyDescent="0.25">
      <c r="A775" s="115">
        <v>6.218</v>
      </c>
      <c r="B775" s="115">
        <v>6.1180000000000003</v>
      </c>
      <c r="C775" s="1">
        <v>1180</v>
      </c>
      <c r="D775" s="1" t="s">
        <v>2674</v>
      </c>
      <c r="E775" s="1">
        <v>6</v>
      </c>
    </row>
    <row r="776" spans="1:5" hidden="1" x14ac:dyDescent="0.25">
      <c r="A776" s="115">
        <v>6.2190000000000003</v>
      </c>
      <c r="B776" s="115">
        <v>6.1189999999999998</v>
      </c>
      <c r="C776" s="1">
        <v>1190</v>
      </c>
      <c r="D776" s="1" t="s">
        <v>2675</v>
      </c>
      <c r="E776" s="1">
        <v>6</v>
      </c>
    </row>
    <row r="777" spans="1:5" hidden="1" x14ac:dyDescent="0.25">
      <c r="A777" s="115">
        <v>6.22</v>
      </c>
      <c r="B777" s="115">
        <v>6.12</v>
      </c>
      <c r="C777" s="1">
        <v>1200</v>
      </c>
      <c r="D777" s="1" t="s">
        <v>2676</v>
      </c>
      <c r="E777" s="1">
        <v>6</v>
      </c>
    </row>
    <row r="778" spans="1:5" hidden="1" x14ac:dyDescent="0.25">
      <c r="A778" s="115">
        <v>6.2210000000000001</v>
      </c>
      <c r="B778" s="115">
        <v>6.1210000000000004</v>
      </c>
      <c r="C778" s="1">
        <v>1210</v>
      </c>
      <c r="D778" s="1" t="s">
        <v>2677</v>
      </c>
      <c r="E778" s="1">
        <v>6</v>
      </c>
    </row>
    <row r="779" spans="1:5" hidden="1" x14ac:dyDescent="0.25">
      <c r="A779" s="115">
        <v>6.2220000000000004</v>
      </c>
      <c r="B779" s="115">
        <v>6.1219999999999999</v>
      </c>
      <c r="C779" s="1">
        <v>1220</v>
      </c>
      <c r="D779" s="1" t="s">
        <v>2678</v>
      </c>
      <c r="E779" s="1">
        <v>6</v>
      </c>
    </row>
    <row r="780" spans="1:5" hidden="1" x14ac:dyDescent="0.25">
      <c r="A780" s="115">
        <v>6.2229999999999999</v>
      </c>
      <c r="B780" s="115">
        <v>6.1230000000000002</v>
      </c>
      <c r="C780" s="1">
        <v>1230</v>
      </c>
      <c r="D780" s="1" t="s">
        <v>2679</v>
      </c>
      <c r="E780" s="1">
        <v>6</v>
      </c>
    </row>
    <row r="781" spans="1:5" hidden="1" x14ac:dyDescent="0.25">
      <c r="A781" s="115">
        <v>6.2240000000000002</v>
      </c>
      <c r="B781" s="115">
        <v>6.1239999999999997</v>
      </c>
      <c r="C781" s="1">
        <v>1240</v>
      </c>
      <c r="D781" s="1" t="s">
        <v>2680</v>
      </c>
      <c r="E781" s="1">
        <v>6</v>
      </c>
    </row>
    <row r="782" spans="1:5" hidden="1" x14ac:dyDescent="0.25">
      <c r="A782" s="115">
        <v>6.2249999999999996</v>
      </c>
      <c r="B782" s="115">
        <v>6.125</v>
      </c>
      <c r="C782" s="1">
        <v>1250</v>
      </c>
      <c r="D782" s="1" t="s">
        <v>2681</v>
      </c>
      <c r="E782" s="1">
        <v>6</v>
      </c>
    </row>
    <row r="783" spans="1:5" hidden="1" x14ac:dyDescent="0.25">
      <c r="A783" s="115">
        <v>6.226</v>
      </c>
      <c r="B783" s="115">
        <v>6.1260000000000003</v>
      </c>
      <c r="C783" s="1">
        <v>1260</v>
      </c>
      <c r="D783" s="1" t="s">
        <v>2682</v>
      </c>
      <c r="E783" s="1">
        <v>6</v>
      </c>
    </row>
    <row r="784" spans="1:5" hidden="1" x14ac:dyDescent="0.25">
      <c r="A784" s="115">
        <v>6.2270000000000003</v>
      </c>
      <c r="B784" s="115">
        <v>6.1269999999999998</v>
      </c>
      <c r="C784" s="1">
        <v>1270</v>
      </c>
      <c r="D784" s="1" t="s">
        <v>2683</v>
      </c>
      <c r="E784" s="1">
        <v>6</v>
      </c>
    </row>
    <row r="785" spans="1:5" hidden="1" x14ac:dyDescent="0.25">
      <c r="A785" s="115">
        <v>6.2279999999999998</v>
      </c>
      <c r="B785" s="115">
        <v>6.1280000000000001</v>
      </c>
      <c r="C785" s="1">
        <v>1280</v>
      </c>
      <c r="D785" s="1" t="s">
        <v>2684</v>
      </c>
      <c r="E785" s="1">
        <v>6</v>
      </c>
    </row>
    <row r="786" spans="1:5" hidden="1" x14ac:dyDescent="0.25">
      <c r="A786" s="115">
        <v>6.2290000000000001</v>
      </c>
      <c r="B786" s="115">
        <v>6.13</v>
      </c>
      <c r="C786" s="1">
        <v>1300</v>
      </c>
      <c r="D786" s="1" t="s">
        <v>2685</v>
      </c>
      <c r="E786" s="1">
        <v>6</v>
      </c>
    </row>
    <row r="787" spans="1:5" hidden="1" x14ac:dyDescent="0.25">
      <c r="A787" s="115">
        <v>6.23</v>
      </c>
      <c r="B787" s="115">
        <v>6.1310000000000002</v>
      </c>
      <c r="C787" s="1">
        <v>1310</v>
      </c>
      <c r="D787" s="1" t="s">
        <v>2686</v>
      </c>
      <c r="E787" s="1">
        <v>6</v>
      </c>
    </row>
    <row r="788" spans="1:5" hidden="1" x14ac:dyDescent="0.25">
      <c r="A788" s="115">
        <v>6.2309999999999999</v>
      </c>
      <c r="B788" s="115">
        <v>6.1319999999999997</v>
      </c>
      <c r="C788" s="1">
        <v>1320</v>
      </c>
      <c r="D788" s="1" t="s">
        <v>2687</v>
      </c>
      <c r="E788" s="1">
        <v>6</v>
      </c>
    </row>
    <row r="789" spans="1:5" hidden="1" x14ac:dyDescent="0.25">
      <c r="A789" s="115">
        <v>7.101</v>
      </c>
      <c r="B789" s="115">
        <v>7.1</v>
      </c>
      <c r="C789" s="1">
        <v>10</v>
      </c>
      <c r="D789" s="1" t="s">
        <v>2559</v>
      </c>
      <c r="E789" s="1">
        <v>7</v>
      </c>
    </row>
    <row r="790" spans="1:5" hidden="1" x14ac:dyDescent="0.25">
      <c r="A790" s="115">
        <v>7.1020000000000003</v>
      </c>
      <c r="B790" s="115">
        <v>7.2</v>
      </c>
      <c r="C790" s="1">
        <v>20</v>
      </c>
      <c r="D790" s="1" t="s">
        <v>2560</v>
      </c>
      <c r="E790" s="1">
        <v>7</v>
      </c>
    </row>
    <row r="791" spans="1:5" hidden="1" x14ac:dyDescent="0.25">
      <c r="A791" s="115">
        <v>7.1029999999999998</v>
      </c>
      <c r="B791" s="115">
        <v>7.3</v>
      </c>
      <c r="C791" s="1">
        <v>30</v>
      </c>
      <c r="D791" s="1" t="s">
        <v>2561</v>
      </c>
      <c r="E791" s="1">
        <v>7</v>
      </c>
    </row>
    <row r="792" spans="1:5" hidden="1" x14ac:dyDescent="0.25">
      <c r="A792" s="115">
        <v>7.1040000000000001</v>
      </c>
      <c r="B792" s="115">
        <v>7.4</v>
      </c>
      <c r="C792" s="1">
        <v>40</v>
      </c>
      <c r="D792" s="1" t="s">
        <v>2562</v>
      </c>
      <c r="E792" s="1">
        <v>7</v>
      </c>
    </row>
    <row r="793" spans="1:5" hidden="1" x14ac:dyDescent="0.25">
      <c r="A793" s="115">
        <v>7.1050000000000004</v>
      </c>
      <c r="B793" s="115">
        <v>7.5</v>
      </c>
      <c r="C793" s="1">
        <v>50</v>
      </c>
      <c r="D793" s="1" t="s">
        <v>2563</v>
      </c>
      <c r="E793" s="1">
        <v>7</v>
      </c>
    </row>
    <row r="794" spans="1:5" hidden="1" x14ac:dyDescent="0.25">
      <c r="A794" s="115">
        <v>7.1059999999999999</v>
      </c>
      <c r="B794" s="115">
        <v>7.6</v>
      </c>
      <c r="C794" s="1">
        <v>60</v>
      </c>
      <c r="D794" s="1" t="s">
        <v>2564</v>
      </c>
      <c r="E794" s="1">
        <v>7</v>
      </c>
    </row>
    <row r="795" spans="1:5" hidden="1" x14ac:dyDescent="0.25">
      <c r="A795" s="115">
        <v>7.1070000000000002</v>
      </c>
      <c r="B795" s="115">
        <v>7.7</v>
      </c>
      <c r="C795" s="1">
        <v>70</v>
      </c>
      <c r="D795" s="1" t="s">
        <v>2565</v>
      </c>
      <c r="E795" s="1">
        <v>7</v>
      </c>
    </row>
    <row r="796" spans="1:5" hidden="1" x14ac:dyDescent="0.25">
      <c r="A796" s="115">
        <v>7.1079999999999997</v>
      </c>
      <c r="B796" s="115">
        <v>7.8</v>
      </c>
      <c r="C796" s="1">
        <v>80</v>
      </c>
      <c r="D796" s="1" t="s">
        <v>2566</v>
      </c>
      <c r="E796" s="1">
        <v>7</v>
      </c>
    </row>
    <row r="797" spans="1:5" hidden="1" x14ac:dyDescent="0.25">
      <c r="A797" s="115">
        <v>7.109</v>
      </c>
      <c r="B797" s="115">
        <v>7.9</v>
      </c>
      <c r="C797" s="1">
        <v>90</v>
      </c>
      <c r="D797" s="1" t="s">
        <v>2567</v>
      </c>
      <c r="E797" s="1">
        <v>7</v>
      </c>
    </row>
    <row r="798" spans="1:5" hidden="1" x14ac:dyDescent="0.25">
      <c r="A798" s="115">
        <v>7.11</v>
      </c>
      <c r="B798" s="115">
        <v>7.1</v>
      </c>
      <c r="C798" s="1">
        <v>100</v>
      </c>
      <c r="D798" s="1" t="s">
        <v>2568</v>
      </c>
      <c r="E798" s="1">
        <v>7</v>
      </c>
    </row>
    <row r="799" spans="1:5" hidden="1" x14ac:dyDescent="0.25">
      <c r="A799" s="115">
        <v>7.1109999999999998</v>
      </c>
      <c r="B799" s="115">
        <v>7.11</v>
      </c>
      <c r="C799" s="1">
        <v>110</v>
      </c>
      <c r="D799" s="1" t="s">
        <v>2569</v>
      </c>
      <c r="E799" s="1">
        <v>7</v>
      </c>
    </row>
    <row r="800" spans="1:5" hidden="1" x14ac:dyDescent="0.25">
      <c r="A800" s="115">
        <v>7.1120000000000001</v>
      </c>
      <c r="B800" s="115">
        <v>7.12</v>
      </c>
      <c r="C800" s="1">
        <v>120</v>
      </c>
      <c r="D800" s="1" t="s">
        <v>2570</v>
      </c>
      <c r="E800" s="1">
        <v>7</v>
      </c>
    </row>
    <row r="801" spans="1:5" hidden="1" x14ac:dyDescent="0.25">
      <c r="A801" s="115">
        <v>7.1130000000000004</v>
      </c>
      <c r="B801" s="115">
        <v>7.13</v>
      </c>
      <c r="C801" s="1">
        <v>130</v>
      </c>
      <c r="D801" s="1" t="s">
        <v>2571</v>
      </c>
      <c r="E801" s="1">
        <v>7</v>
      </c>
    </row>
    <row r="802" spans="1:5" hidden="1" x14ac:dyDescent="0.25">
      <c r="A802" s="115">
        <v>7.1139999999999999</v>
      </c>
      <c r="B802" s="115">
        <v>7.14</v>
      </c>
      <c r="C802" s="1">
        <v>140</v>
      </c>
      <c r="D802" s="1" t="s">
        <v>2572</v>
      </c>
      <c r="E802" s="1">
        <v>7</v>
      </c>
    </row>
    <row r="803" spans="1:5" hidden="1" x14ac:dyDescent="0.25">
      <c r="A803" s="115">
        <v>7.1150000000000002</v>
      </c>
      <c r="B803" s="115">
        <v>7.15</v>
      </c>
      <c r="C803" s="1">
        <v>150</v>
      </c>
      <c r="D803" s="1" t="s">
        <v>2573</v>
      </c>
      <c r="E803" s="1">
        <v>7</v>
      </c>
    </row>
    <row r="804" spans="1:5" hidden="1" x14ac:dyDescent="0.25">
      <c r="A804" s="115">
        <v>7.1159999999999997</v>
      </c>
      <c r="B804" s="115">
        <v>7.16</v>
      </c>
      <c r="C804" s="1">
        <v>160</v>
      </c>
      <c r="D804" s="1" t="s">
        <v>2574</v>
      </c>
      <c r="E804" s="1">
        <v>7</v>
      </c>
    </row>
    <row r="805" spans="1:5" hidden="1" x14ac:dyDescent="0.25">
      <c r="A805" s="115">
        <v>7.117</v>
      </c>
      <c r="B805" s="115">
        <v>7.17</v>
      </c>
      <c r="C805" s="1">
        <v>170</v>
      </c>
      <c r="D805" s="1" t="s">
        <v>2575</v>
      </c>
      <c r="E805" s="1">
        <v>7</v>
      </c>
    </row>
    <row r="806" spans="1:5" hidden="1" x14ac:dyDescent="0.25">
      <c r="A806" s="115">
        <v>7.1180000000000003</v>
      </c>
      <c r="B806" s="115">
        <v>7.18</v>
      </c>
      <c r="C806" s="1">
        <v>180</v>
      </c>
      <c r="D806" s="1" t="s">
        <v>2576</v>
      </c>
      <c r="E806" s="1">
        <v>7</v>
      </c>
    </row>
    <row r="807" spans="1:5" hidden="1" x14ac:dyDescent="0.25">
      <c r="A807" s="115">
        <v>7.1189999999999998</v>
      </c>
      <c r="B807" s="115">
        <v>7.19</v>
      </c>
      <c r="C807" s="1">
        <v>190</v>
      </c>
      <c r="D807" s="1" t="s">
        <v>2577</v>
      </c>
      <c r="E807" s="1">
        <v>7</v>
      </c>
    </row>
    <row r="808" spans="1:5" hidden="1" x14ac:dyDescent="0.25">
      <c r="A808" s="115">
        <v>7.12</v>
      </c>
      <c r="B808" s="115">
        <v>7.2</v>
      </c>
      <c r="C808" s="1">
        <v>200</v>
      </c>
      <c r="D808" s="1" t="s">
        <v>2578</v>
      </c>
      <c r="E808" s="1">
        <v>7</v>
      </c>
    </row>
    <row r="809" spans="1:5" hidden="1" x14ac:dyDescent="0.25">
      <c r="A809" s="115">
        <v>7.1210000000000004</v>
      </c>
      <c r="B809" s="115">
        <v>7.21</v>
      </c>
      <c r="C809" s="1">
        <v>210</v>
      </c>
      <c r="D809" s="1" t="s">
        <v>2579</v>
      </c>
      <c r="E809" s="1">
        <v>7</v>
      </c>
    </row>
    <row r="810" spans="1:5" hidden="1" x14ac:dyDescent="0.25">
      <c r="A810" s="115">
        <v>7.1219999999999999</v>
      </c>
      <c r="B810" s="115">
        <v>7.22</v>
      </c>
      <c r="C810" s="1">
        <v>220</v>
      </c>
      <c r="D810" s="1" t="s">
        <v>2580</v>
      </c>
      <c r="E810" s="1">
        <v>7</v>
      </c>
    </row>
    <row r="811" spans="1:5" hidden="1" x14ac:dyDescent="0.25">
      <c r="A811" s="115">
        <v>7.1230000000000002</v>
      </c>
      <c r="B811" s="115">
        <v>7.23</v>
      </c>
      <c r="C811" s="1">
        <v>230</v>
      </c>
      <c r="D811" s="1" t="s">
        <v>2581</v>
      </c>
      <c r="E811" s="1">
        <v>7</v>
      </c>
    </row>
    <row r="812" spans="1:5" hidden="1" x14ac:dyDescent="0.25">
      <c r="A812" s="115">
        <v>7.1239999999999997</v>
      </c>
      <c r="B812" s="115">
        <v>7.24</v>
      </c>
      <c r="C812" s="1">
        <v>240</v>
      </c>
      <c r="D812" s="1" t="s">
        <v>2582</v>
      </c>
      <c r="E812" s="1">
        <v>7</v>
      </c>
    </row>
    <row r="813" spans="1:5" hidden="1" x14ac:dyDescent="0.25">
      <c r="A813" s="115">
        <v>7.125</v>
      </c>
      <c r="B813" s="115">
        <v>7.25</v>
      </c>
      <c r="C813" s="1">
        <v>250</v>
      </c>
      <c r="D813" s="1" t="s">
        <v>2583</v>
      </c>
      <c r="E813" s="1">
        <v>7</v>
      </c>
    </row>
    <row r="814" spans="1:5" hidden="1" x14ac:dyDescent="0.25">
      <c r="A814" s="115">
        <v>7.1260000000000003</v>
      </c>
      <c r="B814" s="115">
        <v>7.26</v>
      </c>
      <c r="C814" s="1">
        <v>260</v>
      </c>
      <c r="D814" s="1" t="s">
        <v>2584</v>
      </c>
      <c r="E814" s="1">
        <v>7</v>
      </c>
    </row>
    <row r="815" spans="1:5" hidden="1" x14ac:dyDescent="0.25">
      <c r="A815" s="115">
        <v>7.1269999999999998</v>
      </c>
      <c r="B815" s="115">
        <v>7.27</v>
      </c>
      <c r="C815" s="1">
        <v>270</v>
      </c>
      <c r="D815" s="1" t="s">
        <v>2585</v>
      </c>
      <c r="E815" s="1">
        <v>7</v>
      </c>
    </row>
    <row r="816" spans="1:5" hidden="1" x14ac:dyDescent="0.25">
      <c r="A816" s="115">
        <v>7.1280000000000001</v>
      </c>
      <c r="B816" s="115">
        <v>7.28</v>
      </c>
      <c r="C816" s="1">
        <v>280</v>
      </c>
      <c r="D816" s="1" t="s">
        <v>2586</v>
      </c>
      <c r="E816" s="1">
        <v>7</v>
      </c>
    </row>
    <row r="817" spans="1:5" hidden="1" x14ac:dyDescent="0.25">
      <c r="A817" s="115">
        <v>7.1289999999999996</v>
      </c>
      <c r="B817" s="115">
        <v>7.29</v>
      </c>
      <c r="C817" s="1">
        <v>290</v>
      </c>
      <c r="D817" s="1" t="s">
        <v>2587</v>
      </c>
      <c r="E817" s="1">
        <v>7</v>
      </c>
    </row>
    <row r="818" spans="1:5" hidden="1" x14ac:dyDescent="0.25">
      <c r="A818" s="115">
        <v>7.13</v>
      </c>
      <c r="B818" s="115">
        <v>7.3</v>
      </c>
      <c r="C818" s="1">
        <v>300</v>
      </c>
      <c r="D818" s="1" t="s">
        <v>2588</v>
      </c>
      <c r="E818" s="1">
        <v>7</v>
      </c>
    </row>
    <row r="819" spans="1:5" hidden="1" x14ac:dyDescent="0.25">
      <c r="A819" s="115">
        <v>7.1310000000000002</v>
      </c>
      <c r="B819" s="115">
        <v>7.31</v>
      </c>
      <c r="C819" s="1">
        <v>310</v>
      </c>
      <c r="D819" s="1" t="s">
        <v>2589</v>
      </c>
      <c r="E819" s="1">
        <v>7</v>
      </c>
    </row>
    <row r="820" spans="1:5" hidden="1" x14ac:dyDescent="0.25">
      <c r="A820" s="115">
        <v>7.1319999999999997</v>
      </c>
      <c r="B820" s="115">
        <v>7.32</v>
      </c>
      <c r="C820" s="1">
        <v>320</v>
      </c>
      <c r="D820" s="1" t="s">
        <v>2590</v>
      </c>
      <c r="E820" s="1">
        <v>7</v>
      </c>
    </row>
    <row r="821" spans="1:5" hidden="1" x14ac:dyDescent="0.25">
      <c r="A821" s="115">
        <v>7.133</v>
      </c>
      <c r="B821" s="115">
        <v>7.33</v>
      </c>
      <c r="C821" s="1">
        <v>330</v>
      </c>
      <c r="D821" s="1" t="s">
        <v>2591</v>
      </c>
      <c r="E821" s="1">
        <v>7</v>
      </c>
    </row>
    <row r="822" spans="1:5" hidden="1" x14ac:dyDescent="0.25">
      <c r="A822" s="115">
        <v>7.1340000000000003</v>
      </c>
      <c r="B822" s="115">
        <v>7.34</v>
      </c>
      <c r="C822" s="1">
        <v>340</v>
      </c>
      <c r="D822" s="1" t="s">
        <v>2592</v>
      </c>
      <c r="E822" s="1">
        <v>7</v>
      </c>
    </row>
    <row r="823" spans="1:5" hidden="1" x14ac:dyDescent="0.25">
      <c r="A823" s="115">
        <v>7.1349999999999998</v>
      </c>
      <c r="B823" s="115">
        <v>7.35</v>
      </c>
      <c r="C823" s="1">
        <v>350</v>
      </c>
      <c r="D823" s="1" t="s">
        <v>2593</v>
      </c>
      <c r="E823" s="1">
        <v>7</v>
      </c>
    </row>
    <row r="824" spans="1:5" hidden="1" x14ac:dyDescent="0.25">
      <c r="A824" s="115">
        <v>7.1360000000000001</v>
      </c>
      <c r="B824" s="115">
        <v>7.36</v>
      </c>
      <c r="C824" s="1">
        <v>360</v>
      </c>
      <c r="D824" s="1" t="s">
        <v>2594</v>
      </c>
      <c r="E824" s="1">
        <v>7</v>
      </c>
    </row>
    <row r="825" spans="1:5" hidden="1" x14ac:dyDescent="0.25">
      <c r="A825" s="115">
        <v>7.1369999999999996</v>
      </c>
      <c r="B825" s="115">
        <v>7.37</v>
      </c>
      <c r="C825" s="1">
        <v>370</v>
      </c>
      <c r="D825" s="1" t="s">
        <v>2595</v>
      </c>
      <c r="E825" s="1">
        <v>7</v>
      </c>
    </row>
    <row r="826" spans="1:5" hidden="1" x14ac:dyDescent="0.25">
      <c r="A826" s="115">
        <v>7.1379999999999999</v>
      </c>
      <c r="B826" s="115">
        <v>7.38</v>
      </c>
      <c r="C826" s="1">
        <v>380</v>
      </c>
      <c r="D826" s="1" t="s">
        <v>2596</v>
      </c>
      <c r="E826" s="1">
        <v>7</v>
      </c>
    </row>
    <row r="827" spans="1:5" hidden="1" x14ac:dyDescent="0.25">
      <c r="A827" s="115">
        <v>7.1390000000000002</v>
      </c>
      <c r="B827" s="115">
        <v>7.39</v>
      </c>
      <c r="C827" s="1">
        <v>390</v>
      </c>
      <c r="D827" s="1" t="s">
        <v>2597</v>
      </c>
      <c r="E827" s="1">
        <v>7</v>
      </c>
    </row>
    <row r="828" spans="1:5" hidden="1" x14ac:dyDescent="0.25">
      <c r="A828" s="115">
        <v>7.14</v>
      </c>
      <c r="B828" s="115">
        <v>7.4</v>
      </c>
      <c r="C828" s="1">
        <v>400</v>
      </c>
      <c r="D828" s="1" t="s">
        <v>2598</v>
      </c>
      <c r="E828" s="1">
        <v>7</v>
      </c>
    </row>
    <row r="829" spans="1:5" hidden="1" x14ac:dyDescent="0.25">
      <c r="A829" s="115">
        <v>7.141</v>
      </c>
      <c r="B829" s="115">
        <v>7.41</v>
      </c>
      <c r="C829" s="1">
        <v>410</v>
      </c>
      <c r="D829" s="1" t="s">
        <v>2599</v>
      </c>
      <c r="E829" s="1">
        <v>7</v>
      </c>
    </row>
    <row r="830" spans="1:5" hidden="1" x14ac:dyDescent="0.25">
      <c r="A830" s="115">
        <v>7.1420000000000003</v>
      </c>
      <c r="B830" s="115">
        <v>7.42</v>
      </c>
      <c r="C830" s="1">
        <v>420</v>
      </c>
      <c r="D830" s="1" t="s">
        <v>2600</v>
      </c>
      <c r="E830" s="1">
        <v>7</v>
      </c>
    </row>
    <row r="831" spans="1:5" hidden="1" x14ac:dyDescent="0.25">
      <c r="A831" s="115">
        <v>7.1429999999999998</v>
      </c>
      <c r="B831" s="115">
        <v>7.43</v>
      </c>
      <c r="C831" s="1">
        <v>430</v>
      </c>
      <c r="D831" s="1" t="s">
        <v>2601</v>
      </c>
      <c r="E831" s="1">
        <v>7</v>
      </c>
    </row>
    <row r="832" spans="1:5" hidden="1" x14ac:dyDescent="0.25">
      <c r="A832" s="115">
        <v>7.1440000000000001</v>
      </c>
      <c r="B832" s="115">
        <v>7.44</v>
      </c>
      <c r="C832" s="1">
        <v>440</v>
      </c>
      <c r="D832" s="1" t="s">
        <v>2602</v>
      </c>
      <c r="E832" s="1">
        <v>7</v>
      </c>
    </row>
    <row r="833" spans="1:5" hidden="1" x14ac:dyDescent="0.25">
      <c r="A833" s="115">
        <v>7.1449999999999996</v>
      </c>
      <c r="B833" s="115">
        <v>7.4450000000000003</v>
      </c>
      <c r="C833" s="1">
        <v>445</v>
      </c>
      <c r="D833" s="1" t="s">
        <v>2603</v>
      </c>
      <c r="E833" s="1">
        <v>7</v>
      </c>
    </row>
    <row r="834" spans="1:5" hidden="1" x14ac:dyDescent="0.25">
      <c r="A834" s="115">
        <v>7.1459999999999999</v>
      </c>
      <c r="B834" s="115">
        <v>7.45</v>
      </c>
      <c r="C834" s="1">
        <v>450</v>
      </c>
      <c r="D834" s="1" t="s">
        <v>2604</v>
      </c>
      <c r="E834" s="1">
        <v>7</v>
      </c>
    </row>
    <row r="835" spans="1:5" hidden="1" x14ac:dyDescent="0.25">
      <c r="A835" s="115">
        <v>7.1470000000000002</v>
      </c>
      <c r="B835" s="115">
        <v>7.46</v>
      </c>
      <c r="C835" s="1">
        <v>460</v>
      </c>
      <c r="D835" s="1" t="s">
        <v>2605</v>
      </c>
      <c r="E835" s="1">
        <v>7</v>
      </c>
    </row>
    <row r="836" spans="1:5" hidden="1" x14ac:dyDescent="0.25">
      <c r="A836" s="115">
        <v>7.1479999999999997</v>
      </c>
      <c r="B836" s="115">
        <v>7.47</v>
      </c>
      <c r="C836" s="1">
        <v>470</v>
      </c>
      <c r="D836" s="1" t="s">
        <v>2606</v>
      </c>
      <c r="E836" s="1">
        <v>7</v>
      </c>
    </row>
    <row r="837" spans="1:5" hidden="1" x14ac:dyDescent="0.25">
      <c r="A837" s="115">
        <v>7.149</v>
      </c>
      <c r="B837" s="115">
        <v>7.48</v>
      </c>
      <c r="C837" s="1">
        <v>480</v>
      </c>
      <c r="D837" s="1" t="s">
        <v>2607</v>
      </c>
      <c r="E837" s="1">
        <v>7</v>
      </c>
    </row>
    <row r="838" spans="1:5" hidden="1" x14ac:dyDescent="0.25">
      <c r="A838" s="115">
        <v>7.15</v>
      </c>
      <c r="B838" s="115">
        <v>7.49</v>
      </c>
      <c r="C838" s="1">
        <v>490</v>
      </c>
      <c r="D838" s="1" t="s">
        <v>2608</v>
      </c>
      <c r="E838" s="1">
        <v>7</v>
      </c>
    </row>
    <row r="839" spans="1:5" hidden="1" x14ac:dyDescent="0.25">
      <c r="A839" s="115">
        <v>7.1509999999999998</v>
      </c>
      <c r="B839" s="115">
        <v>7.5</v>
      </c>
      <c r="C839" s="1">
        <v>500</v>
      </c>
      <c r="D839" s="1" t="s">
        <v>2609</v>
      </c>
      <c r="E839" s="1">
        <v>7</v>
      </c>
    </row>
    <row r="840" spans="1:5" hidden="1" x14ac:dyDescent="0.25">
      <c r="A840" s="115">
        <v>7.1520000000000001</v>
      </c>
      <c r="B840" s="115">
        <v>7.51</v>
      </c>
      <c r="C840" s="1">
        <v>510</v>
      </c>
      <c r="D840" s="1" t="s">
        <v>2610</v>
      </c>
      <c r="E840" s="1">
        <v>7</v>
      </c>
    </row>
    <row r="841" spans="1:5" hidden="1" x14ac:dyDescent="0.25">
      <c r="A841" s="115">
        <v>7.1529999999999996</v>
      </c>
      <c r="B841" s="115">
        <v>7.52</v>
      </c>
      <c r="C841" s="1">
        <v>520</v>
      </c>
      <c r="D841" s="1" t="s">
        <v>2611</v>
      </c>
      <c r="E841" s="1">
        <v>7</v>
      </c>
    </row>
    <row r="842" spans="1:5" hidden="1" x14ac:dyDescent="0.25">
      <c r="A842" s="115">
        <v>7.1539999999999999</v>
      </c>
      <c r="B842" s="115">
        <v>7.53</v>
      </c>
      <c r="C842" s="1">
        <v>530</v>
      </c>
      <c r="D842" s="1" t="s">
        <v>2612</v>
      </c>
      <c r="E842" s="1">
        <v>7</v>
      </c>
    </row>
    <row r="843" spans="1:5" hidden="1" x14ac:dyDescent="0.25">
      <c r="A843" s="115">
        <v>7.1550000000000002</v>
      </c>
      <c r="B843" s="115">
        <v>7.54</v>
      </c>
      <c r="C843" s="1">
        <v>540</v>
      </c>
      <c r="D843" s="1" t="s">
        <v>2613</v>
      </c>
      <c r="E843" s="1">
        <v>7</v>
      </c>
    </row>
    <row r="844" spans="1:5" hidden="1" x14ac:dyDescent="0.25">
      <c r="A844" s="115">
        <v>7.1559999999999997</v>
      </c>
      <c r="B844" s="115">
        <v>7.55</v>
      </c>
      <c r="C844" s="1">
        <v>550</v>
      </c>
      <c r="D844" s="1" t="s">
        <v>2614</v>
      </c>
      <c r="E844" s="1">
        <v>7</v>
      </c>
    </row>
    <row r="845" spans="1:5" hidden="1" x14ac:dyDescent="0.25">
      <c r="A845" s="115">
        <v>7.157</v>
      </c>
      <c r="B845" s="115">
        <v>7.56</v>
      </c>
      <c r="C845" s="1">
        <v>560</v>
      </c>
      <c r="D845" s="1" t="s">
        <v>2615</v>
      </c>
      <c r="E845" s="1">
        <v>7</v>
      </c>
    </row>
    <row r="846" spans="1:5" hidden="1" x14ac:dyDescent="0.25">
      <c r="A846" s="115">
        <v>7.1580000000000004</v>
      </c>
      <c r="B846" s="115">
        <v>7.57</v>
      </c>
      <c r="C846" s="1">
        <v>570</v>
      </c>
      <c r="D846" s="1" t="s">
        <v>2616</v>
      </c>
      <c r="E846" s="1">
        <v>7</v>
      </c>
    </row>
    <row r="847" spans="1:5" hidden="1" x14ac:dyDescent="0.25">
      <c r="A847" s="115">
        <v>7.1589999999999998</v>
      </c>
      <c r="B847" s="115">
        <v>7.5750000000000002</v>
      </c>
      <c r="C847" s="1">
        <v>575</v>
      </c>
      <c r="D847" s="1" t="s">
        <v>2617</v>
      </c>
      <c r="E847" s="1">
        <v>7</v>
      </c>
    </row>
    <row r="848" spans="1:5" hidden="1" x14ac:dyDescent="0.25">
      <c r="A848" s="115">
        <v>7.16</v>
      </c>
      <c r="B848" s="115">
        <v>7.5759999999999996</v>
      </c>
      <c r="C848" s="1">
        <v>576</v>
      </c>
      <c r="D848" s="1" t="s">
        <v>2618</v>
      </c>
      <c r="E848" s="1">
        <v>7</v>
      </c>
    </row>
    <row r="849" spans="1:5" hidden="1" x14ac:dyDescent="0.25">
      <c r="A849" s="115">
        <v>7.1609999999999996</v>
      </c>
      <c r="B849" s="115">
        <v>7.58</v>
      </c>
      <c r="C849" s="1">
        <v>580</v>
      </c>
      <c r="D849" s="1" t="s">
        <v>2619</v>
      </c>
      <c r="E849" s="1">
        <v>7</v>
      </c>
    </row>
    <row r="850" spans="1:5" hidden="1" x14ac:dyDescent="0.25">
      <c r="A850" s="115">
        <v>7.1619999999999999</v>
      </c>
      <c r="B850" s="115">
        <v>7.59</v>
      </c>
      <c r="C850" s="1">
        <v>590</v>
      </c>
      <c r="D850" s="1" t="s">
        <v>1099</v>
      </c>
      <c r="E850" s="1">
        <v>7</v>
      </c>
    </row>
    <row r="851" spans="1:5" hidden="1" x14ac:dyDescent="0.25">
      <c r="A851" s="115">
        <v>7.1630000000000003</v>
      </c>
      <c r="B851" s="115">
        <v>7.6</v>
      </c>
      <c r="C851" s="1">
        <v>600</v>
      </c>
      <c r="D851" s="1" t="s">
        <v>2620</v>
      </c>
      <c r="E851" s="1">
        <v>7</v>
      </c>
    </row>
    <row r="852" spans="1:5" hidden="1" x14ac:dyDescent="0.25">
      <c r="A852" s="115">
        <v>7.1639999999999997</v>
      </c>
      <c r="B852" s="115">
        <v>7.61</v>
      </c>
      <c r="C852" s="1">
        <v>610</v>
      </c>
      <c r="D852" s="1" t="s">
        <v>2621</v>
      </c>
      <c r="E852" s="1">
        <v>7</v>
      </c>
    </row>
    <row r="853" spans="1:5" hidden="1" x14ac:dyDescent="0.25">
      <c r="A853" s="115">
        <v>7.165</v>
      </c>
      <c r="B853" s="115">
        <v>7.62</v>
      </c>
      <c r="C853" s="1">
        <v>620</v>
      </c>
      <c r="D853" s="1" t="s">
        <v>2622</v>
      </c>
      <c r="E853" s="1">
        <v>7</v>
      </c>
    </row>
    <row r="854" spans="1:5" hidden="1" x14ac:dyDescent="0.25">
      <c r="A854" s="115">
        <v>7.1660000000000004</v>
      </c>
      <c r="B854" s="115">
        <v>7.63</v>
      </c>
      <c r="C854" s="1">
        <v>630</v>
      </c>
      <c r="D854" s="1" t="s">
        <v>2623</v>
      </c>
      <c r="E854" s="1">
        <v>7</v>
      </c>
    </row>
    <row r="855" spans="1:5" hidden="1" x14ac:dyDescent="0.25">
      <c r="A855" s="115">
        <v>7.1669999999999998</v>
      </c>
      <c r="B855" s="115">
        <v>7.64</v>
      </c>
      <c r="C855" s="1">
        <v>640</v>
      </c>
      <c r="D855" s="1" t="s">
        <v>2624</v>
      </c>
      <c r="E855" s="1">
        <v>7</v>
      </c>
    </row>
    <row r="856" spans="1:5" hidden="1" x14ac:dyDescent="0.25">
      <c r="A856" s="115">
        <v>7.1680000000000001</v>
      </c>
      <c r="B856" s="115">
        <v>7.65</v>
      </c>
      <c r="C856" s="1">
        <v>650</v>
      </c>
      <c r="D856" s="1" t="s">
        <v>2625</v>
      </c>
      <c r="E856" s="1">
        <v>7</v>
      </c>
    </row>
    <row r="857" spans="1:5" hidden="1" x14ac:dyDescent="0.25">
      <c r="A857" s="115">
        <v>7.1689999999999996</v>
      </c>
      <c r="B857" s="115">
        <v>7.66</v>
      </c>
      <c r="C857" s="1">
        <v>660</v>
      </c>
      <c r="D857" s="1" t="s">
        <v>2626</v>
      </c>
      <c r="E857" s="1">
        <v>7</v>
      </c>
    </row>
    <row r="858" spans="1:5" hidden="1" x14ac:dyDescent="0.25">
      <c r="A858" s="115">
        <v>7.17</v>
      </c>
      <c r="B858" s="115">
        <v>7.67</v>
      </c>
      <c r="C858" s="1">
        <v>670</v>
      </c>
      <c r="D858" s="1" t="s">
        <v>2627</v>
      </c>
      <c r="E858" s="1">
        <v>7</v>
      </c>
    </row>
    <row r="859" spans="1:5" hidden="1" x14ac:dyDescent="0.25">
      <c r="A859" s="115">
        <v>7.1710000000000003</v>
      </c>
      <c r="B859" s="115">
        <v>7.68</v>
      </c>
      <c r="C859" s="1">
        <v>680</v>
      </c>
      <c r="D859" s="1" t="s">
        <v>2628</v>
      </c>
      <c r="E859" s="1">
        <v>7</v>
      </c>
    </row>
    <row r="860" spans="1:5" hidden="1" x14ac:dyDescent="0.25">
      <c r="A860" s="115">
        <v>7.1719999999999997</v>
      </c>
      <c r="B860" s="115">
        <v>7.69</v>
      </c>
      <c r="C860" s="1">
        <v>690</v>
      </c>
      <c r="D860" s="1" t="s">
        <v>2629</v>
      </c>
      <c r="E860" s="1">
        <v>7</v>
      </c>
    </row>
    <row r="861" spans="1:5" hidden="1" x14ac:dyDescent="0.25">
      <c r="A861" s="115">
        <v>7.173</v>
      </c>
      <c r="B861" s="115">
        <v>7.7</v>
      </c>
      <c r="C861" s="1">
        <v>700</v>
      </c>
      <c r="D861" s="1" t="s">
        <v>2630</v>
      </c>
      <c r="E861" s="1">
        <v>7</v>
      </c>
    </row>
    <row r="862" spans="1:5" hidden="1" x14ac:dyDescent="0.25">
      <c r="A862" s="115">
        <v>7.1740000000000004</v>
      </c>
      <c r="B862" s="115">
        <v>7.71</v>
      </c>
      <c r="C862" s="1">
        <v>710</v>
      </c>
      <c r="D862" s="1" t="s">
        <v>2631</v>
      </c>
      <c r="E862" s="1">
        <v>7</v>
      </c>
    </row>
    <row r="863" spans="1:5" hidden="1" x14ac:dyDescent="0.25">
      <c r="A863" s="115">
        <v>7.1749999999999998</v>
      </c>
      <c r="B863" s="115">
        <v>7.72</v>
      </c>
      <c r="C863" s="1">
        <v>720</v>
      </c>
      <c r="D863" s="1" t="s">
        <v>2632</v>
      </c>
      <c r="E863" s="1">
        <v>7</v>
      </c>
    </row>
    <row r="864" spans="1:5" hidden="1" x14ac:dyDescent="0.25">
      <c r="A864" s="115">
        <v>7.1760000000000002</v>
      </c>
      <c r="B864" s="115">
        <v>7.73</v>
      </c>
      <c r="C864" s="1">
        <v>730</v>
      </c>
      <c r="D864" s="1" t="s">
        <v>2633</v>
      </c>
      <c r="E864" s="1">
        <v>7</v>
      </c>
    </row>
    <row r="865" spans="1:5" hidden="1" x14ac:dyDescent="0.25">
      <c r="A865" s="115">
        <v>7.1769999999999996</v>
      </c>
      <c r="B865" s="115">
        <v>7.74</v>
      </c>
      <c r="C865" s="1">
        <v>740</v>
      </c>
      <c r="D865" s="1" t="s">
        <v>2634</v>
      </c>
      <c r="E865" s="1">
        <v>7</v>
      </c>
    </row>
    <row r="866" spans="1:5" hidden="1" x14ac:dyDescent="0.25">
      <c r="A866" s="115">
        <v>7.1779999999999999</v>
      </c>
      <c r="B866" s="115">
        <v>7.75</v>
      </c>
      <c r="C866" s="1">
        <v>750</v>
      </c>
      <c r="D866" s="1" t="s">
        <v>2635</v>
      </c>
      <c r="E866" s="1">
        <v>7</v>
      </c>
    </row>
    <row r="867" spans="1:5" hidden="1" x14ac:dyDescent="0.25">
      <c r="A867" s="115">
        <v>7.1790000000000003</v>
      </c>
      <c r="B867" s="115">
        <v>7.7549999999999999</v>
      </c>
      <c r="C867" s="1">
        <v>755</v>
      </c>
      <c r="D867" s="1" t="s">
        <v>1466</v>
      </c>
      <c r="E867" s="1">
        <v>7</v>
      </c>
    </row>
    <row r="868" spans="1:5" hidden="1" x14ac:dyDescent="0.25">
      <c r="A868" s="115">
        <v>7.18</v>
      </c>
      <c r="B868" s="115">
        <v>7.76</v>
      </c>
      <c r="C868" s="1">
        <v>760</v>
      </c>
      <c r="D868" s="1" t="s">
        <v>2636</v>
      </c>
      <c r="E868" s="1">
        <v>7</v>
      </c>
    </row>
    <row r="869" spans="1:5" hidden="1" x14ac:dyDescent="0.25">
      <c r="A869" s="115">
        <v>7.181</v>
      </c>
      <c r="B869" s="115">
        <v>7.77</v>
      </c>
      <c r="C869" s="1">
        <v>770</v>
      </c>
      <c r="D869" s="1" t="s">
        <v>2637</v>
      </c>
      <c r="E869" s="1">
        <v>7</v>
      </c>
    </row>
    <row r="870" spans="1:5" hidden="1" x14ac:dyDescent="0.25">
      <c r="A870" s="115">
        <v>7.1820000000000004</v>
      </c>
      <c r="B870" s="115">
        <v>7.78</v>
      </c>
      <c r="C870" s="1">
        <v>780</v>
      </c>
      <c r="D870" s="1" t="s">
        <v>2638</v>
      </c>
      <c r="E870" s="1">
        <v>7</v>
      </c>
    </row>
    <row r="871" spans="1:5" hidden="1" x14ac:dyDescent="0.25">
      <c r="A871" s="115">
        <v>7.1829999999999998</v>
      </c>
      <c r="B871" s="115">
        <v>7.79</v>
      </c>
      <c r="C871" s="1">
        <v>790</v>
      </c>
      <c r="D871" s="1" t="s">
        <v>2639</v>
      </c>
      <c r="E871" s="1">
        <v>7</v>
      </c>
    </row>
    <row r="872" spans="1:5" hidden="1" x14ac:dyDescent="0.25">
      <c r="A872" s="115">
        <v>7.1840000000000002</v>
      </c>
      <c r="B872" s="115">
        <v>7.8</v>
      </c>
      <c r="C872" s="1">
        <v>800</v>
      </c>
      <c r="D872" s="1" t="s">
        <v>2640</v>
      </c>
      <c r="E872" s="1">
        <v>7</v>
      </c>
    </row>
    <row r="873" spans="1:5" hidden="1" x14ac:dyDescent="0.25">
      <c r="A873" s="115">
        <v>7.1849999999999996</v>
      </c>
      <c r="B873" s="115">
        <v>7.8049999999999997</v>
      </c>
      <c r="C873" s="1">
        <v>805</v>
      </c>
      <c r="D873" s="1" t="s">
        <v>2641</v>
      </c>
      <c r="E873" s="1">
        <v>7</v>
      </c>
    </row>
    <row r="874" spans="1:5" hidden="1" x14ac:dyDescent="0.25">
      <c r="A874" s="115">
        <v>7.1859999999999999</v>
      </c>
      <c r="B874" s="115">
        <v>7.81</v>
      </c>
      <c r="C874" s="1">
        <v>810</v>
      </c>
      <c r="D874" s="1" t="s">
        <v>2642</v>
      </c>
      <c r="E874" s="1">
        <v>7</v>
      </c>
    </row>
    <row r="875" spans="1:5" hidden="1" x14ac:dyDescent="0.25">
      <c r="A875" s="115">
        <v>7.1870000000000003</v>
      </c>
      <c r="B875" s="115">
        <v>7.82</v>
      </c>
      <c r="C875" s="1">
        <v>820</v>
      </c>
      <c r="D875" s="1" t="s">
        <v>2643</v>
      </c>
      <c r="E875" s="1">
        <v>7</v>
      </c>
    </row>
    <row r="876" spans="1:5" hidden="1" x14ac:dyDescent="0.25">
      <c r="A876" s="115">
        <v>7.1879999999999997</v>
      </c>
      <c r="B876" s="115">
        <v>7.83</v>
      </c>
      <c r="C876" s="1">
        <v>830</v>
      </c>
      <c r="D876" s="1" t="s">
        <v>2644</v>
      </c>
      <c r="E876" s="1">
        <v>7</v>
      </c>
    </row>
    <row r="877" spans="1:5" hidden="1" x14ac:dyDescent="0.25">
      <c r="A877" s="115">
        <v>7.1890000000000001</v>
      </c>
      <c r="B877" s="115">
        <v>7.84</v>
      </c>
      <c r="C877" s="1">
        <v>840</v>
      </c>
      <c r="D877" s="1" t="s">
        <v>2645</v>
      </c>
      <c r="E877" s="1">
        <v>7</v>
      </c>
    </row>
    <row r="878" spans="1:5" hidden="1" x14ac:dyDescent="0.25">
      <c r="A878" s="115">
        <v>7.19</v>
      </c>
      <c r="B878" s="115">
        <v>7.85</v>
      </c>
      <c r="C878" s="1">
        <v>850</v>
      </c>
      <c r="D878" s="1" t="s">
        <v>2646</v>
      </c>
      <c r="E878" s="1">
        <v>7</v>
      </c>
    </row>
    <row r="879" spans="1:5" hidden="1" x14ac:dyDescent="0.25">
      <c r="A879" s="115">
        <v>7.1909999999999998</v>
      </c>
      <c r="B879" s="115">
        <v>7.86</v>
      </c>
      <c r="C879" s="1">
        <v>860</v>
      </c>
      <c r="D879" s="1" t="s">
        <v>2647</v>
      </c>
      <c r="E879" s="1">
        <v>7</v>
      </c>
    </row>
    <row r="880" spans="1:5" hidden="1" x14ac:dyDescent="0.25">
      <c r="A880" s="115">
        <v>7.1920000000000002</v>
      </c>
      <c r="B880" s="115">
        <v>7.87</v>
      </c>
      <c r="C880" s="1">
        <v>870</v>
      </c>
      <c r="D880" s="1" t="s">
        <v>2648</v>
      </c>
      <c r="E880" s="1">
        <v>7</v>
      </c>
    </row>
    <row r="881" spans="1:5" hidden="1" x14ac:dyDescent="0.25">
      <c r="A881" s="115">
        <v>7.1929999999999996</v>
      </c>
      <c r="B881" s="115">
        <v>7.88</v>
      </c>
      <c r="C881" s="1">
        <v>880</v>
      </c>
      <c r="D881" s="1" t="s">
        <v>2649</v>
      </c>
      <c r="E881" s="1">
        <v>7</v>
      </c>
    </row>
    <row r="882" spans="1:5" hidden="1" x14ac:dyDescent="0.25">
      <c r="A882" s="115">
        <v>7.194</v>
      </c>
      <c r="B882" s="115">
        <v>7.89</v>
      </c>
      <c r="C882" s="1">
        <v>890</v>
      </c>
      <c r="D882" s="1" t="s">
        <v>2650</v>
      </c>
      <c r="E882" s="1">
        <v>7</v>
      </c>
    </row>
    <row r="883" spans="1:5" hidden="1" x14ac:dyDescent="0.25">
      <c r="A883" s="115">
        <v>7.1950000000000003</v>
      </c>
      <c r="B883" s="115">
        <v>7.8949999999999996</v>
      </c>
      <c r="C883" s="1">
        <v>895</v>
      </c>
      <c r="D883" s="1" t="s">
        <v>2651</v>
      </c>
      <c r="E883" s="1">
        <v>7</v>
      </c>
    </row>
    <row r="884" spans="1:5" hidden="1" x14ac:dyDescent="0.25">
      <c r="A884" s="115">
        <v>7.1959999999999997</v>
      </c>
      <c r="B884" s="115">
        <v>7.9</v>
      </c>
      <c r="C884" s="1">
        <v>900</v>
      </c>
      <c r="D884" s="1" t="s">
        <v>2652</v>
      </c>
      <c r="E884" s="1">
        <v>7</v>
      </c>
    </row>
    <row r="885" spans="1:5" hidden="1" x14ac:dyDescent="0.25">
      <c r="A885" s="115">
        <v>7.1970000000000001</v>
      </c>
      <c r="B885" s="115">
        <v>7.91</v>
      </c>
      <c r="C885" s="1">
        <v>910</v>
      </c>
      <c r="D885" s="1" t="s">
        <v>2653</v>
      </c>
      <c r="E885" s="1">
        <v>7</v>
      </c>
    </row>
    <row r="886" spans="1:5" hidden="1" x14ac:dyDescent="0.25">
      <c r="A886" s="115">
        <v>7.1980000000000004</v>
      </c>
      <c r="B886" s="115">
        <v>7.92</v>
      </c>
      <c r="C886" s="1">
        <v>920</v>
      </c>
      <c r="D886" s="1" t="s">
        <v>2654</v>
      </c>
      <c r="E886" s="1">
        <v>7</v>
      </c>
    </row>
    <row r="887" spans="1:5" hidden="1" x14ac:dyDescent="0.25">
      <c r="A887" s="115">
        <v>7.1989999999999998</v>
      </c>
      <c r="B887" s="115">
        <v>7.9249999999999998</v>
      </c>
      <c r="C887" s="1">
        <v>925</v>
      </c>
      <c r="D887" s="1" t="s">
        <v>2655</v>
      </c>
      <c r="E887" s="1">
        <v>7</v>
      </c>
    </row>
    <row r="888" spans="1:5" hidden="1" x14ac:dyDescent="0.25">
      <c r="A888" s="115">
        <v>7.2</v>
      </c>
      <c r="B888" s="115">
        <v>7.93</v>
      </c>
      <c r="C888" s="1">
        <v>930</v>
      </c>
      <c r="D888" s="1" t="s">
        <v>2656</v>
      </c>
      <c r="E888" s="1">
        <v>7</v>
      </c>
    </row>
    <row r="889" spans="1:5" hidden="1" x14ac:dyDescent="0.25">
      <c r="A889" s="115">
        <v>7.2009999999999996</v>
      </c>
      <c r="B889" s="115">
        <v>7.9349999999999996</v>
      </c>
      <c r="C889" s="1">
        <v>935</v>
      </c>
      <c r="D889" s="1" t="s">
        <v>2657</v>
      </c>
      <c r="E889" s="1">
        <v>7</v>
      </c>
    </row>
    <row r="890" spans="1:5" hidden="1" x14ac:dyDescent="0.25">
      <c r="A890" s="115">
        <v>7.202</v>
      </c>
      <c r="B890" s="115">
        <v>7.94</v>
      </c>
      <c r="C890" s="1">
        <v>940</v>
      </c>
      <c r="D890" s="1" t="s">
        <v>2658</v>
      </c>
      <c r="E890" s="1">
        <v>7</v>
      </c>
    </row>
    <row r="891" spans="1:5" hidden="1" x14ac:dyDescent="0.25">
      <c r="A891" s="115">
        <v>7.2030000000000003</v>
      </c>
      <c r="B891" s="115">
        <v>7.95</v>
      </c>
      <c r="C891" s="1">
        <v>950</v>
      </c>
      <c r="D891" s="1" t="s">
        <v>2659</v>
      </c>
      <c r="E891" s="1">
        <v>7</v>
      </c>
    </row>
    <row r="892" spans="1:5" hidden="1" x14ac:dyDescent="0.25">
      <c r="A892" s="115">
        <v>7.2039999999999997</v>
      </c>
      <c r="B892" s="115">
        <v>7.9550000000000001</v>
      </c>
      <c r="C892" s="1">
        <v>955</v>
      </c>
      <c r="D892" s="1" t="s">
        <v>2660</v>
      </c>
      <c r="E892" s="1">
        <v>7</v>
      </c>
    </row>
    <row r="893" spans="1:5" hidden="1" x14ac:dyDescent="0.25">
      <c r="A893" s="115">
        <v>7.2050000000000001</v>
      </c>
      <c r="B893" s="115">
        <v>7.96</v>
      </c>
      <c r="C893" s="1">
        <v>960</v>
      </c>
      <c r="D893" s="1" t="s">
        <v>2661</v>
      </c>
      <c r="E893" s="1">
        <v>7</v>
      </c>
    </row>
    <row r="894" spans="1:5" hidden="1" x14ac:dyDescent="0.25">
      <c r="A894" s="115">
        <v>7.2060000000000004</v>
      </c>
      <c r="B894" s="115">
        <v>7.97</v>
      </c>
      <c r="C894" s="1">
        <v>970</v>
      </c>
      <c r="D894" s="1" t="s">
        <v>2662</v>
      </c>
      <c r="E894" s="1">
        <v>7</v>
      </c>
    </row>
    <row r="895" spans="1:5" hidden="1" x14ac:dyDescent="0.25">
      <c r="A895" s="115">
        <v>7.2069999999999999</v>
      </c>
      <c r="B895" s="115">
        <v>7.98</v>
      </c>
      <c r="C895" s="1">
        <v>980</v>
      </c>
      <c r="D895" s="1" t="s">
        <v>2663</v>
      </c>
      <c r="E895" s="1">
        <v>7</v>
      </c>
    </row>
    <row r="896" spans="1:5" hidden="1" x14ac:dyDescent="0.25">
      <c r="A896" s="115">
        <v>7.2080000000000002</v>
      </c>
      <c r="B896" s="115">
        <v>7.99</v>
      </c>
      <c r="C896" s="1">
        <v>990</v>
      </c>
      <c r="D896" s="1" t="s">
        <v>2664</v>
      </c>
      <c r="E896" s="1">
        <v>7</v>
      </c>
    </row>
    <row r="897" spans="1:5" hidden="1" x14ac:dyDescent="0.25">
      <c r="A897" s="115">
        <v>7.2089999999999996</v>
      </c>
      <c r="B897" s="115">
        <v>7.1</v>
      </c>
      <c r="C897" s="1">
        <v>1000</v>
      </c>
      <c r="D897" s="1" t="s">
        <v>2665</v>
      </c>
      <c r="E897" s="1">
        <v>7</v>
      </c>
    </row>
    <row r="898" spans="1:5" hidden="1" x14ac:dyDescent="0.25">
      <c r="A898" s="115">
        <v>7.21</v>
      </c>
      <c r="B898" s="115">
        <v>7.11</v>
      </c>
      <c r="C898" s="1">
        <v>1100</v>
      </c>
      <c r="D898" s="1" t="s">
        <v>2666</v>
      </c>
      <c r="E898" s="1">
        <v>7</v>
      </c>
    </row>
    <row r="899" spans="1:5" hidden="1" x14ac:dyDescent="0.25">
      <c r="A899" s="115">
        <v>7.2110000000000003</v>
      </c>
      <c r="B899" s="115">
        <v>7.1109999999999998</v>
      </c>
      <c r="C899" s="1">
        <v>1110</v>
      </c>
      <c r="D899" s="1" t="s">
        <v>2667</v>
      </c>
      <c r="E899" s="1">
        <v>7</v>
      </c>
    </row>
    <row r="900" spans="1:5" hidden="1" x14ac:dyDescent="0.25">
      <c r="A900" s="115">
        <v>7.2119999999999997</v>
      </c>
      <c r="B900" s="115">
        <v>7.1120000000000001</v>
      </c>
      <c r="C900" s="1">
        <v>1120</v>
      </c>
      <c r="D900" s="1" t="s">
        <v>2668</v>
      </c>
      <c r="E900" s="1">
        <v>7</v>
      </c>
    </row>
    <row r="901" spans="1:5" hidden="1" x14ac:dyDescent="0.25">
      <c r="A901" s="115">
        <v>7.2130000000000001</v>
      </c>
      <c r="B901" s="115">
        <v>7.1130000000000004</v>
      </c>
      <c r="C901" s="1">
        <v>1130</v>
      </c>
      <c r="D901" s="1" t="s">
        <v>2669</v>
      </c>
      <c r="E901" s="1">
        <v>7</v>
      </c>
    </row>
    <row r="902" spans="1:5" hidden="1" x14ac:dyDescent="0.25">
      <c r="A902" s="115">
        <v>7.2140000000000004</v>
      </c>
      <c r="B902" s="115">
        <v>7.1139999999999999</v>
      </c>
      <c r="C902" s="1">
        <v>1140</v>
      </c>
      <c r="D902" s="1" t="s">
        <v>2670</v>
      </c>
      <c r="E902" s="1">
        <v>7</v>
      </c>
    </row>
    <row r="903" spans="1:5" hidden="1" x14ac:dyDescent="0.25">
      <c r="A903" s="115">
        <v>7.2149999999999999</v>
      </c>
      <c r="B903" s="115">
        <v>7.1150000000000002</v>
      </c>
      <c r="C903" s="1">
        <v>1150</v>
      </c>
      <c r="D903" s="1" t="s">
        <v>2671</v>
      </c>
      <c r="E903" s="1">
        <v>7</v>
      </c>
    </row>
    <row r="904" spans="1:5" hidden="1" x14ac:dyDescent="0.25">
      <c r="A904" s="115">
        <v>7.2160000000000002</v>
      </c>
      <c r="B904" s="115">
        <v>7.1159999999999997</v>
      </c>
      <c r="C904" s="1">
        <v>1160</v>
      </c>
      <c r="D904" s="1" t="s">
        <v>2672</v>
      </c>
      <c r="E904" s="1">
        <v>7</v>
      </c>
    </row>
    <row r="905" spans="1:5" hidden="1" x14ac:dyDescent="0.25">
      <c r="A905" s="115">
        <v>7.2169999999999996</v>
      </c>
      <c r="B905" s="115">
        <v>7.117</v>
      </c>
      <c r="C905" s="1">
        <v>1170</v>
      </c>
      <c r="D905" s="1" t="s">
        <v>2673</v>
      </c>
      <c r="E905" s="1">
        <v>7</v>
      </c>
    </row>
    <row r="906" spans="1:5" hidden="1" x14ac:dyDescent="0.25">
      <c r="A906" s="115">
        <v>7.218</v>
      </c>
      <c r="B906" s="115">
        <v>7.1180000000000003</v>
      </c>
      <c r="C906" s="1">
        <v>1180</v>
      </c>
      <c r="D906" s="1" t="s">
        <v>2674</v>
      </c>
      <c r="E906" s="1">
        <v>7</v>
      </c>
    </row>
    <row r="907" spans="1:5" hidden="1" x14ac:dyDescent="0.25">
      <c r="A907" s="115">
        <v>7.2190000000000003</v>
      </c>
      <c r="B907" s="115">
        <v>7.1189999999999998</v>
      </c>
      <c r="C907" s="1">
        <v>1190</v>
      </c>
      <c r="D907" s="1" t="s">
        <v>2675</v>
      </c>
      <c r="E907" s="1">
        <v>7</v>
      </c>
    </row>
    <row r="908" spans="1:5" hidden="1" x14ac:dyDescent="0.25">
      <c r="A908" s="115">
        <v>7.22</v>
      </c>
      <c r="B908" s="115">
        <v>7.12</v>
      </c>
      <c r="C908" s="1">
        <v>1200</v>
      </c>
      <c r="D908" s="1" t="s">
        <v>2676</v>
      </c>
      <c r="E908" s="1">
        <v>7</v>
      </c>
    </row>
    <row r="909" spans="1:5" hidden="1" x14ac:dyDescent="0.25">
      <c r="A909" s="115">
        <v>7.2210000000000001</v>
      </c>
      <c r="B909" s="115">
        <v>7.1210000000000004</v>
      </c>
      <c r="C909" s="1">
        <v>1210</v>
      </c>
      <c r="D909" s="1" t="s">
        <v>2677</v>
      </c>
      <c r="E909" s="1">
        <v>7</v>
      </c>
    </row>
    <row r="910" spans="1:5" hidden="1" x14ac:dyDescent="0.25">
      <c r="A910" s="115">
        <v>7.2220000000000004</v>
      </c>
      <c r="B910" s="115">
        <v>7.1219999999999999</v>
      </c>
      <c r="C910" s="1">
        <v>1220</v>
      </c>
      <c r="D910" s="1" t="s">
        <v>2678</v>
      </c>
      <c r="E910" s="1">
        <v>7</v>
      </c>
    </row>
    <row r="911" spans="1:5" hidden="1" x14ac:dyDescent="0.25">
      <c r="A911" s="115">
        <v>7.2229999999999999</v>
      </c>
      <c r="B911" s="115">
        <v>7.1230000000000002</v>
      </c>
      <c r="C911" s="1">
        <v>1230</v>
      </c>
      <c r="D911" s="1" t="s">
        <v>2679</v>
      </c>
      <c r="E911" s="1">
        <v>7</v>
      </c>
    </row>
    <row r="912" spans="1:5" hidden="1" x14ac:dyDescent="0.25">
      <c r="A912" s="115">
        <v>7.2240000000000002</v>
      </c>
      <c r="B912" s="115">
        <v>7.1239999999999997</v>
      </c>
      <c r="C912" s="1">
        <v>1240</v>
      </c>
      <c r="D912" s="1" t="s">
        <v>2680</v>
      </c>
      <c r="E912" s="1">
        <v>7</v>
      </c>
    </row>
    <row r="913" spans="1:5" hidden="1" x14ac:dyDescent="0.25">
      <c r="A913" s="115">
        <v>7.2249999999999996</v>
      </c>
      <c r="B913" s="115">
        <v>7.125</v>
      </c>
      <c r="C913" s="1">
        <v>1250</v>
      </c>
      <c r="D913" s="1" t="s">
        <v>2681</v>
      </c>
      <c r="E913" s="1">
        <v>7</v>
      </c>
    </row>
    <row r="914" spans="1:5" hidden="1" x14ac:dyDescent="0.25">
      <c r="A914" s="115">
        <v>7.226</v>
      </c>
      <c r="B914" s="115">
        <v>7.1260000000000003</v>
      </c>
      <c r="C914" s="1">
        <v>1260</v>
      </c>
      <c r="D914" s="1" t="s">
        <v>2682</v>
      </c>
      <c r="E914" s="1">
        <v>7</v>
      </c>
    </row>
    <row r="915" spans="1:5" hidden="1" x14ac:dyDescent="0.25">
      <c r="A915" s="115">
        <v>7.2270000000000003</v>
      </c>
      <c r="B915" s="115">
        <v>7.1269999999999998</v>
      </c>
      <c r="C915" s="1">
        <v>1270</v>
      </c>
      <c r="D915" s="1" t="s">
        <v>2683</v>
      </c>
      <c r="E915" s="1">
        <v>7</v>
      </c>
    </row>
    <row r="916" spans="1:5" hidden="1" x14ac:dyDescent="0.25">
      <c r="A916" s="115">
        <v>7.2279999999999998</v>
      </c>
      <c r="B916" s="115">
        <v>7.1280000000000001</v>
      </c>
      <c r="C916" s="1">
        <v>1280</v>
      </c>
      <c r="D916" s="1" t="s">
        <v>2684</v>
      </c>
      <c r="E916" s="1">
        <v>7</v>
      </c>
    </row>
    <row r="917" spans="1:5" hidden="1" x14ac:dyDescent="0.25">
      <c r="A917" s="115">
        <v>7.2290000000000001</v>
      </c>
      <c r="B917" s="115">
        <v>7.13</v>
      </c>
      <c r="C917" s="1">
        <v>1300</v>
      </c>
      <c r="D917" s="1" t="s">
        <v>2685</v>
      </c>
      <c r="E917" s="1">
        <v>7</v>
      </c>
    </row>
    <row r="918" spans="1:5" hidden="1" x14ac:dyDescent="0.25">
      <c r="A918" s="115">
        <v>7.23</v>
      </c>
      <c r="B918" s="115">
        <v>7.1310000000000002</v>
      </c>
      <c r="C918" s="1">
        <v>1310</v>
      </c>
      <c r="D918" s="1" t="s">
        <v>2686</v>
      </c>
      <c r="E918" s="1">
        <v>7</v>
      </c>
    </row>
    <row r="919" spans="1:5" hidden="1" x14ac:dyDescent="0.25">
      <c r="A919" s="115">
        <v>7.2309999999999999</v>
      </c>
      <c r="B919" s="115">
        <v>7.1319999999999997</v>
      </c>
      <c r="C919" s="1">
        <v>1320</v>
      </c>
      <c r="D919" s="1" t="s">
        <v>2687</v>
      </c>
      <c r="E919" s="1">
        <v>7</v>
      </c>
    </row>
    <row r="920" spans="1:5" hidden="1" x14ac:dyDescent="0.25">
      <c r="A920" s="115">
        <v>8.1010000000000009</v>
      </c>
      <c r="B920" s="115">
        <v>8.1</v>
      </c>
      <c r="C920" s="1">
        <v>10</v>
      </c>
      <c r="D920" s="1" t="s">
        <v>2559</v>
      </c>
      <c r="E920" s="1">
        <v>8</v>
      </c>
    </row>
    <row r="921" spans="1:5" hidden="1" x14ac:dyDescent="0.25">
      <c r="A921" s="115">
        <v>8.1020000000000003</v>
      </c>
      <c r="B921" s="115">
        <v>8.1999999999999993</v>
      </c>
      <c r="C921" s="1">
        <v>20</v>
      </c>
      <c r="D921" s="1" t="s">
        <v>2560</v>
      </c>
      <c r="E921" s="1">
        <v>8</v>
      </c>
    </row>
    <row r="922" spans="1:5" hidden="1" x14ac:dyDescent="0.25">
      <c r="A922" s="115">
        <v>8.1029999999999998</v>
      </c>
      <c r="B922" s="115">
        <v>8.3000000000000007</v>
      </c>
      <c r="C922" s="1">
        <v>30</v>
      </c>
      <c r="D922" s="1" t="s">
        <v>2561</v>
      </c>
      <c r="E922" s="1">
        <v>8</v>
      </c>
    </row>
    <row r="923" spans="1:5" hidden="1" x14ac:dyDescent="0.25">
      <c r="A923" s="115">
        <v>8.1039999999999992</v>
      </c>
      <c r="B923" s="115">
        <v>8.4</v>
      </c>
      <c r="C923" s="1">
        <v>40</v>
      </c>
      <c r="D923" s="1" t="s">
        <v>2562</v>
      </c>
      <c r="E923" s="1">
        <v>8</v>
      </c>
    </row>
    <row r="924" spans="1:5" hidden="1" x14ac:dyDescent="0.25">
      <c r="A924" s="115">
        <v>8.1050000000000004</v>
      </c>
      <c r="B924" s="115">
        <v>8.5</v>
      </c>
      <c r="C924" s="1">
        <v>50</v>
      </c>
      <c r="D924" s="1" t="s">
        <v>2563</v>
      </c>
      <c r="E924" s="1">
        <v>8</v>
      </c>
    </row>
    <row r="925" spans="1:5" hidden="1" x14ac:dyDescent="0.25">
      <c r="A925" s="115">
        <v>8.1059999999999999</v>
      </c>
      <c r="B925" s="115">
        <v>8.6</v>
      </c>
      <c r="C925" s="1">
        <v>60</v>
      </c>
      <c r="D925" s="1" t="s">
        <v>2564</v>
      </c>
      <c r="E925" s="1">
        <v>8</v>
      </c>
    </row>
    <row r="926" spans="1:5" hidden="1" x14ac:dyDescent="0.25">
      <c r="A926" s="115">
        <v>8.1069999999999993</v>
      </c>
      <c r="B926" s="115">
        <v>8.6999999999999993</v>
      </c>
      <c r="C926" s="1">
        <v>70</v>
      </c>
      <c r="D926" s="1" t="s">
        <v>2565</v>
      </c>
      <c r="E926" s="1">
        <v>8</v>
      </c>
    </row>
    <row r="927" spans="1:5" hidden="1" x14ac:dyDescent="0.25">
      <c r="A927" s="115">
        <v>8.1080000000000005</v>
      </c>
      <c r="B927" s="115">
        <v>8.8000000000000007</v>
      </c>
      <c r="C927" s="1">
        <v>80</v>
      </c>
      <c r="D927" s="1" t="s">
        <v>2566</v>
      </c>
      <c r="E927" s="1">
        <v>8</v>
      </c>
    </row>
    <row r="928" spans="1:5" hidden="1" x14ac:dyDescent="0.25">
      <c r="A928" s="115">
        <v>8.109</v>
      </c>
      <c r="B928" s="115">
        <v>8.9</v>
      </c>
      <c r="C928" s="1">
        <v>90</v>
      </c>
      <c r="D928" s="1" t="s">
        <v>2567</v>
      </c>
      <c r="E928" s="1">
        <v>8</v>
      </c>
    </row>
    <row r="929" spans="1:5" hidden="1" x14ac:dyDescent="0.25">
      <c r="A929" s="115">
        <v>8.11</v>
      </c>
      <c r="B929" s="115">
        <v>8.1</v>
      </c>
      <c r="C929" s="1">
        <v>100</v>
      </c>
      <c r="D929" s="1" t="s">
        <v>2568</v>
      </c>
      <c r="E929" s="1">
        <v>8</v>
      </c>
    </row>
    <row r="930" spans="1:5" hidden="1" x14ac:dyDescent="0.25">
      <c r="A930" s="115">
        <v>8.1110000000000007</v>
      </c>
      <c r="B930" s="115">
        <v>8.11</v>
      </c>
      <c r="C930" s="1">
        <v>110</v>
      </c>
      <c r="D930" s="1" t="s">
        <v>2569</v>
      </c>
      <c r="E930" s="1">
        <v>8</v>
      </c>
    </row>
    <row r="931" spans="1:5" hidden="1" x14ac:dyDescent="0.25">
      <c r="A931" s="115">
        <v>8.1120000000000001</v>
      </c>
      <c r="B931" s="115">
        <v>8.1199999999999992</v>
      </c>
      <c r="C931" s="1">
        <v>120</v>
      </c>
      <c r="D931" s="1" t="s">
        <v>2570</v>
      </c>
      <c r="E931" s="1">
        <v>8</v>
      </c>
    </row>
    <row r="932" spans="1:5" hidden="1" x14ac:dyDescent="0.25">
      <c r="A932" s="115">
        <v>8.1129999999999995</v>
      </c>
      <c r="B932" s="115">
        <v>8.1300000000000008</v>
      </c>
      <c r="C932" s="1">
        <v>130</v>
      </c>
      <c r="D932" s="1" t="s">
        <v>2571</v>
      </c>
      <c r="E932" s="1">
        <v>8</v>
      </c>
    </row>
    <row r="933" spans="1:5" hidden="1" x14ac:dyDescent="0.25">
      <c r="A933" s="115">
        <v>8.1140000000000008</v>
      </c>
      <c r="B933" s="115">
        <v>8.14</v>
      </c>
      <c r="C933" s="1">
        <v>140</v>
      </c>
      <c r="D933" s="1" t="s">
        <v>2572</v>
      </c>
      <c r="E933" s="1">
        <v>8</v>
      </c>
    </row>
    <row r="934" spans="1:5" hidden="1" x14ac:dyDescent="0.25">
      <c r="A934" s="115">
        <v>8.1150000000000002</v>
      </c>
      <c r="B934" s="115">
        <v>8.15</v>
      </c>
      <c r="C934" s="1">
        <v>150</v>
      </c>
      <c r="D934" s="1" t="s">
        <v>2573</v>
      </c>
      <c r="E934" s="1">
        <v>8</v>
      </c>
    </row>
    <row r="935" spans="1:5" hidden="1" x14ac:dyDescent="0.25">
      <c r="A935" s="115">
        <v>8.1159999999999997</v>
      </c>
      <c r="B935" s="115">
        <v>8.16</v>
      </c>
      <c r="C935" s="1">
        <v>160</v>
      </c>
      <c r="D935" s="1" t="s">
        <v>2574</v>
      </c>
      <c r="E935" s="1">
        <v>8</v>
      </c>
    </row>
    <row r="936" spans="1:5" hidden="1" x14ac:dyDescent="0.25">
      <c r="A936" s="115">
        <v>8.1170000000000009</v>
      </c>
      <c r="B936" s="115">
        <v>8.17</v>
      </c>
      <c r="C936" s="1">
        <v>170</v>
      </c>
      <c r="D936" s="1" t="s">
        <v>2575</v>
      </c>
      <c r="E936" s="1">
        <v>8</v>
      </c>
    </row>
    <row r="937" spans="1:5" hidden="1" x14ac:dyDescent="0.25">
      <c r="A937" s="115">
        <v>8.1180000000000003</v>
      </c>
      <c r="B937" s="115">
        <v>8.18</v>
      </c>
      <c r="C937" s="1">
        <v>180</v>
      </c>
      <c r="D937" s="1" t="s">
        <v>2576</v>
      </c>
      <c r="E937" s="1">
        <v>8</v>
      </c>
    </row>
    <row r="938" spans="1:5" hidden="1" x14ac:dyDescent="0.25">
      <c r="A938" s="115">
        <v>8.1189999999999998</v>
      </c>
      <c r="B938" s="115">
        <v>8.19</v>
      </c>
      <c r="C938" s="1">
        <v>190</v>
      </c>
      <c r="D938" s="1" t="s">
        <v>2577</v>
      </c>
      <c r="E938" s="1">
        <v>8</v>
      </c>
    </row>
    <row r="939" spans="1:5" hidden="1" x14ac:dyDescent="0.25">
      <c r="A939" s="115">
        <v>8.1199999999999992</v>
      </c>
      <c r="B939" s="115">
        <v>8.1999999999999993</v>
      </c>
      <c r="C939" s="1">
        <v>200</v>
      </c>
      <c r="D939" s="1" t="s">
        <v>2578</v>
      </c>
      <c r="E939" s="1">
        <v>8</v>
      </c>
    </row>
    <row r="940" spans="1:5" hidden="1" x14ac:dyDescent="0.25">
      <c r="A940" s="115">
        <v>8.1210000000000004</v>
      </c>
      <c r="B940" s="115">
        <v>8.2100000000000009</v>
      </c>
      <c r="C940" s="1">
        <v>210</v>
      </c>
      <c r="D940" s="1" t="s">
        <v>2579</v>
      </c>
      <c r="E940" s="1">
        <v>8</v>
      </c>
    </row>
    <row r="941" spans="1:5" hidden="1" x14ac:dyDescent="0.25">
      <c r="A941" s="115">
        <v>8.1219999999999999</v>
      </c>
      <c r="B941" s="115">
        <v>8.2200000000000006</v>
      </c>
      <c r="C941" s="1">
        <v>220</v>
      </c>
      <c r="D941" s="1" t="s">
        <v>2580</v>
      </c>
      <c r="E941" s="1">
        <v>8</v>
      </c>
    </row>
    <row r="942" spans="1:5" hidden="1" x14ac:dyDescent="0.25">
      <c r="A942" s="115">
        <v>8.1229999999999993</v>
      </c>
      <c r="B942" s="115">
        <v>8.23</v>
      </c>
      <c r="C942" s="1">
        <v>230</v>
      </c>
      <c r="D942" s="1" t="s">
        <v>2581</v>
      </c>
      <c r="E942" s="1">
        <v>8</v>
      </c>
    </row>
    <row r="943" spans="1:5" hidden="1" x14ac:dyDescent="0.25">
      <c r="A943" s="115">
        <v>8.1240000000000006</v>
      </c>
      <c r="B943" s="115">
        <v>8.24</v>
      </c>
      <c r="C943" s="1">
        <v>240</v>
      </c>
      <c r="D943" s="1" t="s">
        <v>2582</v>
      </c>
      <c r="E943" s="1">
        <v>8</v>
      </c>
    </row>
    <row r="944" spans="1:5" hidden="1" x14ac:dyDescent="0.25">
      <c r="A944" s="115">
        <v>8.125</v>
      </c>
      <c r="B944" s="115">
        <v>8.25</v>
      </c>
      <c r="C944" s="1">
        <v>250</v>
      </c>
      <c r="D944" s="1" t="s">
        <v>2583</v>
      </c>
      <c r="E944" s="1">
        <v>8</v>
      </c>
    </row>
    <row r="945" spans="1:5" hidden="1" x14ac:dyDescent="0.25">
      <c r="A945" s="115">
        <v>8.1259999999999994</v>
      </c>
      <c r="B945" s="115">
        <v>8.26</v>
      </c>
      <c r="C945" s="1">
        <v>260</v>
      </c>
      <c r="D945" s="1" t="s">
        <v>2584</v>
      </c>
      <c r="E945" s="1">
        <v>8</v>
      </c>
    </row>
    <row r="946" spans="1:5" hidden="1" x14ac:dyDescent="0.25">
      <c r="A946" s="115">
        <v>8.1270000000000007</v>
      </c>
      <c r="B946" s="115">
        <v>8.27</v>
      </c>
      <c r="C946" s="1">
        <v>270</v>
      </c>
      <c r="D946" s="1" t="s">
        <v>2585</v>
      </c>
      <c r="E946" s="1">
        <v>8</v>
      </c>
    </row>
    <row r="947" spans="1:5" hidden="1" x14ac:dyDescent="0.25">
      <c r="A947" s="115">
        <v>8.1280000000000001</v>
      </c>
      <c r="B947" s="115">
        <v>8.2799999999999994</v>
      </c>
      <c r="C947" s="1">
        <v>280</v>
      </c>
      <c r="D947" s="1" t="s">
        <v>2586</v>
      </c>
      <c r="E947" s="1">
        <v>8</v>
      </c>
    </row>
    <row r="948" spans="1:5" hidden="1" x14ac:dyDescent="0.25">
      <c r="A948" s="115">
        <v>8.1289999999999996</v>
      </c>
      <c r="B948" s="115">
        <v>8.2899999999999991</v>
      </c>
      <c r="C948" s="1">
        <v>290</v>
      </c>
      <c r="D948" s="1" t="s">
        <v>2587</v>
      </c>
      <c r="E948" s="1">
        <v>8</v>
      </c>
    </row>
    <row r="949" spans="1:5" hidden="1" x14ac:dyDescent="0.25">
      <c r="A949" s="115">
        <v>8.1300000000000008</v>
      </c>
      <c r="B949" s="115">
        <v>8.3000000000000007</v>
      </c>
      <c r="C949" s="1">
        <v>300</v>
      </c>
      <c r="D949" s="1" t="s">
        <v>2588</v>
      </c>
      <c r="E949" s="1">
        <v>8</v>
      </c>
    </row>
    <row r="950" spans="1:5" hidden="1" x14ac:dyDescent="0.25">
      <c r="A950" s="115">
        <v>8.1310000000000002</v>
      </c>
      <c r="B950" s="115">
        <v>8.31</v>
      </c>
      <c r="C950" s="1">
        <v>310</v>
      </c>
      <c r="D950" s="1" t="s">
        <v>2589</v>
      </c>
      <c r="E950" s="1">
        <v>8</v>
      </c>
    </row>
    <row r="951" spans="1:5" hidden="1" x14ac:dyDescent="0.25">
      <c r="A951" s="115">
        <v>8.1319999999999997</v>
      </c>
      <c r="B951" s="115">
        <v>8.32</v>
      </c>
      <c r="C951" s="1">
        <v>320</v>
      </c>
      <c r="D951" s="1" t="s">
        <v>2590</v>
      </c>
      <c r="E951" s="1">
        <v>8</v>
      </c>
    </row>
    <row r="952" spans="1:5" hidden="1" x14ac:dyDescent="0.25">
      <c r="A952" s="115">
        <v>8.1329999999999991</v>
      </c>
      <c r="B952" s="115">
        <v>8.33</v>
      </c>
      <c r="C952" s="1">
        <v>330</v>
      </c>
      <c r="D952" s="1" t="s">
        <v>2591</v>
      </c>
      <c r="E952" s="1">
        <v>8</v>
      </c>
    </row>
    <row r="953" spans="1:5" hidden="1" x14ac:dyDescent="0.25">
      <c r="A953" s="115">
        <v>8.1340000000000003</v>
      </c>
      <c r="B953" s="115">
        <v>8.34</v>
      </c>
      <c r="C953" s="1">
        <v>340</v>
      </c>
      <c r="D953" s="1" t="s">
        <v>2592</v>
      </c>
      <c r="E953" s="1">
        <v>8</v>
      </c>
    </row>
    <row r="954" spans="1:5" hidden="1" x14ac:dyDescent="0.25">
      <c r="A954" s="115">
        <v>8.1349999999999998</v>
      </c>
      <c r="B954" s="115">
        <v>8.35</v>
      </c>
      <c r="C954" s="1">
        <v>350</v>
      </c>
      <c r="D954" s="1" t="s">
        <v>2593</v>
      </c>
      <c r="E954" s="1">
        <v>8</v>
      </c>
    </row>
    <row r="955" spans="1:5" hidden="1" x14ac:dyDescent="0.25">
      <c r="A955" s="115">
        <v>8.1359999999999992</v>
      </c>
      <c r="B955" s="115">
        <v>8.36</v>
      </c>
      <c r="C955" s="1">
        <v>360</v>
      </c>
      <c r="D955" s="1" t="s">
        <v>2594</v>
      </c>
      <c r="E955" s="1">
        <v>8</v>
      </c>
    </row>
    <row r="956" spans="1:5" hidden="1" x14ac:dyDescent="0.25">
      <c r="A956" s="115">
        <v>8.1370000000000005</v>
      </c>
      <c r="B956" s="115">
        <v>8.3699999999999992</v>
      </c>
      <c r="C956" s="1">
        <v>370</v>
      </c>
      <c r="D956" s="1" t="s">
        <v>2595</v>
      </c>
      <c r="E956" s="1">
        <v>8</v>
      </c>
    </row>
    <row r="957" spans="1:5" hidden="1" x14ac:dyDescent="0.25">
      <c r="A957" s="115">
        <v>8.1379999999999999</v>
      </c>
      <c r="B957" s="115">
        <v>8.3800000000000008</v>
      </c>
      <c r="C957" s="1">
        <v>380</v>
      </c>
      <c r="D957" s="1" t="s">
        <v>2596</v>
      </c>
      <c r="E957" s="1">
        <v>8</v>
      </c>
    </row>
    <row r="958" spans="1:5" hidden="1" x14ac:dyDescent="0.25">
      <c r="A958" s="115">
        <v>8.1389999999999993</v>
      </c>
      <c r="B958" s="115">
        <v>8.39</v>
      </c>
      <c r="C958" s="1">
        <v>390</v>
      </c>
      <c r="D958" s="1" t="s">
        <v>2597</v>
      </c>
      <c r="E958" s="1">
        <v>8</v>
      </c>
    </row>
    <row r="959" spans="1:5" hidden="1" x14ac:dyDescent="0.25">
      <c r="A959" s="115">
        <v>8.14</v>
      </c>
      <c r="B959" s="115">
        <v>8.4</v>
      </c>
      <c r="C959" s="1">
        <v>400</v>
      </c>
      <c r="D959" s="1" t="s">
        <v>2598</v>
      </c>
      <c r="E959" s="1">
        <v>8</v>
      </c>
    </row>
    <row r="960" spans="1:5" hidden="1" x14ac:dyDescent="0.25">
      <c r="A960" s="115">
        <v>8.141</v>
      </c>
      <c r="B960" s="115">
        <v>8.41</v>
      </c>
      <c r="C960" s="1">
        <v>410</v>
      </c>
      <c r="D960" s="1" t="s">
        <v>2599</v>
      </c>
      <c r="E960" s="1">
        <v>8</v>
      </c>
    </row>
    <row r="961" spans="1:5" hidden="1" x14ac:dyDescent="0.25">
      <c r="A961" s="115">
        <v>8.1419999999999995</v>
      </c>
      <c r="B961" s="115">
        <v>8.42</v>
      </c>
      <c r="C961" s="1">
        <v>420</v>
      </c>
      <c r="D961" s="1" t="s">
        <v>2600</v>
      </c>
      <c r="E961" s="1">
        <v>8</v>
      </c>
    </row>
    <row r="962" spans="1:5" hidden="1" x14ac:dyDescent="0.25">
      <c r="A962" s="115">
        <v>8.1430000000000007</v>
      </c>
      <c r="B962" s="115">
        <v>8.43</v>
      </c>
      <c r="C962" s="1">
        <v>430</v>
      </c>
      <c r="D962" s="1" t="s">
        <v>2601</v>
      </c>
      <c r="E962" s="1">
        <v>8</v>
      </c>
    </row>
    <row r="963" spans="1:5" hidden="1" x14ac:dyDescent="0.25">
      <c r="A963" s="115">
        <v>8.1440000000000001</v>
      </c>
      <c r="B963" s="115">
        <v>8.44</v>
      </c>
      <c r="C963" s="1">
        <v>440</v>
      </c>
      <c r="D963" s="1" t="s">
        <v>2602</v>
      </c>
      <c r="E963" s="1">
        <v>8</v>
      </c>
    </row>
    <row r="964" spans="1:5" hidden="1" x14ac:dyDescent="0.25">
      <c r="A964" s="115">
        <v>8.1449999999999996</v>
      </c>
      <c r="B964" s="115">
        <v>8.4450000000000003</v>
      </c>
      <c r="C964" s="1">
        <v>445</v>
      </c>
      <c r="D964" s="1" t="s">
        <v>2603</v>
      </c>
      <c r="E964" s="1">
        <v>8</v>
      </c>
    </row>
    <row r="965" spans="1:5" hidden="1" x14ac:dyDescent="0.25">
      <c r="A965" s="115">
        <v>8.1460000000000008</v>
      </c>
      <c r="B965" s="115">
        <v>8.4499999999999993</v>
      </c>
      <c r="C965" s="1">
        <v>450</v>
      </c>
      <c r="D965" s="1" t="s">
        <v>2604</v>
      </c>
      <c r="E965" s="1">
        <v>8</v>
      </c>
    </row>
    <row r="966" spans="1:5" hidden="1" x14ac:dyDescent="0.25">
      <c r="A966" s="115">
        <v>8.1470000000000002</v>
      </c>
      <c r="B966" s="115">
        <v>8.4600000000000009</v>
      </c>
      <c r="C966" s="1">
        <v>460</v>
      </c>
      <c r="D966" s="1" t="s">
        <v>2605</v>
      </c>
      <c r="E966" s="1">
        <v>8</v>
      </c>
    </row>
    <row r="967" spans="1:5" hidden="1" x14ac:dyDescent="0.25">
      <c r="A967" s="115">
        <v>8.1479999999999997</v>
      </c>
      <c r="B967" s="115">
        <v>8.4700000000000006</v>
      </c>
      <c r="C967" s="1">
        <v>470</v>
      </c>
      <c r="D967" s="1" t="s">
        <v>2606</v>
      </c>
      <c r="E967" s="1">
        <v>8</v>
      </c>
    </row>
    <row r="968" spans="1:5" hidden="1" x14ac:dyDescent="0.25">
      <c r="A968" s="115">
        <v>8.1489999999999991</v>
      </c>
      <c r="B968" s="115">
        <v>8.48</v>
      </c>
      <c r="C968" s="1">
        <v>480</v>
      </c>
      <c r="D968" s="1" t="s">
        <v>2607</v>
      </c>
      <c r="E968" s="1">
        <v>8</v>
      </c>
    </row>
    <row r="969" spans="1:5" hidden="1" x14ac:dyDescent="0.25">
      <c r="A969" s="115">
        <v>8.15</v>
      </c>
      <c r="B969" s="115">
        <v>8.49</v>
      </c>
      <c r="C969" s="1">
        <v>490</v>
      </c>
      <c r="D969" s="1" t="s">
        <v>2608</v>
      </c>
      <c r="E969" s="1">
        <v>8</v>
      </c>
    </row>
    <row r="970" spans="1:5" hidden="1" x14ac:dyDescent="0.25">
      <c r="A970" s="115">
        <v>8.1509999999999998</v>
      </c>
      <c r="B970" s="115">
        <v>8.5</v>
      </c>
      <c r="C970" s="1">
        <v>500</v>
      </c>
      <c r="D970" s="1" t="s">
        <v>2609</v>
      </c>
      <c r="E970" s="1">
        <v>8</v>
      </c>
    </row>
    <row r="971" spans="1:5" hidden="1" x14ac:dyDescent="0.25">
      <c r="A971" s="115">
        <v>8.1519999999999992</v>
      </c>
      <c r="B971" s="115">
        <v>8.51</v>
      </c>
      <c r="C971" s="1">
        <v>510</v>
      </c>
      <c r="D971" s="1" t="s">
        <v>2610</v>
      </c>
      <c r="E971" s="1">
        <v>8</v>
      </c>
    </row>
    <row r="972" spans="1:5" hidden="1" x14ac:dyDescent="0.25">
      <c r="A972" s="115">
        <v>8.1530000000000005</v>
      </c>
      <c r="B972" s="115">
        <v>8.52</v>
      </c>
      <c r="C972" s="1">
        <v>520</v>
      </c>
      <c r="D972" s="1" t="s">
        <v>2611</v>
      </c>
      <c r="E972" s="1">
        <v>8</v>
      </c>
    </row>
    <row r="973" spans="1:5" hidden="1" x14ac:dyDescent="0.25">
      <c r="A973" s="115">
        <v>8.1539999999999999</v>
      </c>
      <c r="B973" s="115">
        <v>8.5299999999999994</v>
      </c>
      <c r="C973" s="1">
        <v>530</v>
      </c>
      <c r="D973" s="1" t="s">
        <v>2612</v>
      </c>
      <c r="E973" s="1">
        <v>8</v>
      </c>
    </row>
    <row r="974" spans="1:5" hidden="1" x14ac:dyDescent="0.25">
      <c r="A974" s="115">
        <v>8.1549999999999994</v>
      </c>
      <c r="B974" s="115">
        <v>8.5399999999999991</v>
      </c>
      <c r="C974" s="1">
        <v>540</v>
      </c>
      <c r="D974" s="1" t="s">
        <v>2613</v>
      </c>
      <c r="E974" s="1">
        <v>8</v>
      </c>
    </row>
    <row r="975" spans="1:5" hidden="1" x14ac:dyDescent="0.25">
      <c r="A975" s="115">
        <v>8.1560000000000006</v>
      </c>
      <c r="B975" s="115">
        <v>8.5500000000000007</v>
      </c>
      <c r="C975" s="1">
        <v>550</v>
      </c>
      <c r="D975" s="1" t="s">
        <v>2614</v>
      </c>
      <c r="E975" s="1">
        <v>8</v>
      </c>
    </row>
    <row r="976" spans="1:5" hidden="1" x14ac:dyDescent="0.25">
      <c r="A976" s="115">
        <v>8.157</v>
      </c>
      <c r="B976" s="115">
        <v>8.56</v>
      </c>
      <c r="C976" s="1">
        <v>560</v>
      </c>
      <c r="D976" s="1" t="s">
        <v>2615</v>
      </c>
      <c r="E976" s="1">
        <v>8</v>
      </c>
    </row>
    <row r="977" spans="1:5" hidden="1" x14ac:dyDescent="0.25">
      <c r="A977" s="115">
        <v>8.1579999999999995</v>
      </c>
      <c r="B977" s="115">
        <v>8.57</v>
      </c>
      <c r="C977" s="1">
        <v>570</v>
      </c>
      <c r="D977" s="1" t="s">
        <v>2616</v>
      </c>
      <c r="E977" s="1">
        <v>8</v>
      </c>
    </row>
    <row r="978" spans="1:5" hidden="1" x14ac:dyDescent="0.25">
      <c r="A978" s="115">
        <v>8.1590000000000007</v>
      </c>
      <c r="B978" s="115">
        <v>8.5749999999999993</v>
      </c>
      <c r="C978" s="1">
        <v>575</v>
      </c>
      <c r="D978" s="1" t="s">
        <v>2617</v>
      </c>
      <c r="E978" s="1">
        <v>8</v>
      </c>
    </row>
    <row r="979" spans="1:5" hidden="1" x14ac:dyDescent="0.25">
      <c r="A979" s="115">
        <v>8.16</v>
      </c>
      <c r="B979" s="115">
        <v>8.5760000000000005</v>
      </c>
      <c r="C979" s="1">
        <v>576</v>
      </c>
      <c r="D979" s="1" t="s">
        <v>2618</v>
      </c>
      <c r="E979" s="1">
        <v>8</v>
      </c>
    </row>
    <row r="980" spans="1:5" hidden="1" x14ac:dyDescent="0.25">
      <c r="A980" s="115">
        <v>8.1609999999999996</v>
      </c>
      <c r="B980" s="115">
        <v>8.58</v>
      </c>
      <c r="C980" s="1">
        <v>580</v>
      </c>
      <c r="D980" s="1" t="s">
        <v>2619</v>
      </c>
      <c r="E980" s="1">
        <v>8</v>
      </c>
    </row>
    <row r="981" spans="1:5" hidden="1" x14ac:dyDescent="0.25">
      <c r="A981" s="115">
        <v>8.1620000000000008</v>
      </c>
      <c r="B981" s="115">
        <v>8.59</v>
      </c>
      <c r="C981" s="1">
        <v>590</v>
      </c>
      <c r="D981" s="1" t="s">
        <v>1099</v>
      </c>
      <c r="E981" s="1">
        <v>8</v>
      </c>
    </row>
    <row r="982" spans="1:5" hidden="1" x14ac:dyDescent="0.25">
      <c r="A982" s="115">
        <v>8.1630000000000003</v>
      </c>
      <c r="B982" s="115">
        <v>8.6</v>
      </c>
      <c r="C982" s="1">
        <v>600</v>
      </c>
      <c r="D982" s="1" t="s">
        <v>2620</v>
      </c>
      <c r="E982" s="1">
        <v>8</v>
      </c>
    </row>
    <row r="983" spans="1:5" hidden="1" x14ac:dyDescent="0.25">
      <c r="A983" s="115">
        <v>8.1639999999999997</v>
      </c>
      <c r="B983" s="115">
        <v>8.61</v>
      </c>
      <c r="C983" s="1">
        <v>610</v>
      </c>
      <c r="D983" s="1" t="s">
        <v>2621</v>
      </c>
      <c r="E983" s="1">
        <v>8</v>
      </c>
    </row>
    <row r="984" spans="1:5" hidden="1" x14ac:dyDescent="0.25">
      <c r="A984" s="115">
        <v>8.1649999999999991</v>
      </c>
      <c r="B984" s="115">
        <v>8.6199999999999992</v>
      </c>
      <c r="C984" s="1">
        <v>620</v>
      </c>
      <c r="D984" s="1" t="s">
        <v>2622</v>
      </c>
      <c r="E984" s="1">
        <v>8</v>
      </c>
    </row>
    <row r="985" spans="1:5" hidden="1" x14ac:dyDescent="0.25">
      <c r="A985" s="115">
        <v>8.1660000000000004</v>
      </c>
      <c r="B985" s="115">
        <v>8.6300000000000008</v>
      </c>
      <c r="C985" s="1">
        <v>630</v>
      </c>
      <c r="D985" s="1" t="s">
        <v>2623</v>
      </c>
      <c r="E985" s="1">
        <v>8</v>
      </c>
    </row>
    <row r="986" spans="1:5" hidden="1" x14ac:dyDescent="0.25">
      <c r="A986" s="115">
        <v>8.1669999999999998</v>
      </c>
      <c r="B986" s="115">
        <v>8.64</v>
      </c>
      <c r="C986" s="1">
        <v>640</v>
      </c>
      <c r="D986" s="1" t="s">
        <v>2624</v>
      </c>
      <c r="E986" s="1">
        <v>8</v>
      </c>
    </row>
    <row r="987" spans="1:5" hidden="1" x14ac:dyDescent="0.25">
      <c r="A987" s="115">
        <v>8.1679999999999993</v>
      </c>
      <c r="B987" s="115">
        <v>8.65</v>
      </c>
      <c r="C987" s="1">
        <v>650</v>
      </c>
      <c r="D987" s="1" t="s">
        <v>2625</v>
      </c>
      <c r="E987" s="1">
        <v>8</v>
      </c>
    </row>
    <row r="988" spans="1:5" hidden="1" x14ac:dyDescent="0.25">
      <c r="A988" s="115">
        <v>8.1690000000000005</v>
      </c>
      <c r="B988" s="115">
        <v>8.66</v>
      </c>
      <c r="C988" s="1">
        <v>660</v>
      </c>
      <c r="D988" s="1" t="s">
        <v>2626</v>
      </c>
      <c r="E988" s="1">
        <v>8</v>
      </c>
    </row>
    <row r="989" spans="1:5" hidden="1" x14ac:dyDescent="0.25">
      <c r="A989" s="115">
        <v>8.17</v>
      </c>
      <c r="B989" s="115">
        <v>8.67</v>
      </c>
      <c r="C989" s="1">
        <v>670</v>
      </c>
      <c r="D989" s="1" t="s">
        <v>2627</v>
      </c>
      <c r="E989" s="1">
        <v>8</v>
      </c>
    </row>
    <row r="990" spans="1:5" hidden="1" x14ac:dyDescent="0.25">
      <c r="A990" s="115">
        <v>8.1709999999999994</v>
      </c>
      <c r="B990" s="115">
        <v>8.68</v>
      </c>
      <c r="C990" s="1">
        <v>680</v>
      </c>
      <c r="D990" s="1" t="s">
        <v>2628</v>
      </c>
      <c r="E990" s="1">
        <v>8</v>
      </c>
    </row>
    <row r="991" spans="1:5" hidden="1" x14ac:dyDescent="0.25">
      <c r="A991" s="115">
        <v>8.1720000000000006</v>
      </c>
      <c r="B991" s="115">
        <v>8.69</v>
      </c>
      <c r="C991" s="1">
        <v>690</v>
      </c>
      <c r="D991" s="1" t="s">
        <v>2629</v>
      </c>
      <c r="E991" s="1">
        <v>8</v>
      </c>
    </row>
    <row r="992" spans="1:5" hidden="1" x14ac:dyDescent="0.25">
      <c r="A992" s="115">
        <v>8.173</v>
      </c>
      <c r="B992" s="115">
        <v>8.6999999999999993</v>
      </c>
      <c r="C992" s="1">
        <v>700</v>
      </c>
      <c r="D992" s="1" t="s">
        <v>2630</v>
      </c>
      <c r="E992" s="1">
        <v>8</v>
      </c>
    </row>
    <row r="993" spans="1:5" hidden="1" x14ac:dyDescent="0.25">
      <c r="A993" s="115">
        <v>8.1739999999999995</v>
      </c>
      <c r="B993" s="115">
        <v>8.7100000000000009</v>
      </c>
      <c r="C993" s="1">
        <v>710</v>
      </c>
      <c r="D993" s="1" t="s">
        <v>2631</v>
      </c>
      <c r="E993" s="1">
        <v>8</v>
      </c>
    </row>
    <row r="994" spans="1:5" hidden="1" x14ac:dyDescent="0.25">
      <c r="A994" s="115">
        <v>8.1750000000000007</v>
      </c>
      <c r="B994" s="115">
        <v>8.7200000000000006</v>
      </c>
      <c r="C994" s="1">
        <v>720</v>
      </c>
      <c r="D994" s="1" t="s">
        <v>2632</v>
      </c>
      <c r="E994" s="1">
        <v>8</v>
      </c>
    </row>
    <row r="995" spans="1:5" hidden="1" x14ac:dyDescent="0.25">
      <c r="A995" s="115">
        <v>8.1760000000000002</v>
      </c>
      <c r="B995" s="115">
        <v>8.73</v>
      </c>
      <c r="C995" s="1">
        <v>730</v>
      </c>
      <c r="D995" s="1" t="s">
        <v>2633</v>
      </c>
      <c r="E995" s="1">
        <v>8</v>
      </c>
    </row>
    <row r="996" spans="1:5" hidden="1" x14ac:dyDescent="0.25">
      <c r="A996" s="115">
        <v>8.1769999999999996</v>
      </c>
      <c r="B996" s="115">
        <v>8.74</v>
      </c>
      <c r="C996" s="1">
        <v>740</v>
      </c>
      <c r="D996" s="1" t="s">
        <v>2634</v>
      </c>
      <c r="E996" s="1">
        <v>8</v>
      </c>
    </row>
    <row r="997" spans="1:5" hidden="1" x14ac:dyDescent="0.25">
      <c r="A997" s="115">
        <v>8.1780000000000008</v>
      </c>
      <c r="B997" s="115">
        <v>8.75</v>
      </c>
      <c r="C997" s="1">
        <v>750</v>
      </c>
      <c r="D997" s="1" t="s">
        <v>2635</v>
      </c>
      <c r="E997" s="1">
        <v>8</v>
      </c>
    </row>
    <row r="998" spans="1:5" hidden="1" x14ac:dyDescent="0.25">
      <c r="A998" s="115">
        <v>8.1790000000000003</v>
      </c>
      <c r="B998" s="115">
        <v>8.7550000000000008</v>
      </c>
      <c r="C998" s="1">
        <v>755</v>
      </c>
      <c r="D998" s="1" t="s">
        <v>1466</v>
      </c>
      <c r="E998" s="1">
        <v>8</v>
      </c>
    </row>
    <row r="999" spans="1:5" hidden="1" x14ac:dyDescent="0.25">
      <c r="A999" s="115">
        <v>8.18</v>
      </c>
      <c r="B999" s="115">
        <v>8.76</v>
      </c>
      <c r="C999" s="1">
        <v>760</v>
      </c>
      <c r="D999" s="1" t="s">
        <v>2636</v>
      </c>
      <c r="E999" s="1">
        <v>8</v>
      </c>
    </row>
    <row r="1000" spans="1:5" hidden="1" x14ac:dyDescent="0.25">
      <c r="A1000" s="115">
        <v>8.1809999999999992</v>
      </c>
      <c r="B1000" s="115">
        <v>8.77</v>
      </c>
      <c r="C1000" s="1">
        <v>770</v>
      </c>
      <c r="D1000" s="1" t="s">
        <v>2637</v>
      </c>
      <c r="E1000" s="1">
        <v>8</v>
      </c>
    </row>
    <row r="1001" spans="1:5" hidden="1" x14ac:dyDescent="0.25">
      <c r="A1001" s="115">
        <v>8.1820000000000004</v>
      </c>
      <c r="B1001" s="115">
        <v>8.7799999999999994</v>
      </c>
      <c r="C1001" s="1">
        <v>780</v>
      </c>
      <c r="D1001" s="1" t="s">
        <v>2638</v>
      </c>
      <c r="E1001" s="1">
        <v>8</v>
      </c>
    </row>
    <row r="1002" spans="1:5" hidden="1" x14ac:dyDescent="0.25">
      <c r="A1002" s="115">
        <v>8.1829999999999998</v>
      </c>
      <c r="B1002" s="115">
        <v>8.7899999999999991</v>
      </c>
      <c r="C1002" s="1">
        <v>790</v>
      </c>
      <c r="D1002" s="1" t="s">
        <v>2639</v>
      </c>
      <c r="E1002" s="1">
        <v>8</v>
      </c>
    </row>
    <row r="1003" spans="1:5" hidden="1" x14ac:dyDescent="0.25">
      <c r="A1003" s="115">
        <v>8.1839999999999993</v>
      </c>
      <c r="B1003" s="115">
        <v>8.8000000000000007</v>
      </c>
      <c r="C1003" s="1">
        <v>800</v>
      </c>
      <c r="D1003" s="1" t="s">
        <v>2640</v>
      </c>
      <c r="E1003" s="1">
        <v>8</v>
      </c>
    </row>
    <row r="1004" spans="1:5" hidden="1" x14ac:dyDescent="0.25">
      <c r="A1004" s="115">
        <v>8.1850000000000005</v>
      </c>
      <c r="B1004" s="115">
        <v>8.8049999999999997</v>
      </c>
      <c r="C1004" s="1">
        <v>805</v>
      </c>
      <c r="D1004" s="1" t="s">
        <v>2641</v>
      </c>
      <c r="E1004" s="1">
        <v>8</v>
      </c>
    </row>
    <row r="1005" spans="1:5" hidden="1" x14ac:dyDescent="0.25">
      <c r="A1005" s="115">
        <v>8.1859999999999999</v>
      </c>
      <c r="B1005" s="115">
        <v>8.81</v>
      </c>
      <c r="C1005" s="1">
        <v>810</v>
      </c>
      <c r="D1005" s="1" t="s">
        <v>2642</v>
      </c>
      <c r="E1005" s="1">
        <v>8</v>
      </c>
    </row>
    <row r="1006" spans="1:5" hidden="1" x14ac:dyDescent="0.25">
      <c r="A1006" s="115">
        <v>8.1869999999999994</v>
      </c>
      <c r="B1006" s="115">
        <v>8.82</v>
      </c>
      <c r="C1006" s="1">
        <v>820</v>
      </c>
      <c r="D1006" s="1" t="s">
        <v>2643</v>
      </c>
      <c r="E1006" s="1">
        <v>8</v>
      </c>
    </row>
    <row r="1007" spans="1:5" hidden="1" x14ac:dyDescent="0.25">
      <c r="A1007" s="115">
        <v>8.1880000000000006</v>
      </c>
      <c r="B1007" s="115">
        <v>8.83</v>
      </c>
      <c r="C1007" s="1">
        <v>830</v>
      </c>
      <c r="D1007" s="1" t="s">
        <v>2644</v>
      </c>
      <c r="E1007" s="1">
        <v>8</v>
      </c>
    </row>
    <row r="1008" spans="1:5" hidden="1" x14ac:dyDescent="0.25">
      <c r="A1008" s="115">
        <v>8.1890000000000001</v>
      </c>
      <c r="B1008" s="115">
        <v>8.84</v>
      </c>
      <c r="C1008" s="1">
        <v>840</v>
      </c>
      <c r="D1008" s="1" t="s">
        <v>2645</v>
      </c>
      <c r="E1008" s="1">
        <v>8</v>
      </c>
    </row>
    <row r="1009" spans="1:5" hidden="1" x14ac:dyDescent="0.25">
      <c r="A1009" s="115">
        <v>8.19</v>
      </c>
      <c r="B1009" s="115">
        <v>8.85</v>
      </c>
      <c r="C1009" s="1">
        <v>850</v>
      </c>
      <c r="D1009" s="1" t="s">
        <v>2646</v>
      </c>
      <c r="E1009" s="1">
        <v>8</v>
      </c>
    </row>
    <row r="1010" spans="1:5" hidden="1" x14ac:dyDescent="0.25">
      <c r="A1010" s="115">
        <v>8.1910000000000007</v>
      </c>
      <c r="B1010" s="115">
        <v>8.86</v>
      </c>
      <c r="C1010" s="1">
        <v>860</v>
      </c>
      <c r="D1010" s="1" t="s">
        <v>2647</v>
      </c>
      <c r="E1010" s="1">
        <v>8</v>
      </c>
    </row>
    <row r="1011" spans="1:5" hidden="1" x14ac:dyDescent="0.25">
      <c r="A1011" s="115">
        <v>8.1920000000000002</v>
      </c>
      <c r="B1011" s="115">
        <v>8.8699999999999992</v>
      </c>
      <c r="C1011" s="1">
        <v>870</v>
      </c>
      <c r="D1011" s="1" t="s">
        <v>2648</v>
      </c>
      <c r="E1011" s="1">
        <v>8</v>
      </c>
    </row>
    <row r="1012" spans="1:5" hidden="1" x14ac:dyDescent="0.25">
      <c r="A1012" s="115">
        <v>8.1929999999999996</v>
      </c>
      <c r="B1012" s="115">
        <v>8.8800000000000008</v>
      </c>
      <c r="C1012" s="1">
        <v>880</v>
      </c>
      <c r="D1012" s="1" t="s">
        <v>2649</v>
      </c>
      <c r="E1012" s="1">
        <v>8</v>
      </c>
    </row>
    <row r="1013" spans="1:5" hidden="1" x14ac:dyDescent="0.25">
      <c r="A1013" s="115">
        <v>8.1940000000000008</v>
      </c>
      <c r="B1013" s="115">
        <v>8.89</v>
      </c>
      <c r="C1013" s="1">
        <v>890</v>
      </c>
      <c r="D1013" s="1" t="s">
        <v>2650</v>
      </c>
      <c r="E1013" s="1">
        <v>8</v>
      </c>
    </row>
    <row r="1014" spans="1:5" hidden="1" x14ac:dyDescent="0.25">
      <c r="A1014" s="115">
        <v>8.1950000000000003</v>
      </c>
      <c r="B1014" s="115">
        <v>8.8949999999999996</v>
      </c>
      <c r="C1014" s="1">
        <v>895</v>
      </c>
      <c r="D1014" s="1" t="s">
        <v>2651</v>
      </c>
      <c r="E1014" s="1">
        <v>8</v>
      </c>
    </row>
    <row r="1015" spans="1:5" hidden="1" x14ac:dyDescent="0.25">
      <c r="A1015" s="115">
        <v>8.1959999999999997</v>
      </c>
      <c r="B1015" s="115">
        <v>8.9</v>
      </c>
      <c r="C1015" s="1">
        <v>900</v>
      </c>
      <c r="D1015" s="1" t="s">
        <v>2652</v>
      </c>
      <c r="E1015" s="1">
        <v>8</v>
      </c>
    </row>
    <row r="1016" spans="1:5" hidden="1" x14ac:dyDescent="0.25">
      <c r="A1016" s="115">
        <v>8.1969999999999992</v>
      </c>
      <c r="B1016" s="115">
        <v>8.91</v>
      </c>
      <c r="C1016" s="1">
        <v>910</v>
      </c>
      <c r="D1016" s="1" t="s">
        <v>2653</v>
      </c>
      <c r="E1016" s="1">
        <v>8</v>
      </c>
    </row>
    <row r="1017" spans="1:5" hidden="1" x14ac:dyDescent="0.25">
      <c r="A1017" s="115">
        <v>8.1980000000000004</v>
      </c>
      <c r="B1017" s="115">
        <v>8.92</v>
      </c>
      <c r="C1017" s="1">
        <v>920</v>
      </c>
      <c r="D1017" s="1" t="s">
        <v>2654</v>
      </c>
      <c r="E1017" s="1">
        <v>8</v>
      </c>
    </row>
    <row r="1018" spans="1:5" hidden="1" x14ac:dyDescent="0.25">
      <c r="A1018" s="115">
        <v>8.1989999999999998</v>
      </c>
      <c r="B1018" s="115">
        <v>8.9250000000000007</v>
      </c>
      <c r="C1018" s="1">
        <v>925</v>
      </c>
      <c r="D1018" s="1" t="s">
        <v>2655</v>
      </c>
      <c r="E1018" s="1">
        <v>8</v>
      </c>
    </row>
    <row r="1019" spans="1:5" hidden="1" x14ac:dyDescent="0.25">
      <c r="A1019" s="115">
        <v>8.1999999999999993</v>
      </c>
      <c r="B1019" s="115">
        <v>8.93</v>
      </c>
      <c r="C1019" s="1">
        <v>930</v>
      </c>
      <c r="D1019" s="1" t="s">
        <v>2656</v>
      </c>
      <c r="E1019" s="1">
        <v>8</v>
      </c>
    </row>
    <row r="1020" spans="1:5" hidden="1" x14ac:dyDescent="0.25">
      <c r="A1020" s="115">
        <v>8.2010000000000005</v>
      </c>
      <c r="B1020" s="115">
        <v>8.9350000000000005</v>
      </c>
      <c r="C1020" s="1">
        <v>935</v>
      </c>
      <c r="D1020" s="1" t="s">
        <v>2657</v>
      </c>
      <c r="E1020" s="1">
        <v>8</v>
      </c>
    </row>
    <row r="1021" spans="1:5" hidden="1" x14ac:dyDescent="0.25">
      <c r="A1021" s="115">
        <v>8.202</v>
      </c>
      <c r="B1021" s="115">
        <v>8.94</v>
      </c>
      <c r="C1021" s="1">
        <v>940</v>
      </c>
      <c r="D1021" s="1" t="s">
        <v>2658</v>
      </c>
      <c r="E1021" s="1">
        <v>8</v>
      </c>
    </row>
    <row r="1022" spans="1:5" hidden="1" x14ac:dyDescent="0.25">
      <c r="A1022" s="115">
        <v>8.2029999999999994</v>
      </c>
      <c r="B1022" s="115">
        <v>8.9499999999999993</v>
      </c>
      <c r="C1022" s="1">
        <v>950</v>
      </c>
      <c r="D1022" s="1" t="s">
        <v>2659</v>
      </c>
      <c r="E1022" s="1">
        <v>8</v>
      </c>
    </row>
    <row r="1023" spans="1:5" hidden="1" x14ac:dyDescent="0.25">
      <c r="A1023" s="115">
        <v>8.2040000000000006</v>
      </c>
      <c r="B1023" s="115">
        <v>8.9550000000000001</v>
      </c>
      <c r="C1023" s="1">
        <v>955</v>
      </c>
      <c r="D1023" s="1" t="s">
        <v>2660</v>
      </c>
      <c r="E1023" s="1">
        <v>8</v>
      </c>
    </row>
    <row r="1024" spans="1:5" hidden="1" x14ac:dyDescent="0.25">
      <c r="A1024" s="115">
        <v>8.2050000000000001</v>
      </c>
      <c r="B1024" s="115">
        <v>8.9600000000000009</v>
      </c>
      <c r="C1024" s="1">
        <v>960</v>
      </c>
      <c r="D1024" s="1" t="s">
        <v>2661</v>
      </c>
      <c r="E1024" s="1">
        <v>8</v>
      </c>
    </row>
    <row r="1025" spans="1:5" hidden="1" x14ac:dyDescent="0.25">
      <c r="A1025" s="115">
        <v>8.2059999999999995</v>
      </c>
      <c r="B1025" s="115">
        <v>8.9700000000000006</v>
      </c>
      <c r="C1025" s="1">
        <v>970</v>
      </c>
      <c r="D1025" s="1" t="s">
        <v>2662</v>
      </c>
      <c r="E1025" s="1">
        <v>8</v>
      </c>
    </row>
    <row r="1026" spans="1:5" hidden="1" x14ac:dyDescent="0.25">
      <c r="A1026" s="115">
        <v>8.2070000000000007</v>
      </c>
      <c r="B1026" s="115">
        <v>8.98</v>
      </c>
      <c r="C1026" s="1">
        <v>980</v>
      </c>
      <c r="D1026" s="1" t="s">
        <v>2663</v>
      </c>
      <c r="E1026" s="1">
        <v>8</v>
      </c>
    </row>
    <row r="1027" spans="1:5" hidden="1" x14ac:dyDescent="0.25">
      <c r="A1027" s="115">
        <v>8.2080000000000002</v>
      </c>
      <c r="B1027" s="115">
        <v>8.99</v>
      </c>
      <c r="C1027" s="1">
        <v>990</v>
      </c>
      <c r="D1027" s="1" t="s">
        <v>2664</v>
      </c>
      <c r="E1027" s="1">
        <v>8</v>
      </c>
    </row>
    <row r="1028" spans="1:5" hidden="1" x14ac:dyDescent="0.25">
      <c r="A1028" s="115">
        <v>8.2089999999999996</v>
      </c>
      <c r="B1028" s="115">
        <v>8.1</v>
      </c>
      <c r="C1028" s="1">
        <v>1000</v>
      </c>
      <c r="D1028" s="1" t="s">
        <v>2665</v>
      </c>
      <c r="E1028" s="1">
        <v>8</v>
      </c>
    </row>
    <row r="1029" spans="1:5" hidden="1" x14ac:dyDescent="0.25">
      <c r="A1029" s="115">
        <v>8.2100000000000009</v>
      </c>
      <c r="B1029" s="115">
        <v>8.11</v>
      </c>
      <c r="C1029" s="1">
        <v>1100</v>
      </c>
      <c r="D1029" s="1" t="s">
        <v>2666</v>
      </c>
      <c r="E1029" s="1">
        <v>8</v>
      </c>
    </row>
    <row r="1030" spans="1:5" hidden="1" x14ac:dyDescent="0.25">
      <c r="A1030" s="115">
        <v>8.2110000000000003</v>
      </c>
      <c r="B1030" s="115">
        <v>8.1110000000000007</v>
      </c>
      <c r="C1030" s="1">
        <v>1110</v>
      </c>
      <c r="D1030" s="1" t="s">
        <v>2667</v>
      </c>
      <c r="E1030" s="1">
        <v>8</v>
      </c>
    </row>
    <row r="1031" spans="1:5" hidden="1" x14ac:dyDescent="0.25">
      <c r="A1031" s="115">
        <v>8.2119999999999997</v>
      </c>
      <c r="B1031" s="115">
        <v>8.1120000000000001</v>
      </c>
      <c r="C1031" s="1">
        <v>1120</v>
      </c>
      <c r="D1031" s="1" t="s">
        <v>2668</v>
      </c>
      <c r="E1031" s="1">
        <v>8</v>
      </c>
    </row>
    <row r="1032" spans="1:5" hidden="1" x14ac:dyDescent="0.25">
      <c r="A1032" s="115">
        <v>8.2129999999999992</v>
      </c>
      <c r="B1032" s="115">
        <v>8.1129999999999995</v>
      </c>
      <c r="C1032" s="1">
        <v>1130</v>
      </c>
      <c r="D1032" s="1" t="s">
        <v>2669</v>
      </c>
      <c r="E1032" s="1">
        <v>8</v>
      </c>
    </row>
    <row r="1033" spans="1:5" hidden="1" x14ac:dyDescent="0.25">
      <c r="A1033" s="115">
        <v>8.2140000000000004</v>
      </c>
      <c r="B1033" s="115">
        <v>8.1140000000000008</v>
      </c>
      <c r="C1033" s="1">
        <v>1140</v>
      </c>
      <c r="D1033" s="1" t="s">
        <v>2670</v>
      </c>
      <c r="E1033" s="1">
        <v>8</v>
      </c>
    </row>
    <row r="1034" spans="1:5" hidden="1" x14ac:dyDescent="0.25">
      <c r="A1034" s="115">
        <v>8.2149999999999999</v>
      </c>
      <c r="B1034" s="115">
        <v>8.1150000000000002</v>
      </c>
      <c r="C1034" s="1">
        <v>1150</v>
      </c>
      <c r="D1034" s="1" t="s">
        <v>2671</v>
      </c>
      <c r="E1034" s="1">
        <v>8</v>
      </c>
    </row>
    <row r="1035" spans="1:5" hidden="1" x14ac:dyDescent="0.25">
      <c r="A1035" s="115">
        <v>8.2159999999999993</v>
      </c>
      <c r="B1035" s="115">
        <v>8.1159999999999997</v>
      </c>
      <c r="C1035" s="1">
        <v>1160</v>
      </c>
      <c r="D1035" s="1" t="s">
        <v>2672</v>
      </c>
      <c r="E1035" s="1">
        <v>8</v>
      </c>
    </row>
    <row r="1036" spans="1:5" hidden="1" x14ac:dyDescent="0.25">
      <c r="A1036" s="115">
        <v>8.2170000000000005</v>
      </c>
      <c r="B1036" s="115">
        <v>8.1170000000000009</v>
      </c>
      <c r="C1036" s="1">
        <v>1170</v>
      </c>
      <c r="D1036" s="1" t="s">
        <v>2673</v>
      </c>
      <c r="E1036" s="1">
        <v>8</v>
      </c>
    </row>
    <row r="1037" spans="1:5" hidden="1" x14ac:dyDescent="0.25">
      <c r="A1037" s="115">
        <v>8.218</v>
      </c>
      <c r="B1037" s="115">
        <v>8.1180000000000003</v>
      </c>
      <c r="C1037" s="1">
        <v>1180</v>
      </c>
      <c r="D1037" s="1" t="s">
        <v>2674</v>
      </c>
      <c r="E1037" s="1">
        <v>8</v>
      </c>
    </row>
    <row r="1038" spans="1:5" hidden="1" x14ac:dyDescent="0.25">
      <c r="A1038" s="115">
        <v>8.2189999999999994</v>
      </c>
      <c r="B1038" s="115">
        <v>8.1189999999999998</v>
      </c>
      <c r="C1038" s="1">
        <v>1190</v>
      </c>
      <c r="D1038" s="1" t="s">
        <v>2675</v>
      </c>
      <c r="E1038" s="1">
        <v>8</v>
      </c>
    </row>
    <row r="1039" spans="1:5" hidden="1" x14ac:dyDescent="0.25">
      <c r="A1039" s="115">
        <v>8.2200000000000006</v>
      </c>
      <c r="B1039" s="115">
        <v>8.1199999999999992</v>
      </c>
      <c r="C1039" s="1">
        <v>1200</v>
      </c>
      <c r="D1039" s="1" t="s">
        <v>2676</v>
      </c>
      <c r="E1039" s="1">
        <v>8</v>
      </c>
    </row>
    <row r="1040" spans="1:5" hidden="1" x14ac:dyDescent="0.25">
      <c r="A1040" s="115">
        <v>8.2210000000000001</v>
      </c>
      <c r="B1040" s="115">
        <v>8.1210000000000004</v>
      </c>
      <c r="C1040" s="1">
        <v>1210</v>
      </c>
      <c r="D1040" s="1" t="s">
        <v>2677</v>
      </c>
      <c r="E1040" s="1">
        <v>8</v>
      </c>
    </row>
    <row r="1041" spans="1:5" hidden="1" x14ac:dyDescent="0.25">
      <c r="A1041" s="115">
        <v>8.2219999999999995</v>
      </c>
      <c r="B1041" s="115">
        <v>8.1219999999999999</v>
      </c>
      <c r="C1041" s="1">
        <v>1220</v>
      </c>
      <c r="D1041" s="1" t="s">
        <v>2678</v>
      </c>
      <c r="E1041" s="1">
        <v>8</v>
      </c>
    </row>
    <row r="1042" spans="1:5" hidden="1" x14ac:dyDescent="0.25">
      <c r="A1042" s="115">
        <v>8.2230000000000008</v>
      </c>
      <c r="B1042" s="115">
        <v>8.1229999999999993</v>
      </c>
      <c r="C1042" s="1">
        <v>1230</v>
      </c>
      <c r="D1042" s="1" t="s">
        <v>2679</v>
      </c>
      <c r="E1042" s="1">
        <v>8</v>
      </c>
    </row>
    <row r="1043" spans="1:5" hidden="1" x14ac:dyDescent="0.25">
      <c r="A1043" s="115">
        <v>8.2240000000000002</v>
      </c>
      <c r="B1043" s="115">
        <v>8.1240000000000006</v>
      </c>
      <c r="C1043" s="1">
        <v>1240</v>
      </c>
      <c r="D1043" s="1" t="s">
        <v>2680</v>
      </c>
      <c r="E1043" s="1">
        <v>8</v>
      </c>
    </row>
    <row r="1044" spans="1:5" hidden="1" x14ac:dyDescent="0.25">
      <c r="A1044" s="115">
        <v>8.2249999999999996</v>
      </c>
      <c r="B1044" s="115">
        <v>8.125</v>
      </c>
      <c r="C1044" s="1">
        <v>1250</v>
      </c>
      <c r="D1044" s="1" t="s">
        <v>2681</v>
      </c>
      <c r="E1044" s="1">
        <v>8</v>
      </c>
    </row>
    <row r="1045" spans="1:5" hidden="1" x14ac:dyDescent="0.25">
      <c r="A1045" s="115">
        <v>8.2260000000000009</v>
      </c>
      <c r="B1045" s="115">
        <v>8.1259999999999994</v>
      </c>
      <c r="C1045" s="1">
        <v>1260</v>
      </c>
      <c r="D1045" s="1" t="s">
        <v>2682</v>
      </c>
      <c r="E1045" s="1">
        <v>8</v>
      </c>
    </row>
    <row r="1046" spans="1:5" hidden="1" x14ac:dyDescent="0.25">
      <c r="A1046" s="115">
        <v>8.2270000000000003</v>
      </c>
      <c r="B1046" s="115">
        <v>8.1270000000000007</v>
      </c>
      <c r="C1046" s="1">
        <v>1270</v>
      </c>
      <c r="D1046" s="1" t="s">
        <v>2683</v>
      </c>
      <c r="E1046" s="1">
        <v>8</v>
      </c>
    </row>
    <row r="1047" spans="1:5" hidden="1" x14ac:dyDescent="0.25">
      <c r="A1047" s="115">
        <v>8.2279999999999998</v>
      </c>
      <c r="B1047" s="115">
        <v>8.1280000000000001</v>
      </c>
      <c r="C1047" s="1">
        <v>1280</v>
      </c>
      <c r="D1047" s="1" t="s">
        <v>2684</v>
      </c>
      <c r="E1047" s="1">
        <v>8</v>
      </c>
    </row>
    <row r="1048" spans="1:5" hidden="1" x14ac:dyDescent="0.25">
      <c r="A1048" s="115">
        <v>8.2289999999999992</v>
      </c>
      <c r="B1048" s="115">
        <v>8.1300000000000008</v>
      </c>
      <c r="C1048" s="1">
        <v>1300</v>
      </c>
      <c r="D1048" s="1" t="s">
        <v>2685</v>
      </c>
      <c r="E1048" s="1">
        <v>8</v>
      </c>
    </row>
    <row r="1049" spans="1:5" hidden="1" x14ac:dyDescent="0.25">
      <c r="A1049" s="115">
        <v>8.23</v>
      </c>
      <c r="B1049" s="115">
        <v>8.1310000000000002</v>
      </c>
      <c r="C1049" s="1">
        <v>1310</v>
      </c>
      <c r="D1049" s="1" t="s">
        <v>2686</v>
      </c>
      <c r="E1049" s="1">
        <v>8</v>
      </c>
    </row>
    <row r="1050" spans="1:5" hidden="1" x14ac:dyDescent="0.25">
      <c r="A1050" s="115">
        <v>8.2309999999999999</v>
      </c>
      <c r="B1050" s="115">
        <v>8.1319999999999997</v>
      </c>
      <c r="C1050" s="1">
        <v>1320</v>
      </c>
      <c r="D1050" s="1" t="s">
        <v>2687</v>
      </c>
      <c r="E1050" s="1">
        <v>8</v>
      </c>
    </row>
    <row r="1051" spans="1:5" hidden="1" x14ac:dyDescent="0.25">
      <c r="A1051" s="115">
        <v>9.1010000000000009</v>
      </c>
      <c r="B1051" s="115">
        <v>9.1</v>
      </c>
      <c r="C1051" s="1">
        <v>10</v>
      </c>
      <c r="D1051" s="1" t="s">
        <v>2559</v>
      </c>
      <c r="E1051" s="1">
        <v>9</v>
      </c>
    </row>
    <row r="1052" spans="1:5" hidden="1" x14ac:dyDescent="0.25">
      <c r="A1052" s="115">
        <v>9.1020000000000003</v>
      </c>
      <c r="B1052" s="115">
        <v>9.1999999999999993</v>
      </c>
      <c r="C1052" s="1">
        <v>20</v>
      </c>
      <c r="D1052" s="1" t="s">
        <v>2560</v>
      </c>
      <c r="E1052" s="1">
        <v>9</v>
      </c>
    </row>
    <row r="1053" spans="1:5" hidden="1" x14ac:dyDescent="0.25">
      <c r="A1053" s="115">
        <v>9.1029999999999998</v>
      </c>
      <c r="B1053" s="115">
        <v>9.3000000000000007</v>
      </c>
      <c r="C1053" s="1">
        <v>30</v>
      </c>
      <c r="D1053" s="1" t="s">
        <v>2561</v>
      </c>
      <c r="E1053" s="1">
        <v>9</v>
      </c>
    </row>
    <row r="1054" spans="1:5" hidden="1" x14ac:dyDescent="0.25">
      <c r="A1054" s="115">
        <v>9.1039999999999992</v>
      </c>
      <c r="B1054" s="115">
        <v>9.4</v>
      </c>
      <c r="C1054" s="1">
        <v>40</v>
      </c>
      <c r="D1054" s="1" t="s">
        <v>2562</v>
      </c>
      <c r="E1054" s="1">
        <v>9</v>
      </c>
    </row>
    <row r="1055" spans="1:5" hidden="1" x14ac:dyDescent="0.25">
      <c r="A1055" s="115">
        <v>9.1050000000000004</v>
      </c>
      <c r="B1055" s="115">
        <v>9.5</v>
      </c>
      <c r="C1055" s="1">
        <v>50</v>
      </c>
      <c r="D1055" s="1" t="s">
        <v>2563</v>
      </c>
      <c r="E1055" s="1">
        <v>9</v>
      </c>
    </row>
    <row r="1056" spans="1:5" hidden="1" x14ac:dyDescent="0.25">
      <c r="A1056" s="115">
        <v>9.1059999999999999</v>
      </c>
      <c r="B1056" s="115">
        <v>9.6</v>
      </c>
      <c r="C1056" s="1">
        <v>60</v>
      </c>
      <c r="D1056" s="1" t="s">
        <v>2564</v>
      </c>
      <c r="E1056" s="1">
        <v>9</v>
      </c>
    </row>
    <row r="1057" spans="1:5" hidden="1" x14ac:dyDescent="0.25">
      <c r="A1057" s="115">
        <v>9.1069999999999993</v>
      </c>
      <c r="B1057" s="115">
        <v>9.6999999999999993</v>
      </c>
      <c r="C1057" s="1">
        <v>70</v>
      </c>
      <c r="D1057" s="1" t="s">
        <v>2565</v>
      </c>
      <c r="E1057" s="1">
        <v>9</v>
      </c>
    </row>
    <row r="1058" spans="1:5" hidden="1" x14ac:dyDescent="0.25">
      <c r="A1058" s="115">
        <v>9.1080000000000005</v>
      </c>
      <c r="B1058" s="115">
        <v>9.8000000000000007</v>
      </c>
      <c r="C1058" s="1">
        <v>80</v>
      </c>
      <c r="D1058" s="1" t="s">
        <v>2566</v>
      </c>
      <c r="E1058" s="1">
        <v>9</v>
      </c>
    </row>
    <row r="1059" spans="1:5" hidden="1" x14ac:dyDescent="0.25">
      <c r="A1059" s="115">
        <v>9.109</v>
      </c>
      <c r="B1059" s="115">
        <v>9.9</v>
      </c>
      <c r="C1059" s="1">
        <v>90</v>
      </c>
      <c r="D1059" s="1" t="s">
        <v>2567</v>
      </c>
      <c r="E1059" s="1">
        <v>9</v>
      </c>
    </row>
    <row r="1060" spans="1:5" hidden="1" x14ac:dyDescent="0.25">
      <c r="A1060" s="115">
        <v>9.11</v>
      </c>
      <c r="B1060" s="115">
        <v>9.1</v>
      </c>
      <c r="C1060" s="1">
        <v>100</v>
      </c>
      <c r="D1060" s="1" t="s">
        <v>2568</v>
      </c>
      <c r="E1060" s="1">
        <v>9</v>
      </c>
    </row>
    <row r="1061" spans="1:5" hidden="1" x14ac:dyDescent="0.25">
      <c r="A1061" s="115">
        <v>9.1110000000000007</v>
      </c>
      <c r="B1061" s="115">
        <v>9.11</v>
      </c>
      <c r="C1061" s="1">
        <v>110</v>
      </c>
      <c r="D1061" s="1" t="s">
        <v>2569</v>
      </c>
      <c r="E1061" s="1">
        <v>9</v>
      </c>
    </row>
    <row r="1062" spans="1:5" hidden="1" x14ac:dyDescent="0.25">
      <c r="A1062" s="115">
        <v>9.1120000000000001</v>
      </c>
      <c r="B1062" s="115">
        <v>9.1199999999999992</v>
      </c>
      <c r="C1062" s="1">
        <v>120</v>
      </c>
      <c r="D1062" s="1" t="s">
        <v>2570</v>
      </c>
      <c r="E1062" s="1">
        <v>9</v>
      </c>
    </row>
    <row r="1063" spans="1:5" hidden="1" x14ac:dyDescent="0.25">
      <c r="A1063" s="115">
        <v>9.1129999999999995</v>
      </c>
      <c r="B1063" s="115">
        <v>9.1300000000000008</v>
      </c>
      <c r="C1063" s="1">
        <v>130</v>
      </c>
      <c r="D1063" s="1" t="s">
        <v>2571</v>
      </c>
      <c r="E1063" s="1">
        <v>9</v>
      </c>
    </row>
    <row r="1064" spans="1:5" hidden="1" x14ac:dyDescent="0.25">
      <c r="A1064" s="115">
        <v>9.1140000000000008</v>
      </c>
      <c r="B1064" s="115">
        <v>9.14</v>
      </c>
      <c r="C1064" s="1">
        <v>140</v>
      </c>
      <c r="D1064" s="1" t="s">
        <v>2572</v>
      </c>
      <c r="E1064" s="1">
        <v>9</v>
      </c>
    </row>
    <row r="1065" spans="1:5" hidden="1" x14ac:dyDescent="0.25">
      <c r="A1065" s="115">
        <v>9.1150000000000002</v>
      </c>
      <c r="B1065" s="115">
        <v>9.15</v>
      </c>
      <c r="C1065" s="1">
        <v>150</v>
      </c>
      <c r="D1065" s="1" t="s">
        <v>2573</v>
      </c>
      <c r="E1065" s="1">
        <v>9</v>
      </c>
    </row>
    <row r="1066" spans="1:5" hidden="1" x14ac:dyDescent="0.25">
      <c r="A1066" s="115">
        <v>9.1159999999999997</v>
      </c>
      <c r="B1066" s="115">
        <v>9.16</v>
      </c>
      <c r="C1066" s="1">
        <v>160</v>
      </c>
      <c r="D1066" s="1" t="s">
        <v>2574</v>
      </c>
      <c r="E1066" s="1">
        <v>9</v>
      </c>
    </row>
    <row r="1067" spans="1:5" hidden="1" x14ac:dyDescent="0.25">
      <c r="A1067" s="115">
        <v>9.1170000000000009</v>
      </c>
      <c r="B1067" s="115">
        <v>9.17</v>
      </c>
      <c r="C1067" s="1">
        <v>170</v>
      </c>
      <c r="D1067" s="1" t="s">
        <v>2575</v>
      </c>
      <c r="E1067" s="1">
        <v>9</v>
      </c>
    </row>
    <row r="1068" spans="1:5" hidden="1" x14ac:dyDescent="0.25">
      <c r="A1068" s="115">
        <v>9.1180000000000003</v>
      </c>
      <c r="B1068" s="115">
        <v>9.18</v>
      </c>
      <c r="C1068" s="1">
        <v>180</v>
      </c>
      <c r="D1068" s="1" t="s">
        <v>2576</v>
      </c>
      <c r="E1068" s="1">
        <v>9</v>
      </c>
    </row>
    <row r="1069" spans="1:5" hidden="1" x14ac:dyDescent="0.25">
      <c r="A1069" s="115">
        <v>9.1189999999999998</v>
      </c>
      <c r="B1069" s="115">
        <v>9.19</v>
      </c>
      <c r="C1069" s="1">
        <v>190</v>
      </c>
      <c r="D1069" s="1" t="s">
        <v>2577</v>
      </c>
      <c r="E1069" s="1">
        <v>9</v>
      </c>
    </row>
    <row r="1070" spans="1:5" hidden="1" x14ac:dyDescent="0.25">
      <c r="A1070" s="115">
        <v>9.1199999999999992</v>
      </c>
      <c r="B1070" s="115">
        <v>9.1999999999999993</v>
      </c>
      <c r="C1070" s="1">
        <v>200</v>
      </c>
      <c r="D1070" s="1" t="s">
        <v>2578</v>
      </c>
      <c r="E1070" s="1">
        <v>9</v>
      </c>
    </row>
    <row r="1071" spans="1:5" hidden="1" x14ac:dyDescent="0.25">
      <c r="A1071" s="115">
        <v>9.1210000000000004</v>
      </c>
      <c r="B1071" s="115">
        <v>9.2100000000000009</v>
      </c>
      <c r="C1071" s="1">
        <v>210</v>
      </c>
      <c r="D1071" s="1" t="s">
        <v>2579</v>
      </c>
      <c r="E1071" s="1">
        <v>9</v>
      </c>
    </row>
    <row r="1072" spans="1:5" hidden="1" x14ac:dyDescent="0.25">
      <c r="A1072" s="115">
        <v>9.1219999999999999</v>
      </c>
      <c r="B1072" s="115">
        <v>9.2200000000000006</v>
      </c>
      <c r="C1072" s="1">
        <v>220</v>
      </c>
      <c r="D1072" s="1" t="s">
        <v>2580</v>
      </c>
      <c r="E1072" s="1">
        <v>9</v>
      </c>
    </row>
    <row r="1073" spans="1:5" hidden="1" x14ac:dyDescent="0.25">
      <c r="A1073" s="115">
        <v>9.1229999999999993</v>
      </c>
      <c r="B1073" s="115">
        <v>9.23</v>
      </c>
      <c r="C1073" s="1">
        <v>230</v>
      </c>
      <c r="D1073" s="1" t="s">
        <v>2581</v>
      </c>
      <c r="E1073" s="1">
        <v>9</v>
      </c>
    </row>
    <row r="1074" spans="1:5" hidden="1" x14ac:dyDescent="0.25">
      <c r="A1074" s="115">
        <v>9.1240000000000006</v>
      </c>
      <c r="B1074" s="115">
        <v>9.24</v>
      </c>
      <c r="C1074" s="1">
        <v>240</v>
      </c>
      <c r="D1074" s="1" t="s">
        <v>2582</v>
      </c>
      <c r="E1074" s="1">
        <v>9</v>
      </c>
    </row>
    <row r="1075" spans="1:5" hidden="1" x14ac:dyDescent="0.25">
      <c r="A1075" s="115">
        <v>9.125</v>
      </c>
      <c r="B1075" s="115">
        <v>9.25</v>
      </c>
      <c r="C1075" s="1">
        <v>250</v>
      </c>
      <c r="D1075" s="1" t="s">
        <v>2583</v>
      </c>
      <c r="E1075" s="1">
        <v>9</v>
      </c>
    </row>
    <row r="1076" spans="1:5" hidden="1" x14ac:dyDescent="0.25">
      <c r="A1076" s="115">
        <v>9.1259999999999994</v>
      </c>
      <c r="B1076" s="115">
        <v>9.26</v>
      </c>
      <c r="C1076" s="1">
        <v>260</v>
      </c>
      <c r="D1076" s="1" t="s">
        <v>2584</v>
      </c>
      <c r="E1076" s="1">
        <v>9</v>
      </c>
    </row>
    <row r="1077" spans="1:5" hidden="1" x14ac:dyDescent="0.25">
      <c r="A1077" s="115">
        <v>9.1270000000000007</v>
      </c>
      <c r="B1077" s="115">
        <v>9.27</v>
      </c>
      <c r="C1077" s="1">
        <v>270</v>
      </c>
      <c r="D1077" s="1" t="s">
        <v>2585</v>
      </c>
      <c r="E1077" s="1">
        <v>9</v>
      </c>
    </row>
    <row r="1078" spans="1:5" hidden="1" x14ac:dyDescent="0.25">
      <c r="A1078" s="115">
        <v>9.1280000000000001</v>
      </c>
      <c r="B1078" s="115">
        <v>9.2799999999999994</v>
      </c>
      <c r="C1078" s="1">
        <v>280</v>
      </c>
      <c r="D1078" s="1" t="s">
        <v>2586</v>
      </c>
      <c r="E1078" s="1">
        <v>9</v>
      </c>
    </row>
    <row r="1079" spans="1:5" hidden="1" x14ac:dyDescent="0.25">
      <c r="A1079" s="115">
        <v>9.1289999999999996</v>
      </c>
      <c r="B1079" s="115">
        <v>9.2899999999999991</v>
      </c>
      <c r="C1079" s="1">
        <v>290</v>
      </c>
      <c r="D1079" s="1" t="s">
        <v>2587</v>
      </c>
      <c r="E1079" s="1">
        <v>9</v>
      </c>
    </row>
    <row r="1080" spans="1:5" hidden="1" x14ac:dyDescent="0.25">
      <c r="A1080" s="115">
        <v>9.1300000000000008</v>
      </c>
      <c r="B1080" s="115">
        <v>9.3000000000000007</v>
      </c>
      <c r="C1080" s="1">
        <v>300</v>
      </c>
      <c r="D1080" s="1" t="s">
        <v>2588</v>
      </c>
      <c r="E1080" s="1">
        <v>9</v>
      </c>
    </row>
    <row r="1081" spans="1:5" hidden="1" x14ac:dyDescent="0.25">
      <c r="A1081" s="115">
        <v>9.1310000000000002</v>
      </c>
      <c r="B1081" s="115">
        <v>9.31</v>
      </c>
      <c r="C1081" s="1">
        <v>310</v>
      </c>
      <c r="D1081" s="1" t="s">
        <v>2589</v>
      </c>
      <c r="E1081" s="1">
        <v>9</v>
      </c>
    </row>
    <row r="1082" spans="1:5" hidden="1" x14ac:dyDescent="0.25">
      <c r="A1082" s="115">
        <v>9.1319999999999997</v>
      </c>
      <c r="B1082" s="115">
        <v>9.32</v>
      </c>
      <c r="C1082" s="1">
        <v>320</v>
      </c>
      <c r="D1082" s="1" t="s">
        <v>2590</v>
      </c>
      <c r="E1082" s="1">
        <v>9</v>
      </c>
    </row>
    <row r="1083" spans="1:5" hidden="1" x14ac:dyDescent="0.25">
      <c r="A1083" s="115">
        <v>9.1329999999999991</v>
      </c>
      <c r="B1083" s="115">
        <v>9.33</v>
      </c>
      <c r="C1083" s="1">
        <v>330</v>
      </c>
      <c r="D1083" s="1" t="s">
        <v>2591</v>
      </c>
      <c r="E1083" s="1">
        <v>9</v>
      </c>
    </row>
    <row r="1084" spans="1:5" hidden="1" x14ac:dyDescent="0.25">
      <c r="A1084" s="115">
        <v>9.1340000000000003</v>
      </c>
      <c r="B1084" s="115">
        <v>9.34</v>
      </c>
      <c r="C1084" s="1">
        <v>340</v>
      </c>
      <c r="D1084" s="1" t="s">
        <v>2592</v>
      </c>
      <c r="E1084" s="1">
        <v>9</v>
      </c>
    </row>
    <row r="1085" spans="1:5" hidden="1" x14ac:dyDescent="0.25">
      <c r="A1085" s="115">
        <v>9.1349999999999998</v>
      </c>
      <c r="B1085" s="115">
        <v>9.35</v>
      </c>
      <c r="C1085" s="1">
        <v>350</v>
      </c>
      <c r="D1085" s="1" t="s">
        <v>2593</v>
      </c>
      <c r="E1085" s="1">
        <v>9</v>
      </c>
    </row>
    <row r="1086" spans="1:5" hidden="1" x14ac:dyDescent="0.25">
      <c r="A1086" s="115">
        <v>9.1359999999999992</v>
      </c>
      <c r="B1086" s="115">
        <v>9.36</v>
      </c>
      <c r="C1086" s="1">
        <v>360</v>
      </c>
      <c r="D1086" s="1" t="s">
        <v>2594</v>
      </c>
      <c r="E1086" s="1">
        <v>9</v>
      </c>
    </row>
    <row r="1087" spans="1:5" hidden="1" x14ac:dyDescent="0.25">
      <c r="A1087" s="115">
        <v>9.1370000000000005</v>
      </c>
      <c r="B1087" s="115">
        <v>9.3699999999999992</v>
      </c>
      <c r="C1087" s="1">
        <v>370</v>
      </c>
      <c r="D1087" s="1" t="s">
        <v>2595</v>
      </c>
      <c r="E1087" s="1">
        <v>9</v>
      </c>
    </row>
    <row r="1088" spans="1:5" hidden="1" x14ac:dyDescent="0.25">
      <c r="A1088" s="115">
        <v>9.1379999999999999</v>
      </c>
      <c r="B1088" s="115">
        <v>9.3800000000000008</v>
      </c>
      <c r="C1088" s="1">
        <v>380</v>
      </c>
      <c r="D1088" s="1" t="s">
        <v>2596</v>
      </c>
      <c r="E1088" s="1">
        <v>9</v>
      </c>
    </row>
    <row r="1089" spans="1:5" hidden="1" x14ac:dyDescent="0.25">
      <c r="A1089" s="115">
        <v>9.1389999999999993</v>
      </c>
      <c r="B1089" s="115">
        <v>9.39</v>
      </c>
      <c r="C1089" s="1">
        <v>390</v>
      </c>
      <c r="D1089" s="1" t="s">
        <v>2597</v>
      </c>
      <c r="E1089" s="1">
        <v>9</v>
      </c>
    </row>
    <row r="1090" spans="1:5" hidden="1" x14ac:dyDescent="0.25">
      <c r="A1090" s="115">
        <v>9.14</v>
      </c>
      <c r="B1090" s="115">
        <v>9.4</v>
      </c>
      <c r="C1090" s="1">
        <v>400</v>
      </c>
      <c r="D1090" s="1" t="s">
        <v>2598</v>
      </c>
      <c r="E1090" s="1">
        <v>9</v>
      </c>
    </row>
    <row r="1091" spans="1:5" hidden="1" x14ac:dyDescent="0.25">
      <c r="A1091" s="115">
        <v>9.141</v>
      </c>
      <c r="B1091" s="115">
        <v>9.41</v>
      </c>
      <c r="C1091" s="1">
        <v>410</v>
      </c>
      <c r="D1091" s="1" t="s">
        <v>2599</v>
      </c>
      <c r="E1091" s="1">
        <v>9</v>
      </c>
    </row>
    <row r="1092" spans="1:5" hidden="1" x14ac:dyDescent="0.25">
      <c r="A1092" s="115">
        <v>9.1419999999999995</v>
      </c>
      <c r="B1092" s="115">
        <v>9.42</v>
      </c>
      <c r="C1092" s="1">
        <v>420</v>
      </c>
      <c r="D1092" s="1" t="s">
        <v>2600</v>
      </c>
      <c r="E1092" s="1">
        <v>9</v>
      </c>
    </row>
    <row r="1093" spans="1:5" hidden="1" x14ac:dyDescent="0.25">
      <c r="A1093" s="115">
        <v>9.1430000000000007</v>
      </c>
      <c r="B1093" s="115">
        <v>9.43</v>
      </c>
      <c r="C1093" s="1">
        <v>430</v>
      </c>
      <c r="D1093" s="1" t="s">
        <v>2601</v>
      </c>
      <c r="E1093" s="1">
        <v>9</v>
      </c>
    </row>
    <row r="1094" spans="1:5" hidden="1" x14ac:dyDescent="0.25">
      <c r="A1094" s="115">
        <v>9.1440000000000001</v>
      </c>
      <c r="B1094" s="115">
        <v>9.44</v>
      </c>
      <c r="C1094" s="1">
        <v>440</v>
      </c>
      <c r="D1094" s="1" t="s">
        <v>2602</v>
      </c>
      <c r="E1094" s="1">
        <v>9</v>
      </c>
    </row>
    <row r="1095" spans="1:5" hidden="1" x14ac:dyDescent="0.25">
      <c r="A1095" s="115">
        <v>9.1449999999999996</v>
      </c>
      <c r="B1095" s="115">
        <v>9.4450000000000003</v>
      </c>
      <c r="C1095" s="1">
        <v>445</v>
      </c>
      <c r="D1095" s="1" t="s">
        <v>2603</v>
      </c>
      <c r="E1095" s="1">
        <v>9</v>
      </c>
    </row>
    <row r="1096" spans="1:5" hidden="1" x14ac:dyDescent="0.25">
      <c r="A1096" s="115">
        <v>9.1460000000000008</v>
      </c>
      <c r="B1096" s="115">
        <v>9.4499999999999993</v>
      </c>
      <c r="C1096" s="1">
        <v>450</v>
      </c>
      <c r="D1096" s="1" t="s">
        <v>2604</v>
      </c>
      <c r="E1096" s="1">
        <v>9</v>
      </c>
    </row>
    <row r="1097" spans="1:5" hidden="1" x14ac:dyDescent="0.25">
      <c r="A1097" s="115">
        <v>9.1470000000000002</v>
      </c>
      <c r="B1097" s="115">
        <v>9.4600000000000009</v>
      </c>
      <c r="C1097" s="1">
        <v>460</v>
      </c>
      <c r="D1097" s="1" t="s">
        <v>2605</v>
      </c>
      <c r="E1097" s="1">
        <v>9</v>
      </c>
    </row>
    <row r="1098" spans="1:5" hidden="1" x14ac:dyDescent="0.25">
      <c r="A1098" s="115">
        <v>9.1479999999999997</v>
      </c>
      <c r="B1098" s="115">
        <v>9.4700000000000006</v>
      </c>
      <c r="C1098" s="1">
        <v>470</v>
      </c>
      <c r="D1098" s="1" t="s">
        <v>2606</v>
      </c>
      <c r="E1098" s="1">
        <v>9</v>
      </c>
    </row>
    <row r="1099" spans="1:5" hidden="1" x14ac:dyDescent="0.25">
      <c r="A1099" s="115">
        <v>9.1489999999999991</v>
      </c>
      <c r="B1099" s="115">
        <v>9.48</v>
      </c>
      <c r="C1099" s="1">
        <v>480</v>
      </c>
      <c r="D1099" s="1" t="s">
        <v>2607</v>
      </c>
      <c r="E1099" s="1">
        <v>9</v>
      </c>
    </row>
    <row r="1100" spans="1:5" hidden="1" x14ac:dyDescent="0.25">
      <c r="A1100" s="115">
        <v>9.15</v>
      </c>
      <c r="B1100" s="115">
        <v>9.49</v>
      </c>
      <c r="C1100" s="1">
        <v>490</v>
      </c>
      <c r="D1100" s="1" t="s">
        <v>2608</v>
      </c>
      <c r="E1100" s="1">
        <v>9</v>
      </c>
    </row>
    <row r="1101" spans="1:5" hidden="1" x14ac:dyDescent="0.25">
      <c r="A1101" s="115">
        <v>9.1509999999999998</v>
      </c>
      <c r="B1101" s="115">
        <v>9.5</v>
      </c>
      <c r="C1101" s="1">
        <v>500</v>
      </c>
      <c r="D1101" s="1" t="s">
        <v>2609</v>
      </c>
      <c r="E1101" s="1">
        <v>9</v>
      </c>
    </row>
    <row r="1102" spans="1:5" hidden="1" x14ac:dyDescent="0.25">
      <c r="A1102" s="115">
        <v>9.1519999999999992</v>
      </c>
      <c r="B1102" s="115">
        <v>9.51</v>
      </c>
      <c r="C1102" s="1">
        <v>510</v>
      </c>
      <c r="D1102" s="1" t="s">
        <v>2610</v>
      </c>
      <c r="E1102" s="1">
        <v>9</v>
      </c>
    </row>
    <row r="1103" spans="1:5" hidden="1" x14ac:dyDescent="0.25">
      <c r="A1103" s="115">
        <v>9.1530000000000005</v>
      </c>
      <c r="B1103" s="115">
        <v>9.52</v>
      </c>
      <c r="C1103" s="1">
        <v>520</v>
      </c>
      <c r="D1103" s="1" t="s">
        <v>2611</v>
      </c>
      <c r="E1103" s="1">
        <v>9</v>
      </c>
    </row>
    <row r="1104" spans="1:5" hidden="1" x14ac:dyDescent="0.25">
      <c r="A1104" s="115">
        <v>9.1539999999999999</v>
      </c>
      <c r="B1104" s="115">
        <v>9.5299999999999994</v>
      </c>
      <c r="C1104" s="1">
        <v>530</v>
      </c>
      <c r="D1104" s="1" t="s">
        <v>2612</v>
      </c>
      <c r="E1104" s="1">
        <v>9</v>
      </c>
    </row>
    <row r="1105" spans="1:5" hidden="1" x14ac:dyDescent="0.25">
      <c r="A1105" s="115">
        <v>9.1549999999999994</v>
      </c>
      <c r="B1105" s="115">
        <v>9.5399999999999991</v>
      </c>
      <c r="C1105" s="1">
        <v>540</v>
      </c>
      <c r="D1105" s="1" t="s">
        <v>2613</v>
      </c>
      <c r="E1105" s="1">
        <v>9</v>
      </c>
    </row>
    <row r="1106" spans="1:5" hidden="1" x14ac:dyDescent="0.25">
      <c r="A1106" s="115">
        <v>9.1560000000000006</v>
      </c>
      <c r="B1106" s="115">
        <v>9.5500000000000007</v>
      </c>
      <c r="C1106" s="1">
        <v>550</v>
      </c>
      <c r="D1106" s="1" t="s">
        <v>2614</v>
      </c>
      <c r="E1106" s="1">
        <v>9</v>
      </c>
    </row>
    <row r="1107" spans="1:5" hidden="1" x14ac:dyDescent="0.25">
      <c r="A1107" s="115">
        <v>9.157</v>
      </c>
      <c r="B1107" s="115">
        <v>9.56</v>
      </c>
      <c r="C1107" s="1">
        <v>560</v>
      </c>
      <c r="D1107" s="1" t="s">
        <v>2615</v>
      </c>
      <c r="E1107" s="1">
        <v>9</v>
      </c>
    </row>
    <row r="1108" spans="1:5" hidden="1" x14ac:dyDescent="0.25">
      <c r="A1108" s="115">
        <v>9.1579999999999995</v>
      </c>
      <c r="B1108" s="115">
        <v>9.57</v>
      </c>
      <c r="C1108" s="1">
        <v>570</v>
      </c>
      <c r="D1108" s="1" t="s">
        <v>2616</v>
      </c>
      <c r="E1108" s="1">
        <v>9</v>
      </c>
    </row>
    <row r="1109" spans="1:5" hidden="1" x14ac:dyDescent="0.25">
      <c r="A1109" s="115">
        <v>9.1590000000000007</v>
      </c>
      <c r="B1109" s="115">
        <v>9.5749999999999993</v>
      </c>
      <c r="C1109" s="1">
        <v>575</v>
      </c>
      <c r="D1109" s="1" t="s">
        <v>2617</v>
      </c>
      <c r="E1109" s="1">
        <v>9</v>
      </c>
    </row>
    <row r="1110" spans="1:5" hidden="1" x14ac:dyDescent="0.25">
      <c r="A1110" s="115">
        <v>9.16</v>
      </c>
      <c r="B1110" s="115">
        <v>9.5760000000000005</v>
      </c>
      <c r="C1110" s="1">
        <v>576</v>
      </c>
      <c r="D1110" s="1" t="s">
        <v>2618</v>
      </c>
      <c r="E1110" s="1">
        <v>9</v>
      </c>
    </row>
    <row r="1111" spans="1:5" hidden="1" x14ac:dyDescent="0.25">
      <c r="A1111" s="115">
        <v>9.1609999999999996</v>
      </c>
      <c r="B1111" s="115">
        <v>9.58</v>
      </c>
      <c r="C1111" s="1">
        <v>580</v>
      </c>
      <c r="D1111" s="1" t="s">
        <v>2619</v>
      </c>
      <c r="E1111" s="1">
        <v>9</v>
      </c>
    </row>
    <row r="1112" spans="1:5" hidden="1" x14ac:dyDescent="0.25">
      <c r="A1112" s="115">
        <v>9.1620000000000008</v>
      </c>
      <c r="B1112" s="115">
        <v>9.59</v>
      </c>
      <c r="C1112" s="1">
        <v>590</v>
      </c>
      <c r="D1112" s="1" t="s">
        <v>1099</v>
      </c>
      <c r="E1112" s="1">
        <v>9</v>
      </c>
    </row>
    <row r="1113" spans="1:5" hidden="1" x14ac:dyDescent="0.25">
      <c r="A1113" s="115">
        <v>9.1630000000000003</v>
      </c>
      <c r="B1113" s="115">
        <v>9.6</v>
      </c>
      <c r="C1113" s="1">
        <v>600</v>
      </c>
      <c r="D1113" s="1" t="s">
        <v>2620</v>
      </c>
      <c r="E1113" s="1">
        <v>9</v>
      </c>
    </row>
    <row r="1114" spans="1:5" hidden="1" x14ac:dyDescent="0.25">
      <c r="A1114" s="115">
        <v>9.1639999999999997</v>
      </c>
      <c r="B1114" s="115">
        <v>9.61</v>
      </c>
      <c r="C1114" s="1">
        <v>610</v>
      </c>
      <c r="D1114" s="1" t="s">
        <v>2621</v>
      </c>
      <c r="E1114" s="1">
        <v>9</v>
      </c>
    </row>
    <row r="1115" spans="1:5" hidden="1" x14ac:dyDescent="0.25">
      <c r="A1115" s="115">
        <v>9.1649999999999991</v>
      </c>
      <c r="B1115" s="115">
        <v>9.6199999999999992</v>
      </c>
      <c r="C1115" s="1">
        <v>620</v>
      </c>
      <c r="D1115" s="1" t="s">
        <v>2622</v>
      </c>
      <c r="E1115" s="1">
        <v>9</v>
      </c>
    </row>
    <row r="1116" spans="1:5" hidden="1" x14ac:dyDescent="0.25">
      <c r="A1116" s="115">
        <v>9.1660000000000004</v>
      </c>
      <c r="B1116" s="115">
        <v>9.6300000000000008</v>
      </c>
      <c r="C1116" s="1">
        <v>630</v>
      </c>
      <c r="D1116" s="1" t="s">
        <v>2623</v>
      </c>
      <c r="E1116" s="1">
        <v>9</v>
      </c>
    </row>
    <row r="1117" spans="1:5" hidden="1" x14ac:dyDescent="0.25">
      <c r="A1117" s="115">
        <v>9.1669999999999998</v>
      </c>
      <c r="B1117" s="115">
        <v>9.64</v>
      </c>
      <c r="C1117" s="1">
        <v>640</v>
      </c>
      <c r="D1117" s="1" t="s">
        <v>2624</v>
      </c>
      <c r="E1117" s="1">
        <v>9</v>
      </c>
    </row>
    <row r="1118" spans="1:5" hidden="1" x14ac:dyDescent="0.25">
      <c r="A1118" s="115">
        <v>9.1679999999999993</v>
      </c>
      <c r="B1118" s="115">
        <v>9.65</v>
      </c>
      <c r="C1118" s="1">
        <v>650</v>
      </c>
      <c r="D1118" s="1" t="s">
        <v>2625</v>
      </c>
      <c r="E1118" s="1">
        <v>9</v>
      </c>
    </row>
    <row r="1119" spans="1:5" hidden="1" x14ac:dyDescent="0.25">
      <c r="A1119" s="115">
        <v>9.1690000000000005</v>
      </c>
      <c r="B1119" s="115">
        <v>9.66</v>
      </c>
      <c r="C1119" s="1">
        <v>660</v>
      </c>
      <c r="D1119" s="1" t="s">
        <v>2626</v>
      </c>
      <c r="E1119" s="1">
        <v>9</v>
      </c>
    </row>
    <row r="1120" spans="1:5" hidden="1" x14ac:dyDescent="0.25">
      <c r="A1120" s="115">
        <v>9.17</v>
      </c>
      <c r="B1120" s="115">
        <v>9.67</v>
      </c>
      <c r="C1120" s="1">
        <v>670</v>
      </c>
      <c r="D1120" s="1" t="s">
        <v>2627</v>
      </c>
      <c r="E1120" s="1">
        <v>9</v>
      </c>
    </row>
    <row r="1121" spans="1:5" hidden="1" x14ac:dyDescent="0.25">
      <c r="A1121" s="115">
        <v>9.1709999999999994</v>
      </c>
      <c r="B1121" s="115">
        <v>9.68</v>
      </c>
      <c r="C1121" s="1">
        <v>680</v>
      </c>
      <c r="D1121" s="1" t="s">
        <v>2628</v>
      </c>
      <c r="E1121" s="1">
        <v>9</v>
      </c>
    </row>
    <row r="1122" spans="1:5" hidden="1" x14ac:dyDescent="0.25">
      <c r="A1122" s="115">
        <v>9.1720000000000006</v>
      </c>
      <c r="B1122" s="115">
        <v>9.69</v>
      </c>
      <c r="C1122" s="1">
        <v>690</v>
      </c>
      <c r="D1122" s="1" t="s">
        <v>2629</v>
      </c>
      <c r="E1122" s="1">
        <v>9</v>
      </c>
    </row>
    <row r="1123" spans="1:5" hidden="1" x14ac:dyDescent="0.25">
      <c r="A1123" s="115">
        <v>9.173</v>
      </c>
      <c r="B1123" s="115">
        <v>9.6999999999999993</v>
      </c>
      <c r="C1123" s="1">
        <v>700</v>
      </c>
      <c r="D1123" s="1" t="s">
        <v>2630</v>
      </c>
      <c r="E1123" s="1">
        <v>9</v>
      </c>
    </row>
    <row r="1124" spans="1:5" hidden="1" x14ac:dyDescent="0.25">
      <c r="A1124" s="115">
        <v>9.1739999999999995</v>
      </c>
      <c r="B1124" s="115">
        <v>9.7100000000000009</v>
      </c>
      <c r="C1124" s="1">
        <v>710</v>
      </c>
      <c r="D1124" s="1" t="s">
        <v>2631</v>
      </c>
      <c r="E1124" s="1">
        <v>9</v>
      </c>
    </row>
    <row r="1125" spans="1:5" hidden="1" x14ac:dyDescent="0.25">
      <c r="A1125" s="115">
        <v>9.1750000000000007</v>
      </c>
      <c r="B1125" s="115">
        <v>9.7200000000000006</v>
      </c>
      <c r="C1125" s="1">
        <v>720</v>
      </c>
      <c r="D1125" s="1" t="s">
        <v>2632</v>
      </c>
      <c r="E1125" s="1">
        <v>9</v>
      </c>
    </row>
    <row r="1126" spans="1:5" hidden="1" x14ac:dyDescent="0.25">
      <c r="A1126" s="115">
        <v>9.1760000000000002</v>
      </c>
      <c r="B1126" s="115">
        <v>9.73</v>
      </c>
      <c r="C1126" s="1">
        <v>730</v>
      </c>
      <c r="D1126" s="1" t="s">
        <v>2633</v>
      </c>
      <c r="E1126" s="1">
        <v>9</v>
      </c>
    </row>
    <row r="1127" spans="1:5" hidden="1" x14ac:dyDescent="0.25">
      <c r="A1127" s="115">
        <v>9.1769999999999996</v>
      </c>
      <c r="B1127" s="115">
        <v>9.74</v>
      </c>
      <c r="C1127" s="1">
        <v>740</v>
      </c>
      <c r="D1127" s="1" t="s">
        <v>2634</v>
      </c>
      <c r="E1127" s="1">
        <v>9</v>
      </c>
    </row>
    <row r="1128" spans="1:5" hidden="1" x14ac:dyDescent="0.25">
      <c r="A1128" s="115">
        <v>9.1780000000000008</v>
      </c>
      <c r="B1128" s="115">
        <v>9.75</v>
      </c>
      <c r="C1128" s="1">
        <v>750</v>
      </c>
      <c r="D1128" s="1" t="s">
        <v>2635</v>
      </c>
      <c r="E1128" s="1">
        <v>9</v>
      </c>
    </row>
    <row r="1129" spans="1:5" hidden="1" x14ac:dyDescent="0.25">
      <c r="A1129" s="115">
        <v>9.1790000000000003</v>
      </c>
      <c r="B1129" s="115">
        <v>9.7550000000000008</v>
      </c>
      <c r="C1129" s="1">
        <v>755</v>
      </c>
      <c r="D1129" s="1" t="s">
        <v>1466</v>
      </c>
      <c r="E1129" s="1">
        <v>9</v>
      </c>
    </row>
    <row r="1130" spans="1:5" hidden="1" x14ac:dyDescent="0.25">
      <c r="A1130" s="115">
        <v>9.18</v>
      </c>
      <c r="B1130" s="115">
        <v>9.76</v>
      </c>
      <c r="C1130" s="1">
        <v>760</v>
      </c>
      <c r="D1130" s="1" t="s">
        <v>2636</v>
      </c>
      <c r="E1130" s="1">
        <v>9</v>
      </c>
    </row>
    <row r="1131" spans="1:5" hidden="1" x14ac:dyDescent="0.25">
      <c r="A1131" s="115">
        <v>9.1809999999999992</v>
      </c>
      <c r="B1131" s="115">
        <v>9.77</v>
      </c>
      <c r="C1131" s="1">
        <v>770</v>
      </c>
      <c r="D1131" s="1" t="s">
        <v>2637</v>
      </c>
      <c r="E1131" s="1">
        <v>9</v>
      </c>
    </row>
    <row r="1132" spans="1:5" hidden="1" x14ac:dyDescent="0.25">
      <c r="A1132" s="115">
        <v>9.1820000000000004</v>
      </c>
      <c r="B1132" s="115">
        <v>9.7799999999999994</v>
      </c>
      <c r="C1132" s="1">
        <v>780</v>
      </c>
      <c r="D1132" s="1" t="s">
        <v>2638</v>
      </c>
      <c r="E1132" s="1">
        <v>9</v>
      </c>
    </row>
    <row r="1133" spans="1:5" hidden="1" x14ac:dyDescent="0.25">
      <c r="A1133" s="115">
        <v>9.1829999999999998</v>
      </c>
      <c r="B1133" s="115">
        <v>9.7899999999999991</v>
      </c>
      <c r="C1133" s="1">
        <v>790</v>
      </c>
      <c r="D1133" s="1" t="s">
        <v>2639</v>
      </c>
      <c r="E1133" s="1">
        <v>9</v>
      </c>
    </row>
    <row r="1134" spans="1:5" hidden="1" x14ac:dyDescent="0.25">
      <c r="A1134" s="115">
        <v>9.1839999999999993</v>
      </c>
      <c r="B1134" s="115">
        <v>9.8000000000000007</v>
      </c>
      <c r="C1134" s="1">
        <v>800</v>
      </c>
      <c r="D1134" s="1" t="s">
        <v>2640</v>
      </c>
      <c r="E1134" s="1">
        <v>9</v>
      </c>
    </row>
    <row r="1135" spans="1:5" hidden="1" x14ac:dyDescent="0.25">
      <c r="A1135" s="115">
        <v>9.1850000000000005</v>
      </c>
      <c r="B1135" s="115">
        <v>9.8049999999999997</v>
      </c>
      <c r="C1135" s="1">
        <v>805</v>
      </c>
      <c r="D1135" s="1" t="s">
        <v>2641</v>
      </c>
      <c r="E1135" s="1">
        <v>9</v>
      </c>
    </row>
    <row r="1136" spans="1:5" hidden="1" x14ac:dyDescent="0.25">
      <c r="A1136" s="115">
        <v>9.1859999999999999</v>
      </c>
      <c r="B1136" s="115">
        <v>9.81</v>
      </c>
      <c r="C1136" s="1">
        <v>810</v>
      </c>
      <c r="D1136" s="1" t="s">
        <v>2642</v>
      </c>
      <c r="E1136" s="1">
        <v>9</v>
      </c>
    </row>
    <row r="1137" spans="1:5" hidden="1" x14ac:dyDescent="0.25">
      <c r="A1137" s="115">
        <v>9.1869999999999994</v>
      </c>
      <c r="B1137" s="115">
        <v>9.82</v>
      </c>
      <c r="C1137" s="1">
        <v>820</v>
      </c>
      <c r="D1137" s="1" t="s">
        <v>2643</v>
      </c>
      <c r="E1137" s="1">
        <v>9</v>
      </c>
    </row>
    <row r="1138" spans="1:5" hidden="1" x14ac:dyDescent="0.25">
      <c r="A1138" s="115">
        <v>9.1880000000000006</v>
      </c>
      <c r="B1138" s="115">
        <v>9.83</v>
      </c>
      <c r="C1138" s="1">
        <v>830</v>
      </c>
      <c r="D1138" s="1" t="s">
        <v>2644</v>
      </c>
      <c r="E1138" s="1">
        <v>9</v>
      </c>
    </row>
    <row r="1139" spans="1:5" hidden="1" x14ac:dyDescent="0.25">
      <c r="A1139" s="115">
        <v>9.1890000000000001</v>
      </c>
      <c r="B1139" s="115">
        <v>9.84</v>
      </c>
      <c r="C1139" s="1">
        <v>840</v>
      </c>
      <c r="D1139" s="1" t="s">
        <v>2645</v>
      </c>
      <c r="E1139" s="1">
        <v>9</v>
      </c>
    </row>
    <row r="1140" spans="1:5" hidden="1" x14ac:dyDescent="0.25">
      <c r="A1140" s="115">
        <v>9.19</v>
      </c>
      <c r="B1140" s="115">
        <v>9.85</v>
      </c>
      <c r="C1140" s="1">
        <v>850</v>
      </c>
      <c r="D1140" s="1" t="s">
        <v>2646</v>
      </c>
      <c r="E1140" s="1">
        <v>9</v>
      </c>
    </row>
    <row r="1141" spans="1:5" hidden="1" x14ac:dyDescent="0.25">
      <c r="A1141" s="115">
        <v>9.1910000000000007</v>
      </c>
      <c r="B1141" s="115">
        <v>9.86</v>
      </c>
      <c r="C1141" s="1">
        <v>860</v>
      </c>
      <c r="D1141" s="1" t="s">
        <v>2647</v>
      </c>
      <c r="E1141" s="1">
        <v>9</v>
      </c>
    </row>
    <row r="1142" spans="1:5" hidden="1" x14ac:dyDescent="0.25">
      <c r="A1142" s="115">
        <v>9.1920000000000002</v>
      </c>
      <c r="B1142" s="115">
        <v>9.8699999999999992</v>
      </c>
      <c r="C1142" s="1">
        <v>870</v>
      </c>
      <c r="D1142" s="1" t="s">
        <v>2648</v>
      </c>
      <c r="E1142" s="1">
        <v>9</v>
      </c>
    </row>
    <row r="1143" spans="1:5" hidden="1" x14ac:dyDescent="0.25">
      <c r="A1143" s="115">
        <v>9.1929999999999996</v>
      </c>
      <c r="B1143" s="115">
        <v>9.8800000000000008</v>
      </c>
      <c r="C1143" s="1">
        <v>880</v>
      </c>
      <c r="D1143" s="1" t="s">
        <v>2649</v>
      </c>
      <c r="E1143" s="1">
        <v>9</v>
      </c>
    </row>
    <row r="1144" spans="1:5" hidden="1" x14ac:dyDescent="0.25">
      <c r="A1144" s="115">
        <v>9.1940000000000008</v>
      </c>
      <c r="B1144" s="115">
        <v>9.89</v>
      </c>
      <c r="C1144" s="1">
        <v>890</v>
      </c>
      <c r="D1144" s="1" t="s">
        <v>2650</v>
      </c>
      <c r="E1144" s="1">
        <v>9</v>
      </c>
    </row>
    <row r="1145" spans="1:5" hidden="1" x14ac:dyDescent="0.25">
      <c r="A1145" s="115">
        <v>9.1950000000000003</v>
      </c>
      <c r="B1145" s="115">
        <v>9.8949999999999996</v>
      </c>
      <c r="C1145" s="1">
        <v>895</v>
      </c>
      <c r="D1145" s="1" t="s">
        <v>2651</v>
      </c>
      <c r="E1145" s="1">
        <v>9</v>
      </c>
    </row>
    <row r="1146" spans="1:5" hidden="1" x14ac:dyDescent="0.25">
      <c r="A1146" s="115">
        <v>9.1959999999999997</v>
      </c>
      <c r="B1146" s="115">
        <v>9.9</v>
      </c>
      <c r="C1146" s="1">
        <v>900</v>
      </c>
      <c r="D1146" s="1" t="s">
        <v>2652</v>
      </c>
      <c r="E1146" s="1">
        <v>9</v>
      </c>
    </row>
    <row r="1147" spans="1:5" hidden="1" x14ac:dyDescent="0.25">
      <c r="A1147" s="115">
        <v>9.1969999999999992</v>
      </c>
      <c r="B1147" s="115">
        <v>9.91</v>
      </c>
      <c r="C1147" s="1">
        <v>910</v>
      </c>
      <c r="D1147" s="1" t="s">
        <v>2653</v>
      </c>
      <c r="E1147" s="1">
        <v>9</v>
      </c>
    </row>
    <row r="1148" spans="1:5" hidden="1" x14ac:dyDescent="0.25">
      <c r="A1148" s="115">
        <v>9.1980000000000004</v>
      </c>
      <c r="B1148" s="115">
        <v>9.92</v>
      </c>
      <c r="C1148" s="1">
        <v>920</v>
      </c>
      <c r="D1148" s="1" t="s">
        <v>2654</v>
      </c>
      <c r="E1148" s="1">
        <v>9</v>
      </c>
    </row>
    <row r="1149" spans="1:5" hidden="1" x14ac:dyDescent="0.25">
      <c r="A1149" s="115">
        <v>9.1989999999999998</v>
      </c>
      <c r="B1149" s="115">
        <v>9.9250000000000007</v>
      </c>
      <c r="C1149" s="1">
        <v>925</v>
      </c>
      <c r="D1149" s="1" t="s">
        <v>2655</v>
      </c>
      <c r="E1149" s="1">
        <v>9</v>
      </c>
    </row>
    <row r="1150" spans="1:5" hidden="1" x14ac:dyDescent="0.25">
      <c r="A1150" s="115">
        <v>9.1999999999999993</v>
      </c>
      <c r="B1150" s="115">
        <v>9.93</v>
      </c>
      <c r="C1150" s="1">
        <v>930</v>
      </c>
      <c r="D1150" s="1" t="s">
        <v>2656</v>
      </c>
      <c r="E1150" s="1">
        <v>9</v>
      </c>
    </row>
    <row r="1151" spans="1:5" hidden="1" x14ac:dyDescent="0.25">
      <c r="A1151" s="115">
        <v>9.2010000000000005</v>
      </c>
      <c r="B1151" s="115">
        <v>9.9350000000000005</v>
      </c>
      <c r="C1151" s="1">
        <v>935</v>
      </c>
      <c r="D1151" s="1" t="s">
        <v>2657</v>
      </c>
      <c r="E1151" s="1">
        <v>9</v>
      </c>
    </row>
    <row r="1152" spans="1:5" hidden="1" x14ac:dyDescent="0.25">
      <c r="A1152" s="115">
        <v>9.202</v>
      </c>
      <c r="B1152" s="115">
        <v>9.94</v>
      </c>
      <c r="C1152" s="1">
        <v>940</v>
      </c>
      <c r="D1152" s="1" t="s">
        <v>2658</v>
      </c>
      <c r="E1152" s="1">
        <v>9</v>
      </c>
    </row>
    <row r="1153" spans="1:5" hidden="1" x14ac:dyDescent="0.25">
      <c r="A1153" s="115">
        <v>9.2029999999999994</v>
      </c>
      <c r="B1153" s="115">
        <v>9.9499999999999993</v>
      </c>
      <c r="C1153" s="1">
        <v>950</v>
      </c>
      <c r="D1153" s="1" t="s">
        <v>2659</v>
      </c>
      <c r="E1153" s="1">
        <v>9</v>
      </c>
    </row>
    <row r="1154" spans="1:5" hidden="1" x14ac:dyDescent="0.25">
      <c r="A1154" s="115">
        <v>9.2040000000000006</v>
      </c>
      <c r="B1154" s="115">
        <v>9.9550000000000001</v>
      </c>
      <c r="C1154" s="1">
        <v>955</v>
      </c>
      <c r="D1154" s="1" t="s">
        <v>2660</v>
      </c>
      <c r="E1154" s="1">
        <v>9</v>
      </c>
    </row>
    <row r="1155" spans="1:5" hidden="1" x14ac:dyDescent="0.25">
      <c r="A1155" s="115">
        <v>9.2050000000000001</v>
      </c>
      <c r="B1155" s="115">
        <v>9.9600000000000009</v>
      </c>
      <c r="C1155" s="1">
        <v>960</v>
      </c>
      <c r="D1155" s="1" t="s">
        <v>2661</v>
      </c>
      <c r="E1155" s="1">
        <v>9</v>
      </c>
    </row>
    <row r="1156" spans="1:5" hidden="1" x14ac:dyDescent="0.25">
      <c r="A1156" s="115">
        <v>9.2059999999999995</v>
      </c>
      <c r="B1156" s="115">
        <v>9.9700000000000006</v>
      </c>
      <c r="C1156" s="1">
        <v>970</v>
      </c>
      <c r="D1156" s="1" t="s">
        <v>2662</v>
      </c>
      <c r="E1156" s="1">
        <v>9</v>
      </c>
    </row>
    <row r="1157" spans="1:5" hidden="1" x14ac:dyDescent="0.25">
      <c r="A1157" s="115">
        <v>9.2070000000000007</v>
      </c>
      <c r="B1157" s="115">
        <v>9.98</v>
      </c>
      <c r="C1157" s="1">
        <v>980</v>
      </c>
      <c r="D1157" s="1" t="s">
        <v>2663</v>
      </c>
      <c r="E1157" s="1">
        <v>9</v>
      </c>
    </row>
    <row r="1158" spans="1:5" hidden="1" x14ac:dyDescent="0.25">
      <c r="A1158" s="115">
        <v>9.2080000000000002</v>
      </c>
      <c r="B1158" s="115">
        <v>9.99</v>
      </c>
      <c r="C1158" s="1">
        <v>990</v>
      </c>
      <c r="D1158" s="1" t="s">
        <v>2664</v>
      </c>
      <c r="E1158" s="1">
        <v>9</v>
      </c>
    </row>
    <row r="1159" spans="1:5" hidden="1" x14ac:dyDescent="0.25">
      <c r="A1159" s="115">
        <v>9.2089999999999996</v>
      </c>
      <c r="B1159" s="115">
        <v>9.1</v>
      </c>
      <c r="C1159" s="1">
        <v>1000</v>
      </c>
      <c r="D1159" s="1" t="s">
        <v>2665</v>
      </c>
      <c r="E1159" s="1">
        <v>9</v>
      </c>
    </row>
    <row r="1160" spans="1:5" hidden="1" x14ac:dyDescent="0.25">
      <c r="A1160" s="115">
        <v>9.2100000000000009</v>
      </c>
      <c r="B1160" s="115">
        <v>9.11</v>
      </c>
      <c r="C1160" s="1">
        <v>1100</v>
      </c>
      <c r="D1160" s="1" t="s">
        <v>2666</v>
      </c>
      <c r="E1160" s="1">
        <v>9</v>
      </c>
    </row>
    <row r="1161" spans="1:5" hidden="1" x14ac:dyDescent="0.25">
      <c r="A1161" s="115">
        <v>9.2110000000000003</v>
      </c>
      <c r="B1161" s="115">
        <v>9.1110000000000007</v>
      </c>
      <c r="C1161" s="1">
        <v>1110</v>
      </c>
      <c r="D1161" s="1" t="s">
        <v>2667</v>
      </c>
      <c r="E1161" s="1">
        <v>9</v>
      </c>
    </row>
    <row r="1162" spans="1:5" hidden="1" x14ac:dyDescent="0.25">
      <c r="A1162" s="115">
        <v>9.2119999999999997</v>
      </c>
      <c r="B1162" s="115">
        <v>9.1120000000000001</v>
      </c>
      <c r="C1162" s="1">
        <v>1120</v>
      </c>
      <c r="D1162" s="1" t="s">
        <v>2668</v>
      </c>
      <c r="E1162" s="1">
        <v>9</v>
      </c>
    </row>
    <row r="1163" spans="1:5" hidden="1" x14ac:dyDescent="0.25">
      <c r="A1163" s="115">
        <v>9.2129999999999992</v>
      </c>
      <c r="B1163" s="115">
        <v>9.1129999999999995</v>
      </c>
      <c r="C1163" s="1">
        <v>1130</v>
      </c>
      <c r="D1163" s="1" t="s">
        <v>2669</v>
      </c>
      <c r="E1163" s="1">
        <v>9</v>
      </c>
    </row>
    <row r="1164" spans="1:5" hidden="1" x14ac:dyDescent="0.25">
      <c r="A1164" s="115">
        <v>9.2140000000000004</v>
      </c>
      <c r="B1164" s="115">
        <v>9.1140000000000008</v>
      </c>
      <c r="C1164" s="1">
        <v>1140</v>
      </c>
      <c r="D1164" s="1" t="s">
        <v>2670</v>
      </c>
      <c r="E1164" s="1">
        <v>9</v>
      </c>
    </row>
    <row r="1165" spans="1:5" hidden="1" x14ac:dyDescent="0.25">
      <c r="A1165" s="115">
        <v>9.2149999999999999</v>
      </c>
      <c r="B1165" s="115">
        <v>9.1150000000000002</v>
      </c>
      <c r="C1165" s="1">
        <v>1150</v>
      </c>
      <c r="D1165" s="1" t="s">
        <v>2671</v>
      </c>
      <c r="E1165" s="1">
        <v>9</v>
      </c>
    </row>
    <row r="1166" spans="1:5" hidden="1" x14ac:dyDescent="0.25">
      <c r="A1166" s="115">
        <v>9.2159999999999993</v>
      </c>
      <c r="B1166" s="115">
        <v>9.1159999999999997</v>
      </c>
      <c r="C1166" s="1">
        <v>1160</v>
      </c>
      <c r="D1166" s="1" t="s">
        <v>2672</v>
      </c>
      <c r="E1166" s="1">
        <v>9</v>
      </c>
    </row>
    <row r="1167" spans="1:5" hidden="1" x14ac:dyDescent="0.25">
      <c r="A1167" s="115">
        <v>9.2170000000000005</v>
      </c>
      <c r="B1167" s="115">
        <v>9.1170000000000009</v>
      </c>
      <c r="C1167" s="1">
        <v>1170</v>
      </c>
      <c r="D1167" s="1" t="s">
        <v>2673</v>
      </c>
      <c r="E1167" s="1">
        <v>9</v>
      </c>
    </row>
    <row r="1168" spans="1:5" hidden="1" x14ac:dyDescent="0.25">
      <c r="A1168" s="115">
        <v>9.218</v>
      </c>
      <c r="B1168" s="115">
        <v>9.1180000000000003</v>
      </c>
      <c r="C1168" s="1">
        <v>1180</v>
      </c>
      <c r="D1168" s="1" t="s">
        <v>2674</v>
      </c>
      <c r="E1168" s="1">
        <v>9</v>
      </c>
    </row>
    <row r="1169" spans="1:5" hidden="1" x14ac:dyDescent="0.25">
      <c r="A1169" s="115">
        <v>9.2189999999999994</v>
      </c>
      <c r="B1169" s="115">
        <v>9.1189999999999998</v>
      </c>
      <c r="C1169" s="1">
        <v>1190</v>
      </c>
      <c r="D1169" s="1" t="s">
        <v>2675</v>
      </c>
      <c r="E1169" s="1">
        <v>9</v>
      </c>
    </row>
    <row r="1170" spans="1:5" hidden="1" x14ac:dyDescent="0.25">
      <c r="A1170" s="115">
        <v>9.2200000000000006</v>
      </c>
      <c r="B1170" s="115">
        <v>9.1199999999999992</v>
      </c>
      <c r="C1170" s="1">
        <v>1200</v>
      </c>
      <c r="D1170" s="1" t="s">
        <v>2676</v>
      </c>
      <c r="E1170" s="1">
        <v>9</v>
      </c>
    </row>
    <row r="1171" spans="1:5" hidden="1" x14ac:dyDescent="0.25">
      <c r="A1171" s="115">
        <v>9.2210000000000001</v>
      </c>
      <c r="B1171" s="115">
        <v>9.1210000000000004</v>
      </c>
      <c r="C1171" s="1">
        <v>1210</v>
      </c>
      <c r="D1171" s="1" t="s">
        <v>2677</v>
      </c>
      <c r="E1171" s="1">
        <v>9</v>
      </c>
    </row>
    <row r="1172" spans="1:5" hidden="1" x14ac:dyDescent="0.25">
      <c r="A1172" s="115">
        <v>9.2219999999999995</v>
      </c>
      <c r="B1172" s="115">
        <v>9.1219999999999999</v>
      </c>
      <c r="C1172" s="1">
        <v>1220</v>
      </c>
      <c r="D1172" s="1" t="s">
        <v>2678</v>
      </c>
      <c r="E1172" s="1">
        <v>9</v>
      </c>
    </row>
    <row r="1173" spans="1:5" hidden="1" x14ac:dyDescent="0.25">
      <c r="A1173" s="115">
        <v>9.2230000000000008</v>
      </c>
      <c r="B1173" s="115">
        <v>9.1229999999999993</v>
      </c>
      <c r="C1173" s="1">
        <v>1230</v>
      </c>
      <c r="D1173" s="1" t="s">
        <v>2679</v>
      </c>
      <c r="E1173" s="1">
        <v>9</v>
      </c>
    </row>
    <row r="1174" spans="1:5" hidden="1" x14ac:dyDescent="0.25">
      <c r="A1174" s="115">
        <v>9.2240000000000002</v>
      </c>
      <c r="B1174" s="115">
        <v>9.1240000000000006</v>
      </c>
      <c r="C1174" s="1">
        <v>1240</v>
      </c>
      <c r="D1174" s="1" t="s">
        <v>2680</v>
      </c>
      <c r="E1174" s="1">
        <v>9</v>
      </c>
    </row>
    <row r="1175" spans="1:5" hidden="1" x14ac:dyDescent="0.25">
      <c r="A1175" s="115">
        <v>9.2249999999999996</v>
      </c>
      <c r="B1175" s="115">
        <v>9.125</v>
      </c>
      <c r="C1175" s="1">
        <v>1250</v>
      </c>
      <c r="D1175" s="1" t="s">
        <v>2681</v>
      </c>
      <c r="E1175" s="1">
        <v>9</v>
      </c>
    </row>
    <row r="1176" spans="1:5" hidden="1" x14ac:dyDescent="0.25">
      <c r="A1176" s="115">
        <v>9.2260000000000009</v>
      </c>
      <c r="B1176" s="115">
        <v>9.1259999999999994</v>
      </c>
      <c r="C1176" s="1">
        <v>1260</v>
      </c>
      <c r="D1176" s="1" t="s">
        <v>2682</v>
      </c>
      <c r="E1176" s="1">
        <v>9</v>
      </c>
    </row>
    <row r="1177" spans="1:5" hidden="1" x14ac:dyDescent="0.25">
      <c r="A1177" s="115">
        <v>9.2270000000000003</v>
      </c>
      <c r="B1177" s="115">
        <v>9.1270000000000007</v>
      </c>
      <c r="C1177" s="1">
        <v>1270</v>
      </c>
      <c r="D1177" s="1" t="s">
        <v>2683</v>
      </c>
      <c r="E1177" s="1">
        <v>9</v>
      </c>
    </row>
    <row r="1178" spans="1:5" hidden="1" x14ac:dyDescent="0.25">
      <c r="A1178" s="115">
        <v>9.2279999999999998</v>
      </c>
      <c r="B1178" s="115">
        <v>9.1280000000000001</v>
      </c>
      <c r="C1178" s="1">
        <v>1280</v>
      </c>
      <c r="D1178" s="1" t="s">
        <v>2684</v>
      </c>
      <c r="E1178" s="1">
        <v>9</v>
      </c>
    </row>
    <row r="1179" spans="1:5" hidden="1" x14ac:dyDescent="0.25">
      <c r="A1179" s="115">
        <v>9.2289999999999992</v>
      </c>
      <c r="B1179" s="115">
        <v>9.1300000000000008</v>
      </c>
      <c r="C1179" s="1">
        <v>1300</v>
      </c>
      <c r="D1179" s="1" t="s">
        <v>2685</v>
      </c>
      <c r="E1179" s="1">
        <v>9</v>
      </c>
    </row>
    <row r="1180" spans="1:5" hidden="1" x14ac:dyDescent="0.25">
      <c r="A1180" s="115">
        <v>9.23</v>
      </c>
      <c r="B1180" s="115">
        <v>9.1310000000000002</v>
      </c>
      <c r="C1180" s="1">
        <v>1310</v>
      </c>
      <c r="D1180" s="1" t="s">
        <v>2686</v>
      </c>
      <c r="E1180" s="1">
        <v>9</v>
      </c>
    </row>
    <row r="1181" spans="1:5" hidden="1" x14ac:dyDescent="0.25">
      <c r="A1181" s="115">
        <v>9.2309999999999999</v>
      </c>
      <c r="B1181" s="115">
        <v>9.1319999999999997</v>
      </c>
      <c r="C1181" s="1">
        <v>1320</v>
      </c>
      <c r="D1181" s="1" t="s">
        <v>2687</v>
      </c>
      <c r="E1181" s="1">
        <v>9</v>
      </c>
    </row>
    <row r="1182" spans="1:5" hidden="1" x14ac:dyDescent="0.25">
      <c r="A1182" s="115">
        <v>10.101000000000001</v>
      </c>
      <c r="B1182" s="115">
        <v>10.1</v>
      </c>
      <c r="C1182" s="1">
        <v>10</v>
      </c>
      <c r="D1182" s="1" t="s">
        <v>2559</v>
      </c>
      <c r="E1182" s="1">
        <v>10</v>
      </c>
    </row>
    <row r="1183" spans="1:5" hidden="1" x14ac:dyDescent="0.25">
      <c r="A1183" s="115">
        <v>10.102</v>
      </c>
      <c r="B1183" s="115">
        <v>10.199999999999999</v>
      </c>
      <c r="C1183" s="1">
        <v>20</v>
      </c>
      <c r="D1183" s="1" t="s">
        <v>2560</v>
      </c>
      <c r="E1183" s="1">
        <v>10</v>
      </c>
    </row>
    <row r="1184" spans="1:5" hidden="1" x14ac:dyDescent="0.25">
      <c r="A1184" s="115">
        <v>10.103</v>
      </c>
      <c r="B1184" s="115">
        <v>10.3</v>
      </c>
      <c r="C1184" s="1">
        <v>30</v>
      </c>
      <c r="D1184" s="1" t="s">
        <v>2561</v>
      </c>
      <c r="E1184" s="1">
        <v>10</v>
      </c>
    </row>
    <row r="1185" spans="1:5" hidden="1" x14ac:dyDescent="0.25">
      <c r="A1185" s="115">
        <v>10.103999999999999</v>
      </c>
      <c r="B1185" s="115">
        <v>10.4</v>
      </c>
      <c r="C1185" s="1">
        <v>40</v>
      </c>
      <c r="D1185" s="1" t="s">
        <v>2562</v>
      </c>
      <c r="E1185" s="1">
        <v>10</v>
      </c>
    </row>
    <row r="1186" spans="1:5" hidden="1" x14ac:dyDescent="0.25">
      <c r="A1186" s="115">
        <v>10.105</v>
      </c>
      <c r="B1186" s="115">
        <v>10.5</v>
      </c>
      <c r="C1186" s="1">
        <v>50</v>
      </c>
      <c r="D1186" s="1" t="s">
        <v>2563</v>
      </c>
      <c r="E1186" s="1">
        <v>10</v>
      </c>
    </row>
    <row r="1187" spans="1:5" hidden="1" x14ac:dyDescent="0.25">
      <c r="A1187" s="115">
        <v>10.106</v>
      </c>
      <c r="B1187" s="115">
        <v>10.6</v>
      </c>
      <c r="C1187" s="1">
        <v>60</v>
      </c>
      <c r="D1187" s="1" t="s">
        <v>2564</v>
      </c>
      <c r="E1187" s="1">
        <v>10</v>
      </c>
    </row>
    <row r="1188" spans="1:5" hidden="1" x14ac:dyDescent="0.25">
      <c r="A1188" s="115">
        <v>10.106999999999999</v>
      </c>
      <c r="B1188" s="115">
        <v>10.7</v>
      </c>
      <c r="C1188" s="1">
        <v>70</v>
      </c>
      <c r="D1188" s="1" t="s">
        <v>2565</v>
      </c>
      <c r="E1188" s="1">
        <v>10</v>
      </c>
    </row>
    <row r="1189" spans="1:5" hidden="1" x14ac:dyDescent="0.25">
      <c r="A1189" s="115">
        <v>10.108000000000001</v>
      </c>
      <c r="B1189" s="115">
        <v>10.8</v>
      </c>
      <c r="C1189" s="1">
        <v>80</v>
      </c>
      <c r="D1189" s="1" t="s">
        <v>2566</v>
      </c>
      <c r="E1189" s="1">
        <v>10</v>
      </c>
    </row>
    <row r="1190" spans="1:5" hidden="1" x14ac:dyDescent="0.25">
      <c r="A1190" s="115">
        <v>10.109</v>
      </c>
      <c r="B1190" s="115">
        <v>10.9</v>
      </c>
      <c r="C1190" s="1">
        <v>90</v>
      </c>
      <c r="D1190" s="1" t="s">
        <v>2567</v>
      </c>
      <c r="E1190" s="1">
        <v>10</v>
      </c>
    </row>
    <row r="1191" spans="1:5" hidden="1" x14ac:dyDescent="0.25">
      <c r="A1191" s="115">
        <v>10.11</v>
      </c>
      <c r="B1191" s="115">
        <v>10.1</v>
      </c>
      <c r="C1191" s="1">
        <v>100</v>
      </c>
      <c r="D1191" s="1" t="s">
        <v>2568</v>
      </c>
      <c r="E1191" s="1">
        <v>10</v>
      </c>
    </row>
    <row r="1192" spans="1:5" hidden="1" x14ac:dyDescent="0.25">
      <c r="A1192" s="115">
        <v>10.111000000000001</v>
      </c>
      <c r="B1192" s="115">
        <v>10.11</v>
      </c>
      <c r="C1192" s="1">
        <v>110</v>
      </c>
      <c r="D1192" s="1" t="s">
        <v>2569</v>
      </c>
      <c r="E1192" s="1">
        <v>10</v>
      </c>
    </row>
    <row r="1193" spans="1:5" hidden="1" x14ac:dyDescent="0.25">
      <c r="A1193" s="115">
        <v>10.112</v>
      </c>
      <c r="B1193" s="115">
        <v>10.119999999999999</v>
      </c>
      <c r="C1193" s="1">
        <v>120</v>
      </c>
      <c r="D1193" s="1" t="s">
        <v>2570</v>
      </c>
      <c r="E1193" s="1">
        <v>10</v>
      </c>
    </row>
    <row r="1194" spans="1:5" hidden="1" x14ac:dyDescent="0.25">
      <c r="A1194" s="115">
        <v>10.113</v>
      </c>
      <c r="B1194" s="115">
        <v>10.130000000000001</v>
      </c>
      <c r="C1194" s="1">
        <v>130</v>
      </c>
      <c r="D1194" s="1" t="s">
        <v>2571</v>
      </c>
      <c r="E1194" s="1">
        <v>10</v>
      </c>
    </row>
    <row r="1195" spans="1:5" hidden="1" x14ac:dyDescent="0.25">
      <c r="A1195" s="115">
        <v>10.114000000000001</v>
      </c>
      <c r="B1195" s="115">
        <v>10.14</v>
      </c>
      <c r="C1195" s="1">
        <v>140</v>
      </c>
      <c r="D1195" s="1" t="s">
        <v>2572</v>
      </c>
      <c r="E1195" s="1">
        <v>10</v>
      </c>
    </row>
    <row r="1196" spans="1:5" hidden="1" x14ac:dyDescent="0.25">
      <c r="A1196" s="115">
        <v>10.115</v>
      </c>
      <c r="B1196" s="115">
        <v>10.15</v>
      </c>
      <c r="C1196" s="1">
        <v>150</v>
      </c>
      <c r="D1196" s="1" t="s">
        <v>2573</v>
      </c>
      <c r="E1196" s="1">
        <v>10</v>
      </c>
    </row>
    <row r="1197" spans="1:5" hidden="1" x14ac:dyDescent="0.25">
      <c r="A1197" s="115">
        <v>10.116</v>
      </c>
      <c r="B1197" s="115">
        <v>10.16</v>
      </c>
      <c r="C1197" s="1">
        <v>160</v>
      </c>
      <c r="D1197" s="1" t="s">
        <v>2574</v>
      </c>
      <c r="E1197" s="1">
        <v>10</v>
      </c>
    </row>
    <row r="1198" spans="1:5" hidden="1" x14ac:dyDescent="0.25">
      <c r="A1198" s="115">
        <v>10.117000000000001</v>
      </c>
      <c r="B1198" s="115">
        <v>10.17</v>
      </c>
      <c r="C1198" s="1">
        <v>170</v>
      </c>
      <c r="D1198" s="1" t="s">
        <v>2575</v>
      </c>
      <c r="E1198" s="1">
        <v>10</v>
      </c>
    </row>
    <row r="1199" spans="1:5" hidden="1" x14ac:dyDescent="0.25">
      <c r="A1199" s="115">
        <v>10.118</v>
      </c>
      <c r="B1199" s="115">
        <v>10.18</v>
      </c>
      <c r="C1199" s="1">
        <v>180</v>
      </c>
      <c r="D1199" s="1" t="s">
        <v>2576</v>
      </c>
      <c r="E1199" s="1">
        <v>10</v>
      </c>
    </row>
    <row r="1200" spans="1:5" hidden="1" x14ac:dyDescent="0.25">
      <c r="A1200" s="115">
        <v>10.119</v>
      </c>
      <c r="B1200" s="115">
        <v>10.19</v>
      </c>
      <c r="C1200" s="1">
        <v>190</v>
      </c>
      <c r="D1200" s="1" t="s">
        <v>2577</v>
      </c>
      <c r="E1200" s="1">
        <v>10</v>
      </c>
    </row>
    <row r="1201" spans="1:5" hidden="1" x14ac:dyDescent="0.25">
      <c r="A1201" s="115">
        <v>10.119999999999999</v>
      </c>
      <c r="B1201" s="115">
        <v>10.199999999999999</v>
      </c>
      <c r="C1201" s="1">
        <v>200</v>
      </c>
      <c r="D1201" s="1" t="s">
        <v>2578</v>
      </c>
      <c r="E1201" s="1">
        <v>10</v>
      </c>
    </row>
    <row r="1202" spans="1:5" hidden="1" x14ac:dyDescent="0.25">
      <c r="A1202" s="115">
        <v>10.121</v>
      </c>
      <c r="B1202" s="115">
        <v>10.210000000000001</v>
      </c>
      <c r="C1202" s="1">
        <v>210</v>
      </c>
      <c r="D1202" s="1" t="s">
        <v>2579</v>
      </c>
      <c r="E1202" s="1">
        <v>10</v>
      </c>
    </row>
    <row r="1203" spans="1:5" hidden="1" x14ac:dyDescent="0.25">
      <c r="A1203" s="115">
        <v>10.122</v>
      </c>
      <c r="B1203" s="115">
        <v>10.220000000000001</v>
      </c>
      <c r="C1203" s="1">
        <v>220</v>
      </c>
      <c r="D1203" s="1" t="s">
        <v>2580</v>
      </c>
      <c r="E1203" s="1">
        <v>10</v>
      </c>
    </row>
    <row r="1204" spans="1:5" hidden="1" x14ac:dyDescent="0.25">
      <c r="A1204" s="115">
        <v>10.122999999999999</v>
      </c>
      <c r="B1204" s="115">
        <v>10.23</v>
      </c>
      <c r="C1204" s="1">
        <v>230</v>
      </c>
      <c r="D1204" s="1" t="s">
        <v>2581</v>
      </c>
      <c r="E1204" s="1">
        <v>10</v>
      </c>
    </row>
    <row r="1205" spans="1:5" hidden="1" x14ac:dyDescent="0.25">
      <c r="A1205" s="115">
        <v>10.124000000000001</v>
      </c>
      <c r="B1205" s="115">
        <v>10.24</v>
      </c>
      <c r="C1205" s="1">
        <v>240</v>
      </c>
      <c r="D1205" s="1" t="s">
        <v>2582</v>
      </c>
      <c r="E1205" s="1">
        <v>10</v>
      </c>
    </row>
    <row r="1206" spans="1:5" hidden="1" x14ac:dyDescent="0.25">
      <c r="A1206" s="115">
        <v>10.125</v>
      </c>
      <c r="B1206" s="115">
        <v>10.25</v>
      </c>
      <c r="C1206" s="1">
        <v>250</v>
      </c>
      <c r="D1206" s="1" t="s">
        <v>2583</v>
      </c>
      <c r="E1206" s="1">
        <v>10</v>
      </c>
    </row>
    <row r="1207" spans="1:5" hidden="1" x14ac:dyDescent="0.25">
      <c r="A1207" s="115">
        <v>10.125999999999999</v>
      </c>
      <c r="B1207" s="115">
        <v>10.26</v>
      </c>
      <c r="C1207" s="1">
        <v>260</v>
      </c>
      <c r="D1207" s="1" t="s">
        <v>2584</v>
      </c>
      <c r="E1207" s="1">
        <v>10</v>
      </c>
    </row>
    <row r="1208" spans="1:5" hidden="1" x14ac:dyDescent="0.25">
      <c r="A1208" s="115">
        <v>10.127000000000001</v>
      </c>
      <c r="B1208" s="115">
        <v>10.27</v>
      </c>
      <c r="C1208" s="1">
        <v>270</v>
      </c>
      <c r="D1208" s="1" t="s">
        <v>2585</v>
      </c>
      <c r="E1208" s="1">
        <v>10</v>
      </c>
    </row>
    <row r="1209" spans="1:5" hidden="1" x14ac:dyDescent="0.25">
      <c r="A1209" s="115">
        <v>10.128</v>
      </c>
      <c r="B1209" s="115">
        <v>10.28</v>
      </c>
      <c r="C1209" s="1">
        <v>280</v>
      </c>
      <c r="D1209" s="1" t="s">
        <v>2586</v>
      </c>
      <c r="E1209" s="1">
        <v>10</v>
      </c>
    </row>
    <row r="1210" spans="1:5" hidden="1" x14ac:dyDescent="0.25">
      <c r="A1210" s="115">
        <v>10.129</v>
      </c>
      <c r="B1210" s="115">
        <v>10.29</v>
      </c>
      <c r="C1210" s="1">
        <v>290</v>
      </c>
      <c r="D1210" s="1" t="s">
        <v>2587</v>
      </c>
      <c r="E1210" s="1">
        <v>10</v>
      </c>
    </row>
    <row r="1211" spans="1:5" hidden="1" x14ac:dyDescent="0.25">
      <c r="A1211" s="115">
        <v>10.130000000000001</v>
      </c>
      <c r="B1211" s="115">
        <v>10.3</v>
      </c>
      <c r="C1211" s="1">
        <v>300</v>
      </c>
      <c r="D1211" s="1" t="s">
        <v>2588</v>
      </c>
      <c r="E1211" s="1">
        <v>10</v>
      </c>
    </row>
    <row r="1212" spans="1:5" hidden="1" x14ac:dyDescent="0.25">
      <c r="A1212" s="115">
        <v>10.131</v>
      </c>
      <c r="B1212" s="115">
        <v>10.31</v>
      </c>
      <c r="C1212" s="1">
        <v>310</v>
      </c>
      <c r="D1212" s="1" t="s">
        <v>2589</v>
      </c>
      <c r="E1212" s="1">
        <v>10</v>
      </c>
    </row>
    <row r="1213" spans="1:5" hidden="1" x14ac:dyDescent="0.25">
      <c r="A1213" s="115">
        <v>10.132</v>
      </c>
      <c r="B1213" s="115">
        <v>10.32</v>
      </c>
      <c r="C1213" s="1">
        <v>320</v>
      </c>
      <c r="D1213" s="1" t="s">
        <v>2590</v>
      </c>
      <c r="E1213" s="1">
        <v>10</v>
      </c>
    </row>
    <row r="1214" spans="1:5" hidden="1" x14ac:dyDescent="0.25">
      <c r="A1214" s="115">
        <v>10.132999999999999</v>
      </c>
      <c r="B1214" s="115">
        <v>10.33</v>
      </c>
      <c r="C1214" s="1">
        <v>330</v>
      </c>
      <c r="D1214" s="1" t="s">
        <v>2591</v>
      </c>
      <c r="E1214" s="1">
        <v>10</v>
      </c>
    </row>
    <row r="1215" spans="1:5" hidden="1" x14ac:dyDescent="0.25">
      <c r="A1215" s="115">
        <v>10.134</v>
      </c>
      <c r="B1215" s="115">
        <v>10.34</v>
      </c>
      <c r="C1215" s="1">
        <v>340</v>
      </c>
      <c r="D1215" s="1" t="s">
        <v>2592</v>
      </c>
      <c r="E1215" s="1">
        <v>10</v>
      </c>
    </row>
    <row r="1216" spans="1:5" hidden="1" x14ac:dyDescent="0.25">
      <c r="A1216" s="115">
        <v>10.135</v>
      </c>
      <c r="B1216" s="115">
        <v>10.35</v>
      </c>
      <c r="C1216" s="1">
        <v>350</v>
      </c>
      <c r="D1216" s="1" t="s">
        <v>2593</v>
      </c>
      <c r="E1216" s="1">
        <v>10</v>
      </c>
    </row>
    <row r="1217" spans="1:5" hidden="1" x14ac:dyDescent="0.25">
      <c r="A1217" s="115">
        <v>10.135999999999999</v>
      </c>
      <c r="B1217" s="115">
        <v>10.36</v>
      </c>
      <c r="C1217" s="1">
        <v>360</v>
      </c>
      <c r="D1217" s="1" t="s">
        <v>2594</v>
      </c>
      <c r="E1217" s="1">
        <v>10</v>
      </c>
    </row>
    <row r="1218" spans="1:5" hidden="1" x14ac:dyDescent="0.25">
      <c r="A1218" s="115">
        <v>10.137</v>
      </c>
      <c r="B1218" s="115">
        <v>10.37</v>
      </c>
      <c r="C1218" s="1">
        <v>370</v>
      </c>
      <c r="D1218" s="1" t="s">
        <v>2595</v>
      </c>
      <c r="E1218" s="1">
        <v>10</v>
      </c>
    </row>
    <row r="1219" spans="1:5" hidden="1" x14ac:dyDescent="0.25">
      <c r="A1219" s="115">
        <v>10.138</v>
      </c>
      <c r="B1219" s="115">
        <v>10.38</v>
      </c>
      <c r="C1219" s="1">
        <v>380</v>
      </c>
      <c r="D1219" s="1" t="s">
        <v>2596</v>
      </c>
      <c r="E1219" s="1">
        <v>10</v>
      </c>
    </row>
    <row r="1220" spans="1:5" hidden="1" x14ac:dyDescent="0.25">
      <c r="A1220" s="115">
        <v>10.138999999999999</v>
      </c>
      <c r="B1220" s="115">
        <v>10.39</v>
      </c>
      <c r="C1220" s="1">
        <v>390</v>
      </c>
      <c r="D1220" s="1" t="s">
        <v>2597</v>
      </c>
      <c r="E1220" s="1">
        <v>10</v>
      </c>
    </row>
    <row r="1221" spans="1:5" hidden="1" x14ac:dyDescent="0.25">
      <c r="A1221" s="115">
        <v>10.14</v>
      </c>
      <c r="B1221" s="115">
        <v>10.4</v>
      </c>
      <c r="C1221" s="1">
        <v>400</v>
      </c>
      <c r="D1221" s="1" t="s">
        <v>2598</v>
      </c>
      <c r="E1221" s="1">
        <v>10</v>
      </c>
    </row>
    <row r="1222" spans="1:5" hidden="1" x14ac:dyDescent="0.25">
      <c r="A1222" s="115">
        <v>10.141</v>
      </c>
      <c r="B1222" s="115">
        <v>10.41</v>
      </c>
      <c r="C1222" s="1">
        <v>410</v>
      </c>
      <c r="D1222" s="1" t="s">
        <v>2599</v>
      </c>
      <c r="E1222" s="1">
        <v>10</v>
      </c>
    </row>
    <row r="1223" spans="1:5" hidden="1" x14ac:dyDescent="0.25">
      <c r="A1223" s="115">
        <v>10.141999999999999</v>
      </c>
      <c r="B1223" s="115">
        <v>10.42</v>
      </c>
      <c r="C1223" s="1">
        <v>420</v>
      </c>
      <c r="D1223" s="1" t="s">
        <v>2600</v>
      </c>
      <c r="E1223" s="1">
        <v>10</v>
      </c>
    </row>
    <row r="1224" spans="1:5" hidden="1" x14ac:dyDescent="0.25">
      <c r="A1224" s="115">
        <v>10.143000000000001</v>
      </c>
      <c r="B1224" s="115">
        <v>10.43</v>
      </c>
      <c r="C1224" s="1">
        <v>430</v>
      </c>
      <c r="D1224" s="1" t="s">
        <v>2601</v>
      </c>
      <c r="E1224" s="1">
        <v>10</v>
      </c>
    </row>
    <row r="1225" spans="1:5" hidden="1" x14ac:dyDescent="0.25">
      <c r="A1225" s="115">
        <v>10.144</v>
      </c>
      <c r="B1225" s="115">
        <v>10.44</v>
      </c>
      <c r="C1225" s="1">
        <v>440</v>
      </c>
      <c r="D1225" s="1" t="s">
        <v>2602</v>
      </c>
      <c r="E1225" s="1">
        <v>10</v>
      </c>
    </row>
    <row r="1226" spans="1:5" hidden="1" x14ac:dyDescent="0.25">
      <c r="A1226" s="115">
        <v>10.145</v>
      </c>
      <c r="B1226" s="115">
        <v>10.445</v>
      </c>
      <c r="C1226" s="1">
        <v>445</v>
      </c>
      <c r="D1226" s="1" t="s">
        <v>2603</v>
      </c>
      <c r="E1226" s="1">
        <v>10</v>
      </c>
    </row>
    <row r="1227" spans="1:5" hidden="1" x14ac:dyDescent="0.25">
      <c r="A1227" s="115">
        <v>10.146000000000001</v>
      </c>
      <c r="B1227" s="115">
        <v>10.45</v>
      </c>
      <c r="C1227" s="1">
        <v>450</v>
      </c>
      <c r="D1227" s="1" t="s">
        <v>2604</v>
      </c>
      <c r="E1227" s="1">
        <v>10</v>
      </c>
    </row>
    <row r="1228" spans="1:5" hidden="1" x14ac:dyDescent="0.25">
      <c r="A1228" s="115">
        <v>10.147</v>
      </c>
      <c r="B1228" s="115">
        <v>10.46</v>
      </c>
      <c r="C1228" s="1">
        <v>460</v>
      </c>
      <c r="D1228" s="1" t="s">
        <v>2605</v>
      </c>
      <c r="E1228" s="1">
        <v>10</v>
      </c>
    </row>
    <row r="1229" spans="1:5" hidden="1" x14ac:dyDescent="0.25">
      <c r="A1229" s="115">
        <v>10.148</v>
      </c>
      <c r="B1229" s="115">
        <v>10.47</v>
      </c>
      <c r="C1229" s="1">
        <v>470</v>
      </c>
      <c r="D1229" s="1" t="s">
        <v>2606</v>
      </c>
      <c r="E1229" s="1">
        <v>10</v>
      </c>
    </row>
    <row r="1230" spans="1:5" hidden="1" x14ac:dyDescent="0.25">
      <c r="A1230" s="115">
        <v>10.148999999999999</v>
      </c>
      <c r="B1230" s="115">
        <v>10.48</v>
      </c>
      <c r="C1230" s="1">
        <v>480</v>
      </c>
      <c r="D1230" s="1" t="s">
        <v>2607</v>
      </c>
      <c r="E1230" s="1">
        <v>10</v>
      </c>
    </row>
    <row r="1231" spans="1:5" hidden="1" x14ac:dyDescent="0.25">
      <c r="A1231" s="115">
        <v>10.15</v>
      </c>
      <c r="B1231" s="115">
        <v>10.49</v>
      </c>
      <c r="C1231" s="1">
        <v>490</v>
      </c>
      <c r="D1231" s="1" t="s">
        <v>2608</v>
      </c>
      <c r="E1231" s="1">
        <v>10</v>
      </c>
    </row>
    <row r="1232" spans="1:5" hidden="1" x14ac:dyDescent="0.25">
      <c r="A1232" s="115">
        <v>10.151</v>
      </c>
      <c r="B1232" s="115">
        <v>10.5</v>
      </c>
      <c r="C1232" s="1">
        <v>500</v>
      </c>
      <c r="D1232" s="1" t="s">
        <v>2609</v>
      </c>
      <c r="E1232" s="1">
        <v>10</v>
      </c>
    </row>
    <row r="1233" spans="1:5" hidden="1" x14ac:dyDescent="0.25">
      <c r="A1233" s="115">
        <v>10.151999999999999</v>
      </c>
      <c r="B1233" s="115">
        <v>10.51</v>
      </c>
      <c r="C1233" s="1">
        <v>510</v>
      </c>
      <c r="D1233" s="1" t="s">
        <v>2610</v>
      </c>
      <c r="E1233" s="1">
        <v>10</v>
      </c>
    </row>
    <row r="1234" spans="1:5" hidden="1" x14ac:dyDescent="0.25">
      <c r="A1234" s="115">
        <v>10.153</v>
      </c>
      <c r="B1234" s="115">
        <v>10.52</v>
      </c>
      <c r="C1234" s="1">
        <v>520</v>
      </c>
      <c r="D1234" s="1" t="s">
        <v>2611</v>
      </c>
      <c r="E1234" s="1">
        <v>10</v>
      </c>
    </row>
    <row r="1235" spans="1:5" hidden="1" x14ac:dyDescent="0.25">
      <c r="A1235" s="115">
        <v>10.154</v>
      </c>
      <c r="B1235" s="115">
        <v>10.53</v>
      </c>
      <c r="C1235" s="1">
        <v>530</v>
      </c>
      <c r="D1235" s="1" t="s">
        <v>2612</v>
      </c>
      <c r="E1235" s="1">
        <v>10</v>
      </c>
    </row>
    <row r="1236" spans="1:5" hidden="1" x14ac:dyDescent="0.25">
      <c r="A1236" s="115">
        <v>10.154999999999999</v>
      </c>
      <c r="B1236" s="115">
        <v>10.54</v>
      </c>
      <c r="C1236" s="1">
        <v>540</v>
      </c>
      <c r="D1236" s="1" t="s">
        <v>2613</v>
      </c>
      <c r="E1236" s="1">
        <v>10</v>
      </c>
    </row>
    <row r="1237" spans="1:5" hidden="1" x14ac:dyDescent="0.25">
      <c r="A1237" s="115">
        <v>10.156000000000001</v>
      </c>
      <c r="B1237" s="115">
        <v>10.55</v>
      </c>
      <c r="C1237" s="1">
        <v>550</v>
      </c>
      <c r="D1237" s="1" t="s">
        <v>2614</v>
      </c>
      <c r="E1237" s="1">
        <v>10</v>
      </c>
    </row>
    <row r="1238" spans="1:5" hidden="1" x14ac:dyDescent="0.25">
      <c r="A1238" s="115">
        <v>10.157</v>
      </c>
      <c r="B1238" s="115">
        <v>10.56</v>
      </c>
      <c r="C1238" s="1">
        <v>560</v>
      </c>
      <c r="D1238" s="1" t="s">
        <v>2615</v>
      </c>
      <c r="E1238" s="1">
        <v>10</v>
      </c>
    </row>
    <row r="1239" spans="1:5" hidden="1" x14ac:dyDescent="0.25">
      <c r="A1239" s="115">
        <v>10.157999999999999</v>
      </c>
      <c r="B1239" s="115">
        <v>10.57</v>
      </c>
      <c r="C1239" s="1">
        <v>570</v>
      </c>
      <c r="D1239" s="1" t="s">
        <v>2616</v>
      </c>
      <c r="E1239" s="1">
        <v>10</v>
      </c>
    </row>
    <row r="1240" spans="1:5" hidden="1" x14ac:dyDescent="0.25">
      <c r="A1240" s="115">
        <v>10.159000000000001</v>
      </c>
      <c r="B1240" s="115">
        <v>10.574999999999999</v>
      </c>
      <c r="C1240" s="1">
        <v>575</v>
      </c>
      <c r="D1240" s="1" t="s">
        <v>2617</v>
      </c>
      <c r="E1240" s="1">
        <v>10</v>
      </c>
    </row>
    <row r="1241" spans="1:5" hidden="1" x14ac:dyDescent="0.25">
      <c r="A1241" s="115">
        <v>10.16</v>
      </c>
      <c r="B1241" s="115">
        <v>10.576000000000001</v>
      </c>
      <c r="C1241" s="1">
        <v>576</v>
      </c>
      <c r="D1241" s="1" t="s">
        <v>2618</v>
      </c>
      <c r="E1241" s="1">
        <v>10</v>
      </c>
    </row>
    <row r="1242" spans="1:5" hidden="1" x14ac:dyDescent="0.25">
      <c r="A1242" s="115">
        <v>10.161</v>
      </c>
      <c r="B1242" s="115">
        <v>10.58</v>
      </c>
      <c r="C1242" s="1">
        <v>580</v>
      </c>
      <c r="D1242" s="1" t="s">
        <v>2619</v>
      </c>
      <c r="E1242" s="1">
        <v>10</v>
      </c>
    </row>
    <row r="1243" spans="1:5" hidden="1" x14ac:dyDescent="0.25">
      <c r="A1243" s="115">
        <v>10.162000000000001</v>
      </c>
      <c r="B1243" s="115">
        <v>10.59</v>
      </c>
      <c r="C1243" s="1">
        <v>590</v>
      </c>
      <c r="D1243" s="1" t="s">
        <v>1099</v>
      </c>
      <c r="E1243" s="1">
        <v>10</v>
      </c>
    </row>
    <row r="1244" spans="1:5" hidden="1" x14ac:dyDescent="0.25">
      <c r="A1244" s="115">
        <v>10.163</v>
      </c>
      <c r="B1244" s="115">
        <v>10.6</v>
      </c>
      <c r="C1244" s="1">
        <v>600</v>
      </c>
      <c r="D1244" s="1" t="s">
        <v>2620</v>
      </c>
      <c r="E1244" s="1">
        <v>10</v>
      </c>
    </row>
    <row r="1245" spans="1:5" hidden="1" x14ac:dyDescent="0.25">
      <c r="A1245" s="115">
        <v>10.164</v>
      </c>
      <c r="B1245" s="115">
        <v>10.61</v>
      </c>
      <c r="C1245" s="1">
        <v>610</v>
      </c>
      <c r="D1245" s="1" t="s">
        <v>2621</v>
      </c>
      <c r="E1245" s="1">
        <v>10</v>
      </c>
    </row>
    <row r="1246" spans="1:5" hidden="1" x14ac:dyDescent="0.25">
      <c r="A1246" s="115">
        <v>10.164999999999999</v>
      </c>
      <c r="B1246" s="115">
        <v>10.62</v>
      </c>
      <c r="C1246" s="1">
        <v>620</v>
      </c>
      <c r="D1246" s="1" t="s">
        <v>2622</v>
      </c>
      <c r="E1246" s="1">
        <v>10</v>
      </c>
    </row>
    <row r="1247" spans="1:5" hidden="1" x14ac:dyDescent="0.25">
      <c r="A1247" s="115">
        <v>10.166</v>
      </c>
      <c r="B1247" s="115">
        <v>10.63</v>
      </c>
      <c r="C1247" s="1">
        <v>630</v>
      </c>
      <c r="D1247" s="1" t="s">
        <v>2623</v>
      </c>
      <c r="E1247" s="1">
        <v>10</v>
      </c>
    </row>
    <row r="1248" spans="1:5" hidden="1" x14ac:dyDescent="0.25">
      <c r="A1248" s="115">
        <v>10.167</v>
      </c>
      <c r="B1248" s="115">
        <v>10.64</v>
      </c>
      <c r="C1248" s="1">
        <v>640</v>
      </c>
      <c r="D1248" s="1" t="s">
        <v>2624</v>
      </c>
      <c r="E1248" s="1">
        <v>10</v>
      </c>
    </row>
    <row r="1249" spans="1:5" hidden="1" x14ac:dyDescent="0.25">
      <c r="A1249" s="115">
        <v>10.167999999999999</v>
      </c>
      <c r="B1249" s="115">
        <v>10.65</v>
      </c>
      <c r="C1249" s="1">
        <v>650</v>
      </c>
      <c r="D1249" s="1" t="s">
        <v>2625</v>
      </c>
      <c r="E1249" s="1">
        <v>10</v>
      </c>
    </row>
    <row r="1250" spans="1:5" hidden="1" x14ac:dyDescent="0.25">
      <c r="A1250" s="115">
        <v>10.169</v>
      </c>
      <c r="B1250" s="115">
        <v>10.66</v>
      </c>
      <c r="C1250" s="1">
        <v>660</v>
      </c>
      <c r="D1250" s="1" t="s">
        <v>2626</v>
      </c>
      <c r="E1250" s="1">
        <v>10</v>
      </c>
    </row>
    <row r="1251" spans="1:5" hidden="1" x14ac:dyDescent="0.25">
      <c r="A1251" s="115">
        <v>10.17</v>
      </c>
      <c r="B1251" s="115">
        <v>10.67</v>
      </c>
      <c r="C1251" s="1">
        <v>670</v>
      </c>
      <c r="D1251" s="1" t="s">
        <v>2627</v>
      </c>
      <c r="E1251" s="1">
        <v>10</v>
      </c>
    </row>
    <row r="1252" spans="1:5" hidden="1" x14ac:dyDescent="0.25">
      <c r="A1252" s="115">
        <v>10.170999999999999</v>
      </c>
      <c r="B1252" s="115">
        <v>10.68</v>
      </c>
      <c r="C1252" s="1">
        <v>680</v>
      </c>
      <c r="D1252" s="1" t="s">
        <v>2628</v>
      </c>
      <c r="E1252" s="1">
        <v>10</v>
      </c>
    </row>
    <row r="1253" spans="1:5" hidden="1" x14ac:dyDescent="0.25">
      <c r="A1253" s="115">
        <v>10.172000000000001</v>
      </c>
      <c r="B1253" s="115">
        <v>10.69</v>
      </c>
      <c r="C1253" s="1">
        <v>690</v>
      </c>
      <c r="D1253" s="1" t="s">
        <v>2629</v>
      </c>
      <c r="E1253" s="1">
        <v>10</v>
      </c>
    </row>
    <row r="1254" spans="1:5" hidden="1" x14ac:dyDescent="0.25">
      <c r="A1254" s="115">
        <v>10.173</v>
      </c>
      <c r="B1254" s="115">
        <v>10.7</v>
      </c>
      <c r="C1254" s="1">
        <v>700</v>
      </c>
      <c r="D1254" s="1" t="s">
        <v>2630</v>
      </c>
      <c r="E1254" s="1">
        <v>10</v>
      </c>
    </row>
    <row r="1255" spans="1:5" hidden="1" x14ac:dyDescent="0.25">
      <c r="A1255" s="115">
        <v>10.173999999999999</v>
      </c>
      <c r="B1255" s="115">
        <v>10.71</v>
      </c>
      <c r="C1255" s="1">
        <v>710</v>
      </c>
      <c r="D1255" s="1" t="s">
        <v>2631</v>
      </c>
      <c r="E1255" s="1">
        <v>10</v>
      </c>
    </row>
    <row r="1256" spans="1:5" hidden="1" x14ac:dyDescent="0.25">
      <c r="A1256" s="115">
        <v>10.175000000000001</v>
      </c>
      <c r="B1256" s="115">
        <v>10.72</v>
      </c>
      <c r="C1256" s="1">
        <v>720</v>
      </c>
      <c r="D1256" s="1" t="s">
        <v>2632</v>
      </c>
      <c r="E1256" s="1">
        <v>10</v>
      </c>
    </row>
    <row r="1257" spans="1:5" hidden="1" x14ac:dyDescent="0.25">
      <c r="A1257" s="115">
        <v>10.176</v>
      </c>
      <c r="B1257" s="115">
        <v>10.73</v>
      </c>
      <c r="C1257" s="1">
        <v>730</v>
      </c>
      <c r="D1257" s="1" t="s">
        <v>2633</v>
      </c>
      <c r="E1257" s="1">
        <v>10</v>
      </c>
    </row>
    <row r="1258" spans="1:5" hidden="1" x14ac:dyDescent="0.25">
      <c r="A1258" s="115">
        <v>10.177</v>
      </c>
      <c r="B1258" s="115">
        <v>10.74</v>
      </c>
      <c r="C1258" s="1">
        <v>740</v>
      </c>
      <c r="D1258" s="1" t="s">
        <v>2634</v>
      </c>
      <c r="E1258" s="1">
        <v>10</v>
      </c>
    </row>
    <row r="1259" spans="1:5" hidden="1" x14ac:dyDescent="0.25">
      <c r="A1259" s="115">
        <v>10.178000000000001</v>
      </c>
      <c r="B1259" s="115">
        <v>10.75</v>
      </c>
      <c r="C1259" s="1">
        <v>750</v>
      </c>
      <c r="D1259" s="1" t="s">
        <v>2635</v>
      </c>
      <c r="E1259" s="1">
        <v>10</v>
      </c>
    </row>
    <row r="1260" spans="1:5" hidden="1" x14ac:dyDescent="0.25">
      <c r="A1260" s="115">
        <v>10.179</v>
      </c>
      <c r="B1260" s="115">
        <v>10.755000000000001</v>
      </c>
      <c r="C1260" s="1">
        <v>755</v>
      </c>
      <c r="D1260" s="1" t="s">
        <v>1466</v>
      </c>
      <c r="E1260" s="1">
        <v>10</v>
      </c>
    </row>
    <row r="1261" spans="1:5" hidden="1" x14ac:dyDescent="0.25">
      <c r="A1261" s="115">
        <v>10.18</v>
      </c>
      <c r="B1261" s="115">
        <v>10.76</v>
      </c>
      <c r="C1261" s="1">
        <v>760</v>
      </c>
      <c r="D1261" s="1" t="s">
        <v>2636</v>
      </c>
      <c r="E1261" s="1">
        <v>10</v>
      </c>
    </row>
    <row r="1262" spans="1:5" hidden="1" x14ac:dyDescent="0.25">
      <c r="A1262" s="115">
        <v>10.180999999999999</v>
      </c>
      <c r="B1262" s="115">
        <v>10.77</v>
      </c>
      <c r="C1262" s="1">
        <v>770</v>
      </c>
      <c r="D1262" s="1" t="s">
        <v>2637</v>
      </c>
      <c r="E1262" s="1">
        <v>10</v>
      </c>
    </row>
    <row r="1263" spans="1:5" hidden="1" x14ac:dyDescent="0.25">
      <c r="A1263" s="115">
        <v>10.182</v>
      </c>
      <c r="B1263" s="115">
        <v>10.78</v>
      </c>
      <c r="C1263" s="1">
        <v>780</v>
      </c>
      <c r="D1263" s="1" t="s">
        <v>2638</v>
      </c>
      <c r="E1263" s="1">
        <v>10</v>
      </c>
    </row>
    <row r="1264" spans="1:5" hidden="1" x14ac:dyDescent="0.25">
      <c r="A1264" s="115">
        <v>10.183</v>
      </c>
      <c r="B1264" s="115">
        <v>10.79</v>
      </c>
      <c r="C1264" s="1">
        <v>790</v>
      </c>
      <c r="D1264" s="1" t="s">
        <v>2639</v>
      </c>
      <c r="E1264" s="1">
        <v>10</v>
      </c>
    </row>
    <row r="1265" spans="1:5" hidden="1" x14ac:dyDescent="0.25">
      <c r="A1265" s="115">
        <v>10.183999999999999</v>
      </c>
      <c r="B1265" s="115">
        <v>10.8</v>
      </c>
      <c r="C1265" s="1">
        <v>800</v>
      </c>
      <c r="D1265" s="1" t="s">
        <v>2640</v>
      </c>
      <c r="E1265" s="1">
        <v>10</v>
      </c>
    </row>
    <row r="1266" spans="1:5" hidden="1" x14ac:dyDescent="0.25">
      <c r="A1266" s="115">
        <v>10.185</v>
      </c>
      <c r="B1266" s="115">
        <v>10.805</v>
      </c>
      <c r="C1266" s="1">
        <v>805</v>
      </c>
      <c r="D1266" s="1" t="s">
        <v>2641</v>
      </c>
      <c r="E1266" s="1">
        <v>10</v>
      </c>
    </row>
    <row r="1267" spans="1:5" hidden="1" x14ac:dyDescent="0.25">
      <c r="A1267" s="115">
        <v>10.186</v>
      </c>
      <c r="B1267" s="115">
        <v>10.81</v>
      </c>
      <c r="C1267" s="1">
        <v>810</v>
      </c>
      <c r="D1267" s="1" t="s">
        <v>2642</v>
      </c>
      <c r="E1267" s="1">
        <v>10</v>
      </c>
    </row>
    <row r="1268" spans="1:5" hidden="1" x14ac:dyDescent="0.25">
      <c r="A1268" s="115">
        <v>10.186999999999999</v>
      </c>
      <c r="B1268" s="115">
        <v>10.82</v>
      </c>
      <c r="C1268" s="1">
        <v>820</v>
      </c>
      <c r="D1268" s="1" t="s">
        <v>2643</v>
      </c>
      <c r="E1268" s="1">
        <v>10</v>
      </c>
    </row>
    <row r="1269" spans="1:5" hidden="1" x14ac:dyDescent="0.25">
      <c r="A1269" s="115">
        <v>10.188000000000001</v>
      </c>
      <c r="B1269" s="115">
        <v>10.83</v>
      </c>
      <c r="C1269" s="1">
        <v>830</v>
      </c>
      <c r="D1269" s="1" t="s">
        <v>2644</v>
      </c>
      <c r="E1269" s="1">
        <v>10</v>
      </c>
    </row>
    <row r="1270" spans="1:5" hidden="1" x14ac:dyDescent="0.25">
      <c r="A1270" s="115">
        <v>10.189</v>
      </c>
      <c r="B1270" s="115">
        <v>10.84</v>
      </c>
      <c r="C1270" s="1">
        <v>840</v>
      </c>
      <c r="D1270" s="1" t="s">
        <v>2645</v>
      </c>
      <c r="E1270" s="1">
        <v>10</v>
      </c>
    </row>
    <row r="1271" spans="1:5" hidden="1" x14ac:dyDescent="0.25">
      <c r="A1271" s="115">
        <v>10.19</v>
      </c>
      <c r="B1271" s="115">
        <v>10.85</v>
      </c>
      <c r="C1271" s="1">
        <v>850</v>
      </c>
      <c r="D1271" s="1" t="s">
        <v>2646</v>
      </c>
      <c r="E1271" s="1">
        <v>10</v>
      </c>
    </row>
    <row r="1272" spans="1:5" hidden="1" x14ac:dyDescent="0.25">
      <c r="A1272" s="115">
        <v>10.191000000000001</v>
      </c>
      <c r="B1272" s="115">
        <v>10.86</v>
      </c>
      <c r="C1272" s="1">
        <v>860</v>
      </c>
      <c r="D1272" s="1" t="s">
        <v>2647</v>
      </c>
      <c r="E1272" s="1">
        <v>10</v>
      </c>
    </row>
    <row r="1273" spans="1:5" hidden="1" x14ac:dyDescent="0.25">
      <c r="A1273" s="115">
        <v>10.192</v>
      </c>
      <c r="B1273" s="115">
        <v>10.87</v>
      </c>
      <c r="C1273" s="1">
        <v>870</v>
      </c>
      <c r="D1273" s="1" t="s">
        <v>2648</v>
      </c>
      <c r="E1273" s="1">
        <v>10</v>
      </c>
    </row>
    <row r="1274" spans="1:5" hidden="1" x14ac:dyDescent="0.25">
      <c r="A1274" s="115">
        <v>10.193</v>
      </c>
      <c r="B1274" s="115">
        <v>10.88</v>
      </c>
      <c r="C1274" s="1">
        <v>880</v>
      </c>
      <c r="D1274" s="1" t="s">
        <v>2649</v>
      </c>
      <c r="E1274" s="1">
        <v>10</v>
      </c>
    </row>
    <row r="1275" spans="1:5" hidden="1" x14ac:dyDescent="0.25">
      <c r="A1275" s="115">
        <v>10.194000000000001</v>
      </c>
      <c r="B1275" s="115">
        <v>10.89</v>
      </c>
      <c r="C1275" s="1">
        <v>890</v>
      </c>
      <c r="D1275" s="1" t="s">
        <v>2650</v>
      </c>
      <c r="E1275" s="1">
        <v>10</v>
      </c>
    </row>
    <row r="1276" spans="1:5" hidden="1" x14ac:dyDescent="0.25">
      <c r="A1276" s="115">
        <v>10.195</v>
      </c>
      <c r="B1276" s="115">
        <v>10.895</v>
      </c>
      <c r="C1276" s="1">
        <v>895</v>
      </c>
      <c r="D1276" s="1" t="s">
        <v>2651</v>
      </c>
      <c r="E1276" s="1">
        <v>10</v>
      </c>
    </row>
    <row r="1277" spans="1:5" hidden="1" x14ac:dyDescent="0.25">
      <c r="A1277" s="115">
        <v>10.196</v>
      </c>
      <c r="B1277" s="115">
        <v>10.9</v>
      </c>
      <c r="C1277" s="1">
        <v>900</v>
      </c>
      <c r="D1277" s="1" t="s">
        <v>2652</v>
      </c>
      <c r="E1277" s="1">
        <v>10</v>
      </c>
    </row>
    <row r="1278" spans="1:5" hidden="1" x14ac:dyDescent="0.25">
      <c r="A1278" s="115">
        <v>10.196999999999999</v>
      </c>
      <c r="B1278" s="115">
        <v>10.91</v>
      </c>
      <c r="C1278" s="1">
        <v>910</v>
      </c>
      <c r="D1278" s="1" t="s">
        <v>2653</v>
      </c>
      <c r="E1278" s="1">
        <v>10</v>
      </c>
    </row>
    <row r="1279" spans="1:5" hidden="1" x14ac:dyDescent="0.25">
      <c r="A1279" s="115">
        <v>10.198</v>
      </c>
      <c r="B1279" s="115">
        <v>10.92</v>
      </c>
      <c r="C1279" s="1">
        <v>920</v>
      </c>
      <c r="D1279" s="1" t="s">
        <v>2654</v>
      </c>
      <c r="E1279" s="1">
        <v>10</v>
      </c>
    </row>
    <row r="1280" spans="1:5" hidden="1" x14ac:dyDescent="0.25">
      <c r="A1280" s="115">
        <v>10.199</v>
      </c>
      <c r="B1280" s="115">
        <v>10.925000000000001</v>
      </c>
      <c r="C1280" s="1">
        <v>925</v>
      </c>
      <c r="D1280" s="1" t="s">
        <v>2655</v>
      </c>
      <c r="E1280" s="1">
        <v>10</v>
      </c>
    </row>
    <row r="1281" spans="1:5" hidden="1" x14ac:dyDescent="0.25">
      <c r="A1281" s="115">
        <v>10.199999999999999</v>
      </c>
      <c r="B1281" s="115">
        <v>10.93</v>
      </c>
      <c r="C1281" s="1">
        <v>930</v>
      </c>
      <c r="D1281" s="1" t="s">
        <v>2656</v>
      </c>
      <c r="E1281" s="1">
        <v>10</v>
      </c>
    </row>
    <row r="1282" spans="1:5" hidden="1" x14ac:dyDescent="0.25">
      <c r="A1282" s="115">
        <v>10.201000000000001</v>
      </c>
      <c r="B1282" s="115">
        <v>10.935</v>
      </c>
      <c r="C1282" s="1">
        <v>935</v>
      </c>
      <c r="D1282" s="1" t="s">
        <v>2657</v>
      </c>
      <c r="E1282" s="1">
        <v>10</v>
      </c>
    </row>
    <row r="1283" spans="1:5" hidden="1" x14ac:dyDescent="0.25">
      <c r="A1283" s="115">
        <v>10.202</v>
      </c>
      <c r="B1283" s="115">
        <v>10.94</v>
      </c>
      <c r="C1283" s="1">
        <v>940</v>
      </c>
      <c r="D1283" s="1" t="s">
        <v>2658</v>
      </c>
      <c r="E1283" s="1">
        <v>10</v>
      </c>
    </row>
    <row r="1284" spans="1:5" hidden="1" x14ac:dyDescent="0.25">
      <c r="A1284" s="115">
        <v>10.202999999999999</v>
      </c>
      <c r="B1284" s="115">
        <v>10.95</v>
      </c>
      <c r="C1284" s="1">
        <v>950</v>
      </c>
      <c r="D1284" s="1" t="s">
        <v>2659</v>
      </c>
      <c r="E1284" s="1">
        <v>10</v>
      </c>
    </row>
    <row r="1285" spans="1:5" hidden="1" x14ac:dyDescent="0.25">
      <c r="A1285" s="115">
        <v>10.204000000000001</v>
      </c>
      <c r="B1285" s="115">
        <v>10.955</v>
      </c>
      <c r="C1285" s="1">
        <v>955</v>
      </c>
      <c r="D1285" s="1" t="s">
        <v>2660</v>
      </c>
      <c r="E1285" s="1">
        <v>10</v>
      </c>
    </row>
    <row r="1286" spans="1:5" hidden="1" x14ac:dyDescent="0.25">
      <c r="A1286" s="115">
        <v>10.205</v>
      </c>
      <c r="B1286" s="115">
        <v>10.96</v>
      </c>
      <c r="C1286" s="1">
        <v>960</v>
      </c>
      <c r="D1286" s="1" t="s">
        <v>2661</v>
      </c>
      <c r="E1286" s="1">
        <v>10</v>
      </c>
    </row>
    <row r="1287" spans="1:5" hidden="1" x14ac:dyDescent="0.25">
      <c r="A1287" s="115">
        <v>10.206</v>
      </c>
      <c r="B1287" s="115">
        <v>10.97</v>
      </c>
      <c r="C1287" s="1">
        <v>970</v>
      </c>
      <c r="D1287" s="1" t="s">
        <v>2662</v>
      </c>
      <c r="E1287" s="1">
        <v>10</v>
      </c>
    </row>
    <row r="1288" spans="1:5" hidden="1" x14ac:dyDescent="0.25">
      <c r="A1288" s="115">
        <v>10.207000000000001</v>
      </c>
      <c r="B1288" s="115">
        <v>10.98</v>
      </c>
      <c r="C1288" s="1">
        <v>980</v>
      </c>
      <c r="D1288" s="1" t="s">
        <v>2663</v>
      </c>
      <c r="E1288" s="1">
        <v>10</v>
      </c>
    </row>
    <row r="1289" spans="1:5" hidden="1" x14ac:dyDescent="0.25">
      <c r="A1289" s="115">
        <v>10.208</v>
      </c>
      <c r="B1289" s="115">
        <v>10.99</v>
      </c>
      <c r="C1289" s="1">
        <v>990</v>
      </c>
      <c r="D1289" s="1" t="s">
        <v>2664</v>
      </c>
      <c r="E1289" s="1">
        <v>10</v>
      </c>
    </row>
    <row r="1290" spans="1:5" hidden="1" x14ac:dyDescent="0.25">
      <c r="A1290" s="115">
        <v>10.209</v>
      </c>
      <c r="B1290" s="115">
        <v>10.1</v>
      </c>
      <c r="C1290" s="1">
        <v>1000</v>
      </c>
      <c r="D1290" s="1" t="s">
        <v>2665</v>
      </c>
      <c r="E1290" s="1">
        <v>10</v>
      </c>
    </row>
    <row r="1291" spans="1:5" hidden="1" x14ac:dyDescent="0.25">
      <c r="A1291" s="115">
        <v>10.210000000000001</v>
      </c>
      <c r="B1291" s="115">
        <v>10.11</v>
      </c>
      <c r="C1291" s="1">
        <v>1100</v>
      </c>
      <c r="D1291" s="1" t="s">
        <v>2666</v>
      </c>
      <c r="E1291" s="1">
        <v>10</v>
      </c>
    </row>
    <row r="1292" spans="1:5" hidden="1" x14ac:dyDescent="0.25">
      <c r="A1292" s="115">
        <v>10.211</v>
      </c>
      <c r="B1292" s="115">
        <v>10.111000000000001</v>
      </c>
      <c r="C1292" s="1">
        <v>1110</v>
      </c>
      <c r="D1292" s="1" t="s">
        <v>2667</v>
      </c>
      <c r="E1292" s="1">
        <v>10</v>
      </c>
    </row>
    <row r="1293" spans="1:5" hidden="1" x14ac:dyDescent="0.25">
      <c r="A1293" s="115">
        <v>10.212</v>
      </c>
      <c r="B1293" s="115">
        <v>10.112</v>
      </c>
      <c r="C1293" s="1">
        <v>1120</v>
      </c>
      <c r="D1293" s="1" t="s">
        <v>2668</v>
      </c>
      <c r="E1293" s="1">
        <v>10</v>
      </c>
    </row>
    <row r="1294" spans="1:5" hidden="1" x14ac:dyDescent="0.25">
      <c r="A1294" s="115">
        <v>10.212999999999999</v>
      </c>
      <c r="B1294" s="115">
        <v>10.113</v>
      </c>
      <c r="C1294" s="1">
        <v>1130</v>
      </c>
      <c r="D1294" s="1" t="s">
        <v>2669</v>
      </c>
      <c r="E1294" s="1">
        <v>10</v>
      </c>
    </row>
    <row r="1295" spans="1:5" hidden="1" x14ac:dyDescent="0.25">
      <c r="A1295" s="115">
        <v>10.214</v>
      </c>
      <c r="B1295" s="115">
        <v>10.114000000000001</v>
      </c>
      <c r="C1295" s="1">
        <v>1140</v>
      </c>
      <c r="D1295" s="1" t="s">
        <v>2670</v>
      </c>
      <c r="E1295" s="1">
        <v>10</v>
      </c>
    </row>
    <row r="1296" spans="1:5" hidden="1" x14ac:dyDescent="0.25">
      <c r="A1296" s="115">
        <v>10.215</v>
      </c>
      <c r="B1296" s="115">
        <v>10.115</v>
      </c>
      <c r="C1296" s="1">
        <v>1150</v>
      </c>
      <c r="D1296" s="1" t="s">
        <v>2671</v>
      </c>
      <c r="E1296" s="1">
        <v>10</v>
      </c>
    </row>
    <row r="1297" spans="1:5" hidden="1" x14ac:dyDescent="0.25">
      <c r="A1297" s="115">
        <v>10.215999999999999</v>
      </c>
      <c r="B1297" s="115">
        <v>10.116</v>
      </c>
      <c r="C1297" s="1">
        <v>1160</v>
      </c>
      <c r="D1297" s="1" t="s">
        <v>2672</v>
      </c>
      <c r="E1297" s="1">
        <v>10</v>
      </c>
    </row>
    <row r="1298" spans="1:5" hidden="1" x14ac:dyDescent="0.25">
      <c r="A1298" s="115">
        <v>10.217000000000001</v>
      </c>
      <c r="B1298" s="115">
        <v>10.117000000000001</v>
      </c>
      <c r="C1298" s="1">
        <v>1170</v>
      </c>
      <c r="D1298" s="1" t="s">
        <v>2673</v>
      </c>
      <c r="E1298" s="1">
        <v>10</v>
      </c>
    </row>
    <row r="1299" spans="1:5" hidden="1" x14ac:dyDescent="0.25">
      <c r="A1299" s="115">
        <v>10.218</v>
      </c>
      <c r="B1299" s="115">
        <v>10.118</v>
      </c>
      <c r="C1299" s="1">
        <v>1180</v>
      </c>
      <c r="D1299" s="1" t="s">
        <v>2674</v>
      </c>
      <c r="E1299" s="1">
        <v>10</v>
      </c>
    </row>
    <row r="1300" spans="1:5" hidden="1" x14ac:dyDescent="0.25">
      <c r="A1300" s="115">
        <v>10.218999999999999</v>
      </c>
      <c r="B1300" s="115">
        <v>10.119</v>
      </c>
      <c r="C1300" s="1">
        <v>1190</v>
      </c>
      <c r="D1300" s="1" t="s">
        <v>2675</v>
      </c>
      <c r="E1300" s="1">
        <v>10</v>
      </c>
    </row>
    <row r="1301" spans="1:5" hidden="1" x14ac:dyDescent="0.25">
      <c r="A1301" s="115">
        <v>10.220000000000001</v>
      </c>
      <c r="B1301" s="115">
        <v>10.119999999999999</v>
      </c>
      <c r="C1301" s="1">
        <v>1200</v>
      </c>
      <c r="D1301" s="1" t="s">
        <v>2676</v>
      </c>
      <c r="E1301" s="1">
        <v>10</v>
      </c>
    </row>
    <row r="1302" spans="1:5" hidden="1" x14ac:dyDescent="0.25">
      <c r="A1302" s="115">
        <v>10.221</v>
      </c>
      <c r="B1302" s="115">
        <v>10.121</v>
      </c>
      <c r="C1302" s="1">
        <v>1210</v>
      </c>
      <c r="D1302" s="1" t="s">
        <v>2677</v>
      </c>
      <c r="E1302" s="1">
        <v>10</v>
      </c>
    </row>
    <row r="1303" spans="1:5" hidden="1" x14ac:dyDescent="0.25">
      <c r="A1303" s="115">
        <v>10.222</v>
      </c>
      <c r="B1303" s="115">
        <v>10.122</v>
      </c>
      <c r="C1303" s="1">
        <v>1220</v>
      </c>
      <c r="D1303" s="1" t="s">
        <v>2678</v>
      </c>
      <c r="E1303" s="1">
        <v>10</v>
      </c>
    </row>
    <row r="1304" spans="1:5" hidden="1" x14ac:dyDescent="0.25">
      <c r="A1304" s="115">
        <v>10.223000000000001</v>
      </c>
      <c r="B1304" s="115">
        <v>10.122999999999999</v>
      </c>
      <c r="C1304" s="1">
        <v>1230</v>
      </c>
      <c r="D1304" s="1" t="s">
        <v>2679</v>
      </c>
      <c r="E1304" s="1">
        <v>10</v>
      </c>
    </row>
    <row r="1305" spans="1:5" hidden="1" x14ac:dyDescent="0.25">
      <c r="A1305" s="115">
        <v>10.224</v>
      </c>
      <c r="B1305" s="115">
        <v>10.124000000000001</v>
      </c>
      <c r="C1305" s="1">
        <v>1240</v>
      </c>
      <c r="D1305" s="1" t="s">
        <v>2680</v>
      </c>
      <c r="E1305" s="1">
        <v>10</v>
      </c>
    </row>
    <row r="1306" spans="1:5" hidden="1" x14ac:dyDescent="0.25">
      <c r="A1306" s="115">
        <v>10.225</v>
      </c>
      <c r="B1306" s="115">
        <v>10.125</v>
      </c>
      <c r="C1306" s="1">
        <v>1250</v>
      </c>
      <c r="D1306" s="1" t="s">
        <v>2681</v>
      </c>
      <c r="E1306" s="1">
        <v>10</v>
      </c>
    </row>
    <row r="1307" spans="1:5" hidden="1" x14ac:dyDescent="0.25">
      <c r="A1307" s="115">
        <v>10.226000000000001</v>
      </c>
      <c r="B1307" s="115">
        <v>10.125999999999999</v>
      </c>
      <c r="C1307" s="1">
        <v>1260</v>
      </c>
      <c r="D1307" s="1" t="s">
        <v>2682</v>
      </c>
      <c r="E1307" s="1">
        <v>10</v>
      </c>
    </row>
    <row r="1308" spans="1:5" hidden="1" x14ac:dyDescent="0.25">
      <c r="A1308" s="115">
        <v>10.227</v>
      </c>
      <c r="B1308" s="115">
        <v>10.127000000000001</v>
      </c>
      <c r="C1308" s="1">
        <v>1270</v>
      </c>
      <c r="D1308" s="1" t="s">
        <v>2683</v>
      </c>
      <c r="E1308" s="1">
        <v>10</v>
      </c>
    </row>
    <row r="1309" spans="1:5" hidden="1" x14ac:dyDescent="0.25">
      <c r="A1309" s="115">
        <v>10.228</v>
      </c>
      <c r="B1309" s="115">
        <v>10.128</v>
      </c>
      <c r="C1309" s="1">
        <v>1280</v>
      </c>
      <c r="D1309" s="1" t="s">
        <v>2684</v>
      </c>
      <c r="E1309" s="1">
        <v>10</v>
      </c>
    </row>
    <row r="1310" spans="1:5" hidden="1" x14ac:dyDescent="0.25">
      <c r="A1310" s="115">
        <v>10.228999999999999</v>
      </c>
      <c r="B1310" s="115">
        <v>10.130000000000001</v>
      </c>
      <c r="C1310" s="1">
        <v>1300</v>
      </c>
      <c r="D1310" s="1" t="s">
        <v>2685</v>
      </c>
      <c r="E1310" s="1">
        <v>10</v>
      </c>
    </row>
    <row r="1311" spans="1:5" hidden="1" x14ac:dyDescent="0.25">
      <c r="A1311" s="115">
        <v>10.23</v>
      </c>
      <c r="B1311" s="115">
        <v>10.131</v>
      </c>
      <c r="C1311" s="1">
        <v>1310</v>
      </c>
      <c r="D1311" s="1" t="s">
        <v>2686</v>
      </c>
      <c r="E1311" s="1">
        <v>10</v>
      </c>
    </row>
    <row r="1312" spans="1:5" hidden="1" x14ac:dyDescent="0.25">
      <c r="A1312" s="115">
        <v>10.231</v>
      </c>
      <c r="B1312" s="115">
        <v>10.132</v>
      </c>
      <c r="C1312" s="1">
        <v>1320</v>
      </c>
      <c r="D1312" s="1" t="s">
        <v>2687</v>
      </c>
      <c r="E1312" s="1">
        <v>10</v>
      </c>
    </row>
    <row r="1313" spans="1:5" hidden="1" x14ac:dyDescent="0.25">
      <c r="A1313" s="115">
        <v>11.101000000000001</v>
      </c>
      <c r="B1313" s="115">
        <v>11.1</v>
      </c>
      <c r="C1313" s="1">
        <v>10</v>
      </c>
      <c r="D1313" s="1" t="s">
        <v>2559</v>
      </c>
      <c r="E1313" s="1">
        <v>11</v>
      </c>
    </row>
    <row r="1314" spans="1:5" hidden="1" x14ac:dyDescent="0.25">
      <c r="A1314" s="115">
        <v>11.102</v>
      </c>
      <c r="B1314" s="115">
        <v>11.2</v>
      </c>
      <c r="C1314" s="1">
        <v>20</v>
      </c>
      <c r="D1314" s="1" t="s">
        <v>2560</v>
      </c>
      <c r="E1314" s="1">
        <v>11</v>
      </c>
    </row>
    <row r="1315" spans="1:5" hidden="1" x14ac:dyDescent="0.25">
      <c r="A1315" s="115">
        <v>11.103</v>
      </c>
      <c r="B1315" s="115">
        <v>11.3</v>
      </c>
      <c r="C1315" s="1">
        <v>30</v>
      </c>
      <c r="D1315" s="1" t="s">
        <v>2561</v>
      </c>
      <c r="E1315" s="1">
        <v>11</v>
      </c>
    </row>
    <row r="1316" spans="1:5" hidden="1" x14ac:dyDescent="0.25">
      <c r="A1316" s="115">
        <v>11.103999999999999</v>
      </c>
      <c r="B1316" s="115">
        <v>11.4</v>
      </c>
      <c r="C1316" s="1">
        <v>40</v>
      </c>
      <c r="D1316" s="1" t="s">
        <v>2562</v>
      </c>
      <c r="E1316" s="1">
        <v>11</v>
      </c>
    </row>
    <row r="1317" spans="1:5" hidden="1" x14ac:dyDescent="0.25">
      <c r="A1317" s="115">
        <v>11.105</v>
      </c>
      <c r="B1317" s="115">
        <v>11.5</v>
      </c>
      <c r="C1317" s="1">
        <v>50</v>
      </c>
      <c r="D1317" s="1" t="s">
        <v>2563</v>
      </c>
      <c r="E1317" s="1">
        <v>11</v>
      </c>
    </row>
    <row r="1318" spans="1:5" hidden="1" x14ac:dyDescent="0.25">
      <c r="A1318" s="115">
        <v>11.106</v>
      </c>
      <c r="B1318" s="115">
        <v>11.6</v>
      </c>
      <c r="C1318" s="1">
        <v>60</v>
      </c>
      <c r="D1318" s="1" t="s">
        <v>2564</v>
      </c>
      <c r="E1318" s="1">
        <v>11</v>
      </c>
    </row>
    <row r="1319" spans="1:5" hidden="1" x14ac:dyDescent="0.25">
      <c r="A1319" s="115">
        <v>11.106999999999999</v>
      </c>
      <c r="B1319" s="115">
        <v>11.7</v>
      </c>
      <c r="C1319" s="1">
        <v>70</v>
      </c>
      <c r="D1319" s="1" t="s">
        <v>2565</v>
      </c>
      <c r="E1319" s="1">
        <v>11</v>
      </c>
    </row>
    <row r="1320" spans="1:5" hidden="1" x14ac:dyDescent="0.25">
      <c r="A1320" s="115">
        <v>11.108000000000001</v>
      </c>
      <c r="B1320" s="115">
        <v>11.8</v>
      </c>
      <c r="C1320" s="1">
        <v>80</v>
      </c>
      <c r="D1320" s="1" t="s">
        <v>2566</v>
      </c>
      <c r="E1320" s="1">
        <v>11</v>
      </c>
    </row>
    <row r="1321" spans="1:5" hidden="1" x14ac:dyDescent="0.25">
      <c r="A1321" s="115">
        <v>11.109</v>
      </c>
      <c r="B1321" s="115">
        <v>11.9</v>
      </c>
      <c r="C1321" s="1">
        <v>90</v>
      </c>
      <c r="D1321" s="1" t="s">
        <v>2567</v>
      </c>
      <c r="E1321" s="1">
        <v>11</v>
      </c>
    </row>
    <row r="1322" spans="1:5" hidden="1" x14ac:dyDescent="0.25">
      <c r="A1322" s="115">
        <v>11.11</v>
      </c>
      <c r="B1322" s="115">
        <v>11.1</v>
      </c>
      <c r="C1322" s="1">
        <v>100</v>
      </c>
      <c r="D1322" s="1" t="s">
        <v>2568</v>
      </c>
      <c r="E1322" s="1">
        <v>11</v>
      </c>
    </row>
    <row r="1323" spans="1:5" hidden="1" x14ac:dyDescent="0.25">
      <c r="A1323" s="115">
        <v>11.111000000000001</v>
      </c>
      <c r="B1323" s="115">
        <v>11.11</v>
      </c>
      <c r="C1323" s="1">
        <v>110</v>
      </c>
      <c r="D1323" s="1" t="s">
        <v>2569</v>
      </c>
      <c r="E1323" s="1">
        <v>11</v>
      </c>
    </row>
    <row r="1324" spans="1:5" hidden="1" x14ac:dyDescent="0.25">
      <c r="A1324" s="115">
        <v>11.112</v>
      </c>
      <c r="B1324" s="115">
        <v>11.12</v>
      </c>
      <c r="C1324" s="1">
        <v>120</v>
      </c>
      <c r="D1324" s="1" t="s">
        <v>2570</v>
      </c>
      <c r="E1324" s="1">
        <v>11</v>
      </c>
    </row>
    <row r="1325" spans="1:5" hidden="1" x14ac:dyDescent="0.25">
      <c r="A1325" s="115">
        <v>11.113</v>
      </c>
      <c r="B1325" s="115">
        <v>11.13</v>
      </c>
      <c r="C1325" s="1">
        <v>130</v>
      </c>
      <c r="D1325" s="1" t="s">
        <v>2571</v>
      </c>
      <c r="E1325" s="1">
        <v>11</v>
      </c>
    </row>
    <row r="1326" spans="1:5" hidden="1" x14ac:dyDescent="0.25">
      <c r="A1326" s="115">
        <v>11.114000000000001</v>
      </c>
      <c r="B1326" s="115">
        <v>11.14</v>
      </c>
      <c r="C1326" s="1">
        <v>140</v>
      </c>
      <c r="D1326" s="1" t="s">
        <v>2572</v>
      </c>
      <c r="E1326" s="1">
        <v>11</v>
      </c>
    </row>
    <row r="1327" spans="1:5" hidden="1" x14ac:dyDescent="0.25">
      <c r="A1327" s="115">
        <v>11.115</v>
      </c>
      <c r="B1327" s="115">
        <v>11.15</v>
      </c>
      <c r="C1327" s="1">
        <v>150</v>
      </c>
      <c r="D1327" s="1" t="s">
        <v>2573</v>
      </c>
      <c r="E1327" s="1">
        <v>11</v>
      </c>
    </row>
    <row r="1328" spans="1:5" hidden="1" x14ac:dyDescent="0.25">
      <c r="A1328" s="115">
        <v>11.116</v>
      </c>
      <c r="B1328" s="115">
        <v>11.16</v>
      </c>
      <c r="C1328" s="1">
        <v>160</v>
      </c>
      <c r="D1328" s="1" t="s">
        <v>2574</v>
      </c>
      <c r="E1328" s="1">
        <v>11</v>
      </c>
    </row>
    <row r="1329" spans="1:5" hidden="1" x14ac:dyDescent="0.25">
      <c r="A1329" s="115">
        <v>11.117000000000001</v>
      </c>
      <c r="B1329" s="115">
        <v>11.17</v>
      </c>
      <c r="C1329" s="1">
        <v>170</v>
      </c>
      <c r="D1329" s="1" t="s">
        <v>2575</v>
      </c>
      <c r="E1329" s="1">
        <v>11</v>
      </c>
    </row>
    <row r="1330" spans="1:5" hidden="1" x14ac:dyDescent="0.25">
      <c r="A1330" s="115">
        <v>11.118</v>
      </c>
      <c r="B1330" s="115">
        <v>11.18</v>
      </c>
      <c r="C1330" s="1">
        <v>180</v>
      </c>
      <c r="D1330" s="1" t="s">
        <v>2576</v>
      </c>
      <c r="E1330" s="1">
        <v>11</v>
      </c>
    </row>
    <row r="1331" spans="1:5" hidden="1" x14ac:dyDescent="0.25">
      <c r="A1331" s="115">
        <v>11.119</v>
      </c>
      <c r="B1331" s="115">
        <v>11.19</v>
      </c>
      <c r="C1331" s="1">
        <v>190</v>
      </c>
      <c r="D1331" s="1" t="s">
        <v>2577</v>
      </c>
      <c r="E1331" s="1">
        <v>11</v>
      </c>
    </row>
    <row r="1332" spans="1:5" hidden="1" x14ac:dyDescent="0.25">
      <c r="A1332" s="115">
        <v>11.12</v>
      </c>
      <c r="B1332" s="115">
        <v>11.2</v>
      </c>
      <c r="C1332" s="1">
        <v>200</v>
      </c>
      <c r="D1332" s="1" t="s">
        <v>2578</v>
      </c>
      <c r="E1332" s="1">
        <v>11</v>
      </c>
    </row>
    <row r="1333" spans="1:5" hidden="1" x14ac:dyDescent="0.25">
      <c r="A1333" s="115">
        <v>11.121</v>
      </c>
      <c r="B1333" s="115">
        <v>11.21</v>
      </c>
      <c r="C1333" s="1">
        <v>210</v>
      </c>
      <c r="D1333" s="1" t="s">
        <v>2579</v>
      </c>
      <c r="E1333" s="1">
        <v>11</v>
      </c>
    </row>
    <row r="1334" spans="1:5" hidden="1" x14ac:dyDescent="0.25">
      <c r="A1334" s="115">
        <v>11.122</v>
      </c>
      <c r="B1334" s="115">
        <v>11.22</v>
      </c>
      <c r="C1334" s="1">
        <v>220</v>
      </c>
      <c r="D1334" s="1" t="s">
        <v>2580</v>
      </c>
      <c r="E1334" s="1">
        <v>11</v>
      </c>
    </row>
    <row r="1335" spans="1:5" hidden="1" x14ac:dyDescent="0.25">
      <c r="A1335" s="115">
        <v>11.122999999999999</v>
      </c>
      <c r="B1335" s="115">
        <v>11.23</v>
      </c>
      <c r="C1335" s="1">
        <v>230</v>
      </c>
      <c r="D1335" s="1" t="s">
        <v>2581</v>
      </c>
      <c r="E1335" s="1">
        <v>11</v>
      </c>
    </row>
    <row r="1336" spans="1:5" hidden="1" x14ac:dyDescent="0.25">
      <c r="A1336" s="115">
        <v>11.124000000000001</v>
      </c>
      <c r="B1336" s="115">
        <v>11.24</v>
      </c>
      <c r="C1336" s="1">
        <v>240</v>
      </c>
      <c r="D1336" s="1" t="s">
        <v>2582</v>
      </c>
      <c r="E1336" s="1">
        <v>11</v>
      </c>
    </row>
    <row r="1337" spans="1:5" hidden="1" x14ac:dyDescent="0.25">
      <c r="A1337" s="115">
        <v>11.125</v>
      </c>
      <c r="B1337" s="115">
        <v>11.25</v>
      </c>
      <c r="C1337" s="1">
        <v>250</v>
      </c>
      <c r="D1337" s="1" t="s">
        <v>2583</v>
      </c>
      <c r="E1337" s="1">
        <v>11</v>
      </c>
    </row>
    <row r="1338" spans="1:5" hidden="1" x14ac:dyDescent="0.25">
      <c r="A1338" s="115">
        <v>11.125999999999999</v>
      </c>
      <c r="B1338" s="115">
        <v>11.26</v>
      </c>
      <c r="C1338" s="1">
        <v>260</v>
      </c>
      <c r="D1338" s="1" t="s">
        <v>2584</v>
      </c>
      <c r="E1338" s="1">
        <v>11</v>
      </c>
    </row>
    <row r="1339" spans="1:5" hidden="1" x14ac:dyDescent="0.25">
      <c r="A1339" s="115">
        <v>11.127000000000001</v>
      </c>
      <c r="B1339" s="115">
        <v>11.27</v>
      </c>
      <c r="C1339" s="1">
        <v>270</v>
      </c>
      <c r="D1339" s="1" t="s">
        <v>2585</v>
      </c>
      <c r="E1339" s="1">
        <v>11</v>
      </c>
    </row>
    <row r="1340" spans="1:5" hidden="1" x14ac:dyDescent="0.25">
      <c r="A1340" s="115">
        <v>11.128</v>
      </c>
      <c r="B1340" s="115">
        <v>11.28</v>
      </c>
      <c r="C1340" s="1">
        <v>280</v>
      </c>
      <c r="D1340" s="1" t="s">
        <v>2586</v>
      </c>
      <c r="E1340" s="1">
        <v>11</v>
      </c>
    </row>
    <row r="1341" spans="1:5" hidden="1" x14ac:dyDescent="0.25">
      <c r="A1341" s="115">
        <v>11.129</v>
      </c>
      <c r="B1341" s="115">
        <v>11.29</v>
      </c>
      <c r="C1341" s="1">
        <v>290</v>
      </c>
      <c r="D1341" s="1" t="s">
        <v>2587</v>
      </c>
      <c r="E1341" s="1">
        <v>11</v>
      </c>
    </row>
    <row r="1342" spans="1:5" hidden="1" x14ac:dyDescent="0.25">
      <c r="A1342" s="115">
        <v>11.13</v>
      </c>
      <c r="B1342" s="115">
        <v>11.3</v>
      </c>
      <c r="C1342" s="1">
        <v>300</v>
      </c>
      <c r="D1342" s="1" t="s">
        <v>2588</v>
      </c>
      <c r="E1342" s="1">
        <v>11</v>
      </c>
    </row>
    <row r="1343" spans="1:5" hidden="1" x14ac:dyDescent="0.25">
      <c r="A1343" s="115">
        <v>11.131</v>
      </c>
      <c r="B1343" s="115">
        <v>11.31</v>
      </c>
      <c r="C1343" s="1">
        <v>310</v>
      </c>
      <c r="D1343" s="1" t="s">
        <v>2589</v>
      </c>
      <c r="E1343" s="1">
        <v>11</v>
      </c>
    </row>
    <row r="1344" spans="1:5" hidden="1" x14ac:dyDescent="0.25">
      <c r="A1344" s="115">
        <v>11.132</v>
      </c>
      <c r="B1344" s="115">
        <v>11.32</v>
      </c>
      <c r="C1344" s="1">
        <v>320</v>
      </c>
      <c r="D1344" s="1" t="s">
        <v>2590</v>
      </c>
      <c r="E1344" s="1">
        <v>11</v>
      </c>
    </row>
    <row r="1345" spans="1:5" hidden="1" x14ac:dyDescent="0.25">
      <c r="A1345" s="115">
        <v>11.132999999999999</v>
      </c>
      <c r="B1345" s="115">
        <v>11.33</v>
      </c>
      <c r="C1345" s="1">
        <v>330</v>
      </c>
      <c r="D1345" s="1" t="s">
        <v>2591</v>
      </c>
      <c r="E1345" s="1">
        <v>11</v>
      </c>
    </row>
    <row r="1346" spans="1:5" hidden="1" x14ac:dyDescent="0.25">
      <c r="A1346" s="115">
        <v>11.134</v>
      </c>
      <c r="B1346" s="115">
        <v>11.34</v>
      </c>
      <c r="C1346" s="1">
        <v>340</v>
      </c>
      <c r="D1346" s="1" t="s">
        <v>2592</v>
      </c>
      <c r="E1346" s="1">
        <v>11</v>
      </c>
    </row>
    <row r="1347" spans="1:5" hidden="1" x14ac:dyDescent="0.25">
      <c r="A1347" s="115">
        <v>11.135</v>
      </c>
      <c r="B1347" s="115">
        <v>11.35</v>
      </c>
      <c r="C1347" s="1">
        <v>350</v>
      </c>
      <c r="D1347" s="1" t="s">
        <v>2593</v>
      </c>
      <c r="E1347" s="1">
        <v>11</v>
      </c>
    </row>
    <row r="1348" spans="1:5" hidden="1" x14ac:dyDescent="0.25">
      <c r="A1348" s="115">
        <v>11.135999999999999</v>
      </c>
      <c r="B1348" s="115">
        <v>11.36</v>
      </c>
      <c r="C1348" s="1">
        <v>360</v>
      </c>
      <c r="D1348" s="1" t="s">
        <v>2594</v>
      </c>
      <c r="E1348" s="1">
        <v>11</v>
      </c>
    </row>
    <row r="1349" spans="1:5" hidden="1" x14ac:dyDescent="0.25">
      <c r="A1349" s="115">
        <v>11.137</v>
      </c>
      <c r="B1349" s="115">
        <v>11.37</v>
      </c>
      <c r="C1349" s="1">
        <v>370</v>
      </c>
      <c r="D1349" s="1" t="s">
        <v>2595</v>
      </c>
      <c r="E1349" s="1">
        <v>11</v>
      </c>
    </row>
    <row r="1350" spans="1:5" hidden="1" x14ac:dyDescent="0.25">
      <c r="A1350" s="115">
        <v>11.138</v>
      </c>
      <c r="B1350" s="115">
        <v>11.38</v>
      </c>
      <c r="C1350" s="1">
        <v>380</v>
      </c>
      <c r="D1350" s="1" t="s">
        <v>2596</v>
      </c>
      <c r="E1350" s="1">
        <v>11</v>
      </c>
    </row>
    <row r="1351" spans="1:5" hidden="1" x14ac:dyDescent="0.25">
      <c r="A1351" s="115">
        <v>11.138999999999999</v>
      </c>
      <c r="B1351" s="115">
        <v>11.39</v>
      </c>
      <c r="C1351" s="1">
        <v>390</v>
      </c>
      <c r="D1351" s="1" t="s">
        <v>2597</v>
      </c>
      <c r="E1351" s="1">
        <v>11</v>
      </c>
    </row>
    <row r="1352" spans="1:5" hidden="1" x14ac:dyDescent="0.25">
      <c r="A1352" s="115">
        <v>11.14</v>
      </c>
      <c r="B1352" s="115">
        <v>11.4</v>
      </c>
      <c r="C1352" s="1">
        <v>400</v>
      </c>
      <c r="D1352" s="1" t="s">
        <v>2598</v>
      </c>
      <c r="E1352" s="1">
        <v>11</v>
      </c>
    </row>
    <row r="1353" spans="1:5" hidden="1" x14ac:dyDescent="0.25">
      <c r="A1353" s="115">
        <v>11.141</v>
      </c>
      <c r="B1353" s="115">
        <v>11.41</v>
      </c>
      <c r="C1353" s="1">
        <v>410</v>
      </c>
      <c r="D1353" s="1" t="s">
        <v>2599</v>
      </c>
      <c r="E1353" s="1">
        <v>11</v>
      </c>
    </row>
    <row r="1354" spans="1:5" hidden="1" x14ac:dyDescent="0.25">
      <c r="A1354" s="115">
        <v>11.141999999999999</v>
      </c>
      <c r="B1354" s="115">
        <v>11.42</v>
      </c>
      <c r="C1354" s="1">
        <v>420</v>
      </c>
      <c r="D1354" s="1" t="s">
        <v>2600</v>
      </c>
      <c r="E1354" s="1">
        <v>11</v>
      </c>
    </row>
    <row r="1355" spans="1:5" hidden="1" x14ac:dyDescent="0.25">
      <c r="A1355" s="115">
        <v>11.143000000000001</v>
      </c>
      <c r="B1355" s="115">
        <v>11.43</v>
      </c>
      <c r="C1355" s="1">
        <v>430</v>
      </c>
      <c r="D1355" s="1" t="s">
        <v>2601</v>
      </c>
      <c r="E1355" s="1">
        <v>11</v>
      </c>
    </row>
    <row r="1356" spans="1:5" hidden="1" x14ac:dyDescent="0.25">
      <c r="A1356" s="115">
        <v>11.144</v>
      </c>
      <c r="B1356" s="115">
        <v>11.44</v>
      </c>
      <c r="C1356" s="1">
        <v>440</v>
      </c>
      <c r="D1356" s="1" t="s">
        <v>2602</v>
      </c>
      <c r="E1356" s="1">
        <v>11</v>
      </c>
    </row>
    <row r="1357" spans="1:5" hidden="1" x14ac:dyDescent="0.25">
      <c r="A1357" s="115">
        <v>11.145</v>
      </c>
      <c r="B1357" s="115">
        <v>11.445</v>
      </c>
      <c r="C1357" s="1">
        <v>445</v>
      </c>
      <c r="D1357" s="1" t="s">
        <v>2603</v>
      </c>
      <c r="E1357" s="1">
        <v>11</v>
      </c>
    </row>
    <row r="1358" spans="1:5" hidden="1" x14ac:dyDescent="0.25">
      <c r="A1358" s="115">
        <v>11.146000000000001</v>
      </c>
      <c r="B1358" s="115">
        <v>11.45</v>
      </c>
      <c r="C1358" s="1">
        <v>450</v>
      </c>
      <c r="D1358" s="1" t="s">
        <v>2604</v>
      </c>
      <c r="E1358" s="1">
        <v>11</v>
      </c>
    </row>
    <row r="1359" spans="1:5" hidden="1" x14ac:dyDescent="0.25">
      <c r="A1359" s="115">
        <v>11.147</v>
      </c>
      <c r="B1359" s="115">
        <v>11.46</v>
      </c>
      <c r="C1359" s="1">
        <v>460</v>
      </c>
      <c r="D1359" s="1" t="s">
        <v>2605</v>
      </c>
      <c r="E1359" s="1">
        <v>11</v>
      </c>
    </row>
    <row r="1360" spans="1:5" hidden="1" x14ac:dyDescent="0.25">
      <c r="A1360" s="115">
        <v>11.148</v>
      </c>
      <c r="B1360" s="115">
        <v>11.47</v>
      </c>
      <c r="C1360" s="1">
        <v>470</v>
      </c>
      <c r="D1360" s="1" t="s">
        <v>2606</v>
      </c>
      <c r="E1360" s="1">
        <v>11</v>
      </c>
    </row>
    <row r="1361" spans="1:5" hidden="1" x14ac:dyDescent="0.25">
      <c r="A1361" s="115">
        <v>11.148999999999999</v>
      </c>
      <c r="B1361" s="115">
        <v>11.48</v>
      </c>
      <c r="C1361" s="1">
        <v>480</v>
      </c>
      <c r="D1361" s="1" t="s">
        <v>2607</v>
      </c>
      <c r="E1361" s="1">
        <v>11</v>
      </c>
    </row>
    <row r="1362" spans="1:5" hidden="1" x14ac:dyDescent="0.25">
      <c r="A1362" s="115">
        <v>11.15</v>
      </c>
      <c r="B1362" s="115">
        <v>11.49</v>
      </c>
      <c r="C1362" s="1">
        <v>490</v>
      </c>
      <c r="D1362" s="1" t="s">
        <v>2608</v>
      </c>
      <c r="E1362" s="1">
        <v>11</v>
      </c>
    </row>
    <row r="1363" spans="1:5" hidden="1" x14ac:dyDescent="0.25">
      <c r="A1363" s="115">
        <v>11.151</v>
      </c>
      <c r="B1363" s="115">
        <v>11.5</v>
      </c>
      <c r="C1363" s="1">
        <v>500</v>
      </c>
      <c r="D1363" s="1" t="s">
        <v>2609</v>
      </c>
      <c r="E1363" s="1">
        <v>11</v>
      </c>
    </row>
    <row r="1364" spans="1:5" hidden="1" x14ac:dyDescent="0.25">
      <c r="A1364" s="115">
        <v>11.151999999999999</v>
      </c>
      <c r="B1364" s="115">
        <v>11.51</v>
      </c>
      <c r="C1364" s="1">
        <v>510</v>
      </c>
      <c r="D1364" s="1" t="s">
        <v>2610</v>
      </c>
      <c r="E1364" s="1">
        <v>11</v>
      </c>
    </row>
    <row r="1365" spans="1:5" hidden="1" x14ac:dyDescent="0.25">
      <c r="A1365" s="115">
        <v>11.153</v>
      </c>
      <c r="B1365" s="115">
        <v>11.52</v>
      </c>
      <c r="C1365" s="1">
        <v>520</v>
      </c>
      <c r="D1365" s="1" t="s">
        <v>2611</v>
      </c>
      <c r="E1365" s="1">
        <v>11</v>
      </c>
    </row>
    <row r="1366" spans="1:5" hidden="1" x14ac:dyDescent="0.25">
      <c r="A1366" s="115">
        <v>11.154</v>
      </c>
      <c r="B1366" s="115">
        <v>11.53</v>
      </c>
      <c r="C1366" s="1">
        <v>530</v>
      </c>
      <c r="D1366" s="1" t="s">
        <v>2612</v>
      </c>
      <c r="E1366" s="1">
        <v>11</v>
      </c>
    </row>
    <row r="1367" spans="1:5" hidden="1" x14ac:dyDescent="0.25">
      <c r="A1367" s="115">
        <v>11.154999999999999</v>
      </c>
      <c r="B1367" s="115">
        <v>11.54</v>
      </c>
      <c r="C1367" s="1">
        <v>540</v>
      </c>
      <c r="D1367" s="1" t="s">
        <v>2613</v>
      </c>
      <c r="E1367" s="1">
        <v>11</v>
      </c>
    </row>
    <row r="1368" spans="1:5" hidden="1" x14ac:dyDescent="0.25">
      <c r="A1368" s="115">
        <v>11.156000000000001</v>
      </c>
      <c r="B1368" s="115">
        <v>11.55</v>
      </c>
      <c r="C1368" s="1">
        <v>550</v>
      </c>
      <c r="D1368" s="1" t="s">
        <v>2614</v>
      </c>
      <c r="E1368" s="1">
        <v>11</v>
      </c>
    </row>
    <row r="1369" spans="1:5" hidden="1" x14ac:dyDescent="0.25">
      <c r="A1369" s="115">
        <v>11.157</v>
      </c>
      <c r="B1369" s="115">
        <v>11.56</v>
      </c>
      <c r="C1369" s="1">
        <v>560</v>
      </c>
      <c r="D1369" s="1" t="s">
        <v>2615</v>
      </c>
      <c r="E1369" s="1">
        <v>11</v>
      </c>
    </row>
    <row r="1370" spans="1:5" hidden="1" x14ac:dyDescent="0.25">
      <c r="A1370" s="115">
        <v>11.157999999999999</v>
      </c>
      <c r="B1370" s="115">
        <v>11.57</v>
      </c>
      <c r="C1370" s="1">
        <v>570</v>
      </c>
      <c r="D1370" s="1" t="s">
        <v>2616</v>
      </c>
      <c r="E1370" s="1">
        <v>11</v>
      </c>
    </row>
    <row r="1371" spans="1:5" hidden="1" x14ac:dyDescent="0.25">
      <c r="A1371" s="115">
        <v>11.159000000000001</v>
      </c>
      <c r="B1371" s="115">
        <v>11.574999999999999</v>
      </c>
      <c r="C1371" s="1">
        <v>575</v>
      </c>
      <c r="D1371" s="1" t="s">
        <v>2617</v>
      </c>
      <c r="E1371" s="1">
        <v>11</v>
      </c>
    </row>
    <row r="1372" spans="1:5" hidden="1" x14ac:dyDescent="0.25">
      <c r="A1372" s="115">
        <v>11.16</v>
      </c>
      <c r="B1372" s="115">
        <v>11.576000000000001</v>
      </c>
      <c r="C1372" s="1">
        <v>576</v>
      </c>
      <c r="D1372" s="1" t="s">
        <v>2618</v>
      </c>
      <c r="E1372" s="1">
        <v>11</v>
      </c>
    </row>
    <row r="1373" spans="1:5" hidden="1" x14ac:dyDescent="0.25">
      <c r="A1373" s="115">
        <v>11.161</v>
      </c>
      <c r="B1373" s="115">
        <v>11.58</v>
      </c>
      <c r="C1373" s="1">
        <v>580</v>
      </c>
      <c r="D1373" s="1" t="s">
        <v>2619</v>
      </c>
      <c r="E1373" s="1">
        <v>11</v>
      </c>
    </row>
    <row r="1374" spans="1:5" hidden="1" x14ac:dyDescent="0.25">
      <c r="A1374" s="115">
        <v>11.162000000000001</v>
      </c>
      <c r="B1374" s="115">
        <v>11.59</v>
      </c>
      <c r="C1374" s="1">
        <v>590</v>
      </c>
      <c r="D1374" s="1" t="s">
        <v>1099</v>
      </c>
      <c r="E1374" s="1">
        <v>11</v>
      </c>
    </row>
    <row r="1375" spans="1:5" hidden="1" x14ac:dyDescent="0.25">
      <c r="A1375" s="115">
        <v>11.163</v>
      </c>
      <c r="B1375" s="115">
        <v>11.6</v>
      </c>
      <c r="C1375" s="1">
        <v>600</v>
      </c>
      <c r="D1375" s="1" t="s">
        <v>2620</v>
      </c>
      <c r="E1375" s="1">
        <v>11</v>
      </c>
    </row>
    <row r="1376" spans="1:5" hidden="1" x14ac:dyDescent="0.25">
      <c r="A1376" s="115">
        <v>11.164</v>
      </c>
      <c r="B1376" s="115">
        <v>11.61</v>
      </c>
      <c r="C1376" s="1">
        <v>610</v>
      </c>
      <c r="D1376" s="1" t="s">
        <v>2621</v>
      </c>
      <c r="E1376" s="1">
        <v>11</v>
      </c>
    </row>
    <row r="1377" spans="1:5" hidden="1" x14ac:dyDescent="0.25">
      <c r="A1377" s="115">
        <v>11.164999999999999</v>
      </c>
      <c r="B1377" s="115">
        <v>11.62</v>
      </c>
      <c r="C1377" s="1">
        <v>620</v>
      </c>
      <c r="D1377" s="1" t="s">
        <v>2622</v>
      </c>
      <c r="E1377" s="1">
        <v>11</v>
      </c>
    </row>
    <row r="1378" spans="1:5" hidden="1" x14ac:dyDescent="0.25">
      <c r="A1378" s="115">
        <v>11.166</v>
      </c>
      <c r="B1378" s="115">
        <v>11.63</v>
      </c>
      <c r="C1378" s="1">
        <v>630</v>
      </c>
      <c r="D1378" s="1" t="s">
        <v>2623</v>
      </c>
      <c r="E1378" s="1">
        <v>11</v>
      </c>
    </row>
    <row r="1379" spans="1:5" hidden="1" x14ac:dyDescent="0.25">
      <c r="A1379" s="115">
        <v>11.167</v>
      </c>
      <c r="B1379" s="115">
        <v>11.64</v>
      </c>
      <c r="C1379" s="1">
        <v>640</v>
      </c>
      <c r="D1379" s="1" t="s">
        <v>2624</v>
      </c>
      <c r="E1379" s="1">
        <v>11</v>
      </c>
    </row>
    <row r="1380" spans="1:5" hidden="1" x14ac:dyDescent="0.25">
      <c r="A1380" s="115">
        <v>11.167999999999999</v>
      </c>
      <c r="B1380" s="115">
        <v>11.65</v>
      </c>
      <c r="C1380" s="1">
        <v>650</v>
      </c>
      <c r="D1380" s="1" t="s">
        <v>2625</v>
      </c>
      <c r="E1380" s="1">
        <v>11</v>
      </c>
    </row>
    <row r="1381" spans="1:5" hidden="1" x14ac:dyDescent="0.25">
      <c r="A1381" s="115">
        <v>11.169</v>
      </c>
      <c r="B1381" s="115">
        <v>11.66</v>
      </c>
      <c r="C1381" s="1">
        <v>660</v>
      </c>
      <c r="D1381" s="1" t="s">
        <v>2626</v>
      </c>
      <c r="E1381" s="1">
        <v>11</v>
      </c>
    </row>
    <row r="1382" spans="1:5" hidden="1" x14ac:dyDescent="0.25">
      <c r="A1382" s="115">
        <v>11.17</v>
      </c>
      <c r="B1382" s="115">
        <v>11.67</v>
      </c>
      <c r="C1382" s="1">
        <v>670</v>
      </c>
      <c r="D1382" s="1" t="s">
        <v>2627</v>
      </c>
      <c r="E1382" s="1">
        <v>11</v>
      </c>
    </row>
    <row r="1383" spans="1:5" hidden="1" x14ac:dyDescent="0.25">
      <c r="A1383" s="115">
        <v>11.170999999999999</v>
      </c>
      <c r="B1383" s="115">
        <v>11.68</v>
      </c>
      <c r="C1383" s="1">
        <v>680</v>
      </c>
      <c r="D1383" s="1" t="s">
        <v>2628</v>
      </c>
      <c r="E1383" s="1">
        <v>11</v>
      </c>
    </row>
    <row r="1384" spans="1:5" hidden="1" x14ac:dyDescent="0.25">
      <c r="A1384" s="115">
        <v>11.172000000000001</v>
      </c>
      <c r="B1384" s="115">
        <v>11.69</v>
      </c>
      <c r="C1384" s="1">
        <v>690</v>
      </c>
      <c r="D1384" s="1" t="s">
        <v>2629</v>
      </c>
      <c r="E1384" s="1">
        <v>11</v>
      </c>
    </row>
    <row r="1385" spans="1:5" hidden="1" x14ac:dyDescent="0.25">
      <c r="A1385" s="115">
        <v>11.173</v>
      </c>
      <c r="B1385" s="115">
        <v>11.7</v>
      </c>
      <c r="C1385" s="1">
        <v>700</v>
      </c>
      <c r="D1385" s="1" t="s">
        <v>2630</v>
      </c>
      <c r="E1385" s="1">
        <v>11</v>
      </c>
    </row>
    <row r="1386" spans="1:5" hidden="1" x14ac:dyDescent="0.25">
      <c r="A1386" s="115">
        <v>11.173999999999999</v>
      </c>
      <c r="B1386" s="115">
        <v>11.71</v>
      </c>
      <c r="C1386" s="1">
        <v>710</v>
      </c>
      <c r="D1386" s="1" t="s">
        <v>2631</v>
      </c>
      <c r="E1386" s="1">
        <v>11</v>
      </c>
    </row>
    <row r="1387" spans="1:5" hidden="1" x14ac:dyDescent="0.25">
      <c r="A1387" s="115">
        <v>11.175000000000001</v>
      </c>
      <c r="B1387" s="115">
        <v>11.72</v>
      </c>
      <c r="C1387" s="1">
        <v>720</v>
      </c>
      <c r="D1387" s="1" t="s">
        <v>2632</v>
      </c>
      <c r="E1387" s="1">
        <v>11</v>
      </c>
    </row>
    <row r="1388" spans="1:5" hidden="1" x14ac:dyDescent="0.25">
      <c r="A1388" s="115">
        <v>11.176</v>
      </c>
      <c r="B1388" s="115">
        <v>11.73</v>
      </c>
      <c r="C1388" s="1">
        <v>730</v>
      </c>
      <c r="D1388" s="1" t="s">
        <v>2633</v>
      </c>
      <c r="E1388" s="1">
        <v>11</v>
      </c>
    </row>
    <row r="1389" spans="1:5" hidden="1" x14ac:dyDescent="0.25">
      <c r="A1389" s="115">
        <v>11.177</v>
      </c>
      <c r="B1389" s="115">
        <v>11.74</v>
      </c>
      <c r="C1389" s="1">
        <v>740</v>
      </c>
      <c r="D1389" s="1" t="s">
        <v>2634</v>
      </c>
      <c r="E1389" s="1">
        <v>11</v>
      </c>
    </row>
    <row r="1390" spans="1:5" hidden="1" x14ac:dyDescent="0.25">
      <c r="A1390" s="115">
        <v>11.178000000000001</v>
      </c>
      <c r="B1390" s="115">
        <v>11.75</v>
      </c>
      <c r="C1390" s="1">
        <v>750</v>
      </c>
      <c r="D1390" s="1" t="s">
        <v>2635</v>
      </c>
      <c r="E1390" s="1">
        <v>11</v>
      </c>
    </row>
    <row r="1391" spans="1:5" hidden="1" x14ac:dyDescent="0.25">
      <c r="A1391" s="115">
        <v>11.179</v>
      </c>
      <c r="B1391" s="115">
        <v>11.755000000000001</v>
      </c>
      <c r="C1391" s="1">
        <v>755</v>
      </c>
      <c r="D1391" s="1" t="s">
        <v>1466</v>
      </c>
      <c r="E1391" s="1">
        <v>11</v>
      </c>
    </row>
    <row r="1392" spans="1:5" hidden="1" x14ac:dyDescent="0.25">
      <c r="A1392" s="115">
        <v>11.18</v>
      </c>
      <c r="B1392" s="115">
        <v>11.76</v>
      </c>
      <c r="C1392" s="1">
        <v>760</v>
      </c>
      <c r="D1392" s="1" t="s">
        <v>2636</v>
      </c>
      <c r="E1392" s="1">
        <v>11</v>
      </c>
    </row>
    <row r="1393" spans="1:5" hidden="1" x14ac:dyDescent="0.25">
      <c r="A1393" s="115">
        <v>11.180999999999999</v>
      </c>
      <c r="B1393" s="115">
        <v>11.77</v>
      </c>
      <c r="C1393" s="1">
        <v>770</v>
      </c>
      <c r="D1393" s="1" t="s">
        <v>2637</v>
      </c>
      <c r="E1393" s="1">
        <v>11</v>
      </c>
    </row>
    <row r="1394" spans="1:5" hidden="1" x14ac:dyDescent="0.25">
      <c r="A1394" s="115">
        <v>11.182</v>
      </c>
      <c r="B1394" s="115">
        <v>11.78</v>
      </c>
      <c r="C1394" s="1">
        <v>780</v>
      </c>
      <c r="D1394" s="1" t="s">
        <v>2638</v>
      </c>
      <c r="E1394" s="1">
        <v>11</v>
      </c>
    </row>
    <row r="1395" spans="1:5" hidden="1" x14ac:dyDescent="0.25">
      <c r="A1395" s="115">
        <v>11.183</v>
      </c>
      <c r="B1395" s="115">
        <v>11.79</v>
      </c>
      <c r="C1395" s="1">
        <v>790</v>
      </c>
      <c r="D1395" s="1" t="s">
        <v>2639</v>
      </c>
      <c r="E1395" s="1">
        <v>11</v>
      </c>
    </row>
    <row r="1396" spans="1:5" hidden="1" x14ac:dyDescent="0.25">
      <c r="A1396" s="115">
        <v>11.183999999999999</v>
      </c>
      <c r="B1396" s="115">
        <v>11.8</v>
      </c>
      <c r="C1396" s="1">
        <v>800</v>
      </c>
      <c r="D1396" s="1" t="s">
        <v>2640</v>
      </c>
      <c r="E1396" s="1">
        <v>11</v>
      </c>
    </row>
    <row r="1397" spans="1:5" hidden="1" x14ac:dyDescent="0.25">
      <c r="A1397" s="115">
        <v>11.185</v>
      </c>
      <c r="B1397" s="115">
        <v>11.805</v>
      </c>
      <c r="C1397" s="1">
        <v>805</v>
      </c>
      <c r="D1397" s="1" t="s">
        <v>2641</v>
      </c>
      <c r="E1397" s="1">
        <v>11</v>
      </c>
    </row>
    <row r="1398" spans="1:5" hidden="1" x14ac:dyDescent="0.25">
      <c r="A1398" s="115">
        <v>11.186</v>
      </c>
      <c r="B1398" s="115">
        <v>11.81</v>
      </c>
      <c r="C1398" s="1">
        <v>810</v>
      </c>
      <c r="D1398" s="1" t="s">
        <v>2642</v>
      </c>
      <c r="E1398" s="1">
        <v>11</v>
      </c>
    </row>
    <row r="1399" spans="1:5" hidden="1" x14ac:dyDescent="0.25">
      <c r="A1399" s="115">
        <v>11.186999999999999</v>
      </c>
      <c r="B1399" s="115">
        <v>11.82</v>
      </c>
      <c r="C1399" s="1">
        <v>820</v>
      </c>
      <c r="D1399" s="1" t="s">
        <v>2643</v>
      </c>
      <c r="E1399" s="1">
        <v>11</v>
      </c>
    </row>
    <row r="1400" spans="1:5" hidden="1" x14ac:dyDescent="0.25">
      <c r="A1400" s="115">
        <v>11.188000000000001</v>
      </c>
      <c r="B1400" s="115">
        <v>11.83</v>
      </c>
      <c r="C1400" s="1">
        <v>830</v>
      </c>
      <c r="D1400" s="1" t="s">
        <v>2644</v>
      </c>
      <c r="E1400" s="1">
        <v>11</v>
      </c>
    </row>
    <row r="1401" spans="1:5" hidden="1" x14ac:dyDescent="0.25">
      <c r="A1401" s="115">
        <v>11.189</v>
      </c>
      <c r="B1401" s="115">
        <v>11.84</v>
      </c>
      <c r="C1401" s="1">
        <v>840</v>
      </c>
      <c r="D1401" s="1" t="s">
        <v>2645</v>
      </c>
      <c r="E1401" s="1">
        <v>11</v>
      </c>
    </row>
    <row r="1402" spans="1:5" hidden="1" x14ac:dyDescent="0.25">
      <c r="A1402" s="115">
        <v>11.19</v>
      </c>
      <c r="B1402" s="115">
        <v>11.85</v>
      </c>
      <c r="C1402" s="1">
        <v>850</v>
      </c>
      <c r="D1402" s="1" t="s">
        <v>2646</v>
      </c>
      <c r="E1402" s="1">
        <v>11</v>
      </c>
    </row>
    <row r="1403" spans="1:5" hidden="1" x14ac:dyDescent="0.25">
      <c r="A1403" s="115">
        <v>11.191000000000001</v>
      </c>
      <c r="B1403" s="115">
        <v>11.86</v>
      </c>
      <c r="C1403" s="1">
        <v>860</v>
      </c>
      <c r="D1403" s="1" t="s">
        <v>2647</v>
      </c>
      <c r="E1403" s="1">
        <v>11</v>
      </c>
    </row>
    <row r="1404" spans="1:5" hidden="1" x14ac:dyDescent="0.25">
      <c r="A1404" s="115">
        <v>11.192</v>
      </c>
      <c r="B1404" s="115">
        <v>11.87</v>
      </c>
      <c r="C1404" s="1">
        <v>870</v>
      </c>
      <c r="D1404" s="1" t="s">
        <v>2648</v>
      </c>
      <c r="E1404" s="1">
        <v>11</v>
      </c>
    </row>
    <row r="1405" spans="1:5" hidden="1" x14ac:dyDescent="0.25">
      <c r="A1405" s="115">
        <v>11.193</v>
      </c>
      <c r="B1405" s="115">
        <v>11.88</v>
      </c>
      <c r="C1405" s="1">
        <v>880</v>
      </c>
      <c r="D1405" s="1" t="s">
        <v>2649</v>
      </c>
      <c r="E1405" s="1">
        <v>11</v>
      </c>
    </row>
    <row r="1406" spans="1:5" hidden="1" x14ac:dyDescent="0.25">
      <c r="A1406" s="115">
        <v>11.194000000000001</v>
      </c>
      <c r="B1406" s="115">
        <v>11.89</v>
      </c>
      <c r="C1406" s="1">
        <v>890</v>
      </c>
      <c r="D1406" s="1" t="s">
        <v>2650</v>
      </c>
      <c r="E1406" s="1">
        <v>11</v>
      </c>
    </row>
    <row r="1407" spans="1:5" hidden="1" x14ac:dyDescent="0.25">
      <c r="A1407" s="115">
        <v>11.195</v>
      </c>
      <c r="B1407" s="115">
        <v>11.895</v>
      </c>
      <c r="C1407" s="1">
        <v>895</v>
      </c>
      <c r="D1407" s="1" t="s">
        <v>2651</v>
      </c>
      <c r="E1407" s="1">
        <v>11</v>
      </c>
    </row>
    <row r="1408" spans="1:5" hidden="1" x14ac:dyDescent="0.25">
      <c r="A1408" s="115">
        <v>11.196</v>
      </c>
      <c r="B1408" s="115">
        <v>11.9</v>
      </c>
      <c r="C1408" s="1">
        <v>900</v>
      </c>
      <c r="D1408" s="1" t="s">
        <v>2652</v>
      </c>
      <c r="E1408" s="1">
        <v>11</v>
      </c>
    </row>
    <row r="1409" spans="1:5" hidden="1" x14ac:dyDescent="0.25">
      <c r="A1409" s="115">
        <v>11.196999999999999</v>
      </c>
      <c r="B1409" s="115">
        <v>11.91</v>
      </c>
      <c r="C1409" s="1">
        <v>910</v>
      </c>
      <c r="D1409" s="1" t="s">
        <v>2653</v>
      </c>
      <c r="E1409" s="1">
        <v>11</v>
      </c>
    </row>
    <row r="1410" spans="1:5" hidden="1" x14ac:dyDescent="0.25">
      <c r="A1410" s="115">
        <v>11.198</v>
      </c>
      <c r="B1410" s="115">
        <v>11.92</v>
      </c>
      <c r="C1410" s="1">
        <v>920</v>
      </c>
      <c r="D1410" s="1" t="s">
        <v>2654</v>
      </c>
      <c r="E1410" s="1">
        <v>11</v>
      </c>
    </row>
    <row r="1411" spans="1:5" hidden="1" x14ac:dyDescent="0.25">
      <c r="A1411" s="115">
        <v>11.199</v>
      </c>
      <c r="B1411" s="115">
        <v>11.925000000000001</v>
      </c>
      <c r="C1411" s="1">
        <v>925</v>
      </c>
      <c r="D1411" s="1" t="s">
        <v>2655</v>
      </c>
      <c r="E1411" s="1">
        <v>11</v>
      </c>
    </row>
    <row r="1412" spans="1:5" hidden="1" x14ac:dyDescent="0.25">
      <c r="A1412" s="115">
        <v>11.2</v>
      </c>
      <c r="B1412" s="115">
        <v>11.93</v>
      </c>
      <c r="C1412" s="1">
        <v>930</v>
      </c>
      <c r="D1412" s="1" t="s">
        <v>2656</v>
      </c>
      <c r="E1412" s="1">
        <v>11</v>
      </c>
    </row>
    <row r="1413" spans="1:5" hidden="1" x14ac:dyDescent="0.25">
      <c r="A1413" s="115">
        <v>11.201000000000001</v>
      </c>
      <c r="B1413" s="115">
        <v>11.935</v>
      </c>
      <c r="C1413" s="1">
        <v>935</v>
      </c>
      <c r="D1413" s="1" t="s">
        <v>2657</v>
      </c>
      <c r="E1413" s="1">
        <v>11</v>
      </c>
    </row>
    <row r="1414" spans="1:5" hidden="1" x14ac:dyDescent="0.25">
      <c r="A1414" s="115">
        <v>11.202</v>
      </c>
      <c r="B1414" s="115">
        <v>11.94</v>
      </c>
      <c r="C1414" s="1">
        <v>940</v>
      </c>
      <c r="D1414" s="1" t="s">
        <v>2658</v>
      </c>
      <c r="E1414" s="1">
        <v>11</v>
      </c>
    </row>
    <row r="1415" spans="1:5" hidden="1" x14ac:dyDescent="0.25">
      <c r="A1415" s="115">
        <v>11.202999999999999</v>
      </c>
      <c r="B1415" s="115">
        <v>11.95</v>
      </c>
      <c r="C1415" s="1">
        <v>950</v>
      </c>
      <c r="D1415" s="1" t="s">
        <v>2659</v>
      </c>
      <c r="E1415" s="1">
        <v>11</v>
      </c>
    </row>
    <row r="1416" spans="1:5" hidden="1" x14ac:dyDescent="0.25">
      <c r="A1416" s="115">
        <v>11.204000000000001</v>
      </c>
      <c r="B1416" s="115">
        <v>11.955</v>
      </c>
      <c r="C1416" s="1">
        <v>955</v>
      </c>
      <c r="D1416" s="1" t="s">
        <v>2660</v>
      </c>
      <c r="E1416" s="1">
        <v>11</v>
      </c>
    </row>
    <row r="1417" spans="1:5" hidden="1" x14ac:dyDescent="0.25">
      <c r="A1417" s="115">
        <v>11.205</v>
      </c>
      <c r="B1417" s="115">
        <v>11.96</v>
      </c>
      <c r="C1417" s="1">
        <v>960</v>
      </c>
      <c r="D1417" s="1" t="s">
        <v>2661</v>
      </c>
      <c r="E1417" s="1">
        <v>11</v>
      </c>
    </row>
    <row r="1418" spans="1:5" hidden="1" x14ac:dyDescent="0.25">
      <c r="A1418" s="115">
        <v>11.206</v>
      </c>
      <c r="B1418" s="115">
        <v>11.97</v>
      </c>
      <c r="C1418" s="1">
        <v>970</v>
      </c>
      <c r="D1418" s="1" t="s">
        <v>2662</v>
      </c>
      <c r="E1418" s="1">
        <v>11</v>
      </c>
    </row>
    <row r="1419" spans="1:5" hidden="1" x14ac:dyDescent="0.25">
      <c r="A1419" s="115">
        <v>11.207000000000001</v>
      </c>
      <c r="B1419" s="115">
        <v>11.98</v>
      </c>
      <c r="C1419" s="1">
        <v>980</v>
      </c>
      <c r="D1419" s="1" t="s">
        <v>2663</v>
      </c>
      <c r="E1419" s="1">
        <v>11</v>
      </c>
    </row>
    <row r="1420" spans="1:5" hidden="1" x14ac:dyDescent="0.25">
      <c r="A1420" s="115">
        <v>11.208</v>
      </c>
      <c r="B1420" s="115">
        <v>11.99</v>
      </c>
      <c r="C1420" s="1">
        <v>990</v>
      </c>
      <c r="D1420" s="1" t="s">
        <v>2664</v>
      </c>
      <c r="E1420" s="1">
        <v>11</v>
      </c>
    </row>
    <row r="1421" spans="1:5" hidden="1" x14ac:dyDescent="0.25">
      <c r="A1421" s="115">
        <v>11.209</v>
      </c>
      <c r="B1421" s="115">
        <v>11.1</v>
      </c>
      <c r="C1421" s="1">
        <v>1000</v>
      </c>
      <c r="D1421" s="1" t="s">
        <v>2665</v>
      </c>
      <c r="E1421" s="1">
        <v>11</v>
      </c>
    </row>
    <row r="1422" spans="1:5" hidden="1" x14ac:dyDescent="0.25">
      <c r="A1422" s="115">
        <v>11.21</v>
      </c>
      <c r="B1422" s="115">
        <v>11.11</v>
      </c>
      <c r="C1422" s="1">
        <v>1100</v>
      </c>
      <c r="D1422" s="1" t="s">
        <v>2666</v>
      </c>
      <c r="E1422" s="1">
        <v>11</v>
      </c>
    </row>
    <row r="1423" spans="1:5" hidden="1" x14ac:dyDescent="0.25">
      <c r="A1423" s="115">
        <v>11.211</v>
      </c>
      <c r="B1423" s="115">
        <v>11.111000000000001</v>
      </c>
      <c r="C1423" s="1">
        <v>1110</v>
      </c>
      <c r="D1423" s="1" t="s">
        <v>2667</v>
      </c>
      <c r="E1423" s="1">
        <v>11</v>
      </c>
    </row>
    <row r="1424" spans="1:5" hidden="1" x14ac:dyDescent="0.25">
      <c r="A1424" s="115">
        <v>11.212</v>
      </c>
      <c r="B1424" s="115">
        <v>11.112</v>
      </c>
      <c r="C1424" s="1">
        <v>1120</v>
      </c>
      <c r="D1424" s="1" t="s">
        <v>2668</v>
      </c>
      <c r="E1424" s="1">
        <v>11</v>
      </c>
    </row>
    <row r="1425" spans="1:5" hidden="1" x14ac:dyDescent="0.25">
      <c r="A1425" s="115">
        <v>11.212999999999999</v>
      </c>
      <c r="B1425" s="115">
        <v>11.113</v>
      </c>
      <c r="C1425" s="1">
        <v>1130</v>
      </c>
      <c r="D1425" s="1" t="s">
        <v>2669</v>
      </c>
      <c r="E1425" s="1">
        <v>11</v>
      </c>
    </row>
    <row r="1426" spans="1:5" hidden="1" x14ac:dyDescent="0.25">
      <c r="A1426" s="115">
        <v>11.214</v>
      </c>
      <c r="B1426" s="115">
        <v>11.114000000000001</v>
      </c>
      <c r="C1426" s="1">
        <v>1140</v>
      </c>
      <c r="D1426" s="1" t="s">
        <v>2670</v>
      </c>
      <c r="E1426" s="1">
        <v>11</v>
      </c>
    </row>
    <row r="1427" spans="1:5" hidden="1" x14ac:dyDescent="0.25">
      <c r="A1427" s="115">
        <v>11.215</v>
      </c>
      <c r="B1427" s="115">
        <v>11.115</v>
      </c>
      <c r="C1427" s="1">
        <v>1150</v>
      </c>
      <c r="D1427" s="1" t="s">
        <v>2671</v>
      </c>
      <c r="E1427" s="1">
        <v>11</v>
      </c>
    </row>
    <row r="1428" spans="1:5" hidden="1" x14ac:dyDescent="0.25">
      <c r="A1428" s="115">
        <v>11.215999999999999</v>
      </c>
      <c r="B1428" s="115">
        <v>11.116</v>
      </c>
      <c r="C1428" s="1">
        <v>1160</v>
      </c>
      <c r="D1428" s="1" t="s">
        <v>2672</v>
      </c>
      <c r="E1428" s="1">
        <v>11</v>
      </c>
    </row>
    <row r="1429" spans="1:5" hidden="1" x14ac:dyDescent="0.25">
      <c r="A1429" s="115">
        <v>11.217000000000001</v>
      </c>
      <c r="B1429" s="115">
        <v>11.117000000000001</v>
      </c>
      <c r="C1429" s="1">
        <v>1170</v>
      </c>
      <c r="D1429" s="1" t="s">
        <v>2673</v>
      </c>
      <c r="E1429" s="1">
        <v>11</v>
      </c>
    </row>
    <row r="1430" spans="1:5" hidden="1" x14ac:dyDescent="0.25">
      <c r="A1430" s="115">
        <v>11.218</v>
      </c>
      <c r="B1430" s="115">
        <v>11.118</v>
      </c>
      <c r="C1430" s="1">
        <v>1180</v>
      </c>
      <c r="D1430" s="1" t="s">
        <v>2674</v>
      </c>
      <c r="E1430" s="1">
        <v>11</v>
      </c>
    </row>
    <row r="1431" spans="1:5" hidden="1" x14ac:dyDescent="0.25">
      <c r="A1431" s="115">
        <v>11.218999999999999</v>
      </c>
      <c r="B1431" s="115">
        <v>11.119</v>
      </c>
      <c r="C1431" s="1">
        <v>1190</v>
      </c>
      <c r="D1431" s="1" t="s">
        <v>2675</v>
      </c>
      <c r="E1431" s="1">
        <v>11</v>
      </c>
    </row>
    <row r="1432" spans="1:5" hidden="1" x14ac:dyDescent="0.25">
      <c r="A1432" s="115">
        <v>11.22</v>
      </c>
      <c r="B1432" s="115">
        <v>11.12</v>
      </c>
      <c r="C1432" s="1">
        <v>1200</v>
      </c>
      <c r="D1432" s="1" t="s">
        <v>2676</v>
      </c>
      <c r="E1432" s="1">
        <v>11</v>
      </c>
    </row>
    <row r="1433" spans="1:5" hidden="1" x14ac:dyDescent="0.25">
      <c r="A1433" s="115">
        <v>11.221</v>
      </c>
      <c r="B1433" s="115">
        <v>11.121</v>
      </c>
      <c r="C1433" s="1">
        <v>1210</v>
      </c>
      <c r="D1433" s="1" t="s">
        <v>2677</v>
      </c>
      <c r="E1433" s="1">
        <v>11</v>
      </c>
    </row>
    <row r="1434" spans="1:5" hidden="1" x14ac:dyDescent="0.25">
      <c r="A1434" s="115">
        <v>11.222</v>
      </c>
      <c r="B1434" s="115">
        <v>11.122</v>
      </c>
      <c r="C1434" s="1">
        <v>1220</v>
      </c>
      <c r="D1434" s="1" t="s">
        <v>2678</v>
      </c>
      <c r="E1434" s="1">
        <v>11</v>
      </c>
    </row>
    <row r="1435" spans="1:5" hidden="1" x14ac:dyDescent="0.25">
      <c r="A1435" s="115">
        <v>11.223000000000001</v>
      </c>
      <c r="B1435" s="115">
        <v>11.122999999999999</v>
      </c>
      <c r="C1435" s="1">
        <v>1230</v>
      </c>
      <c r="D1435" s="1" t="s">
        <v>2679</v>
      </c>
      <c r="E1435" s="1">
        <v>11</v>
      </c>
    </row>
    <row r="1436" spans="1:5" hidden="1" x14ac:dyDescent="0.25">
      <c r="A1436" s="115">
        <v>11.224</v>
      </c>
      <c r="B1436" s="115">
        <v>11.124000000000001</v>
      </c>
      <c r="C1436" s="1">
        <v>1240</v>
      </c>
      <c r="D1436" s="1" t="s">
        <v>2680</v>
      </c>
      <c r="E1436" s="1">
        <v>11</v>
      </c>
    </row>
    <row r="1437" spans="1:5" hidden="1" x14ac:dyDescent="0.25">
      <c r="A1437" s="115">
        <v>11.225</v>
      </c>
      <c r="B1437" s="115">
        <v>11.125</v>
      </c>
      <c r="C1437" s="1">
        <v>1250</v>
      </c>
      <c r="D1437" s="1" t="s">
        <v>2681</v>
      </c>
      <c r="E1437" s="1">
        <v>11</v>
      </c>
    </row>
    <row r="1438" spans="1:5" hidden="1" x14ac:dyDescent="0.25">
      <c r="A1438" s="115">
        <v>11.226000000000001</v>
      </c>
      <c r="B1438" s="115">
        <v>11.125999999999999</v>
      </c>
      <c r="C1438" s="1">
        <v>1260</v>
      </c>
      <c r="D1438" s="1" t="s">
        <v>2682</v>
      </c>
      <c r="E1438" s="1">
        <v>11</v>
      </c>
    </row>
    <row r="1439" spans="1:5" hidden="1" x14ac:dyDescent="0.25">
      <c r="A1439" s="115">
        <v>11.227</v>
      </c>
      <c r="B1439" s="115">
        <v>11.127000000000001</v>
      </c>
      <c r="C1439" s="1">
        <v>1270</v>
      </c>
      <c r="D1439" s="1" t="s">
        <v>2683</v>
      </c>
      <c r="E1439" s="1">
        <v>11</v>
      </c>
    </row>
    <row r="1440" spans="1:5" hidden="1" x14ac:dyDescent="0.25">
      <c r="A1440" s="115">
        <v>11.228</v>
      </c>
      <c r="B1440" s="115">
        <v>11.128</v>
      </c>
      <c r="C1440" s="1">
        <v>1280</v>
      </c>
      <c r="D1440" s="1" t="s">
        <v>2684</v>
      </c>
      <c r="E1440" s="1">
        <v>11</v>
      </c>
    </row>
    <row r="1441" spans="1:5" hidden="1" x14ac:dyDescent="0.25">
      <c r="A1441" s="115">
        <v>11.228999999999999</v>
      </c>
      <c r="B1441" s="115">
        <v>11.13</v>
      </c>
      <c r="C1441" s="1">
        <v>1300</v>
      </c>
      <c r="D1441" s="1" t="s">
        <v>2685</v>
      </c>
      <c r="E1441" s="1">
        <v>11</v>
      </c>
    </row>
    <row r="1442" spans="1:5" hidden="1" x14ac:dyDescent="0.25">
      <c r="A1442" s="115">
        <v>11.23</v>
      </c>
      <c r="B1442" s="115">
        <v>11.131</v>
      </c>
      <c r="C1442" s="1">
        <v>1310</v>
      </c>
      <c r="D1442" s="1" t="s">
        <v>2686</v>
      </c>
      <c r="E1442" s="1">
        <v>11</v>
      </c>
    </row>
    <row r="1443" spans="1:5" hidden="1" x14ac:dyDescent="0.25">
      <c r="A1443" s="115">
        <v>11.231</v>
      </c>
      <c r="B1443" s="115">
        <v>11.132</v>
      </c>
      <c r="C1443" s="1">
        <v>1320</v>
      </c>
      <c r="D1443" s="1" t="s">
        <v>2687</v>
      </c>
      <c r="E1443" s="1">
        <v>11</v>
      </c>
    </row>
    <row r="1444" spans="1:5" hidden="1" x14ac:dyDescent="0.25">
      <c r="A1444" s="115">
        <v>12.101000000000001</v>
      </c>
      <c r="B1444" s="115">
        <v>12.1</v>
      </c>
      <c r="C1444" s="1">
        <v>10</v>
      </c>
      <c r="D1444" s="1" t="s">
        <v>2559</v>
      </c>
      <c r="E1444" s="1">
        <v>12</v>
      </c>
    </row>
    <row r="1445" spans="1:5" hidden="1" x14ac:dyDescent="0.25">
      <c r="A1445" s="115">
        <v>12.102</v>
      </c>
      <c r="B1445" s="115">
        <v>12.2</v>
      </c>
      <c r="C1445" s="1">
        <v>20</v>
      </c>
      <c r="D1445" s="1" t="s">
        <v>2560</v>
      </c>
      <c r="E1445" s="1">
        <v>12</v>
      </c>
    </row>
    <row r="1446" spans="1:5" hidden="1" x14ac:dyDescent="0.25">
      <c r="A1446" s="115">
        <v>12.103</v>
      </c>
      <c r="B1446" s="115">
        <v>12.3</v>
      </c>
      <c r="C1446" s="1">
        <v>30</v>
      </c>
      <c r="D1446" s="1" t="s">
        <v>2561</v>
      </c>
      <c r="E1446" s="1">
        <v>12</v>
      </c>
    </row>
    <row r="1447" spans="1:5" hidden="1" x14ac:dyDescent="0.25">
      <c r="A1447" s="115">
        <v>12.103999999999999</v>
      </c>
      <c r="B1447" s="115">
        <v>12.4</v>
      </c>
      <c r="C1447" s="1">
        <v>40</v>
      </c>
      <c r="D1447" s="1" t="s">
        <v>2562</v>
      </c>
      <c r="E1447" s="1">
        <v>12</v>
      </c>
    </row>
    <row r="1448" spans="1:5" hidden="1" x14ac:dyDescent="0.25">
      <c r="A1448" s="115">
        <v>12.105</v>
      </c>
      <c r="B1448" s="115">
        <v>12.5</v>
      </c>
      <c r="C1448" s="1">
        <v>50</v>
      </c>
      <c r="D1448" s="1" t="s">
        <v>2563</v>
      </c>
      <c r="E1448" s="1">
        <v>12</v>
      </c>
    </row>
    <row r="1449" spans="1:5" hidden="1" x14ac:dyDescent="0.25">
      <c r="A1449" s="115">
        <v>12.106</v>
      </c>
      <c r="B1449" s="115">
        <v>12.6</v>
      </c>
      <c r="C1449" s="1">
        <v>60</v>
      </c>
      <c r="D1449" s="1" t="s">
        <v>2564</v>
      </c>
      <c r="E1449" s="1">
        <v>12</v>
      </c>
    </row>
    <row r="1450" spans="1:5" hidden="1" x14ac:dyDescent="0.25">
      <c r="A1450" s="115">
        <v>12.106999999999999</v>
      </c>
      <c r="B1450" s="115">
        <v>12.7</v>
      </c>
      <c r="C1450" s="1">
        <v>70</v>
      </c>
      <c r="D1450" s="1" t="s">
        <v>2565</v>
      </c>
      <c r="E1450" s="1">
        <v>12</v>
      </c>
    </row>
    <row r="1451" spans="1:5" hidden="1" x14ac:dyDescent="0.25">
      <c r="A1451" s="115">
        <v>12.108000000000001</v>
      </c>
      <c r="B1451" s="115">
        <v>12.8</v>
      </c>
      <c r="C1451" s="1">
        <v>80</v>
      </c>
      <c r="D1451" s="1" t="s">
        <v>2566</v>
      </c>
      <c r="E1451" s="1">
        <v>12</v>
      </c>
    </row>
    <row r="1452" spans="1:5" hidden="1" x14ac:dyDescent="0.25">
      <c r="A1452" s="115">
        <v>12.109</v>
      </c>
      <c r="B1452" s="115">
        <v>12.9</v>
      </c>
      <c r="C1452" s="1">
        <v>90</v>
      </c>
      <c r="D1452" s="1" t="s">
        <v>2567</v>
      </c>
      <c r="E1452" s="1">
        <v>12</v>
      </c>
    </row>
    <row r="1453" spans="1:5" hidden="1" x14ac:dyDescent="0.25">
      <c r="A1453" s="115">
        <v>12.11</v>
      </c>
      <c r="B1453" s="115">
        <v>12.1</v>
      </c>
      <c r="C1453" s="1">
        <v>100</v>
      </c>
      <c r="D1453" s="1" t="s">
        <v>2568</v>
      </c>
      <c r="E1453" s="1">
        <v>12</v>
      </c>
    </row>
    <row r="1454" spans="1:5" hidden="1" x14ac:dyDescent="0.25">
      <c r="A1454" s="115">
        <v>12.111000000000001</v>
      </c>
      <c r="B1454" s="115">
        <v>12.11</v>
      </c>
      <c r="C1454" s="1">
        <v>110</v>
      </c>
      <c r="D1454" s="1" t="s">
        <v>2569</v>
      </c>
      <c r="E1454" s="1">
        <v>12</v>
      </c>
    </row>
    <row r="1455" spans="1:5" hidden="1" x14ac:dyDescent="0.25">
      <c r="A1455" s="115">
        <v>12.112</v>
      </c>
      <c r="B1455" s="115">
        <v>12.12</v>
      </c>
      <c r="C1455" s="1">
        <v>120</v>
      </c>
      <c r="D1455" s="1" t="s">
        <v>2570</v>
      </c>
      <c r="E1455" s="1">
        <v>12</v>
      </c>
    </row>
    <row r="1456" spans="1:5" hidden="1" x14ac:dyDescent="0.25">
      <c r="A1456" s="115">
        <v>12.113</v>
      </c>
      <c r="B1456" s="115">
        <v>12.13</v>
      </c>
      <c r="C1456" s="1">
        <v>130</v>
      </c>
      <c r="D1456" s="1" t="s">
        <v>2571</v>
      </c>
      <c r="E1456" s="1">
        <v>12</v>
      </c>
    </row>
    <row r="1457" spans="1:5" hidden="1" x14ac:dyDescent="0.25">
      <c r="A1457" s="115">
        <v>12.114000000000001</v>
      </c>
      <c r="B1457" s="115">
        <v>12.14</v>
      </c>
      <c r="C1457" s="1">
        <v>140</v>
      </c>
      <c r="D1457" s="1" t="s">
        <v>2572</v>
      </c>
      <c r="E1457" s="1">
        <v>12</v>
      </c>
    </row>
    <row r="1458" spans="1:5" hidden="1" x14ac:dyDescent="0.25">
      <c r="A1458" s="115">
        <v>12.115</v>
      </c>
      <c r="B1458" s="115">
        <v>12.15</v>
      </c>
      <c r="C1458" s="1">
        <v>150</v>
      </c>
      <c r="D1458" s="1" t="s">
        <v>2573</v>
      </c>
      <c r="E1458" s="1">
        <v>12</v>
      </c>
    </row>
    <row r="1459" spans="1:5" hidden="1" x14ac:dyDescent="0.25">
      <c r="A1459" s="115">
        <v>12.116</v>
      </c>
      <c r="B1459" s="115">
        <v>12.16</v>
      </c>
      <c r="C1459" s="1">
        <v>160</v>
      </c>
      <c r="D1459" s="1" t="s">
        <v>2574</v>
      </c>
      <c r="E1459" s="1">
        <v>12</v>
      </c>
    </row>
    <row r="1460" spans="1:5" hidden="1" x14ac:dyDescent="0.25">
      <c r="A1460" s="115">
        <v>12.117000000000001</v>
      </c>
      <c r="B1460" s="115">
        <v>12.17</v>
      </c>
      <c r="C1460" s="1">
        <v>170</v>
      </c>
      <c r="D1460" s="1" t="s">
        <v>2575</v>
      </c>
      <c r="E1460" s="1">
        <v>12</v>
      </c>
    </row>
    <row r="1461" spans="1:5" hidden="1" x14ac:dyDescent="0.25">
      <c r="A1461" s="115">
        <v>12.118</v>
      </c>
      <c r="B1461" s="115">
        <v>12.18</v>
      </c>
      <c r="C1461" s="1">
        <v>180</v>
      </c>
      <c r="D1461" s="1" t="s">
        <v>2576</v>
      </c>
      <c r="E1461" s="1">
        <v>12</v>
      </c>
    </row>
    <row r="1462" spans="1:5" hidden="1" x14ac:dyDescent="0.25">
      <c r="A1462" s="115">
        <v>12.119</v>
      </c>
      <c r="B1462" s="115">
        <v>12.19</v>
      </c>
      <c r="C1462" s="1">
        <v>190</v>
      </c>
      <c r="D1462" s="1" t="s">
        <v>2577</v>
      </c>
      <c r="E1462" s="1">
        <v>12</v>
      </c>
    </row>
    <row r="1463" spans="1:5" hidden="1" x14ac:dyDescent="0.25">
      <c r="A1463" s="115">
        <v>12.12</v>
      </c>
      <c r="B1463" s="115">
        <v>12.2</v>
      </c>
      <c r="C1463" s="1">
        <v>200</v>
      </c>
      <c r="D1463" s="1" t="s">
        <v>2578</v>
      </c>
      <c r="E1463" s="1">
        <v>12</v>
      </c>
    </row>
    <row r="1464" spans="1:5" hidden="1" x14ac:dyDescent="0.25">
      <c r="A1464" s="115">
        <v>12.121</v>
      </c>
      <c r="B1464" s="115">
        <v>12.21</v>
      </c>
      <c r="C1464" s="1">
        <v>210</v>
      </c>
      <c r="D1464" s="1" t="s">
        <v>2579</v>
      </c>
      <c r="E1464" s="1">
        <v>12</v>
      </c>
    </row>
    <row r="1465" spans="1:5" hidden="1" x14ac:dyDescent="0.25">
      <c r="A1465" s="115">
        <v>12.122</v>
      </c>
      <c r="B1465" s="115">
        <v>12.22</v>
      </c>
      <c r="C1465" s="1">
        <v>220</v>
      </c>
      <c r="D1465" s="1" t="s">
        <v>2580</v>
      </c>
      <c r="E1465" s="1">
        <v>12</v>
      </c>
    </row>
    <row r="1466" spans="1:5" hidden="1" x14ac:dyDescent="0.25">
      <c r="A1466" s="115">
        <v>12.122999999999999</v>
      </c>
      <c r="B1466" s="115">
        <v>12.23</v>
      </c>
      <c r="C1466" s="1">
        <v>230</v>
      </c>
      <c r="D1466" s="1" t="s">
        <v>2581</v>
      </c>
      <c r="E1466" s="1">
        <v>12</v>
      </c>
    </row>
    <row r="1467" spans="1:5" hidden="1" x14ac:dyDescent="0.25">
      <c r="A1467" s="115">
        <v>12.124000000000001</v>
      </c>
      <c r="B1467" s="115">
        <v>12.24</v>
      </c>
      <c r="C1467" s="1">
        <v>240</v>
      </c>
      <c r="D1467" s="1" t="s">
        <v>2582</v>
      </c>
      <c r="E1467" s="1">
        <v>12</v>
      </c>
    </row>
    <row r="1468" spans="1:5" hidden="1" x14ac:dyDescent="0.25">
      <c r="A1468" s="115">
        <v>12.125</v>
      </c>
      <c r="B1468" s="115">
        <v>12.25</v>
      </c>
      <c r="C1468" s="1">
        <v>250</v>
      </c>
      <c r="D1468" s="1" t="s">
        <v>2583</v>
      </c>
      <c r="E1468" s="1">
        <v>12</v>
      </c>
    </row>
    <row r="1469" spans="1:5" hidden="1" x14ac:dyDescent="0.25">
      <c r="A1469" s="115">
        <v>12.125999999999999</v>
      </c>
      <c r="B1469" s="115">
        <v>12.26</v>
      </c>
      <c r="C1469" s="1">
        <v>260</v>
      </c>
      <c r="D1469" s="1" t="s">
        <v>2584</v>
      </c>
      <c r="E1469" s="1">
        <v>12</v>
      </c>
    </row>
    <row r="1470" spans="1:5" hidden="1" x14ac:dyDescent="0.25">
      <c r="A1470" s="115">
        <v>12.127000000000001</v>
      </c>
      <c r="B1470" s="115">
        <v>12.27</v>
      </c>
      <c r="C1470" s="1">
        <v>270</v>
      </c>
      <c r="D1470" s="1" t="s">
        <v>2585</v>
      </c>
      <c r="E1470" s="1">
        <v>12</v>
      </c>
    </row>
    <row r="1471" spans="1:5" hidden="1" x14ac:dyDescent="0.25">
      <c r="A1471" s="115">
        <v>12.128</v>
      </c>
      <c r="B1471" s="115">
        <v>12.28</v>
      </c>
      <c r="C1471" s="1">
        <v>280</v>
      </c>
      <c r="D1471" s="1" t="s">
        <v>2586</v>
      </c>
      <c r="E1471" s="1">
        <v>12</v>
      </c>
    </row>
    <row r="1472" spans="1:5" hidden="1" x14ac:dyDescent="0.25">
      <c r="A1472" s="115">
        <v>12.129</v>
      </c>
      <c r="B1472" s="115">
        <v>12.29</v>
      </c>
      <c r="C1472" s="1">
        <v>290</v>
      </c>
      <c r="D1472" s="1" t="s">
        <v>2587</v>
      </c>
      <c r="E1472" s="1">
        <v>12</v>
      </c>
    </row>
    <row r="1473" spans="1:5" hidden="1" x14ac:dyDescent="0.25">
      <c r="A1473" s="115">
        <v>12.13</v>
      </c>
      <c r="B1473" s="115">
        <v>12.3</v>
      </c>
      <c r="C1473" s="1">
        <v>300</v>
      </c>
      <c r="D1473" s="1" t="s">
        <v>2588</v>
      </c>
      <c r="E1473" s="1">
        <v>12</v>
      </c>
    </row>
    <row r="1474" spans="1:5" hidden="1" x14ac:dyDescent="0.25">
      <c r="A1474" s="115">
        <v>12.131</v>
      </c>
      <c r="B1474" s="115">
        <v>12.31</v>
      </c>
      <c r="C1474" s="1">
        <v>310</v>
      </c>
      <c r="D1474" s="1" t="s">
        <v>2589</v>
      </c>
      <c r="E1474" s="1">
        <v>12</v>
      </c>
    </row>
    <row r="1475" spans="1:5" hidden="1" x14ac:dyDescent="0.25">
      <c r="A1475" s="115">
        <v>12.132</v>
      </c>
      <c r="B1475" s="115">
        <v>12.32</v>
      </c>
      <c r="C1475" s="1">
        <v>320</v>
      </c>
      <c r="D1475" s="1" t="s">
        <v>2590</v>
      </c>
      <c r="E1475" s="1">
        <v>12</v>
      </c>
    </row>
    <row r="1476" spans="1:5" hidden="1" x14ac:dyDescent="0.25">
      <c r="A1476" s="115">
        <v>12.132999999999999</v>
      </c>
      <c r="B1476" s="115">
        <v>12.33</v>
      </c>
      <c r="C1476" s="1">
        <v>330</v>
      </c>
      <c r="D1476" s="1" t="s">
        <v>2591</v>
      </c>
      <c r="E1476" s="1">
        <v>12</v>
      </c>
    </row>
    <row r="1477" spans="1:5" hidden="1" x14ac:dyDescent="0.25">
      <c r="A1477" s="115">
        <v>12.134</v>
      </c>
      <c r="B1477" s="115">
        <v>12.34</v>
      </c>
      <c r="C1477" s="1">
        <v>340</v>
      </c>
      <c r="D1477" s="1" t="s">
        <v>2592</v>
      </c>
      <c r="E1477" s="1">
        <v>12</v>
      </c>
    </row>
    <row r="1478" spans="1:5" hidden="1" x14ac:dyDescent="0.25">
      <c r="A1478" s="115">
        <v>12.135</v>
      </c>
      <c r="B1478" s="115">
        <v>12.35</v>
      </c>
      <c r="C1478" s="1">
        <v>350</v>
      </c>
      <c r="D1478" s="1" t="s">
        <v>2593</v>
      </c>
      <c r="E1478" s="1">
        <v>12</v>
      </c>
    </row>
    <row r="1479" spans="1:5" hidden="1" x14ac:dyDescent="0.25">
      <c r="A1479" s="115">
        <v>12.135999999999999</v>
      </c>
      <c r="B1479" s="115">
        <v>12.36</v>
      </c>
      <c r="C1479" s="1">
        <v>360</v>
      </c>
      <c r="D1479" s="1" t="s">
        <v>2594</v>
      </c>
      <c r="E1479" s="1">
        <v>12</v>
      </c>
    </row>
    <row r="1480" spans="1:5" hidden="1" x14ac:dyDescent="0.25">
      <c r="A1480" s="115">
        <v>12.137</v>
      </c>
      <c r="B1480" s="115">
        <v>12.37</v>
      </c>
      <c r="C1480" s="1">
        <v>370</v>
      </c>
      <c r="D1480" s="1" t="s">
        <v>2595</v>
      </c>
      <c r="E1480" s="1">
        <v>12</v>
      </c>
    </row>
    <row r="1481" spans="1:5" hidden="1" x14ac:dyDescent="0.25">
      <c r="A1481" s="115">
        <v>12.138</v>
      </c>
      <c r="B1481" s="115">
        <v>12.38</v>
      </c>
      <c r="C1481" s="1">
        <v>380</v>
      </c>
      <c r="D1481" s="1" t="s">
        <v>2596</v>
      </c>
      <c r="E1481" s="1">
        <v>12</v>
      </c>
    </row>
    <row r="1482" spans="1:5" hidden="1" x14ac:dyDescent="0.25">
      <c r="A1482" s="115">
        <v>12.138999999999999</v>
      </c>
      <c r="B1482" s="115">
        <v>12.39</v>
      </c>
      <c r="C1482" s="1">
        <v>390</v>
      </c>
      <c r="D1482" s="1" t="s">
        <v>2597</v>
      </c>
      <c r="E1482" s="1">
        <v>12</v>
      </c>
    </row>
    <row r="1483" spans="1:5" hidden="1" x14ac:dyDescent="0.25">
      <c r="A1483" s="115">
        <v>12.14</v>
      </c>
      <c r="B1483" s="115">
        <v>12.4</v>
      </c>
      <c r="C1483" s="1">
        <v>400</v>
      </c>
      <c r="D1483" s="1" t="s">
        <v>2598</v>
      </c>
      <c r="E1483" s="1">
        <v>12</v>
      </c>
    </row>
    <row r="1484" spans="1:5" hidden="1" x14ac:dyDescent="0.25">
      <c r="A1484" s="115">
        <v>12.141</v>
      </c>
      <c r="B1484" s="115">
        <v>12.41</v>
      </c>
      <c r="C1484" s="1">
        <v>410</v>
      </c>
      <c r="D1484" s="1" t="s">
        <v>2599</v>
      </c>
      <c r="E1484" s="1">
        <v>12</v>
      </c>
    </row>
    <row r="1485" spans="1:5" hidden="1" x14ac:dyDescent="0.25">
      <c r="A1485" s="115">
        <v>12.141999999999999</v>
      </c>
      <c r="B1485" s="115">
        <v>12.42</v>
      </c>
      <c r="C1485" s="1">
        <v>420</v>
      </c>
      <c r="D1485" s="1" t="s">
        <v>2600</v>
      </c>
      <c r="E1485" s="1">
        <v>12</v>
      </c>
    </row>
    <row r="1486" spans="1:5" hidden="1" x14ac:dyDescent="0.25">
      <c r="A1486" s="115">
        <v>12.143000000000001</v>
      </c>
      <c r="B1486" s="115">
        <v>12.43</v>
      </c>
      <c r="C1486" s="1">
        <v>430</v>
      </c>
      <c r="D1486" s="1" t="s">
        <v>2601</v>
      </c>
      <c r="E1486" s="1">
        <v>12</v>
      </c>
    </row>
    <row r="1487" spans="1:5" hidden="1" x14ac:dyDescent="0.25">
      <c r="A1487" s="115">
        <v>12.144</v>
      </c>
      <c r="B1487" s="115">
        <v>12.44</v>
      </c>
      <c r="C1487" s="1">
        <v>440</v>
      </c>
      <c r="D1487" s="1" t="s">
        <v>2602</v>
      </c>
      <c r="E1487" s="1">
        <v>12</v>
      </c>
    </row>
    <row r="1488" spans="1:5" hidden="1" x14ac:dyDescent="0.25">
      <c r="A1488" s="115">
        <v>12.145</v>
      </c>
      <c r="B1488" s="115">
        <v>12.445</v>
      </c>
      <c r="C1488" s="1">
        <v>445</v>
      </c>
      <c r="D1488" s="1" t="s">
        <v>2603</v>
      </c>
      <c r="E1488" s="1">
        <v>12</v>
      </c>
    </row>
    <row r="1489" spans="1:5" hidden="1" x14ac:dyDescent="0.25">
      <c r="A1489" s="115">
        <v>12.146000000000001</v>
      </c>
      <c r="B1489" s="115">
        <v>12.45</v>
      </c>
      <c r="C1489" s="1">
        <v>450</v>
      </c>
      <c r="D1489" s="1" t="s">
        <v>2604</v>
      </c>
      <c r="E1489" s="1">
        <v>12</v>
      </c>
    </row>
    <row r="1490" spans="1:5" hidden="1" x14ac:dyDescent="0.25">
      <c r="A1490" s="115">
        <v>12.147</v>
      </c>
      <c r="B1490" s="115">
        <v>12.46</v>
      </c>
      <c r="C1490" s="1">
        <v>460</v>
      </c>
      <c r="D1490" s="1" t="s">
        <v>2605</v>
      </c>
      <c r="E1490" s="1">
        <v>12</v>
      </c>
    </row>
    <row r="1491" spans="1:5" hidden="1" x14ac:dyDescent="0.25">
      <c r="A1491" s="115">
        <v>12.148</v>
      </c>
      <c r="B1491" s="115">
        <v>12.47</v>
      </c>
      <c r="C1491" s="1">
        <v>470</v>
      </c>
      <c r="D1491" s="1" t="s">
        <v>2606</v>
      </c>
      <c r="E1491" s="1">
        <v>12</v>
      </c>
    </row>
    <row r="1492" spans="1:5" hidden="1" x14ac:dyDescent="0.25">
      <c r="A1492" s="115">
        <v>12.148999999999999</v>
      </c>
      <c r="B1492" s="115">
        <v>12.48</v>
      </c>
      <c r="C1492" s="1">
        <v>480</v>
      </c>
      <c r="D1492" s="1" t="s">
        <v>2607</v>
      </c>
      <c r="E1492" s="1">
        <v>12</v>
      </c>
    </row>
    <row r="1493" spans="1:5" hidden="1" x14ac:dyDescent="0.25">
      <c r="A1493" s="115">
        <v>12.15</v>
      </c>
      <c r="B1493" s="115">
        <v>12.49</v>
      </c>
      <c r="C1493" s="1">
        <v>490</v>
      </c>
      <c r="D1493" s="1" t="s">
        <v>2608</v>
      </c>
      <c r="E1493" s="1">
        <v>12</v>
      </c>
    </row>
    <row r="1494" spans="1:5" hidden="1" x14ac:dyDescent="0.25">
      <c r="A1494" s="115">
        <v>12.151</v>
      </c>
      <c r="B1494" s="115">
        <v>12.5</v>
      </c>
      <c r="C1494" s="1">
        <v>500</v>
      </c>
      <c r="D1494" s="1" t="s">
        <v>2609</v>
      </c>
      <c r="E1494" s="1">
        <v>12</v>
      </c>
    </row>
    <row r="1495" spans="1:5" hidden="1" x14ac:dyDescent="0.25">
      <c r="A1495" s="115">
        <v>12.151999999999999</v>
      </c>
      <c r="B1495" s="115">
        <v>12.51</v>
      </c>
      <c r="C1495" s="1">
        <v>510</v>
      </c>
      <c r="D1495" s="1" t="s">
        <v>2610</v>
      </c>
      <c r="E1495" s="1">
        <v>12</v>
      </c>
    </row>
    <row r="1496" spans="1:5" hidden="1" x14ac:dyDescent="0.25">
      <c r="A1496" s="115">
        <v>12.153</v>
      </c>
      <c r="B1496" s="115">
        <v>12.52</v>
      </c>
      <c r="C1496" s="1">
        <v>520</v>
      </c>
      <c r="D1496" s="1" t="s">
        <v>2611</v>
      </c>
      <c r="E1496" s="1">
        <v>12</v>
      </c>
    </row>
    <row r="1497" spans="1:5" hidden="1" x14ac:dyDescent="0.25">
      <c r="A1497" s="115">
        <v>12.154</v>
      </c>
      <c r="B1497" s="115">
        <v>12.53</v>
      </c>
      <c r="C1497" s="1">
        <v>530</v>
      </c>
      <c r="D1497" s="1" t="s">
        <v>2612</v>
      </c>
      <c r="E1497" s="1">
        <v>12</v>
      </c>
    </row>
    <row r="1498" spans="1:5" hidden="1" x14ac:dyDescent="0.25">
      <c r="A1498" s="115">
        <v>12.154999999999999</v>
      </c>
      <c r="B1498" s="115">
        <v>12.54</v>
      </c>
      <c r="C1498" s="1">
        <v>540</v>
      </c>
      <c r="D1498" s="1" t="s">
        <v>2613</v>
      </c>
      <c r="E1498" s="1">
        <v>12</v>
      </c>
    </row>
    <row r="1499" spans="1:5" hidden="1" x14ac:dyDescent="0.25">
      <c r="A1499" s="115">
        <v>12.156000000000001</v>
      </c>
      <c r="B1499" s="115">
        <v>12.55</v>
      </c>
      <c r="C1499" s="1">
        <v>550</v>
      </c>
      <c r="D1499" s="1" t="s">
        <v>2614</v>
      </c>
      <c r="E1499" s="1">
        <v>12</v>
      </c>
    </row>
    <row r="1500" spans="1:5" hidden="1" x14ac:dyDescent="0.25">
      <c r="A1500" s="115">
        <v>12.157</v>
      </c>
      <c r="B1500" s="115">
        <v>12.56</v>
      </c>
      <c r="C1500" s="1">
        <v>560</v>
      </c>
      <c r="D1500" s="1" t="s">
        <v>2615</v>
      </c>
      <c r="E1500" s="1">
        <v>12</v>
      </c>
    </row>
    <row r="1501" spans="1:5" hidden="1" x14ac:dyDescent="0.25">
      <c r="A1501" s="115">
        <v>12.157999999999999</v>
      </c>
      <c r="B1501" s="115">
        <v>12.57</v>
      </c>
      <c r="C1501" s="1">
        <v>570</v>
      </c>
      <c r="D1501" s="1" t="s">
        <v>2616</v>
      </c>
      <c r="E1501" s="1">
        <v>12</v>
      </c>
    </row>
    <row r="1502" spans="1:5" hidden="1" x14ac:dyDescent="0.25">
      <c r="A1502" s="115">
        <v>12.159000000000001</v>
      </c>
      <c r="B1502" s="115">
        <v>12.574999999999999</v>
      </c>
      <c r="C1502" s="1">
        <v>575</v>
      </c>
      <c r="D1502" s="1" t="s">
        <v>2617</v>
      </c>
      <c r="E1502" s="1">
        <v>12</v>
      </c>
    </row>
    <row r="1503" spans="1:5" hidden="1" x14ac:dyDescent="0.25">
      <c r="A1503" s="115">
        <v>12.16</v>
      </c>
      <c r="B1503" s="115">
        <v>12.576000000000001</v>
      </c>
      <c r="C1503" s="1">
        <v>576</v>
      </c>
      <c r="D1503" s="1" t="s">
        <v>2618</v>
      </c>
      <c r="E1503" s="1">
        <v>12</v>
      </c>
    </row>
    <row r="1504" spans="1:5" hidden="1" x14ac:dyDescent="0.25">
      <c r="A1504" s="115">
        <v>12.161</v>
      </c>
      <c r="B1504" s="115">
        <v>12.58</v>
      </c>
      <c r="C1504" s="1">
        <v>580</v>
      </c>
      <c r="D1504" s="1" t="s">
        <v>2619</v>
      </c>
      <c r="E1504" s="1">
        <v>12</v>
      </c>
    </row>
    <row r="1505" spans="1:5" hidden="1" x14ac:dyDescent="0.25">
      <c r="A1505" s="115">
        <v>12.162000000000001</v>
      </c>
      <c r="B1505" s="115">
        <v>12.59</v>
      </c>
      <c r="C1505" s="1">
        <v>590</v>
      </c>
      <c r="D1505" s="1" t="s">
        <v>1099</v>
      </c>
      <c r="E1505" s="1">
        <v>12</v>
      </c>
    </row>
    <row r="1506" spans="1:5" hidden="1" x14ac:dyDescent="0.25">
      <c r="A1506" s="115">
        <v>12.163</v>
      </c>
      <c r="B1506" s="115">
        <v>12.6</v>
      </c>
      <c r="C1506" s="1">
        <v>600</v>
      </c>
      <c r="D1506" s="1" t="s">
        <v>2620</v>
      </c>
      <c r="E1506" s="1">
        <v>12</v>
      </c>
    </row>
    <row r="1507" spans="1:5" hidden="1" x14ac:dyDescent="0.25">
      <c r="A1507" s="115">
        <v>12.164</v>
      </c>
      <c r="B1507" s="115">
        <v>12.61</v>
      </c>
      <c r="C1507" s="1">
        <v>610</v>
      </c>
      <c r="D1507" s="1" t="s">
        <v>2621</v>
      </c>
      <c r="E1507" s="1">
        <v>12</v>
      </c>
    </row>
    <row r="1508" spans="1:5" hidden="1" x14ac:dyDescent="0.25">
      <c r="A1508" s="115">
        <v>12.164999999999999</v>
      </c>
      <c r="B1508" s="115">
        <v>12.62</v>
      </c>
      <c r="C1508" s="1">
        <v>620</v>
      </c>
      <c r="D1508" s="1" t="s">
        <v>2622</v>
      </c>
      <c r="E1508" s="1">
        <v>12</v>
      </c>
    </row>
    <row r="1509" spans="1:5" hidden="1" x14ac:dyDescent="0.25">
      <c r="A1509" s="115">
        <v>12.166</v>
      </c>
      <c r="B1509" s="115">
        <v>12.63</v>
      </c>
      <c r="C1509" s="1">
        <v>630</v>
      </c>
      <c r="D1509" s="1" t="s">
        <v>2623</v>
      </c>
      <c r="E1509" s="1">
        <v>12</v>
      </c>
    </row>
    <row r="1510" spans="1:5" hidden="1" x14ac:dyDescent="0.25">
      <c r="A1510" s="115">
        <v>12.167</v>
      </c>
      <c r="B1510" s="115">
        <v>12.64</v>
      </c>
      <c r="C1510" s="1">
        <v>640</v>
      </c>
      <c r="D1510" s="1" t="s">
        <v>2624</v>
      </c>
      <c r="E1510" s="1">
        <v>12</v>
      </c>
    </row>
    <row r="1511" spans="1:5" hidden="1" x14ac:dyDescent="0.25">
      <c r="A1511" s="115">
        <v>12.167999999999999</v>
      </c>
      <c r="B1511" s="115">
        <v>12.65</v>
      </c>
      <c r="C1511" s="1">
        <v>650</v>
      </c>
      <c r="D1511" s="1" t="s">
        <v>2625</v>
      </c>
      <c r="E1511" s="1">
        <v>12</v>
      </c>
    </row>
    <row r="1512" spans="1:5" hidden="1" x14ac:dyDescent="0.25">
      <c r="A1512" s="115">
        <v>12.169</v>
      </c>
      <c r="B1512" s="115">
        <v>12.66</v>
      </c>
      <c r="C1512" s="1">
        <v>660</v>
      </c>
      <c r="D1512" s="1" t="s">
        <v>2626</v>
      </c>
      <c r="E1512" s="1">
        <v>12</v>
      </c>
    </row>
    <row r="1513" spans="1:5" hidden="1" x14ac:dyDescent="0.25">
      <c r="A1513" s="115">
        <v>12.17</v>
      </c>
      <c r="B1513" s="115">
        <v>12.67</v>
      </c>
      <c r="C1513" s="1">
        <v>670</v>
      </c>
      <c r="D1513" s="1" t="s">
        <v>2627</v>
      </c>
      <c r="E1513" s="1">
        <v>12</v>
      </c>
    </row>
    <row r="1514" spans="1:5" hidden="1" x14ac:dyDescent="0.25">
      <c r="A1514" s="115">
        <v>12.170999999999999</v>
      </c>
      <c r="B1514" s="115">
        <v>12.68</v>
      </c>
      <c r="C1514" s="1">
        <v>680</v>
      </c>
      <c r="D1514" s="1" t="s">
        <v>2628</v>
      </c>
      <c r="E1514" s="1">
        <v>12</v>
      </c>
    </row>
    <row r="1515" spans="1:5" hidden="1" x14ac:dyDescent="0.25">
      <c r="A1515" s="115">
        <v>12.172000000000001</v>
      </c>
      <c r="B1515" s="115">
        <v>12.69</v>
      </c>
      <c r="C1515" s="1">
        <v>690</v>
      </c>
      <c r="D1515" s="1" t="s">
        <v>2629</v>
      </c>
      <c r="E1515" s="1">
        <v>12</v>
      </c>
    </row>
    <row r="1516" spans="1:5" hidden="1" x14ac:dyDescent="0.25">
      <c r="A1516" s="115">
        <v>12.173</v>
      </c>
      <c r="B1516" s="115">
        <v>12.7</v>
      </c>
      <c r="C1516" s="1">
        <v>700</v>
      </c>
      <c r="D1516" s="1" t="s">
        <v>2630</v>
      </c>
      <c r="E1516" s="1">
        <v>12</v>
      </c>
    </row>
    <row r="1517" spans="1:5" hidden="1" x14ac:dyDescent="0.25">
      <c r="A1517" s="115">
        <v>12.173999999999999</v>
      </c>
      <c r="B1517" s="115">
        <v>12.71</v>
      </c>
      <c r="C1517" s="1">
        <v>710</v>
      </c>
      <c r="D1517" s="1" t="s">
        <v>2631</v>
      </c>
      <c r="E1517" s="1">
        <v>12</v>
      </c>
    </row>
    <row r="1518" spans="1:5" hidden="1" x14ac:dyDescent="0.25">
      <c r="A1518" s="115">
        <v>12.175000000000001</v>
      </c>
      <c r="B1518" s="115">
        <v>12.72</v>
      </c>
      <c r="C1518" s="1">
        <v>720</v>
      </c>
      <c r="D1518" s="1" t="s">
        <v>2632</v>
      </c>
      <c r="E1518" s="1">
        <v>12</v>
      </c>
    </row>
    <row r="1519" spans="1:5" hidden="1" x14ac:dyDescent="0.25">
      <c r="A1519" s="115">
        <v>12.176</v>
      </c>
      <c r="B1519" s="115">
        <v>12.73</v>
      </c>
      <c r="C1519" s="1">
        <v>730</v>
      </c>
      <c r="D1519" s="1" t="s">
        <v>2633</v>
      </c>
      <c r="E1519" s="1">
        <v>12</v>
      </c>
    </row>
    <row r="1520" spans="1:5" hidden="1" x14ac:dyDescent="0.25">
      <c r="A1520" s="115">
        <v>12.177</v>
      </c>
      <c r="B1520" s="115">
        <v>12.74</v>
      </c>
      <c r="C1520" s="1">
        <v>740</v>
      </c>
      <c r="D1520" s="1" t="s">
        <v>2634</v>
      </c>
      <c r="E1520" s="1">
        <v>12</v>
      </c>
    </row>
    <row r="1521" spans="1:5" hidden="1" x14ac:dyDescent="0.25">
      <c r="A1521" s="115">
        <v>12.178000000000001</v>
      </c>
      <c r="B1521" s="115">
        <v>12.75</v>
      </c>
      <c r="C1521" s="1">
        <v>750</v>
      </c>
      <c r="D1521" s="1" t="s">
        <v>2635</v>
      </c>
      <c r="E1521" s="1">
        <v>12</v>
      </c>
    </row>
    <row r="1522" spans="1:5" hidden="1" x14ac:dyDescent="0.25">
      <c r="A1522" s="115">
        <v>12.179</v>
      </c>
      <c r="B1522" s="115">
        <v>12.755000000000001</v>
      </c>
      <c r="C1522" s="1">
        <v>755</v>
      </c>
      <c r="D1522" s="1" t="s">
        <v>1466</v>
      </c>
      <c r="E1522" s="1">
        <v>12</v>
      </c>
    </row>
    <row r="1523" spans="1:5" hidden="1" x14ac:dyDescent="0.25">
      <c r="A1523" s="115">
        <v>12.18</v>
      </c>
      <c r="B1523" s="115">
        <v>12.76</v>
      </c>
      <c r="C1523" s="1">
        <v>760</v>
      </c>
      <c r="D1523" s="1" t="s">
        <v>2636</v>
      </c>
      <c r="E1523" s="1">
        <v>12</v>
      </c>
    </row>
    <row r="1524" spans="1:5" hidden="1" x14ac:dyDescent="0.25">
      <c r="A1524" s="115">
        <v>12.180999999999999</v>
      </c>
      <c r="B1524" s="115">
        <v>12.77</v>
      </c>
      <c r="C1524" s="1">
        <v>770</v>
      </c>
      <c r="D1524" s="1" t="s">
        <v>2637</v>
      </c>
      <c r="E1524" s="1">
        <v>12</v>
      </c>
    </row>
    <row r="1525" spans="1:5" hidden="1" x14ac:dyDescent="0.25">
      <c r="A1525" s="115">
        <v>12.182</v>
      </c>
      <c r="B1525" s="115">
        <v>12.78</v>
      </c>
      <c r="C1525" s="1">
        <v>780</v>
      </c>
      <c r="D1525" s="1" t="s">
        <v>2638</v>
      </c>
      <c r="E1525" s="1">
        <v>12</v>
      </c>
    </row>
    <row r="1526" spans="1:5" hidden="1" x14ac:dyDescent="0.25">
      <c r="A1526" s="115">
        <v>12.183</v>
      </c>
      <c r="B1526" s="115">
        <v>12.79</v>
      </c>
      <c r="C1526" s="1">
        <v>790</v>
      </c>
      <c r="D1526" s="1" t="s">
        <v>2639</v>
      </c>
      <c r="E1526" s="1">
        <v>12</v>
      </c>
    </row>
    <row r="1527" spans="1:5" hidden="1" x14ac:dyDescent="0.25">
      <c r="A1527" s="115">
        <v>12.183999999999999</v>
      </c>
      <c r="B1527" s="115">
        <v>12.8</v>
      </c>
      <c r="C1527" s="1">
        <v>800</v>
      </c>
      <c r="D1527" s="1" t="s">
        <v>2640</v>
      </c>
      <c r="E1527" s="1">
        <v>12</v>
      </c>
    </row>
    <row r="1528" spans="1:5" hidden="1" x14ac:dyDescent="0.25">
      <c r="A1528" s="115">
        <v>12.185</v>
      </c>
      <c r="B1528" s="115">
        <v>12.805</v>
      </c>
      <c r="C1528" s="1">
        <v>805</v>
      </c>
      <c r="D1528" s="1" t="s">
        <v>2641</v>
      </c>
      <c r="E1528" s="1">
        <v>12</v>
      </c>
    </row>
    <row r="1529" spans="1:5" hidden="1" x14ac:dyDescent="0.25">
      <c r="A1529" s="115">
        <v>12.186</v>
      </c>
      <c r="B1529" s="115">
        <v>12.81</v>
      </c>
      <c r="C1529" s="1">
        <v>810</v>
      </c>
      <c r="D1529" s="1" t="s">
        <v>2642</v>
      </c>
      <c r="E1529" s="1">
        <v>12</v>
      </c>
    </row>
    <row r="1530" spans="1:5" hidden="1" x14ac:dyDescent="0.25">
      <c r="A1530" s="115">
        <v>12.186999999999999</v>
      </c>
      <c r="B1530" s="115">
        <v>12.82</v>
      </c>
      <c r="C1530" s="1">
        <v>820</v>
      </c>
      <c r="D1530" s="1" t="s">
        <v>2643</v>
      </c>
      <c r="E1530" s="1">
        <v>12</v>
      </c>
    </row>
    <row r="1531" spans="1:5" hidden="1" x14ac:dyDescent="0.25">
      <c r="A1531" s="115">
        <v>12.188000000000001</v>
      </c>
      <c r="B1531" s="115">
        <v>12.83</v>
      </c>
      <c r="C1531" s="1">
        <v>830</v>
      </c>
      <c r="D1531" s="1" t="s">
        <v>2644</v>
      </c>
      <c r="E1531" s="1">
        <v>12</v>
      </c>
    </row>
    <row r="1532" spans="1:5" hidden="1" x14ac:dyDescent="0.25">
      <c r="A1532" s="115">
        <v>12.189</v>
      </c>
      <c r="B1532" s="115">
        <v>12.84</v>
      </c>
      <c r="C1532" s="1">
        <v>840</v>
      </c>
      <c r="D1532" s="1" t="s">
        <v>2645</v>
      </c>
      <c r="E1532" s="1">
        <v>12</v>
      </c>
    </row>
    <row r="1533" spans="1:5" hidden="1" x14ac:dyDescent="0.25">
      <c r="A1533" s="115">
        <v>12.19</v>
      </c>
      <c r="B1533" s="115">
        <v>12.85</v>
      </c>
      <c r="C1533" s="1">
        <v>850</v>
      </c>
      <c r="D1533" s="1" t="s">
        <v>2646</v>
      </c>
      <c r="E1533" s="1">
        <v>12</v>
      </c>
    </row>
    <row r="1534" spans="1:5" hidden="1" x14ac:dyDescent="0.25">
      <c r="A1534" s="115">
        <v>12.191000000000001</v>
      </c>
      <c r="B1534" s="115">
        <v>12.86</v>
      </c>
      <c r="C1534" s="1">
        <v>860</v>
      </c>
      <c r="D1534" s="1" t="s">
        <v>2647</v>
      </c>
      <c r="E1534" s="1">
        <v>12</v>
      </c>
    </row>
    <row r="1535" spans="1:5" hidden="1" x14ac:dyDescent="0.25">
      <c r="A1535" s="115">
        <v>12.192</v>
      </c>
      <c r="B1535" s="115">
        <v>12.87</v>
      </c>
      <c r="C1535" s="1">
        <v>870</v>
      </c>
      <c r="D1535" s="1" t="s">
        <v>2648</v>
      </c>
      <c r="E1535" s="1">
        <v>12</v>
      </c>
    </row>
    <row r="1536" spans="1:5" hidden="1" x14ac:dyDescent="0.25">
      <c r="A1536" s="115">
        <v>12.193</v>
      </c>
      <c r="B1536" s="115">
        <v>12.88</v>
      </c>
      <c r="C1536" s="1">
        <v>880</v>
      </c>
      <c r="D1536" s="1" t="s">
        <v>2649</v>
      </c>
      <c r="E1536" s="1">
        <v>12</v>
      </c>
    </row>
    <row r="1537" spans="1:5" hidden="1" x14ac:dyDescent="0.25">
      <c r="A1537" s="115">
        <v>12.194000000000001</v>
      </c>
      <c r="B1537" s="115">
        <v>12.89</v>
      </c>
      <c r="C1537" s="1">
        <v>890</v>
      </c>
      <c r="D1537" s="1" t="s">
        <v>2650</v>
      </c>
      <c r="E1537" s="1">
        <v>12</v>
      </c>
    </row>
    <row r="1538" spans="1:5" hidden="1" x14ac:dyDescent="0.25">
      <c r="A1538" s="115">
        <v>12.195</v>
      </c>
      <c r="B1538" s="115">
        <v>12.895</v>
      </c>
      <c r="C1538" s="1">
        <v>895</v>
      </c>
      <c r="D1538" s="1" t="s">
        <v>2651</v>
      </c>
      <c r="E1538" s="1">
        <v>12</v>
      </c>
    </row>
    <row r="1539" spans="1:5" hidden="1" x14ac:dyDescent="0.25">
      <c r="A1539" s="115">
        <v>12.196</v>
      </c>
      <c r="B1539" s="115">
        <v>12.9</v>
      </c>
      <c r="C1539" s="1">
        <v>900</v>
      </c>
      <c r="D1539" s="1" t="s">
        <v>2652</v>
      </c>
      <c r="E1539" s="1">
        <v>12</v>
      </c>
    </row>
    <row r="1540" spans="1:5" hidden="1" x14ac:dyDescent="0.25">
      <c r="A1540" s="115">
        <v>12.196999999999999</v>
      </c>
      <c r="B1540" s="115">
        <v>12.91</v>
      </c>
      <c r="C1540" s="1">
        <v>910</v>
      </c>
      <c r="D1540" s="1" t="s">
        <v>2653</v>
      </c>
      <c r="E1540" s="1">
        <v>12</v>
      </c>
    </row>
    <row r="1541" spans="1:5" hidden="1" x14ac:dyDescent="0.25">
      <c r="A1541" s="115">
        <v>12.198</v>
      </c>
      <c r="B1541" s="115">
        <v>12.92</v>
      </c>
      <c r="C1541" s="1">
        <v>920</v>
      </c>
      <c r="D1541" s="1" t="s">
        <v>2654</v>
      </c>
      <c r="E1541" s="1">
        <v>12</v>
      </c>
    </row>
    <row r="1542" spans="1:5" hidden="1" x14ac:dyDescent="0.25">
      <c r="A1542" s="115">
        <v>12.199</v>
      </c>
      <c r="B1542" s="115">
        <v>12.925000000000001</v>
      </c>
      <c r="C1542" s="1">
        <v>925</v>
      </c>
      <c r="D1542" s="1" t="s">
        <v>2655</v>
      </c>
      <c r="E1542" s="1">
        <v>12</v>
      </c>
    </row>
    <row r="1543" spans="1:5" hidden="1" x14ac:dyDescent="0.25">
      <c r="A1543" s="115">
        <v>12.2</v>
      </c>
      <c r="B1543" s="115">
        <v>12.93</v>
      </c>
      <c r="C1543" s="1">
        <v>930</v>
      </c>
      <c r="D1543" s="1" t="s">
        <v>2656</v>
      </c>
      <c r="E1543" s="1">
        <v>12</v>
      </c>
    </row>
    <row r="1544" spans="1:5" hidden="1" x14ac:dyDescent="0.25">
      <c r="A1544" s="115">
        <v>12.201000000000001</v>
      </c>
      <c r="B1544" s="115">
        <v>12.935</v>
      </c>
      <c r="C1544" s="1">
        <v>935</v>
      </c>
      <c r="D1544" s="1" t="s">
        <v>2657</v>
      </c>
      <c r="E1544" s="1">
        <v>12</v>
      </c>
    </row>
    <row r="1545" spans="1:5" hidden="1" x14ac:dyDescent="0.25">
      <c r="A1545" s="115">
        <v>12.202</v>
      </c>
      <c r="B1545" s="115">
        <v>12.94</v>
      </c>
      <c r="C1545" s="1">
        <v>940</v>
      </c>
      <c r="D1545" s="1" t="s">
        <v>2658</v>
      </c>
      <c r="E1545" s="1">
        <v>12</v>
      </c>
    </row>
    <row r="1546" spans="1:5" hidden="1" x14ac:dyDescent="0.25">
      <c r="A1546" s="115">
        <v>12.202999999999999</v>
      </c>
      <c r="B1546" s="115">
        <v>12.95</v>
      </c>
      <c r="C1546" s="1">
        <v>950</v>
      </c>
      <c r="D1546" s="1" t="s">
        <v>2659</v>
      </c>
      <c r="E1546" s="1">
        <v>12</v>
      </c>
    </row>
    <row r="1547" spans="1:5" hidden="1" x14ac:dyDescent="0.25">
      <c r="A1547" s="115">
        <v>12.204000000000001</v>
      </c>
      <c r="B1547" s="115">
        <v>12.955</v>
      </c>
      <c r="C1547" s="1">
        <v>955</v>
      </c>
      <c r="D1547" s="1" t="s">
        <v>2660</v>
      </c>
      <c r="E1547" s="1">
        <v>12</v>
      </c>
    </row>
    <row r="1548" spans="1:5" hidden="1" x14ac:dyDescent="0.25">
      <c r="A1548" s="115">
        <v>12.205</v>
      </c>
      <c r="B1548" s="115">
        <v>12.96</v>
      </c>
      <c r="C1548" s="1">
        <v>960</v>
      </c>
      <c r="D1548" s="1" t="s">
        <v>2661</v>
      </c>
      <c r="E1548" s="1">
        <v>12</v>
      </c>
    </row>
    <row r="1549" spans="1:5" hidden="1" x14ac:dyDescent="0.25">
      <c r="A1549" s="115">
        <v>12.206</v>
      </c>
      <c r="B1549" s="115">
        <v>12.97</v>
      </c>
      <c r="C1549" s="1">
        <v>970</v>
      </c>
      <c r="D1549" s="1" t="s">
        <v>2662</v>
      </c>
      <c r="E1549" s="1">
        <v>12</v>
      </c>
    </row>
    <row r="1550" spans="1:5" hidden="1" x14ac:dyDescent="0.25">
      <c r="A1550" s="115">
        <v>12.207000000000001</v>
      </c>
      <c r="B1550" s="115">
        <v>12.98</v>
      </c>
      <c r="C1550" s="1">
        <v>980</v>
      </c>
      <c r="D1550" s="1" t="s">
        <v>2663</v>
      </c>
      <c r="E1550" s="1">
        <v>12</v>
      </c>
    </row>
    <row r="1551" spans="1:5" hidden="1" x14ac:dyDescent="0.25">
      <c r="A1551" s="115">
        <v>12.208</v>
      </c>
      <c r="B1551" s="115">
        <v>12.99</v>
      </c>
      <c r="C1551" s="1">
        <v>990</v>
      </c>
      <c r="D1551" s="1" t="s">
        <v>2664</v>
      </c>
      <c r="E1551" s="1">
        <v>12</v>
      </c>
    </row>
    <row r="1552" spans="1:5" hidden="1" x14ac:dyDescent="0.25">
      <c r="A1552" s="115">
        <v>12.209</v>
      </c>
      <c r="B1552" s="115">
        <v>12.1</v>
      </c>
      <c r="C1552" s="1">
        <v>1000</v>
      </c>
      <c r="D1552" s="1" t="s">
        <v>2665</v>
      </c>
      <c r="E1552" s="1">
        <v>12</v>
      </c>
    </row>
    <row r="1553" spans="1:5" hidden="1" x14ac:dyDescent="0.25">
      <c r="A1553" s="115">
        <v>12.21</v>
      </c>
      <c r="B1553" s="115">
        <v>12.11</v>
      </c>
      <c r="C1553" s="1">
        <v>1100</v>
      </c>
      <c r="D1553" s="1" t="s">
        <v>2666</v>
      </c>
      <c r="E1553" s="1">
        <v>12</v>
      </c>
    </row>
    <row r="1554" spans="1:5" hidden="1" x14ac:dyDescent="0.25">
      <c r="A1554" s="115">
        <v>12.211</v>
      </c>
      <c r="B1554" s="115">
        <v>12.111000000000001</v>
      </c>
      <c r="C1554" s="1">
        <v>1110</v>
      </c>
      <c r="D1554" s="1" t="s">
        <v>2667</v>
      </c>
      <c r="E1554" s="1">
        <v>12</v>
      </c>
    </row>
    <row r="1555" spans="1:5" hidden="1" x14ac:dyDescent="0.25">
      <c r="A1555" s="115">
        <v>12.212</v>
      </c>
      <c r="B1555" s="115">
        <v>12.112</v>
      </c>
      <c r="C1555" s="1">
        <v>1120</v>
      </c>
      <c r="D1555" s="1" t="s">
        <v>2668</v>
      </c>
      <c r="E1555" s="1">
        <v>12</v>
      </c>
    </row>
    <row r="1556" spans="1:5" hidden="1" x14ac:dyDescent="0.25">
      <c r="A1556" s="115">
        <v>12.212999999999999</v>
      </c>
      <c r="B1556" s="115">
        <v>12.113</v>
      </c>
      <c r="C1556" s="1">
        <v>1130</v>
      </c>
      <c r="D1556" s="1" t="s">
        <v>2669</v>
      </c>
      <c r="E1556" s="1">
        <v>12</v>
      </c>
    </row>
    <row r="1557" spans="1:5" hidden="1" x14ac:dyDescent="0.25">
      <c r="A1557" s="115">
        <v>12.214</v>
      </c>
      <c r="B1557" s="115">
        <v>12.114000000000001</v>
      </c>
      <c r="C1557" s="1">
        <v>1140</v>
      </c>
      <c r="D1557" s="1" t="s">
        <v>2670</v>
      </c>
      <c r="E1557" s="1">
        <v>12</v>
      </c>
    </row>
    <row r="1558" spans="1:5" hidden="1" x14ac:dyDescent="0.25">
      <c r="A1558" s="115">
        <v>12.215</v>
      </c>
      <c r="B1558" s="115">
        <v>12.115</v>
      </c>
      <c r="C1558" s="1">
        <v>1150</v>
      </c>
      <c r="D1558" s="1" t="s">
        <v>2671</v>
      </c>
      <c r="E1558" s="1">
        <v>12</v>
      </c>
    </row>
    <row r="1559" spans="1:5" hidden="1" x14ac:dyDescent="0.25">
      <c r="A1559" s="115">
        <v>12.215999999999999</v>
      </c>
      <c r="B1559" s="115">
        <v>12.116</v>
      </c>
      <c r="C1559" s="1">
        <v>1160</v>
      </c>
      <c r="D1559" s="1" t="s">
        <v>2672</v>
      </c>
      <c r="E1559" s="1">
        <v>12</v>
      </c>
    </row>
    <row r="1560" spans="1:5" hidden="1" x14ac:dyDescent="0.25">
      <c r="A1560" s="115">
        <v>12.217000000000001</v>
      </c>
      <c r="B1560" s="115">
        <v>12.117000000000001</v>
      </c>
      <c r="C1560" s="1">
        <v>1170</v>
      </c>
      <c r="D1560" s="1" t="s">
        <v>2673</v>
      </c>
      <c r="E1560" s="1">
        <v>12</v>
      </c>
    </row>
    <row r="1561" spans="1:5" hidden="1" x14ac:dyDescent="0.25">
      <c r="A1561" s="115">
        <v>12.218</v>
      </c>
      <c r="B1561" s="115">
        <v>12.118</v>
      </c>
      <c r="C1561" s="1">
        <v>1180</v>
      </c>
      <c r="D1561" s="1" t="s">
        <v>2674</v>
      </c>
      <c r="E1561" s="1">
        <v>12</v>
      </c>
    </row>
    <row r="1562" spans="1:5" hidden="1" x14ac:dyDescent="0.25">
      <c r="A1562" s="115">
        <v>12.218999999999999</v>
      </c>
      <c r="B1562" s="115">
        <v>12.119</v>
      </c>
      <c r="C1562" s="1">
        <v>1190</v>
      </c>
      <c r="D1562" s="1" t="s">
        <v>2675</v>
      </c>
      <c r="E1562" s="1">
        <v>12</v>
      </c>
    </row>
    <row r="1563" spans="1:5" hidden="1" x14ac:dyDescent="0.25">
      <c r="A1563" s="115">
        <v>12.22</v>
      </c>
      <c r="B1563" s="115">
        <v>12.12</v>
      </c>
      <c r="C1563" s="1">
        <v>1200</v>
      </c>
      <c r="D1563" s="1" t="s">
        <v>2676</v>
      </c>
      <c r="E1563" s="1">
        <v>12</v>
      </c>
    </row>
    <row r="1564" spans="1:5" hidden="1" x14ac:dyDescent="0.25">
      <c r="A1564" s="115">
        <v>12.221</v>
      </c>
      <c r="B1564" s="115">
        <v>12.121</v>
      </c>
      <c r="C1564" s="1">
        <v>1210</v>
      </c>
      <c r="D1564" s="1" t="s">
        <v>2677</v>
      </c>
      <c r="E1564" s="1">
        <v>12</v>
      </c>
    </row>
    <row r="1565" spans="1:5" hidden="1" x14ac:dyDescent="0.25">
      <c r="A1565" s="115">
        <v>12.222</v>
      </c>
      <c r="B1565" s="115">
        <v>12.122</v>
      </c>
      <c r="C1565" s="1">
        <v>1220</v>
      </c>
      <c r="D1565" s="1" t="s">
        <v>2678</v>
      </c>
      <c r="E1565" s="1">
        <v>12</v>
      </c>
    </row>
    <row r="1566" spans="1:5" hidden="1" x14ac:dyDescent="0.25">
      <c r="A1566" s="115">
        <v>12.223000000000001</v>
      </c>
      <c r="B1566" s="115">
        <v>12.122999999999999</v>
      </c>
      <c r="C1566" s="1">
        <v>1230</v>
      </c>
      <c r="D1566" s="1" t="s">
        <v>2679</v>
      </c>
      <c r="E1566" s="1">
        <v>12</v>
      </c>
    </row>
    <row r="1567" spans="1:5" hidden="1" x14ac:dyDescent="0.25">
      <c r="A1567" s="115">
        <v>12.224</v>
      </c>
      <c r="B1567" s="115">
        <v>12.124000000000001</v>
      </c>
      <c r="C1567" s="1">
        <v>1240</v>
      </c>
      <c r="D1567" s="1" t="s">
        <v>2680</v>
      </c>
      <c r="E1567" s="1">
        <v>12</v>
      </c>
    </row>
    <row r="1568" spans="1:5" hidden="1" x14ac:dyDescent="0.25">
      <c r="A1568" s="115">
        <v>12.225</v>
      </c>
      <c r="B1568" s="115">
        <v>12.125</v>
      </c>
      <c r="C1568" s="1">
        <v>1250</v>
      </c>
      <c r="D1568" s="1" t="s">
        <v>2681</v>
      </c>
      <c r="E1568" s="1">
        <v>12</v>
      </c>
    </row>
    <row r="1569" spans="1:5" hidden="1" x14ac:dyDescent="0.25">
      <c r="A1569" s="115">
        <v>12.226000000000001</v>
      </c>
      <c r="B1569" s="115">
        <v>12.125999999999999</v>
      </c>
      <c r="C1569" s="1">
        <v>1260</v>
      </c>
      <c r="D1569" s="1" t="s">
        <v>2682</v>
      </c>
      <c r="E1569" s="1">
        <v>12</v>
      </c>
    </row>
    <row r="1570" spans="1:5" hidden="1" x14ac:dyDescent="0.25">
      <c r="A1570" s="115">
        <v>12.227</v>
      </c>
      <c r="B1570" s="115">
        <v>12.127000000000001</v>
      </c>
      <c r="C1570" s="1">
        <v>1270</v>
      </c>
      <c r="D1570" s="1" t="s">
        <v>2683</v>
      </c>
      <c r="E1570" s="1">
        <v>12</v>
      </c>
    </row>
    <row r="1571" spans="1:5" hidden="1" x14ac:dyDescent="0.25">
      <c r="A1571" s="115">
        <v>12.228</v>
      </c>
      <c r="B1571" s="115">
        <v>12.128</v>
      </c>
      <c r="C1571" s="1">
        <v>1280</v>
      </c>
      <c r="D1571" s="1" t="s">
        <v>2684</v>
      </c>
      <c r="E1571" s="1">
        <v>12</v>
      </c>
    </row>
    <row r="1572" spans="1:5" hidden="1" x14ac:dyDescent="0.25">
      <c r="A1572" s="115">
        <v>12.228999999999999</v>
      </c>
      <c r="B1572" s="115">
        <v>12.13</v>
      </c>
      <c r="C1572" s="1">
        <v>1300</v>
      </c>
      <c r="D1572" s="1" t="s">
        <v>2685</v>
      </c>
      <c r="E1572" s="1">
        <v>12</v>
      </c>
    </row>
    <row r="1573" spans="1:5" hidden="1" x14ac:dyDescent="0.25">
      <c r="A1573" s="115">
        <v>12.23</v>
      </c>
      <c r="B1573" s="115">
        <v>12.131</v>
      </c>
      <c r="C1573" s="1">
        <v>1310</v>
      </c>
      <c r="D1573" s="1" t="s">
        <v>2686</v>
      </c>
      <c r="E1573" s="1">
        <v>12</v>
      </c>
    </row>
    <row r="1574" spans="1:5" hidden="1" x14ac:dyDescent="0.25">
      <c r="A1574" s="115">
        <v>12.231</v>
      </c>
      <c r="B1574" s="115">
        <v>12.132</v>
      </c>
      <c r="C1574" s="1">
        <v>1320</v>
      </c>
      <c r="D1574" s="1" t="s">
        <v>2687</v>
      </c>
      <c r="E1574" s="1">
        <v>12</v>
      </c>
    </row>
    <row r="1575" spans="1:5" hidden="1" x14ac:dyDescent="0.25">
      <c r="A1575" s="115">
        <v>13.101000000000001</v>
      </c>
      <c r="B1575" s="115">
        <v>13.1</v>
      </c>
      <c r="C1575" s="1">
        <v>10</v>
      </c>
      <c r="D1575" s="1" t="s">
        <v>2559</v>
      </c>
      <c r="E1575" s="1">
        <v>13</v>
      </c>
    </row>
    <row r="1576" spans="1:5" hidden="1" x14ac:dyDescent="0.25">
      <c r="A1576" s="115">
        <v>13.102</v>
      </c>
      <c r="B1576" s="115">
        <v>13.2</v>
      </c>
      <c r="C1576" s="1">
        <v>20</v>
      </c>
      <c r="D1576" s="1" t="s">
        <v>2560</v>
      </c>
      <c r="E1576" s="1">
        <v>13</v>
      </c>
    </row>
    <row r="1577" spans="1:5" hidden="1" x14ac:dyDescent="0.25">
      <c r="A1577" s="115">
        <v>13.103</v>
      </c>
      <c r="B1577" s="115">
        <v>13.3</v>
      </c>
      <c r="C1577" s="1">
        <v>30</v>
      </c>
      <c r="D1577" s="1" t="s">
        <v>2561</v>
      </c>
      <c r="E1577" s="1">
        <v>13</v>
      </c>
    </row>
    <row r="1578" spans="1:5" hidden="1" x14ac:dyDescent="0.25">
      <c r="A1578" s="115">
        <v>13.103999999999999</v>
      </c>
      <c r="B1578" s="115">
        <v>13.4</v>
      </c>
      <c r="C1578" s="1">
        <v>40</v>
      </c>
      <c r="D1578" s="1" t="s">
        <v>2562</v>
      </c>
      <c r="E1578" s="1">
        <v>13</v>
      </c>
    </row>
    <row r="1579" spans="1:5" hidden="1" x14ac:dyDescent="0.25">
      <c r="A1579" s="115">
        <v>13.105</v>
      </c>
      <c r="B1579" s="115">
        <v>13.5</v>
      </c>
      <c r="C1579" s="1">
        <v>50</v>
      </c>
      <c r="D1579" s="1" t="s">
        <v>2563</v>
      </c>
      <c r="E1579" s="1">
        <v>13</v>
      </c>
    </row>
    <row r="1580" spans="1:5" hidden="1" x14ac:dyDescent="0.25">
      <c r="A1580" s="115">
        <v>13.106</v>
      </c>
      <c r="B1580" s="115">
        <v>13.6</v>
      </c>
      <c r="C1580" s="1">
        <v>60</v>
      </c>
      <c r="D1580" s="1" t="s">
        <v>2564</v>
      </c>
      <c r="E1580" s="1">
        <v>13</v>
      </c>
    </row>
    <row r="1581" spans="1:5" hidden="1" x14ac:dyDescent="0.25">
      <c r="A1581" s="115">
        <v>13.106999999999999</v>
      </c>
      <c r="B1581" s="115">
        <v>13.7</v>
      </c>
      <c r="C1581" s="1">
        <v>70</v>
      </c>
      <c r="D1581" s="1" t="s">
        <v>2565</v>
      </c>
      <c r="E1581" s="1">
        <v>13</v>
      </c>
    </row>
    <row r="1582" spans="1:5" hidden="1" x14ac:dyDescent="0.25">
      <c r="A1582" s="115">
        <v>13.108000000000001</v>
      </c>
      <c r="B1582" s="115">
        <v>13.8</v>
      </c>
      <c r="C1582" s="1">
        <v>80</v>
      </c>
      <c r="D1582" s="1" t="s">
        <v>2566</v>
      </c>
      <c r="E1582" s="1">
        <v>13</v>
      </c>
    </row>
    <row r="1583" spans="1:5" hidden="1" x14ac:dyDescent="0.25">
      <c r="A1583" s="115">
        <v>13.109</v>
      </c>
      <c r="B1583" s="115">
        <v>13.9</v>
      </c>
      <c r="C1583" s="1">
        <v>90</v>
      </c>
      <c r="D1583" s="1" t="s">
        <v>2567</v>
      </c>
      <c r="E1583" s="1">
        <v>13</v>
      </c>
    </row>
    <row r="1584" spans="1:5" hidden="1" x14ac:dyDescent="0.25">
      <c r="A1584" s="115">
        <v>13.11</v>
      </c>
      <c r="B1584" s="115">
        <v>13.1</v>
      </c>
      <c r="C1584" s="1">
        <v>100</v>
      </c>
      <c r="D1584" s="1" t="s">
        <v>2568</v>
      </c>
      <c r="E1584" s="1">
        <v>13</v>
      </c>
    </row>
    <row r="1585" spans="1:5" hidden="1" x14ac:dyDescent="0.25">
      <c r="A1585" s="115">
        <v>13.111000000000001</v>
      </c>
      <c r="B1585" s="115">
        <v>13.11</v>
      </c>
      <c r="C1585" s="1">
        <v>110</v>
      </c>
      <c r="D1585" s="1" t="s">
        <v>2569</v>
      </c>
      <c r="E1585" s="1">
        <v>13</v>
      </c>
    </row>
    <row r="1586" spans="1:5" hidden="1" x14ac:dyDescent="0.25">
      <c r="A1586" s="115">
        <v>13.112</v>
      </c>
      <c r="B1586" s="115">
        <v>13.12</v>
      </c>
      <c r="C1586" s="1">
        <v>120</v>
      </c>
      <c r="D1586" s="1" t="s">
        <v>2570</v>
      </c>
      <c r="E1586" s="1">
        <v>13</v>
      </c>
    </row>
    <row r="1587" spans="1:5" hidden="1" x14ac:dyDescent="0.25">
      <c r="A1587" s="115">
        <v>13.113</v>
      </c>
      <c r="B1587" s="115">
        <v>13.13</v>
      </c>
      <c r="C1587" s="1">
        <v>130</v>
      </c>
      <c r="D1587" s="1" t="s">
        <v>2571</v>
      </c>
      <c r="E1587" s="1">
        <v>13</v>
      </c>
    </row>
    <row r="1588" spans="1:5" hidden="1" x14ac:dyDescent="0.25">
      <c r="A1588" s="115">
        <v>13.114000000000001</v>
      </c>
      <c r="B1588" s="115">
        <v>13.14</v>
      </c>
      <c r="C1588" s="1">
        <v>140</v>
      </c>
      <c r="D1588" s="1" t="s">
        <v>2572</v>
      </c>
      <c r="E1588" s="1">
        <v>13</v>
      </c>
    </row>
    <row r="1589" spans="1:5" hidden="1" x14ac:dyDescent="0.25">
      <c r="A1589" s="115">
        <v>13.115</v>
      </c>
      <c r="B1589" s="115">
        <v>13.15</v>
      </c>
      <c r="C1589" s="1">
        <v>150</v>
      </c>
      <c r="D1589" s="1" t="s">
        <v>2573</v>
      </c>
      <c r="E1589" s="1">
        <v>13</v>
      </c>
    </row>
    <row r="1590" spans="1:5" hidden="1" x14ac:dyDescent="0.25">
      <c r="A1590" s="115">
        <v>13.116</v>
      </c>
      <c r="B1590" s="115">
        <v>13.16</v>
      </c>
      <c r="C1590" s="1">
        <v>160</v>
      </c>
      <c r="D1590" s="1" t="s">
        <v>2574</v>
      </c>
      <c r="E1590" s="1">
        <v>13</v>
      </c>
    </row>
    <row r="1591" spans="1:5" hidden="1" x14ac:dyDescent="0.25">
      <c r="A1591" s="115">
        <v>13.117000000000001</v>
      </c>
      <c r="B1591" s="115">
        <v>13.17</v>
      </c>
      <c r="C1591" s="1">
        <v>170</v>
      </c>
      <c r="D1591" s="1" t="s">
        <v>2575</v>
      </c>
      <c r="E1591" s="1">
        <v>13</v>
      </c>
    </row>
    <row r="1592" spans="1:5" hidden="1" x14ac:dyDescent="0.25">
      <c r="A1592" s="115">
        <v>13.118</v>
      </c>
      <c r="B1592" s="115">
        <v>13.18</v>
      </c>
      <c r="C1592" s="1">
        <v>180</v>
      </c>
      <c r="D1592" s="1" t="s">
        <v>2576</v>
      </c>
      <c r="E1592" s="1">
        <v>13</v>
      </c>
    </row>
    <row r="1593" spans="1:5" hidden="1" x14ac:dyDescent="0.25">
      <c r="A1593" s="115">
        <v>13.119</v>
      </c>
      <c r="B1593" s="115">
        <v>13.19</v>
      </c>
      <c r="C1593" s="1">
        <v>190</v>
      </c>
      <c r="D1593" s="1" t="s">
        <v>2577</v>
      </c>
      <c r="E1593" s="1">
        <v>13</v>
      </c>
    </row>
    <row r="1594" spans="1:5" hidden="1" x14ac:dyDescent="0.25">
      <c r="A1594" s="115">
        <v>13.12</v>
      </c>
      <c r="B1594" s="115">
        <v>13.2</v>
      </c>
      <c r="C1594" s="1">
        <v>200</v>
      </c>
      <c r="D1594" s="1" t="s">
        <v>2578</v>
      </c>
      <c r="E1594" s="1">
        <v>13</v>
      </c>
    </row>
    <row r="1595" spans="1:5" hidden="1" x14ac:dyDescent="0.25">
      <c r="A1595" s="115">
        <v>13.121</v>
      </c>
      <c r="B1595" s="115">
        <v>13.21</v>
      </c>
      <c r="C1595" s="1">
        <v>210</v>
      </c>
      <c r="D1595" s="1" t="s">
        <v>2579</v>
      </c>
      <c r="E1595" s="1">
        <v>13</v>
      </c>
    </row>
    <row r="1596" spans="1:5" hidden="1" x14ac:dyDescent="0.25">
      <c r="A1596" s="115">
        <v>13.122</v>
      </c>
      <c r="B1596" s="115">
        <v>13.22</v>
      </c>
      <c r="C1596" s="1">
        <v>220</v>
      </c>
      <c r="D1596" s="1" t="s">
        <v>2580</v>
      </c>
      <c r="E1596" s="1">
        <v>13</v>
      </c>
    </row>
    <row r="1597" spans="1:5" hidden="1" x14ac:dyDescent="0.25">
      <c r="A1597" s="115">
        <v>13.122999999999999</v>
      </c>
      <c r="B1597" s="115">
        <v>13.23</v>
      </c>
      <c r="C1597" s="1">
        <v>230</v>
      </c>
      <c r="D1597" s="1" t="s">
        <v>2581</v>
      </c>
      <c r="E1597" s="1">
        <v>13</v>
      </c>
    </row>
    <row r="1598" spans="1:5" hidden="1" x14ac:dyDescent="0.25">
      <c r="A1598" s="115">
        <v>13.124000000000001</v>
      </c>
      <c r="B1598" s="115">
        <v>13.24</v>
      </c>
      <c r="C1598" s="1">
        <v>240</v>
      </c>
      <c r="D1598" s="1" t="s">
        <v>2582</v>
      </c>
      <c r="E1598" s="1">
        <v>13</v>
      </c>
    </row>
    <row r="1599" spans="1:5" hidden="1" x14ac:dyDescent="0.25">
      <c r="A1599" s="115">
        <v>13.125</v>
      </c>
      <c r="B1599" s="115">
        <v>13.25</v>
      </c>
      <c r="C1599" s="1">
        <v>250</v>
      </c>
      <c r="D1599" s="1" t="s">
        <v>2583</v>
      </c>
      <c r="E1599" s="1">
        <v>13</v>
      </c>
    </row>
    <row r="1600" spans="1:5" hidden="1" x14ac:dyDescent="0.25">
      <c r="A1600" s="115">
        <v>13.125999999999999</v>
      </c>
      <c r="B1600" s="115">
        <v>13.26</v>
      </c>
      <c r="C1600" s="1">
        <v>260</v>
      </c>
      <c r="D1600" s="1" t="s">
        <v>2584</v>
      </c>
      <c r="E1600" s="1">
        <v>13</v>
      </c>
    </row>
    <row r="1601" spans="1:5" hidden="1" x14ac:dyDescent="0.25">
      <c r="A1601" s="115">
        <v>13.127000000000001</v>
      </c>
      <c r="B1601" s="115">
        <v>13.27</v>
      </c>
      <c r="C1601" s="1">
        <v>270</v>
      </c>
      <c r="D1601" s="1" t="s">
        <v>2585</v>
      </c>
      <c r="E1601" s="1">
        <v>13</v>
      </c>
    </row>
    <row r="1602" spans="1:5" hidden="1" x14ac:dyDescent="0.25">
      <c r="A1602" s="115">
        <v>13.128</v>
      </c>
      <c r="B1602" s="115">
        <v>13.28</v>
      </c>
      <c r="C1602" s="1">
        <v>280</v>
      </c>
      <c r="D1602" s="1" t="s">
        <v>2586</v>
      </c>
      <c r="E1602" s="1">
        <v>13</v>
      </c>
    </row>
    <row r="1603" spans="1:5" hidden="1" x14ac:dyDescent="0.25">
      <c r="A1603" s="115">
        <v>13.129</v>
      </c>
      <c r="B1603" s="115">
        <v>13.29</v>
      </c>
      <c r="C1603" s="1">
        <v>290</v>
      </c>
      <c r="D1603" s="1" t="s">
        <v>2587</v>
      </c>
      <c r="E1603" s="1">
        <v>13</v>
      </c>
    </row>
    <row r="1604" spans="1:5" hidden="1" x14ac:dyDescent="0.25">
      <c r="A1604" s="115">
        <v>13.13</v>
      </c>
      <c r="B1604" s="115">
        <v>13.3</v>
      </c>
      <c r="C1604" s="1">
        <v>300</v>
      </c>
      <c r="D1604" s="1" t="s">
        <v>2588</v>
      </c>
      <c r="E1604" s="1">
        <v>13</v>
      </c>
    </row>
    <row r="1605" spans="1:5" hidden="1" x14ac:dyDescent="0.25">
      <c r="A1605" s="115">
        <v>13.131</v>
      </c>
      <c r="B1605" s="115">
        <v>13.31</v>
      </c>
      <c r="C1605" s="1">
        <v>310</v>
      </c>
      <c r="D1605" s="1" t="s">
        <v>2589</v>
      </c>
      <c r="E1605" s="1">
        <v>13</v>
      </c>
    </row>
    <row r="1606" spans="1:5" hidden="1" x14ac:dyDescent="0.25">
      <c r="A1606" s="115">
        <v>13.132</v>
      </c>
      <c r="B1606" s="115">
        <v>13.32</v>
      </c>
      <c r="C1606" s="1">
        <v>320</v>
      </c>
      <c r="D1606" s="1" t="s">
        <v>2590</v>
      </c>
      <c r="E1606" s="1">
        <v>13</v>
      </c>
    </row>
    <row r="1607" spans="1:5" hidden="1" x14ac:dyDescent="0.25">
      <c r="A1607" s="115">
        <v>13.132999999999999</v>
      </c>
      <c r="B1607" s="115">
        <v>13.33</v>
      </c>
      <c r="C1607" s="1">
        <v>330</v>
      </c>
      <c r="D1607" s="1" t="s">
        <v>2591</v>
      </c>
      <c r="E1607" s="1">
        <v>13</v>
      </c>
    </row>
    <row r="1608" spans="1:5" hidden="1" x14ac:dyDescent="0.25">
      <c r="A1608" s="115">
        <v>13.134</v>
      </c>
      <c r="B1608" s="115">
        <v>13.34</v>
      </c>
      <c r="C1608" s="1">
        <v>340</v>
      </c>
      <c r="D1608" s="1" t="s">
        <v>2592</v>
      </c>
      <c r="E1608" s="1">
        <v>13</v>
      </c>
    </row>
    <row r="1609" spans="1:5" hidden="1" x14ac:dyDescent="0.25">
      <c r="A1609" s="115">
        <v>13.135</v>
      </c>
      <c r="B1609" s="115">
        <v>13.35</v>
      </c>
      <c r="C1609" s="1">
        <v>350</v>
      </c>
      <c r="D1609" s="1" t="s">
        <v>2593</v>
      </c>
      <c r="E1609" s="1">
        <v>13</v>
      </c>
    </row>
    <row r="1610" spans="1:5" hidden="1" x14ac:dyDescent="0.25">
      <c r="A1610" s="115">
        <v>13.135999999999999</v>
      </c>
      <c r="B1610" s="115">
        <v>13.36</v>
      </c>
      <c r="C1610" s="1">
        <v>360</v>
      </c>
      <c r="D1610" s="1" t="s">
        <v>2594</v>
      </c>
      <c r="E1610" s="1">
        <v>13</v>
      </c>
    </row>
    <row r="1611" spans="1:5" hidden="1" x14ac:dyDescent="0.25">
      <c r="A1611" s="115">
        <v>13.137</v>
      </c>
      <c r="B1611" s="115">
        <v>13.37</v>
      </c>
      <c r="C1611" s="1">
        <v>370</v>
      </c>
      <c r="D1611" s="1" t="s">
        <v>2595</v>
      </c>
      <c r="E1611" s="1">
        <v>13</v>
      </c>
    </row>
    <row r="1612" spans="1:5" hidden="1" x14ac:dyDescent="0.25">
      <c r="A1612" s="115">
        <v>13.138</v>
      </c>
      <c r="B1612" s="115">
        <v>13.38</v>
      </c>
      <c r="C1612" s="1">
        <v>380</v>
      </c>
      <c r="D1612" s="1" t="s">
        <v>2596</v>
      </c>
      <c r="E1612" s="1">
        <v>13</v>
      </c>
    </row>
    <row r="1613" spans="1:5" hidden="1" x14ac:dyDescent="0.25">
      <c r="A1613" s="115">
        <v>13.138999999999999</v>
      </c>
      <c r="B1613" s="115">
        <v>13.39</v>
      </c>
      <c r="C1613" s="1">
        <v>390</v>
      </c>
      <c r="D1613" s="1" t="s">
        <v>2597</v>
      </c>
      <c r="E1613" s="1">
        <v>13</v>
      </c>
    </row>
    <row r="1614" spans="1:5" hidden="1" x14ac:dyDescent="0.25">
      <c r="A1614" s="115">
        <v>13.14</v>
      </c>
      <c r="B1614" s="115">
        <v>13.4</v>
      </c>
      <c r="C1614" s="1">
        <v>400</v>
      </c>
      <c r="D1614" s="1" t="s">
        <v>2598</v>
      </c>
      <c r="E1614" s="1">
        <v>13</v>
      </c>
    </row>
    <row r="1615" spans="1:5" hidden="1" x14ac:dyDescent="0.25">
      <c r="A1615" s="115">
        <v>13.141</v>
      </c>
      <c r="B1615" s="115">
        <v>13.41</v>
      </c>
      <c r="C1615" s="1">
        <v>410</v>
      </c>
      <c r="D1615" s="1" t="s">
        <v>2599</v>
      </c>
      <c r="E1615" s="1">
        <v>13</v>
      </c>
    </row>
    <row r="1616" spans="1:5" hidden="1" x14ac:dyDescent="0.25">
      <c r="A1616" s="115">
        <v>13.141999999999999</v>
      </c>
      <c r="B1616" s="115">
        <v>13.42</v>
      </c>
      <c r="C1616" s="1">
        <v>420</v>
      </c>
      <c r="D1616" s="1" t="s">
        <v>2600</v>
      </c>
      <c r="E1616" s="1">
        <v>13</v>
      </c>
    </row>
    <row r="1617" spans="1:5" hidden="1" x14ac:dyDescent="0.25">
      <c r="A1617" s="115">
        <v>13.143000000000001</v>
      </c>
      <c r="B1617" s="115">
        <v>13.43</v>
      </c>
      <c r="C1617" s="1">
        <v>430</v>
      </c>
      <c r="D1617" s="1" t="s">
        <v>2601</v>
      </c>
      <c r="E1617" s="1">
        <v>13</v>
      </c>
    </row>
    <row r="1618" spans="1:5" hidden="1" x14ac:dyDescent="0.25">
      <c r="A1618" s="115">
        <v>13.144</v>
      </c>
      <c r="B1618" s="115">
        <v>13.44</v>
      </c>
      <c r="C1618" s="1">
        <v>440</v>
      </c>
      <c r="D1618" s="1" t="s">
        <v>2602</v>
      </c>
      <c r="E1618" s="1">
        <v>13</v>
      </c>
    </row>
    <row r="1619" spans="1:5" hidden="1" x14ac:dyDescent="0.25">
      <c r="A1619" s="115">
        <v>13.145</v>
      </c>
      <c r="B1619" s="115">
        <v>13.445</v>
      </c>
      <c r="C1619" s="1">
        <v>445</v>
      </c>
      <c r="D1619" s="1" t="s">
        <v>2603</v>
      </c>
      <c r="E1619" s="1">
        <v>13</v>
      </c>
    </row>
    <row r="1620" spans="1:5" hidden="1" x14ac:dyDescent="0.25">
      <c r="A1620" s="115">
        <v>13.146000000000001</v>
      </c>
      <c r="B1620" s="115">
        <v>13.45</v>
      </c>
      <c r="C1620" s="1">
        <v>450</v>
      </c>
      <c r="D1620" s="1" t="s">
        <v>2604</v>
      </c>
      <c r="E1620" s="1">
        <v>13</v>
      </c>
    </row>
    <row r="1621" spans="1:5" hidden="1" x14ac:dyDescent="0.25">
      <c r="A1621" s="115">
        <v>13.147</v>
      </c>
      <c r="B1621" s="115">
        <v>13.46</v>
      </c>
      <c r="C1621" s="1">
        <v>460</v>
      </c>
      <c r="D1621" s="1" t="s">
        <v>2605</v>
      </c>
      <c r="E1621" s="1">
        <v>13</v>
      </c>
    </row>
    <row r="1622" spans="1:5" hidden="1" x14ac:dyDescent="0.25">
      <c r="A1622" s="115">
        <v>13.148</v>
      </c>
      <c r="B1622" s="115">
        <v>13.47</v>
      </c>
      <c r="C1622" s="1">
        <v>470</v>
      </c>
      <c r="D1622" s="1" t="s">
        <v>2606</v>
      </c>
      <c r="E1622" s="1">
        <v>13</v>
      </c>
    </row>
    <row r="1623" spans="1:5" hidden="1" x14ac:dyDescent="0.25">
      <c r="A1623" s="115">
        <v>13.148999999999999</v>
      </c>
      <c r="B1623" s="115">
        <v>13.48</v>
      </c>
      <c r="C1623" s="1">
        <v>480</v>
      </c>
      <c r="D1623" s="1" t="s">
        <v>2607</v>
      </c>
      <c r="E1623" s="1">
        <v>13</v>
      </c>
    </row>
    <row r="1624" spans="1:5" hidden="1" x14ac:dyDescent="0.25">
      <c r="A1624" s="115">
        <v>13.15</v>
      </c>
      <c r="B1624" s="115">
        <v>13.49</v>
      </c>
      <c r="C1624" s="1">
        <v>490</v>
      </c>
      <c r="D1624" s="1" t="s">
        <v>2608</v>
      </c>
      <c r="E1624" s="1">
        <v>13</v>
      </c>
    </row>
    <row r="1625" spans="1:5" hidden="1" x14ac:dyDescent="0.25">
      <c r="A1625" s="115">
        <v>13.151</v>
      </c>
      <c r="B1625" s="115">
        <v>13.5</v>
      </c>
      <c r="C1625" s="1">
        <v>500</v>
      </c>
      <c r="D1625" s="1" t="s">
        <v>2609</v>
      </c>
      <c r="E1625" s="1">
        <v>13</v>
      </c>
    </row>
    <row r="1626" spans="1:5" hidden="1" x14ac:dyDescent="0.25">
      <c r="A1626" s="115">
        <v>13.151999999999999</v>
      </c>
      <c r="B1626" s="115">
        <v>13.51</v>
      </c>
      <c r="C1626" s="1">
        <v>510</v>
      </c>
      <c r="D1626" s="1" t="s">
        <v>2610</v>
      </c>
      <c r="E1626" s="1">
        <v>13</v>
      </c>
    </row>
    <row r="1627" spans="1:5" hidden="1" x14ac:dyDescent="0.25">
      <c r="A1627" s="115">
        <v>13.153</v>
      </c>
      <c r="B1627" s="115">
        <v>13.52</v>
      </c>
      <c r="C1627" s="1">
        <v>520</v>
      </c>
      <c r="D1627" s="1" t="s">
        <v>2611</v>
      </c>
      <c r="E1627" s="1">
        <v>13</v>
      </c>
    </row>
    <row r="1628" spans="1:5" hidden="1" x14ac:dyDescent="0.25">
      <c r="A1628" s="115">
        <v>13.154</v>
      </c>
      <c r="B1628" s="115">
        <v>13.53</v>
      </c>
      <c r="C1628" s="1">
        <v>530</v>
      </c>
      <c r="D1628" s="1" t="s">
        <v>2612</v>
      </c>
      <c r="E1628" s="1">
        <v>13</v>
      </c>
    </row>
    <row r="1629" spans="1:5" hidden="1" x14ac:dyDescent="0.25">
      <c r="A1629" s="115">
        <v>13.154999999999999</v>
      </c>
      <c r="B1629" s="115">
        <v>13.54</v>
      </c>
      <c r="C1629" s="1">
        <v>540</v>
      </c>
      <c r="D1629" s="1" t="s">
        <v>2613</v>
      </c>
      <c r="E1629" s="1">
        <v>13</v>
      </c>
    </row>
    <row r="1630" spans="1:5" hidden="1" x14ac:dyDescent="0.25">
      <c r="A1630" s="115">
        <v>13.156000000000001</v>
      </c>
      <c r="B1630" s="115">
        <v>13.55</v>
      </c>
      <c r="C1630" s="1">
        <v>550</v>
      </c>
      <c r="D1630" s="1" t="s">
        <v>2614</v>
      </c>
      <c r="E1630" s="1">
        <v>13</v>
      </c>
    </row>
    <row r="1631" spans="1:5" hidden="1" x14ac:dyDescent="0.25">
      <c r="A1631" s="115">
        <v>13.157</v>
      </c>
      <c r="B1631" s="115">
        <v>13.56</v>
      </c>
      <c r="C1631" s="1">
        <v>560</v>
      </c>
      <c r="D1631" s="1" t="s">
        <v>2615</v>
      </c>
      <c r="E1631" s="1">
        <v>13</v>
      </c>
    </row>
    <row r="1632" spans="1:5" hidden="1" x14ac:dyDescent="0.25">
      <c r="A1632" s="115">
        <v>13.157999999999999</v>
      </c>
      <c r="B1632" s="115">
        <v>13.57</v>
      </c>
      <c r="C1632" s="1">
        <v>570</v>
      </c>
      <c r="D1632" s="1" t="s">
        <v>2616</v>
      </c>
      <c r="E1632" s="1">
        <v>13</v>
      </c>
    </row>
    <row r="1633" spans="1:5" hidden="1" x14ac:dyDescent="0.25">
      <c r="A1633" s="115">
        <v>13.159000000000001</v>
      </c>
      <c r="B1633" s="115">
        <v>13.574999999999999</v>
      </c>
      <c r="C1633" s="1">
        <v>575</v>
      </c>
      <c r="D1633" s="1" t="s">
        <v>2617</v>
      </c>
      <c r="E1633" s="1">
        <v>13</v>
      </c>
    </row>
    <row r="1634" spans="1:5" hidden="1" x14ac:dyDescent="0.25">
      <c r="A1634" s="115">
        <v>13.16</v>
      </c>
      <c r="B1634" s="115">
        <v>13.576000000000001</v>
      </c>
      <c r="C1634" s="1">
        <v>576</v>
      </c>
      <c r="D1634" s="1" t="s">
        <v>2618</v>
      </c>
      <c r="E1634" s="1">
        <v>13</v>
      </c>
    </row>
    <row r="1635" spans="1:5" hidden="1" x14ac:dyDescent="0.25">
      <c r="A1635" s="115">
        <v>13.161</v>
      </c>
      <c r="B1635" s="115">
        <v>13.58</v>
      </c>
      <c r="C1635" s="1">
        <v>580</v>
      </c>
      <c r="D1635" s="1" t="s">
        <v>2619</v>
      </c>
      <c r="E1635" s="1">
        <v>13</v>
      </c>
    </row>
    <row r="1636" spans="1:5" hidden="1" x14ac:dyDescent="0.25">
      <c r="A1636" s="115">
        <v>13.162000000000001</v>
      </c>
      <c r="B1636" s="115">
        <v>13.59</v>
      </c>
      <c r="C1636" s="1">
        <v>590</v>
      </c>
      <c r="D1636" s="1" t="s">
        <v>1099</v>
      </c>
      <c r="E1636" s="1">
        <v>13</v>
      </c>
    </row>
    <row r="1637" spans="1:5" hidden="1" x14ac:dyDescent="0.25">
      <c r="A1637" s="115">
        <v>13.163</v>
      </c>
      <c r="B1637" s="115">
        <v>13.6</v>
      </c>
      <c r="C1637" s="1">
        <v>600</v>
      </c>
      <c r="D1637" s="1" t="s">
        <v>2620</v>
      </c>
      <c r="E1637" s="1">
        <v>13</v>
      </c>
    </row>
    <row r="1638" spans="1:5" hidden="1" x14ac:dyDescent="0.25">
      <c r="A1638" s="115">
        <v>13.164</v>
      </c>
      <c r="B1638" s="115">
        <v>13.61</v>
      </c>
      <c r="C1638" s="1">
        <v>610</v>
      </c>
      <c r="D1638" s="1" t="s">
        <v>2621</v>
      </c>
      <c r="E1638" s="1">
        <v>13</v>
      </c>
    </row>
    <row r="1639" spans="1:5" hidden="1" x14ac:dyDescent="0.25">
      <c r="A1639" s="115">
        <v>13.164999999999999</v>
      </c>
      <c r="B1639" s="115">
        <v>13.62</v>
      </c>
      <c r="C1639" s="1">
        <v>620</v>
      </c>
      <c r="D1639" s="1" t="s">
        <v>2622</v>
      </c>
      <c r="E1639" s="1">
        <v>13</v>
      </c>
    </row>
    <row r="1640" spans="1:5" hidden="1" x14ac:dyDescent="0.25">
      <c r="A1640" s="115">
        <v>13.166</v>
      </c>
      <c r="B1640" s="115">
        <v>13.63</v>
      </c>
      <c r="C1640" s="1">
        <v>630</v>
      </c>
      <c r="D1640" s="1" t="s">
        <v>2623</v>
      </c>
      <c r="E1640" s="1">
        <v>13</v>
      </c>
    </row>
    <row r="1641" spans="1:5" hidden="1" x14ac:dyDescent="0.25">
      <c r="A1641" s="115">
        <v>13.167</v>
      </c>
      <c r="B1641" s="115">
        <v>13.64</v>
      </c>
      <c r="C1641" s="1">
        <v>640</v>
      </c>
      <c r="D1641" s="1" t="s">
        <v>2624</v>
      </c>
      <c r="E1641" s="1">
        <v>13</v>
      </c>
    </row>
    <row r="1642" spans="1:5" hidden="1" x14ac:dyDescent="0.25">
      <c r="A1642" s="115">
        <v>13.167999999999999</v>
      </c>
      <c r="B1642" s="115">
        <v>13.65</v>
      </c>
      <c r="C1642" s="1">
        <v>650</v>
      </c>
      <c r="D1642" s="1" t="s">
        <v>2625</v>
      </c>
      <c r="E1642" s="1">
        <v>13</v>
      </c>
    </row>
    <row r="1643" spans="1:5" hidden="1" x14ac:dyDescent="0.25">
      <c r="A1643" s="115">
        <v>13.169</v>
      </c>
      <c r="B1643" s="115">
        <v>13.66</v>
      </c>
      <c r="C1643" s="1">
        <v>660</v>
      </c>
      <c r="D1643" s="1" t="s">
        <v>2626</v>
      </c>
      <c r="E1643" s="1">
        <v>13</v>
      </c>
    </row>
    <row r="1644" spans="1:5" hidden="1" x14ac:dyDescent="0.25">
      <c r="A1644" s="115">
        <v>13.17</v>
      </c>
      <c r="B1644" s="115">
        <v>13.67</v>
      </c>
      <c r="C1644" s="1">
        <v>670</v>
      </c>
      <c r="D1644" s="1" t="s">
        <v>2627</v>
      </c>
      <c r="E1644" s="1">
        <v>13</v>
      </c>
    </row>
    <row r="1645" spans="1:5" hidden="1" x14ac:dyDescent="0.25">
      <c r="A1645" s="115">
        <v>13.170999999999999</v>
      </c>
      <c r="B1645" s="115">
        <v>13.68</v>
      </c>
      <c r="C1645" s="1">
        <v>680</v>
      </c>
      <c r="D1645" s="1" t="s">
        <v>2628</v>
      </c>
      <c r="E1645" s="1">
        <v>13</v>
      </c>
    </row>
    <row r="1646" spans="1:5" hidden="1" x14ac:dyDescent="0.25">
      <c r="A1646" s="115">
        <v>13.172000000000001</v>
      </c>
      <c r="B1646" s="115">
        <v>13.69</v>
      </c>
      <c r="C1646" s="1">
        <v>690</v>
      </c>
      <c r="D1646" s="1" t="s">
        <v>2629</v>
      </c>
      <c r="E1646" s="1">
        <v>13</v>
      </c>
    </row>
    <row r="1647" spans="1:5" hidden="1" x14ac:dyDescent="0.25">
      <c r="A1647" s="115">
        <v>13.173</v>
      </c>
      <c r="B1647" s="115">
        <v>13.7</v>
      </c>
      <c r="C1647" s="1">
        <v>700</v>
      </c>
      <c r="D1647" s="1" t="s">
        <v>2630</v>
      </c>
      <c r="E1647" s="1">
        <v>13</v>
      </c>
    </row>
    <row r="1648" spans="1:5" hidden="1" x14ac:dyDescent="0.25">
      <c r="A1648" s="115">
        <v>13.173999999999999</v>
      </c>
      <c r="B1648" s="115">
        <v>13.71</v>
      </c>
      <c r="C1648" s="1">
        <v>710</v>
      </c>
      <c r="D1648" s="1" t="s">
        <v>2631</v>
      </c>
      <c r="E1648" s="1">
        <v>13</v>
      </c>
    </row>
    <row r="1649" spans="1:5" hidden="1" x14ac:dyDescent="0.25">
      <c r="A1649" s="115">
        <v>13.175000000000001</v>
      </c>
      <c r="B1649" s="115">
        <v>13.72</v>
      </c>
      <c r="C1649" s="1">
        <v>720</v>
      </c>
      <c r="D1649" s="1" t="s">
        <v>2632</v>
      </c>
      <c r="E1649" s="1">
        <v>13</v>
      </c>
    </row>
    <row r="1650" spans="1:5" hidden="1" x14ac:dyDescent="0.25">
      <c r="A1650" s="115">
        <v>13.176</v>
      </c>
      <c r="B1650" s="115">
        <v>13.73</v>
      </c>
      <c r="C1650" s="1">
        <v>730</v>
      </c>
      <c r="D1650" s="1" t="s">
        <v>2633</v>
      </c>
      <c r="E1650" s="1">
        <v>13</v>
      </c>
    </row>
    <row r="1651" spans="1:5" hidden="1" x14ac:dyDescent="0.25">
      <c r="A1651" s="115">
        <v>13.177</v>
      </c>
      <c r="B1651" s="115">
        <v>13.74</v>
      </c>
      <c r="C1651" s="1">
        <v>740</v>
      </c>
      <c r="D1651" s="1" t="s">
        <v>2634</v>
      </c>
      <c r="E1651" s="1">
        <v>13</v>
      </c>
    </row>
    <row r="1652" spans="1:5" hidden="1" x14ac:dyDescent="0.25">
      <c r="A1652" s="115">
        <v>13.178000000000001</v>
      </c>
      <c r="B1652" s="115">
        <v>13.75</v>
      </c>
      <c r="C1652" s="1">
        <v>750</v>
      </c>
      <c r="D1652" s="1" t="s">
        <v>2635</v>
      </c>
      <c r="E1652" s="1">
        <v>13</v>
      </c>
    </row>
    <row r="1653" spans="1:5" hidden="1" x14ac:dyDescent="0.25">
      <c r="A1653" s="115">
        <v>13.179</v>
      </c>
      <c r="B1653" s="115">
        <v>13.755000000000001</v>
      </c>
      <c r="C1653" s="1">
        <v>755</v>
      </c>
      <c r="D1653" s="1" t="s">
        <v>1466</v>
      </c>
      <c r="E1653" s="1">
        <v>13</v>
      </c>
    </row>
    <row r="1654" spans="1:5" hidden="1" x14ac:dyDescent="0.25">
      <c r="A1654" s="115">
        <v>13.18</v>
      </c>
      <c r="B1654" s="115">
        <v>13.76</v>
      </c>
      <c r="C1654" s="1">
        <v>760</v>
      </c>
      <c r="D1654" s="1" t="s">
        <v>2636</v>
      </c>
      <c r="E1654" s="1">
        <v>13</v>
      </c>
    </row>
    <row r="1655" spans="1:5" hidden="1" x14ac:dyDescent="0.25">
      <c r="A1655" s="115">
        <v>13.180999999999999</v>
      </c>
      <c r="B1655" s="115">
        <v>13.77</v>
      </c>
      <c r="C1655" s="1">
        <v>770</v>
      </c>
      <c r="D1655" s="1" t="s">
        <v>2637</v>
      </c>
      <c r="E1655" s="1">
        <v>13</v>
      </c>
    </row>
    <row r="1656" spans="1:5" hidden="1" x14ac:dyDescent="0.25">
      <c r="A1656" s="115">
        <v>13.182</v>
      </c>
      <c r="B1656" s="115">
        <v>13.78</v>
      </c>
      <c r="C1656" s="1">
        <v>780</v>
      </c>
      <c r="D1656" s="1" t="s">
        <v>2638</v>
      </c>
      <c r="E1656" s="1">
        <v>13</v>
      </c>
    </row>
    <row r="1657" spans="1:5" hidden="1" x14ac:dyDescent="0.25">
      <c r="A1657" s="115">
        <v>13.183</v>
      </c>
      <c r="B1657" s="115">
        <v>13.79</v>
      </c>
      <c r="C1657" s="1">
        <v>790</v>
      </c>
      <c r="D1657" s="1" t="s">
        <v>2639</v>
      </c>
      <c r="E1657" s="1">
        <v>13</v>
      </c>
    </row>
    <row r="1658" spans="1:5" hidden="1" x14ac:dyDescent="0.25">
      <c r="A1658" s="115">
        <v>13.183999999999999</v>
      </c>
      <c r="B1658" s="115">
        <v>13.8</v>
      </c>
      <c r="C1658" s="1">
        <v>800</v>
      </c>
      <c r="D1658" s="1" t="s">
        <v>2640</v>
      </c>
      <c r="E1658" s="1">
        <v>13</v>
      </c>
    </row>
    <row r="1659" spans="1:5" hidden="1" x14ac:dyDescent="0.25">
      <c r="A1659" s="115">
        <v>13.185</v>
      </c>
      <c r="B1659" s="115">
        <v>13.805</v>
      </c>
      <c r="C1659" s="1">
        <v>805</v>
      </c>
      <c r="D1659" s="1" t="s">
        <v>2641</v>
      </c>
      <c r="E1659" s="1">
        <v>13</v>
      </c>
    </row>
    <row r="1660" spans="1:5" hidden="1" x14ac:dyDescent="0.25">
      <c r="A1660" s="115">
        <v>13.186</v>
      </c>
      <c r="B1660" s="115">
        <v>13.81</v>
      </c>
      <c r="C1660" s="1">
        <v>810</v>
      </c>
      <c r="D1660" s="1" t="s">
        <v>2642</v>
      </c>
      <c r="E1660" s="1">
        <v>13</v>
      </c>
    </row>
    <row r="1661" spans="1:5" hidden="1" x14ac:dyDescent="0.25">
      <c r="A1661" s="115">
        <v>13.186999999999999</v>
      </c>
      <c r="B1661" s="115">
        <v>13.82</v>
      </c>
      <c r="C1661" s="1">
        <v>820</v>
      </c>
      <c r="D1661" s="1" t="s">
        <v>2643</v>
      </c>
      <c r="E1661" s="1">
        <v>13</v>
      </c>
    </row>
    <row r="1662" spans="1:5" hidden="1" x14ac:dyDescent="0.25">
      <c r="A1662" s="115">
        <v>13.188000000000001</v>
      </c>
      <c r="B1662" s="115">
        <v>13.83</v>
      </c>
      <c r="C1662" s="1">
        <v>830</v>
      </c>
      <c r="D1662" s="1" t="s">
        <v>2644</v>
      </c>
      <c r="E1662" s="1">
        <v>13</v>
      </c>
    </row>
    <row r="1663" spans="1:5" hidden="1" x14ac:dyDescent="0.25">
      <c r="A1663" s="115">
        <v>13.189</v>
      </c>
      <c r="B1663" s="115">
        <v>13.84</v>
      </c>
      <c r="C1663" s="1">
        <v>840</v>
      </c>
      <c r="D1663" s="1" t="s">
        <v>2645</v>
      </c>
      <c r="E1663" s="1">
        <v>13</v>
      </c>
    </row>
    <row r="1664" spans="1:5" hidden="1" x14ac:dyDescent="0.25">
      <c r="A1664" s="115">
        <v>13.19</v>
      </c>
      <c r="B1664" s="115">
        <v>13.85</v>
      </c>
      <c r="C1664" s="1">
        <v>850</v>
      </c>
      <c r="D1664" s="1" t="s">
        <v>2646</v>
      </c>
      <c r="E1664" s="1">
        <v>13</v>
      </c>
    </row>
    <row r="1665" spans="1:5" hidden="1" x14ac:dyDescent="0.25">
      <c r="A1665" s="115">
        <v>13.191000000000001</v>
      </c>
      <c r="B1665" s="115">
        <v>13.86</v>
      </c>
      <c r="C1665" s="1">
        <v>860</v>
      </c>
      <c r="D1665" s="1" t="s">
        <v>2647</v>
      </c>
      <c r="E1665" s="1">
        <v>13</v>
      </c>
    </row>
    <row r="1666" spans="1:5" hidden="1" x14ac:dyDescent="0.25">
      <c r="A1666" s="115">
        <v>13.192</v>
      </c>
      <c r="B1666" s="115">
        <v>13.87</v>
      </c>
      <c r="C1666" s="1">
        <v>870</v>
      </c>
      <c r="D1666" s="1" t="s">
        <v>2648</v>
      </c>
      <c r="E1666" s="1">
        <v>13</v>
      </c>
    </row>
    <row r="1667" spans="1:5" hidden="1" x14ac:dyDescent="0.25">
      <c r="A1667" s="115">
        <v>13.193</v>
      </c>
      <c r="B1667" s="115">
        <v>13.88</v>
      </c>
      <c r="C1667" s="1">
        <v>880</v>
      </c>
      <c r="D1667" s="1" t="s">
        <v>2649</v>
      </c>
      <c r="E1667" s="1">
        <v>13</v>
      </c>
    </row>
    <row r="1668" spans="1:5" hidden="1" x14ac:dyDescent="0.25">
      <c r="A1668" s="115">
        <v>13.194000000000001</v>
      </c>
      <c r="B1668" s="115">
        <v>13.89</v>
      </c>
      <c r="C1668" s="1">
        <v>890</v>
      </c>
      <c r="D1668" s="1" t="s">
        <v>2650</v>
      </c>
      <c r="E1668" s="1">
        <v>13</v>
      </c>
    </row>
    <row r="1669" spans="1:5" hidden="1" x14ac:dyDescent="0.25">
      <c r="A1669" s="115">
        <v>13.195</v>
      </c>
      <c r="B1669" s="115">
        <v>13.895</v>
      </c>
      <c r="C1669" s="1">
        <v>895</v>
      </c>
      <c r="D1669" s="1" t="s">
        <v>2651</v>
      </c>
      <c r="E1669" s="1">
        <v>13</v>
      </c>
    </row>
    <row r="1670" spans="1:5" hidden="1" x14ac:dyDescent="0.25">
      <c r="A1670" s="115">
        <v>13.196</v>
      </c>
      <c r="B1670" s="115">
        <v>13.9</v>
      </c>
      <c r="C1670" s="1">
        <v>900</v>
      </c>
      <c r="D1670" s="1" t="s">
        <v>2652</v>
      </c>
      <c r="E1670" s="1">
        <v>13</v>
      </c>
    </row>
    <row r="1671" spans="1:5" hidden="1" x14ac:dyDescent="0.25">
      <c r="A1671" s="115">
        <v>13.196999999999999</v>
      </c>
      <c r="B1671" s="115">
        <v>13.91</v>
      </c>
      <c r="C1671" s="1">
        <v>910</v>
      </c>
      <c r="D1671" s="1" t="s">
        <v>2653</v>
      </c>
      <c r="E1671" s="1">
        <v>13</v>
      </c>
    </row>
    <row r="1672" spans="1:5" hidden="1" x14ac:dyDescent="0.25">
      <c r="A1672" s="115">
        <v>13.198</v>
      </c>
      <c r="B1672" s="115">
        <v>13.92</v>
      </c>
      <c r="C1672" s="1">
        <v>920</v>
      </c>
      <c r="D1672" s="1" t="s">
        <v>2654</v>
      </c>
      <c r="E1672" s="1">
        <v>13</v>
      </c>
    </row>
    <row r="1673" spans="1:5" hidden="1" x14ac:dyDescent="0.25">
      <c r="A1673" s="115">
        <v>13.199</v>
      </c>
      <c r="B1673" s="115">
        <v>13.925000000000001</v>
      </c>
      <c r="C1673" s="1">
        <v>925</v>
      </c>
      <c r="D1673" s="1" t="s">
        <v>2655</v>
      </c>
      <c r="E1673" s="1">
        <v>13</v>
      </c>
    </row>
    <row r="1674" spans="1:5" hidden="1" x14ac:dyDescent="0.25">
      <c r="A1674" s="115">
        <v>13.2</v>
      </c>
      <c r="B1674" s="115">
        <v>13.93</v>
      </c>
      <c r="C1674" s="1">
        <v>930</v>
      </c>
      <c r="D1674" s="1" t="s">
        <v>2656</v>
      </c>
      <c r="E1674" s="1">
        <v>13</v>
      </c>
    </row>
    <row r="1675" spans="1:5" hidden="1" x14ac:dyDescent="0.25">
      <c r="A1675" s="115">
        <v>13.201000000000001</v>
      </c>
      <c r="B1675" s="115">
        <v>13.935</v>
      </c>
      <c r="C1675" s="1">
        <v>935</v>
      </c>
      <c r="D1675" s="1" t="s">
        <v>2657</v>
      </c>
      <c r="E1675" s="1">
        <v>13</v>
      </c>
    </row>
    <row r="1676" spans="1:5" hidden="1" x14ac:dyDescent="0.25">
      <c r="A1676" s="115">
        <v>13.202</v>
      </c>
      <c r="B1676" s="115">
        <v>13.94</v>
      </c>
      <c r="C1676" s="1">
        <v>940</v>
      </c>
      <c r="D1676" s="1" t="s">
        <v>2658</v>
      </c>
      <c r="E1676" s="1">
        <v>13</v>
      </c>
    </row>
    <row r="1677" spans="1:5" hidden="1" x14ac:dyDescent="0.25">
      <c r="A1677" s="115">
        <v>13.202999999999999</v>
      </c>
      <c r="B1677" s="115">
        <v>13.95</v>
      </c>
      <c r="C1677" s="1">
        <v>950</v>
      </c>
      <c r="D1677" s="1" t="s">
        <v>2659</v>
      </c>
      <c r="E1677" s="1">
        <v>13</v>
      </c>
    </row>
    <row r="1678" spans="1:5" hidden="1" x14ac:dyDescent="0.25">
      <c r="A1678" s="115">
        <v>13.204000000000001</v>
      </c>
      <c r="B1678" s="115">
        <v>13.955</v>
      </c>
      <c r="C1678" s="1">
        <v>955</v>
      </c>
      <c r="D1678" s="1" t="s">
        <v>2660</v>
      </c>
      <c r="E1678" s="1">
        <v>13</v>
      </c>
    </row>
    <row r="1679" spans="1:5" hidden="1" x14ac:dyDescent="0.25">
      <c r="A1679" s="115">
        <v>13.205</v>
      </c>
      <c r="B1679" s="115">
        <v>13.96</v>
      </c>
      <c r="C1679" s="1">
        <v>960</v>
      </c>
      <c r="D1679" s="1" t="s">
        <v>2661</v>
      </c>
      <c r="E1679" s="1">
        <v>13</v>
      </c>
    </row>
    <row r="1680" spans="1:5" hidden="1" x14ac:dyDescent="0.25">
      <c r="A1680" s="115">
        <v>13.206</v>
      </c>
      <c r="B1680" s="115">
        <v>13.97</v>
      </c>
      <c r="C1680" s="1">
        <v>970</v>
      </c>
      <c r="D1680" s="1" t="s">
        <v>2662</v>
      </c>
      <c r="E1680" s="1">
        <v>13</v>
      </c>
    </row>
    <row r="1681" spans="1:5" hidden="1" x14ac:dyDescent="0.25">
      <c r="A1681" s="115">
        <v>13.207000000000001</v>
      </c>
      <c r="B1681" s="115">
        <v>13.98</v>
      </c>
      <c r="C1681" s="1">
        <v>980</v>
      </c>
      <c r="D1681" s="1" t="s">
        <v>2663</v>
      </c>
      <c r="E1681" s="1">
        <v>13</v>
      </c>
    </row>
    <row r="1682" spans="1:5" hidden="1" x14ac:dyDescent="0.25">
      <c r="A1682" s="115">
        <v>13.208</v>
      </c>
      <c r="B1682" s="115">
        <v>13.99</v>
      </c>
      <c r="C1682" s="1">
        <v>990</v>
      </c>
      <c r="D1682" s="1" t="s">
        <v>2664</v>
      </c>
      <c r="E1682" s="1">
        <v>13</v>
      </c>
    </row>
    <row r="1683" spans="1:5" hidden="1" x14ac:dyDescent="0.25">
      <c r="A1683" s="115">
        <v>13.209</v>
      </c>
      <c r="B1683" s="115">
        <v>13.1</v>
      </c>
      <c r="C1683" s="1">
        <v>1000</v>
      </c>
      <c r="D1683" s="1" t="s">
        <v>2665</v>
      </c>
      <c r="E1683" s="1">
        <v>13</v>
      </c>
    </row>
    <row r="1684" spans="1:5" hidden="1" x14ac:dyDescent="0.25">
      <c r="A1684" s="115">
        <v>13.21</v>
      </c>
      <c r="B1684" s="115">
        <v>13.11</v>
      </c>
      <c r="C1684" s="1">
        <v>1100</v>
      </c>
      <c r="D1684" s="1" t="s">
        <v>2666</v>
      </c>
      <c r="E1684" s="1">
        <v>13</v>
      </c>
    </row>
    <row r="1685" spans="1:5" hidden="1" x14ac:dyDescent="0.25">
      <c r="A1685" s="115">
        <v>13.211</v>
      </c>
      <c r="B1685" s="115">
        <v>13.111000000000001</v>
      </c>
      <c r="C1685" s="1">
        <v>1110</v>
      </c>
      <c r="D1685" s="1" t="s">
        <v>2667</v>
      </c>
      <c r="E1685" s="1">
        <v>13</v>
      </c>
    </row>
    <row r="1686" spans="1:5" hidden="1" x14ac:dyDescent="0.25">
      <c r="A1686" s="115">
        <v>13.212</v>
      </c>
      <c r="B1686" s="115">
        <v>13.112</v>
      </c>
      <c r="C1686" s="1">
        <v>1120</v>
      </c>
      <c r="D1686" s="1" t="s">
        <v>2668</v>
      </c>
      <c r="E1686" s="1">
        <v>13</v>
      </c>
    </row>
    <row r="1687" spans="1:5" hidden="1" x14ac:dyDescent="0.25">
      <c r="A1687" s="115">
        <v>13.212999999999999</v>
      </c>
      <c r="B1687" s="115">
        <v>13.113</v>
      </c>
      <c r="C1687" s="1">
        <v>1130</v>
      </c>
      <c r="D1687" s="1" t="s">
        <v>2669</v>
      </c>
      <c r="E1687" s="1">
        <v>13</v>
      </c>
    </row>
    <row r="1688" spans="1:5" hidden="1" x14ac:dyDescent="0.25">
      <c r="A1688" s="115">
        <v>13.214</v>
      </c>
      <c r="B1688" s="115">
        <v>13.114000000000001</v>
      </c>
      <c r="C1688" s="1">
        <v>1140</v>
      </c>
      <c r="D1688" s="1" t="s">
        <v>2670</v>
      </c>
      <c r="E1688" s="1">
        <v>13</v>
      </c>
    </row>
    <row r="1689" spans="1:5" hidden="1" x14ac:dyDescent="0.25">
      <c r="A1689" s="115">
        <v>13.215</v>
      </c>
      <c r="B1689" s="115">
        <v>13.115</v>
      </c>
      <c r="C1689" s="1">
        <v>1150</v>
      </c>
      <c r="D1689" s="1" t="s">
        <v>2671</v>
      </c>
      <c r="E1689" s="1">
        <v>13</v>
      </c>
    </row>
    <row r="1690" spans="1:5" hidden="1" x14ac:dyDescent="0.25">
      <c r="A1690" s="115">
        <v>13.215999999999999</v>
      </c>
      <c r="B1690" s="115">
        <v>13.116</v>
      </c>
      <c r="C1690" s="1">
        <v>1160</v>
      </c>
      <c r="D1690" s="1" t="s">
        <v>2672</v>
      </c>
      <c r="E1690" s="1">
        <v>13</v>
      </c>
    </row>
    <row r="1691" spans="1:5" hidden="1" x14ac:dyDescent="0.25">
      <c r="A1691" s="115">
        <v>13.217000000000001</v>
      </c>
      <c r="B1691" s="115">
        <v>13.117000000000001</v>
      </c>
      <c r="C1691" s="1">
        <v>1170</v>
      </c>
      <c r="D1691" s="1" t="s">
        <v>2673</v>
      </c>
      <c r="E1691" s="1">
        <v>13</v>
      </c>
    </row>
    <row r="1692" spans="1:5" hidden="1" x14ac:dyDescent="0.25">
      <c r="A1692" s="115">
        <v>13.218</v>
      </c>
      <c r="B1692" s="115">
        <v>13.118</v>
      </c>
      <c r="C1692" s="1">
        <v>1180</v>
      </c>
      <c r="D1692" s="1" t="s">
        <v>2674</v>
      </c>
      <c r="E1692" s="1">
        <v>13</v>
      </c>
    </row>
    <row r="1693" spans="1:5" hidden="1" x14ac:dyDescent="0.25">
      <c r="A1693" s="115">
        <v>13.218999999999999</v>
      </c>
      <c r="B1693" s="115">
        <v>13.119</v>
      </c>
      <c r="C1693" s="1">
        <v>1190</v>
      </c>
      <c r="D1693" s="1" t="s">
        <v>2675</v>
      </c>
      <c r="E1693" s="1">
        <v>13</v>
      </c>
    </row>
    <row r="1694" spans="1:5" hidden="1" x14ac:dyDescent="0.25">
      <c r="A1694" s="115">
        <v>13.22</v>
      </c>
      <c r="B1694" s="115">
        <v>13.12</v>
      </c>
      <c r="C1694" s="1">
        <v>1200</v>
      </c>
      <c r="D1694" s="1" t="s">
        <v>2676</v>
      </c>
      <c r="E1694" s="1">
        <v>13</v>
      </c>
    </row>
    <row r="1695" spans="1:5" hidden="1" x14ac:dyDescent="0.25">
      <c r="A1695" s="115">
        <v>13.221</v>
      </c>
      <c r="B1695" s="115">
        <v>13.121</v>
      </c>
      <c r="C1695" s="1">
        <v>1210</v>
      </c>
      <c r="D1695" s="1" t="s">
        <v>2677</v>
      </c>
      <c r="E1695" s="1">
        <v>13</v>
      </c>
    </row>
    <row r="1696" spans="1:5" hidden="1" x14ac:dyDescent="0.25">
      <c r="A1696" s="115">
        <v>13.222</v>
      </c>
      <c r="B1696" s="115">
        <v>13.122</v>
      </c>
      <c r="C1696" s="1">
        <v>1220</v>
      </c>
      <c r="D1696" s="1" t="s">
        <v>2678</v>
      </c>
      <c r="E1696" s="1">
        <v>13</v>
      </c>
    </row>
    <row r="1697" spans="1:5" hidden="1" x14ac:dyDescent="0.25">
      <c r="A1697" s="115">
        <v>13.223000000000001</v>
      </c>
      <c r="B1697" s="115">
        <v>13.122999999999999</v>
      </c>
      <c r="C1697" s="1">
        <v>1230</v>
      </c>
      <c r="D1697" s="1" t="s">
        <v>2679</v>
      </c>
      <c r="E1697" s="1">
        <v>13</v>
      </c>
    </row>
    <row r="1698" spans="1:5" hidden="1" x14ac:dyDescent="0.25">
      <c r="A1698" s="115">
        <v>13.224</v>
      </c>
      <c r="B1698" s="115">
        <v>13.124000000000001</v>
      </c>
      <c r="C1698" s="1">
        <v>1240</v>
      </c>
      <c r="D1698" s="1" t="s">
        <v>2680</v>
      </c>
      <c r="E1698" s="1">
        <v>13</v>
      </c>
    </row>
    <row r="1699" spans="1:5" hidden="1" x14ac:dyDescent="0.25">
      <c r="A1699" s="115">
        <v>13.225</v>
      </c>
      <c r="B1699" s="115">
        <v>13.125</v>
      </c>
      <c r="C1699" s="1">
        <v>1250</v>
      </c>
      <c r="D1699" s="1" t="s">
        <v>2681</v>
      </c>
      <c r="E1699" s="1">
        <v>13</v>
      </c>
    </row>
    <row r="1700" spans="1:5" hidden="1" x14ac:dyDescent="0.25">
      <c r="A1700" s="115">
        <v>13.226000000000001</v>
      </c>
      <c r="B1700" s="115">
        <v>13.125999999999999</v>
      </c>
      <c r="C1700" s="1">
        <v>1260</v>
      </c>
      <c r="D1700" s="1" t="s">
        <v>2682</v>
      </c>
      <c r="E1700" s="1">
        <v>13</v>
      </c>
    </row>
    <row r="1701" spans="1:5" hidden="1" x14ac:dyDescent="0.25">
      <c r="A1701" s="115">
        <v>13.227</v>
      </c>
      <c r="B1701" s="115">
        <v>13.127000000000001</v>
      </c>
      <c r="C1701" s="1">
        <v>1270</v>
      </c>
      <c r="D1701" s="1" t="s">
        <v>2683</v>
      </c>
      <c r="E1701" s="1">
        <v>13</v>
      </c>
    </row>
    <row r="1702" spans="1:5" hidden="1" x14ac:dyDescent="0.25">
      <c r="A1702" s="115">
        <v>13.228</v>
      </c>
      <c r="B1702" s="115">
        <v>13.128</v>
      </c>
      <c r="C1702" s="1">
        <v>1280</v>
      </c>
      <c r="D1702" s="1" t="s">
        <v>2684</v>
      </c>
      <c r="E1702" s="1">
        <v>13</v>
      </c>
    </row>
    <row r="1703" spans="1:5" hidden="1" x14ac:dyDescent="0.25">
      <c r="A1703" s="115">
        <v>13.228999999999999</v>
      </c>
      <c r="B1703" s="115">
        <v>13.13</v>
      </c>
      <c r="C1703" s="1">
        <v>1300</v>
      </c>
      <c r="D1703" s="1" t="s">
        <v>2685</v>
      </c>
      <c r="E1703" s="1">
        <v>13</v>
      </c>
    </row>
    <row r="1704" spans="1:5" hidden="1" x14ac:dyDescent="0.25">
      <c r="A1704" s="115">
        <v>13.23</v>
      </c>
      <c r="B1704" s="115">
        <v>13.131</v>
      </c>
      <c r="C1704" s="1">
        <v>1310</v>
      </c>
      <c r="D1704" s="1" t="s">
        <v>2686</v>
      </c>
      <c r="E1704" s="1">
        <v>13</v>
      </c>
    </row>
    <row r="1705" spans="1:5" hidden="1" x14ac:dyDescent="0.25">
      <c r="A1705" s="115">
        <v>13.231</v>
      </c>
      <c r="B1705" s="115">
        <v>13.132</v>
      </c>
      <c r="C1705" s="1">
        <v>1320</v>
      </c>
      <c r="D1705" s="1" t="s">
        <v>2687</v>
      </c>
      <c r="E1705" s="1">
        <v>13</v>
      </c>
    </row>
    <row r="1706" spans="1:5" hidden="1" x14ac:dyDescent="0.25">
      <c r="A1706" s="115">
        <v>14.101000000000001</v>
      </c>
      <c r="B1706" s="115">
        <v>14.1</v>
      </c>
      <c r="C1706" s="1">
        <v>10</v>
      </c>
      <c r="D1706" s="1" t="s">
        <v>2559</v>
      </c>
      <c r="E1706" s="1">
        <v>14</v>
      </c>
    </row>
    <row r="1707" spans="1:5" hidden="1" x14ac:dyDescent="0.25">
      <c r="A1707" s="115">
        <v>14.102</v>
      </c>
      <c r="B1707" s="115">
        <v>14.2</v>
      </c>
      <c r="C1707" s="1">
        <v>20</v>
      </c>
      <c r="D1707" s="1" t="s">
        <v>2560</v>
      </c>
      <c r="E1707" s="1">
        <v>14</v>
      </c>
    </row>
    <row r="1708" spans="1:5" hidden="1" x14ac:dyDescent="0.25">
      <c r="A1708" s="115">
        <v>14.103</v>
      </c>
      <c r="B1708" s="115">
        <v>14.3</v>
      </c>
      <c r="C1708" s="1">
        <v>30</v>
      </c>
      <c r="D1708" s="1" t="s">
        <v>2561</v>
      </c>
      <c r="E1708" s="1">
        <v>14</v>
      </c>
    </row>
    <row r="1709" spans="1:5" hidden="1" x14ac:dyDescent="0.25">
      <c r="A1709" s="115">
        <v>14.103999999999999</v>
      </c>
      <c r="B1709" s="115">
        <v>14.4</v>
      </c>
      <c r="C1709" s="1">
        <v>40</v>
      </c>
      <c r="D1709" s="1" t="s">
        <v>2562</v>
      </c>
      <c r="E1709" s="1">
        <v>14</v>
      </c>
    </row>
    <row r="1710" spans="1:5" hidden="1" x14ac:dyDescent="0.25">
      <c r="A1710" s="115">
        <v>14.105</v>
      </c>
      <c r="B1710" s="115">
        <v>14.5</v>
      </c>
      <c r="C1710" s="1">
        <v>50</v>
      </c>
      <c r="D1710" s="1" t="s">
        <v>2563</v>
      </c>
      <c r="E1710" s="1">
        <v>14</v>
      </c>
    </row>
    <row r="1711" spans="1:5" hidden="1" x14ac:dyDescent="0.25">
      <c r="A1711" s="115">
        <v>14.106</v>
      </c>
      <c r="B1711" s="115">
        <v>14.6</v>
      </c>
      <c r="C1711" s="1">
        <v>60</v>
      </c>
      <c r="D1711" s="1" t="s">
        <v>2564</v>
      </c>
      <c r="E1711" s="1">
        <v>14</v>
      </c>
    </row>
    <row r="1712" spans="1:5" hidden="1" x14ac:dyDescent="0.25">
      <c r="A1712" s="115">
        <v>14.106999999999999</v>
      </c>
      <c r="B1712" s="115">
        <v>14.7</v>
      </c>
      <c r="C1712" s="1">
        <v>70</v>
      </c>
      <c r="D1712" s="1" t="s">
        <v>2565</v>
      </c>
      <c r="E1712" s="1">
        <v>14</v>
      </c>
    </row>
    <row r="1713" spans="1:5" hidden="1" x14ac:dyDescent="0.25">
      <c r="A1713" s="115">
        <v>14.108000000000001</v>
      </c>
      <c r="B1713" s="115">
        <v>14.8</v>
      </c>
      <c r="C1713" s="1">
        <v>80</v>
      </c>
      <c r="D1713" s="1" t="s">
        <v>2566</v>
      </c>
      <c r="E1713" s="1">
        <v>14</v>
      </c>
    </row>
    <row r="1714" spans="1:5" hidden="1" x14ac:dyDescent="0.25">
      <c r="A1714" s="115">
        <v>14.109</v>
      </c>
      <c r="B1714" s="115">
        <v>14.9</v>
      </c>
      <c r="C1714" s="1">
        <v>90</v>
      </c>
      <c r="D1714" s="1" t="s">
        <v>2567</v>
      </c>
      <c r="E1714" s="1">
        <v>14</v>
      </c>
    </row>
    <row r="1715" spans="1:5" hidden="1" x14ac:dyDescent="0.25">
      <c r="A1715" s="115">
        <v>14.11</v>
      </c>
      <c r="B1715" s="115">
        <v>14.1</v>
      </c>
      <c r="C1715" s="1">
        <v>100</v>
      </c>
      <c r="D1715" s="1" t="s">
        <v>2568</v>
      </c>
      <c r="E1715" s="1">
        <v>14</v>
      </c>
    </row>
    <row r="1716" spans="1:5" hidden="1" x14ac:dyDescent="0.25">
      <c r="A1716" s="115">
        <v>14.111000000000001</v>
      </c>
      <c r="B1716" s="115">
        <v>14.11</v>
      </c>
      <c r="C1716" s="1">
        <v>110</v>
      </c>
      <c r="D1716" s="1" t="s">
        <v>2569</v>
      </c>
      <c r="E1716" s="1">
        <v>14</v>
      </c>
    </row>
    <row r="1717" spans="1:5" hidden="1" x14ac:dyDescent="0.25">
      <c r="A1717" s="115">
        <v>14.112</v>
      </c>
      <c r="B1717" s="115">
        <v>14.12</v>
      </c>
      <c r="C1717" s="1">
        <v>120</v>
      </c>
      <c r="D1717" s="1" t="s">
        <v>2570</v>
      </c>
      <c r="E1717" s="1">
        <v>14</v>
      </c>
    </row>
    <row r="1718" spans="1:5" hidden="1" x14ac:dyDescent="0.25">
      <c r="A1718" s="115">
        <v>14.113</v>
      </c>
      <c r="B1718" s="115">
        <v>14.13</v>
      </c>
      <c r="C1718" s="1">
        <v>130</v>
      </c>
      <c r="D1718" s="1" t="s">
        <v>2571</v>
      </c>
      <c r="E1718" s="1">
        <v>14</v>
      </c>
    </row>
    <row r="1719" spans="1:5" hidden="1" x14ac:dyDescent="0.25">
      <c r="A1719" s="115">
        <v>14.114000000000001</v>
      </c>
      <c r="B1719" s="115">
        <v>14.14</v>
      </c>
      <c r="C1719" s="1">
        <v>140</v>
      </c>
      <c r="D1719" s="1" t="s">
        <v>2572</v>
      </c>
      <c r="E1719" s="1">
        <v>14</v>
      </c>
    </row>
    <row r="1720" spans="1:5" hidden="1" x14ac:dyDescent="0.25">
      <c r="A1720" s="115">
        <v>14.115</v>
      </c>
      <c r="B1720" s="115">
        <v>14.15</v>
      </c>
      <c r="C1720" s="1">
        <v>150</v>
      </c>
      <c r="D1720" s="1" t="s">
        <v>2573</v>
      </c>
      <c r="E1720" s="1">
        <v>14</v>
      </c>
    </row>
    <row r="1721" spans="1:5" hidden="1" x14ac:dyDescent="0.25">
      <c r="A1721" s="115">
        <v>14.116</v>
      </c>
      <c r="B1721" s="115">
        <v>14.16</v>
      </c>
      <c r="C1721" s="1">
        <v>160</v>
      </c>
      <c r="D1721" s="1" t="s">
        <v>2574</v>
      </c>
      <c r="E1721" s="1">
        <v>14</v>
      </c>
    </row>
    <row r="1722" spans="1:5" hidden="1" x14ac:dyDescent="0.25">
      <c r="A1722" s="115">
        <v>14.117000000000001</v>
      </c>
      <c r="B1722" s="115">
        <v>14.17</v>
      </c>
      <c r="C1722" s="1">
        <v>170</v>
      </c>
      <c r="D1722" s="1" t="s">
        <v>2575</v>
      </c>
      <c r="E1722" s="1">
        <v>14</v>
      </c>
    </row>
    <row r="1723" spans="1:5" hidden="1" x14ac:dyDescent="0.25">
      <c r="A1723" s="115">
        <v>14.118</v>
      </c>
      <c r="B1723" s="115">
        <v>14.18</v>
      </c>
      <c r="C1723" s="1">
        <v>180</v>
      </c>
      <c r="D1723" s="1" t="s">
        <v>2576</v>
      </c>
      <c r="E1723" s="1">
        <v>14</v>
      </c>
    </row>
    <row r="1724" spans="1:5" hidden="1" x14ac:dyDescent="0.25">
      <c r="A1724" s="115">
        <v>14.119</v>
      </c>
      <c r="B1724" s="115">
        <v>14.19</v>
      </c>
      <c r="C1724" s="1">
        <v>190</v>
      </c>
      <c r="D1724" s="1" t="s">
        <v>2577</v>
      </c>
      <c r="E1724" s="1">
        <v>14</v>
      </c>
    </row>
    <row r="1725" spans="1:5" hidden="1" x14ac:dyDescent="0.25">
      <c r="A1725" s="115">
        <v>14.12</v>
      </c>
      <c r="B1725" s="115">
        <v>14.2</v>
      </c>
      <c r="C1725" s="1">
        <v>200</v>
      </c>
      <c r="D1725" s="1" t="s">
        <v>2578</v>
      </c>
      <c r="E1725" s="1">
        <v>14</v>
      </c>
    </row>
    <row r="1726" spans="1:5" hidden="1" x14ac:dyDescent="0.25">
      <c r="A1726" s="115">
        <v>14.121</v>
      </c>
      <c r="B1726" s="115">
        <v>14.21</v>
      </c>
      <c r="C1726" s="1">
        <v>210</v>
      </c>
      <c r="D1726" s="1" t="s">
        <v>2579</v>
      </c>
      <c r="E1726" s="1">
        <v>14</v>
      </c>
    </row>
    <row r="1727" spans="1:5" hidden="1" x14ac:dyDescent="0.25">
      <c r="A1727" s="115">
        <v>14.122</v>
      </c>
      <c r="B1727" s="115">
        <v>14.22</v>
      </c>
      <c r="C1727" s="1">
        <v>220</v>
      </c>
      <c r="D1727" s="1" t="s">
        <v>2580</v>
      </c>
      <c r="E1727" s="1">
        <v>14</v>
      </c>
    </row>
    <row r="1728" spans="1:5" hidden="1" x14ac:dyDescent="0.25">
      <c r="A1728" s="115">
        <v>14.122999999999999</v>
      </c>
      <c r="B1728" s="115">
        <v>14.23</v>
      </c>
      <c r="C1728" s="1">
        <v>230</v>
      </c>
      <c r="D1728" s="1" t="s">
        <v>2581</v>
      </c>
      <c r="E1728" s="1">
        <v>14</v>
      </c>
    </row>
    <row r="1729" spans="1:5" hidden="1" x14ac:dyDescent="0.25">
      <c r="A1729" s="115">
        <v>14.124000000000001</v>
      </c>
      <c r="B1729" s="115">
        <v>14.24</v>
      </c>
      <c r="C1729" s="1">
        <v>240</v>
      </c>
      <c r="D1729" s="1" t="s">
        <v>2582</v>
      </c>
      <c r="E1729" s="1">
        <v>14</v>
      </c>
    </row>
    <row r="1730" spans="1:5" hidden="1" x14ac:dyDescent="0.25">
      <c r="A1730" s="115">
        <v>14.125</v>
      </c>
      <c r="B1730" s="115">
        <v>14.25</v>
      </c>
      <c r="C1730" s="1">
        <v>250</v>
      </c>
      <c r="D1730" s="1" t="s">
        <v>2583</v>
      </c>
      <c r="E1730" s="1">
        <v>14</v>
      </c>
    </row>
    <row r="1731" spans="1:5" hidden="1" x14ac:dyDescent="0.25">
      <c r="A1731" s="115">
        <v>14.125999999999999</v>
      </c>
      <c r="B1731" s="115">
        <v>14.26</v>
      </c>
      <c r="C1731" s="1">
        <v>260</v>
      </c>
      <c r="D1731" s="1" t="s">
        <v>2584</v>
      </c>
      <c r="E1731" s="1">
        <v>14</v>
      </c>
    </row>
    <row r="1732" spans="1:5" hidden="1" x14ac:dyDescent="0.25">
      <c r="A1732" s="115">
        <v>14.127000000000001</v>
      </c>
      <c r="B1732" s="115">
        <v>14.27</v>
      </c>
      <c r="C1732" s="1">
        <v>270</v>
      </c>
      <c r="D1732" s="1" t="s">
        <v>2585</v>
      </c>
      <c r="E1732" s="1">
        <v>14</v>
      </c>
    </row>
    <row r="1733" spans="1:5" hidden="1" x14ac:dyDescent="0.25">
      <c r="A1733" s="115">
        <v>14.128</v>
      </c>
      <c r="B1733" s="115">
        <v>14.28</v>
      </c>
      <c r="C1733" s="1">
        <v>280</v>
      </c>
      <c r="D1733" s="1" t="s">
        <v>2586</v>
      </c>
      <c r="E1733" s="1">
        <v>14</v>
      </c>
    </row>
    <row r="1734" spans="1:5" hidden="1" x14ac:dyDescent="0.25">
      <c r="A1734" s="115">
        <v>14.129</v>
      </c>
      <c r="B1734" s="115">
        <v>14.29</v>
      </c>
      <c r="C1734" s="1">
        <v>290</v>
      </c>
      <c r="D1734" s="1" t="s">
        <v>2587</v>
      </c>
      <c r="E1734" s="1">
        <v>14</v>
      </c>
    </row>
    <row r="1735" spans="1:5" hidden="1" x14ac:dyDescent="0.25">
      <c r="A1735" s="115">
        <v>14.13</v>
      </c>
      <c r="B1735" s="115">
        <v>14.3</v>
      </c>
      <c r="C1735" s="1">
        <v>300</v>
      </c>
      <c r="D1735" s="1" t="s">
        <v>2588</v>
      </c>
      <c r="E1735" s="1">
        <v>14</v>
      </c>
    </row>
    <row r="1736" spans="1:5" hidden="1" x14ac:dyDescent="0.25">
      <c r="A1736" s="115">
        <v>14.131</v>
      </c>
      <c r="B1736" s="115">
        <v>14.31</v>
      </c>
      <c r="C1736" s="1">
        <v>310</v>
      </c>
      <c r="D1736" s="1" t="s">
        <v>2589</v>
      </c>
      <c r="E1736" s="1">
        <v>14</v>
      </c>
    </row>
    <row r="1737" spans="1:5" hidden="1" x14ac:dyDescent="0.25">
      <c r="A1737" s="115">
        <v>14.132</v>
      </c>
      <c r="B1737" s="115">
        <v>14.32</v>
      </c>
      <c r="C1737" s="1">
        <v>320</v>
      </c>
      <c r="D1737" s="1" t="s">
        <v>2590</v>
      </c>
      <c r="E1737" s="1">
        <v>14</v>
      </c>
    </row>
    <row r="1738" spans="1:5" hidden="1" x14ac:dyDescent="0.25">
      <c r="A1738" s="115">
        <v>14.132999999999999</v>
      </c>
      <c r="B1738" s="115">
        <v>14.33</v>
      </c>
      <c r="C1738" s="1">
        <v>330</v>
      </c>
      <c r="D1738" s="1" t="s">
        <v>2591</v>
      </c>
      <c r="E1738" s="1">
        <v>14</v>
      </c>
    </row>
    <row r="1739" spans="1:5" hidden="1" x14ac:dyDescent="0.25">
      <c r="A1739" s="115">
        <v>14.134</v>
      </c>
      <c r="B1739" s="115">
        <v>14.34</v>
      </c>
      <c r="C1739" s="1">
        <v>340</v>
      </c>
      <c r="D1739" s="1" t="s">
        <v>2592</v>
      </c>
      <c r="E1739" s="1">
        <v>14</v>
      </c>
    </row>
    <row r="1740" spans="1:5" hidden="1" x14ac:dyDescent="0.25">
      <c r="A1740" s="115">
        <v>14.135</v>
      </c>
      <c r="B1740" s="115">
        <v>14.35</v>
      </c>
      <c r="C1740" s="1">
        <v>350</v>
      </c>
      <c r="D1740" s="1" t="s">
        <v>2593</v>
      </c>
      <c r="E1740" s="1">
        <v>14</v>
      </c>
    </row>
    <row r="1741" spans="1:5" hidden="1" x14ac:dyDescent="0.25">
      <c r="A1741" s="115">
        <v>14.135999999999999</v>
      </c>
      <c r="B1741" s="115">
        <v>14.36</v>
      </c>
      <c r="C1741" s="1">
        <v>360</v>
      </c>
      <c r="D1741" s="1" t="s">
        <v>2594</v>
      </c>
      <c r="E1741" s="1">
        <v>14</v>
      </c>
    </row>
    <row r="1742" spans="1:5" hidden="1" x14ac:dyDescent="0.25">
      <c r="A1742" s="115">
        <v>14.137</v>
      </c>
      <c r="B1742" s="115">
        <v>14.37</v>
      </c>
      <c r="C1742" s="1">
        <v>370</v>
      </c>
      <c r="D1742" s="1" t="s">
        <v>2595</v>
      </c>
      <c r="E1742" s="1">
        <v>14</v>
      </c>
    </row>
    <row r="1743" spans="1:5" hidden="1" x14ac:dyDescent="0.25">
      <c r="A1743" s="115">
        <v>14.138</v>
      </c>
      <c r="B1743" s="115">
        <v>14.38</v>
      </c>
      <c r="C1743" s="1">
        <v>380</v>
      </c>
      <c r="D1743" s="1" t="s">
        <v>2596</v>
      </c>
      <c r="E1743" s="1">
        <v>14</v>
      </c>
    </row>
    <row r="1744" spans="1:5" hidden="1" x14ac:dyDescent="0.25">
      <c r="A1744" s="115">
        <v>14.138999999999999</v>
      </c>
      <c r="B1744" s="115">
        <v>14.39</v>
      </c>
      <c r="C1744" s="1">
        <v>390</v>
      </c>
      <c r="D1744" s="1" t="s">
        <v>2597</v>
      </c>
      <c r="E1744" s="1">
        <v>14</v>
      </c>
    </row>
    <row r="1745" spans="1:5" hidden="1" x14ac:dyDescent="0.25">
      <c r="A1745" s="115">
        <v>14.14</v>
      </c>
      <c r="B1745" s="115">
        <v>14.4</v>
      </c>
      <c r="C1745" s="1">
        <v>400</v>
      </c>
      <c r="D1745" s="1" t="s">
        <v>2598</v>
      </c>
      <c r="E1745" s="1">
        <v>14</v>
      </c>
    </row>
    <row r="1746" spans="1:5" hidden="1" x14ac:dyDescent="0.25">
      <c r="A1746" s="115">
        <v>14.141</v>
      </c>
      <c r="B1746" s="115">
        <v>14.41</v>
      </c>
      <c r="C1746" s="1">
        <v>410</v>
      </c>
      <c r="D1746" s="1" t="s">
        <v>2599</v>
      </c>
      <c r="E1746" s="1">
        <v>14</v>
      </c>
    </row>
    <row r="1747" spans="1:5" hidden="1" x14ac:dyDescent="0.25">
      <c r="A1747" s="115">
        <v>14.141999999999999</v>
      </c>
      <c r="B1747" s="115">
        <v>14.42</v>
      </c>
      <c r="C1747" s="1">
        <v>420</v>
      </c>
      <c r="D1747" s="1" t="s">
        <v>2600</v>
      </c>
      <c r="E1747" s="1">
        <v>14</v>
      </c>
    </row>
    <row r="1748" spans="1:5" hidden="1" x14ac:dyDescent="0.25">
      <c r="A1748" s="115">
        <v>14.143000000000001</v>
      </c>
      <c r="B1748" s="115">
        <v>14.43</v>
      </c>
      <c r="C1748" s="1">
        <v>430</v>
      </c>
      <c r="D1748" s="1" t="s">
        <v>2601</v>
      </c>
      <c r="E1748" s="1">
        <v>14</v>
      </c>
    </row>
    <row r="1749" spans="1:5" hidden="1" x14ac:dyDescent="0.25">
      <c r="A1749" s="115">
        <v>14.144</v>
      </c>
      <c r="B1749" s="115">
        <v>14.44</v>
      </c>
      <c r="C1749" s="1">
        <v>440</v>
      </c>
      <c r="D1749" s="1" t="s">
        <v>2602</v>
      </c>
      <c r="E1749" s="1">
        <v>14</v>
      </c>
    </row>
    <row r="1750" spans="1:5" hidden="1" x14ac:dyDescent="0.25">
      <c r="A1750" s="115">
        <v>14.145</v>
      </c>
      <c r="B1750" s="115">
        <v>14.445</v>
      </c>
      <c r="C1750" s="1">
        <v>445</v>
      </c>
      <c r="D1750" s="1" t="s">
        <v>2603</v>
      </c>
      <c r="E1750" s="1">
        <v>14</v>
      </c>
    </row>
    <row r="1751" spans="1:5" hidden="1" x14ac:dyDescent="0.25">
      <c r="A1751" s="115">
        <v>14.146000000000001</v>
      </c>
      <c r="B1751" s="115">
        <v>14.45</v>
      </c>
      <c r="C1751" s="1">
        <v>450</v>
      </c>
      <c r="D1751" s="1" t="s">
        <v>2604</v>
      </c>
      <c r="E1751" s="1">
        <v>14</v>
      </c>
    </row>
    <row r="1752" spans="1:5" hidden="1" x14ac:dyDescent="0.25">
      <c r="A1752" s="115">
        <v>14.147</v>
      </c>
      <c r="B1752" s="115">
        <v>14.46</v>
      </c>
      <c r="C1752" s="1">
        <v>460</v>
      </c>
      <c r="D1752" s="1" t="s">
        <v>2605</v>
      </c>
      <c r="E1752" s="1">
        <v>14</v>
      </c>
    </row>
    <row r="1753" spans="1:5" hidden="1" x14ac:dyDescent="0.25">
      <c r="A1753" s="115">
        <v>14.148</v>
      </c>
      <c r="B1753" s="115">
        <v>14.47</v>
      </c>
      <c r="C1753" s="1">
        <v>470</v>
      </c>
      <c r="D1753" s="1" t="s">
        <v>2606</v>
      </c>
      <c r="E1753" s="1">
        <v>14</v>
      </c>
    </row>
    <row r="1754" spans="1:5" hidden="1" x14ac:dyDescent="0.25">
      <c r="A1754" s="115">
        <v>14.148999999999999</v>
      </c>
      <c r="B1754" s="115">
        <v>14.48</v>
      </c>
      <c r="C1754" s="1">
        <v>480</v>
      </c>
      <c r="D1754" s="1" t="s">
        <v>2607</v>
      </c>
      <c r="E1754" s="1">
        <v>14</v>
      </c>
    </row>
    <row r="1755" spans="1:5" hidden="1" x14ac:dyDescent="0.25">
      <c r="A1755" s="115">
        <v>14.15</v>
      </c>
      <c r="B1755" s="115">
        <v>14.49</v>
      </c>
      <c r="C1755" s="1">
        <v>490</v>
      </c>
      <c r="D1755" s="1" t="s">
        <v>2608</v>
      </c>
      <c r="E1755" s="1">
        <v>14</v>
      </c>
    </row>
    <row r="1756" spans="1:5" hidden="1" x14ac:dyDescent="0.25">
      <c r="A1756" s="115">
        <v>14.151</v>
      </c>
      <c r="B1756" s="115">
        <v>14.5</v>
      </c>
      <c r="C1756" s="1">
        <v>500</v>
      </c>
      <c r="D1756" s="1" t="s">
        <v>2609</v>
      </c>
      <c r="E1756" s="1">
        <v>14</v>
      </c>
    </row>
    <row r="1757" spans="1:5" hidden="1" x14ac:dyDescent="0.25">
      <c r="A1757" s="115">
        <v>14.151999999999999</v>
      </c>
      <c r="B1757" s="115">
        <v>14.51</v>
      </c>
      <c r="C1757" s="1">
        <v>510</v>
      </c>
      <c r="D1757" s="1" t="s">
        <v>2610</v>
      </c>
      <c r="E1757" s="1">
        <v>14</v>
      </c>
    </row>
    <row r="1758" spans="1:5" hidden="1" x14ac:dyDescent="0.25">
      <c r="A1758" s="115">
        <v>14.153</v>
      </c>
      <c r="B1758" s="115">
        <v>14.52</v>
      </c>
      <c r="C1758" s="1">
        <v>520</v>
      </c>
      <c r="D1758" s="1" t="s">
        <v>2611</v>
      </c>
      <c r="E1758" s="1">
        <v>14</v>
      </c>
    </row>
    <row r="1759" spans="1:5" hidden="1" x14ac:dyDescent="0.25">
      <c r="A1759" s="115">
        <v>14.154</v>
      </c>
      <c r="B1759" s="115">
        <v>14.53</v>
      </c>
      <c r="C1759" s="1">
        <v>530</v>
      </c>
      <c r="D1759" s="1" t="s">
        <v>2612</v>
      </c>
      <c r="E1759" s="1">
        <v>14</v>
      </c>
    </row>
    <row r="1760" spans="1:5" hidden="1" x14ac:dyDescent="0.25">
      <c r="A1760" s="115">
        <v>14.154999999999999</v>
      </c>
      <c r="B1760" s="115">
        <v>14.54</v>
      </c>
      <c r="C1760" s="1">
        <v>540</v>
      </c>
      <c r="D1760" s="1" t="s">
        <v>2613</v>
      </c>
      <c r="E1760" s="1">
        <v>14</v>
      </c>
    </row>
    <row r="1761" spans="1:5" hidden="1" x14ac:dyDescent="0.25">
      <c r="A1761" s="115">
        <v>14.156000000000001</v>
      </c>
      <c r="B1761" s="115">
        <v>14.55</v>
      </c>
      <c r="C1761" s="1">
        <v>550</v>
      </c>
      <c r="D1761" s="1" t="s">
        <v>2614</v>
      </c>
      <c r="E1761" s="1">
        <v>14</v>
      </c>
    </row>
    <row r="1762" spans="1:5" hidden="1" x14ac:dyDescent="0.25">
      <c r="A1762" s="115">
        <v>14.157</v>
      </c>
      <c r="B1762" s="115">
        <v>14.56</v>
      </c>
      <c r="C1762" s="1">
        <v>560</v>
      </c>
      <c r="D1762" s="1" t="s">
        <v>2615</v>
      </c>
      <c r="E1762" s="1">
        <v>14</v>
      </c>
    </row>
    <row r="1763" spans="1:5" hidden="1" x14ac:dyDescent="0.25">
      <c r="A1763" s="115">
        <v>14.157999999999999</v>
      </c>
      <c r="B1763" s="115">
        <v>14.57</v>
      </c>
      <c r="C1763" s="1">
        <v>570</v>
      </c>
      <c r="D1763" s="1" t="s">
        <v>2616</v>
      </c>
      <c r="E1763" s="1">
        <v>14</v>
      </c>
    </row>
    <row r="1764" spans="1:5" hidden="1" x14ac:dyDescent="0.25">
      <c r="A1764" s="115">
        <v>14.159000000000001</v>
      </c>
      <c r="B1764" s="115">
        <v>14.574999999999999</v>
      </c>
      <c r="C1764" s="1">
        <v>575</v>
      </c>
      <c r="D1764" s="1" t="s">
        <v>2617</v>
      </c>
      <c r="E1764" s="1">
        <v>14</v>
      </c>
    </row>
    <row r="1765" spans="1:5" hidden="1" x14ac:dyDescent="0.25">
      <c r="A1765" s="115">
        <v>14.16</v>
      </c>
      <c r="B1765" s="115">
        <v>14.576000000000001</v>
      </c>
      <c r="C1765" s="1">
        <v>576</v>
      </c>
      <c r="D1765" s="1" t="s">
        <v>2618</v>
      </c>
      <c r="E1765" s="1">
        <v>14</v>
      </c>
    </row>
    <row r="1766" spans="1:5" hidden="1" x14ac:dyDescent="0.25">
      <c r="A1766" s="115">
        <v>14.161</v>
      </c>
      <c r="B1766" s="115">
        <v>14.58</v>
      </c>
      <c r="C1766" s="1">
        <v>580</v>
      </c>
      <c r="D1766" s="1" t="s">
        <v>2619</v>
      </c>
      <c r="E1766" s="1">
        <v>14</v>
      </c>
    </row>
    <row r="1767" spans="1:5" hidden="1" x14ac:dyDescent="0.25">
      <c r="A1767" s="115">
        <v>14.162000000000001</v>
      </c>
      <c r="B1767" s="115">
        <v>14.59</v>
      </c>
      <c r="C1767" s="1">
        <v>590</v>
      </c>
      <c r="D1767" s="1" t="s">
        <v>1099</v>
      </c>
      <c r="E1767" s="1">
        <v>14</v>
      </c>
    </row>
    <row r="1768" spans="1:5" hidden="1" x14ac:dyDescent="0.25">
      <c r="A1768" s="115">
        <v>14.163</v>
      </c>
      <c r="B1768" s="115">
        <v>14.6</v>
      </c>
      <c r="C1768" s="1">
        <v>600</v>
      </c>
      <c r="D1768" s="1" t="s">
        <v>2620</v>
      </c>
      <c r="E1768" s="1">
        <v>14</v>
      </c>
    </row>
    <row r="1769" spans="1:5" hidden="1" x14ac:dyDescent="0.25">
      <c r="A1769" s="115">
        <v>14.164</v>
      </c>
      <c r="B1769" s="115">
        <v>14.61</v>
      </c>
      <c r="C1769" s="1">
        <v>610</v>
      </c>
      <c r="D1769" s="1" t="s">
        <v>2621</v>
      </c>
      <c r="E1769" s="1">
        <v>14</v>
      </c>
    </row>
    <row r="1770" spans="1:5" hidden="1" x14ac:dyDescent="0.25">
      <c r="A1770" s="115">
        <v>14.164999999999999</v>
      </c>
      <c r="B1770" s="115">
        <v>14.62</v>
      </c>
      <c r="C1770" s="1">
        <v>620</v>
      </c>
      <c r="D1770" s="1" t="s">
        <v>2622</v>
      </c>
      <c r="E1770" s="1">
        <v>14</v>
      </c>
    </row>
    <row r="1771" spans="1:5" hidden="1" x14ac:dyDescent="0.25">
      <c r="A1771" s="115">
        <v>14.166</v>
      </c>
      <c r="B1771" s="115">
        <v>14.63</v>
      </c>
      <c r="C1771" s="1">
        <v>630</v>
      </c>
      <c r="D1771" s="1" t="s">
        <v>2623</v>
      </c>
      <c r="E1771" s="1">
        <v>14</v>
      </c>
    </row>
    <row r="1772" spans="1:5" hidden="1" x14ac:dyDescent="0.25">
      <c r="A1772" s="115">
        <v>14.167</v>
      </c>
      <c r="B1772" s="115">
        <v>14.64</v>
      </c>
      <c r="C1772" s="1">
        <v>640</v>
      </c>
      <c r="D1772" s="1" t="s">
        <v>2624</v>
      </c>
      <c r="E1772" s="1">
        <v>14</v>
      </c>
    </row>
    <row r="1773" spans="1:5" hidden="1" x14ac:dyDescent="0.25">
      <c r="A1773" s="115">
        <v>14.167999999999999</v>
      </c>
      <c r="B1773" s="115">
        <v>14.65</v>
      </c>
      <c r="C1773" s="1">
        <v>650</v>
      </c>
      <c r="D1773" s="1" t="s">
        <v>2625</v>
      </c>
      <c r="E1773" s="1">
        <v>14</v>
      </c>
    </row>
    <row r="1774" spans="1:5" hidden="1" x14ac:dyDescent="0.25">
      <c r="A1774" s="115">
        <v>14.169</v>
      </c>
      <c r="B1774" s="115">
        <v>14.66</v>
      </c>
      <c r="C1774" s="1">
        <v>660</v>
      </c>
      <c r="D1774" s="1" t="s">
        <v>2626</v>
      </c>
      <c r="E1774" s="1">
        <v>14</v>
      </c>
    </row>
    <row r="1775" spans="1:5" hidden="1" x14ac:dyDescent="0.25">
      <c r="A1775" s="115">
        <v>14.17</v>
      </c>
      <c r="B1775" s="115">
        <v>14.67</v>
      </c>
      <c r="C1775" s="1">
        <v>670</v>
      </c>
      <c r="D1775" s="1" t="s">
        <v>2627</v>
      </c>
      <c r="E1775" s="1">
        <v>14</v>
      </c>
    </row>
    <row r="1776" spans="1:5" hidden="1" x14ac:dyDescent="0.25">
      <c r="A1776" s="115">
        <v>14.170999999999999</v>
      </c>
      <c r="B1776" s="115">
        <v>14.68</v>
      </c>
      <c r="C1776" s="1">
        <v>680</v>
      </c>
      <c r="D1776" s="1" t="s">
        <v>2628</v>
      </c>
      <c r="E1776" s="1">
        <v>14</v>
      </c>
    </row>
    <row r="1777" spans="1:5" hidden="1" x14ac:dyDescent="0.25">
      <c r="A1777" s="115">
        <v>14.172000000000001</v>
      </c>
      <c r="B1777" s="115">
        <v>14.69</v>
      </c>
      <c r="C1777" s="1">
        <v>690</v>
      </c>
      <c r="D1777" s="1" t="s">
        <v>2629</v>
      </c>
      <c r="E1777" s="1">
        <v>14</v>
      </c>
    </row>
    <row r="1778" spans="1:5" hidden="1" x14ac:dyDescent="0.25">
      <c r="A1778" s="115">
        <v>14.173</v>
      </c>
      <c r="B1778" s="115">
        <v>14.7</v>
      </c>
      <c r="C1778" s="1">
        <v>700</v>
      </c>
      <c r="D1778" s="1" t="s">
        <v>2630</v>
      </c>
      <c r="E1778" s="1">
        <v>14</v>
      </c>
    </row>
    <row r="1779" spans="1:5" hidden="1" x14ac:dyDescent="0.25">
      <c r="A1779" s="115">
        <v>14.173999999999999</v>
      </c>
      <c r="B1779" s="115">
        <v>14.71</v>
      </c>
      <c r="C1779" s="1">
        <v>710</v>
      </c>
      <c r="D1779" s="1" t="s">
        <v>2631</v>
      </c>
      <c r="E1779" s="1">
        <v>14</v>
      </c>
    </row>
    <row r="1780" spans="1:5" hidden="1" x14ac:dyDescent="0.25">
      <c r="A1780" s="115">
        <v>14.175000000000001</v>
      </c>
      <c r="B1780" s="115">
        <v>14.72</v>
      </c>
      <c r="C1780" s="1">
        <v>720</v>
      </c>
      <c r="D1780" s="1" t="s">
        <v>2632</v>
      </c>
      <c r="E1780" s="1">
        <v>14</v>
      </c>
    </row>
    <row r="1781" spans="1:5" hidden="1" x14ac:dyDescent="0.25">
      <c r="A1781" s="115">
        <v>14.176</v>
      </c>
      <c r="B1781" s="115">
        <v>14.73</v>
      </c>
      <c r="C1781" s="1">
        <v>730</v>
      </c>
      <c r="D1781" s="1" t="s">
        <v>2633</v>
      </c>
      <c r="E1781" s="1">
        <v>14</v>
      </c>
    </row>
    <row r="1782" spans="1:5" hidden="1" x14ac:dyDescent="0.25">
      <c r="A1782" s="115">
        <v>14.177</v>
      </c>
      <c r="B1782" s="115">
        <v>14.74</v>
      </c>
      <c r="C1782" s="1">
        <v>740</v>
      </c>
      <c r="D1782" s="1" t="s">
        <v>2634</v>
      </c>
      <c r="E1782" s="1">
        <v>14</v>
      </c>
    </row>
    <row r="1783" spans="1:5" hidden="1" x14ac:dyDescent="0.25">
      <c r="A1783" s="115">
        <v>14.178000000000001</v>
      </c>
      <c r="B1783" s="115">
        <v>14.75</v>
      </c>
      <c r="C1783" s="1">
        <v>750</v>
      </c>
      <c r="D1783" s="1" t="s">
        <v>2635</v>
      </c>
      <c r="E1783" s="1">
        <v>14</v>
      </c>
    </row>
    <row r="1784" spans="1:5" hidden="1" x14ac:dyDescent="0.25">
      <c r="A1784" s="115">
        <v>14.179</v>
      </c>
      <c r="B1784" s="115">
        <v>14.755000000000001</v>
      </c>
      <c r="C1784" s="1">
        <v>755</v>
      </c>
      <c r="D1784" s="1" t="s">
        <v>1466</v>
      </c>
      <c r="E1784" s="1">
        <v>14</v>
      </c>
    </row>
    <row r="1785" spans="1:5" hidden="1" x14ac:dyDescent="0.25">
      <c r="A1785" s="115">
        <v>14.18</v>
      </c>
      <c r="B1785" s="115">
        <v>14.76</v>
      </c>
      <c r="C1785" s="1">
        <v>760</v>
      </c>
      <c r="D1785" s="1" t="s">
        <v>2636</v>
      </c>
      <c r="E1785" s="1">
        <v>14</v>
      </c>
    </row>
    <row r="1786" spans="1:5" hidden="1" x14ac:dyDescent="0.25">
      <c r="A1786" s="115">
        <v>14.180999999999999</v>
      </c>
      <c r="B1786" s="115">
        <v>14.77</v>
      </c>
      <c r="C1786" s="1">
        <v>770</v>
      </c>
      <c r="D1786" s="1" t="s">
        <v>2637</v>
      </c>
      <c r="E1786" s="1">
        <v>14</v>
      </c>
    </row>
    <row r="1787" spans="1:5" hidden="1" x14ac:dyDescent="0.25">
      <c r="A1787" s="115">
        <v>14.182</v>
      </c>
      <c r="B1787" s="115">
        <v>14.78</v>
      </c>
      <c r="C1787" s="1">
        <v>780</v>
      </c>
      <c r="D1787" s="1" t="s">
        <v>2638</v>
      </c>
      <c r="E1787" s="1">
        <v>14</v>
      </c>
    </row>
    <row r="1788" spans="1:5" hidden="1" x14ac:dyDescent="0.25">
      <c r="A1788" s="115">
        <v>14.183</v>
      </c>
      <c r="B1788" s="115">
        <v>14.79</v>
      </c>
      <c r="C1788" s="1">
        <v>790</v>
      </c>
      <c r="D1788" s="1" t="s">
        <v>2639</v>
      </c>
      <c r="E1788" s="1">
        <v>14</v>
      </c>
    </row>
    <row r="1789" spans="1:5" hidden="1" x14ac:dyDescent="0.25">
      <c r="A1789" s="115">
        <v>14.183999999999999</v>
      </c>
      <c r="B1789" s="115">
        <v>14.8</v>
      </c>
      <c r="C1789" s="1">
        <v>800</v>
      </c>
      <c r="D1789" s="1" t="s">
        <v>2640</v>
      </c>
      <c r="E1789" s="1">
        <v>14</v>
      </c>
    </row>
    <row r="1790" spans="1:5" hidden="1" x14ac:dyDescent="0.25">
      <c r="A1790" s="115">
        <v>14.185</v>
      </c>
      <c r="B1790" s="115">
        <v>14.805</v>
      </c>
      <c r="C1790" s="1">
        <v>805</v>
      </c>
      <c r="D1790" s="1" t="s">
        <v>2641</v>
      </c>
      <c r="E1790" s="1">
        <v>14</v>
      </c>
    </row>
    <row r="1791" spans="1:5" hidden="1" x14ac:dyDescent="0.25">
      <c r="A1791" s="115">
        <v>14.186</v>
      </c>
      <c r="B1791" s="115">
        <v>14.81</v>
      </c>
      <c r="C1791" s="1">
        <v>810</v>
      </c>
      <c r="D1791" s="1" t="s">
        <v>2642</v>
      </c>
      <c r="E1791" s="1">
        <v>14</v>
      </c>
    </row>
    <row r="1792" spans="1:5" hidden="1" x14ac:dyDescent="0.25">
      <c r="A1792" s="115">
        <v>14.186999999999999</v>
      </c>
      <c r="B1792" s="115">
        <v>14.82</v>
      </c>
      <c r="C1792" s="1">
        <v>820</v>
      </c>
      <c r="D1792" s="1" t="s">
        <v>2643</v>
      </c>
      <c r="E1792" s="1">
        <v>14</v>
      </c>
    </row>
    <row r="1793" spans="1:5" hidden="1" x14ac:dyDescent="0.25">
      <c r="A1793" s="115">
        <v>14.188000000000001</v>
      </c>
      <c r="B1793" s="115">
        <v>14.83</v>
      </c>
      <c r="C1793" s="1">
        <v>830</v>
      </c>
      <c r="D1793" s="1" t="s">
        <v>2644</v>
      </c>
      <c r="E1793" s="1">
        <v>14</v>
      </c>
    </row>
    <row r="1794" spans="1:5" hidden="1" x14ac:dyDescent="0.25">
      <c r="A1794" s="115">
        <v>14.189</v>
      </c>
      <c r="B1794" s="115">
        <v>14.84</v>
      </c>
      <c r="C1794" s="1">
        <v>840</v>
      </c>
      <c r="D1794" s="1" t="s">
        <v>2645</v>
      </c>
      <c r="E1794" s="1">
        <v>14</v>
      </c>
    </row>
    <row r="1795" spans="1:5" hidden="1" x14ac:dyDescent="0.25">
      <c r="A1795" s="115">
        <v>14.19</v>
      </c>
      <c r="B1795" s="115">
        <v>14.85</v>
      </c>
      <c r="C1795" s="1">
        <v>850</v>
      </c>
      <c r="D1795" s="1" t="s">
        <v>2646</v>
      </c>
      <c r="E1795" s="1">
        <v>14</v>
      </c>
    </row>
    <row r="1796" spans="1:5" hidden="1" x14ac:dyDescent="0.25">
      <c r="A1796" s="115">
        <v>14.191000000000001</v>
      </c>
      <c r="B1796" s="115">
        <v>14.86</v>
      </c>
      <c r="C1796" s="1">
        <v>860</v>
      </c>
      <c r="D1796" s="1" t="s">
        <v>2647</v>
      </c>
      <c r="E1796" s="1">
        <v>14</v>
      </c>
    </row>
    <row r="1797" spans="1:5" hidden="1" x14ac:dyDescent="0.25">
      <c r="A1797" s="115">
        <v>14.192</v>
      </c>
      <c r="B1797" s="115">
        <v>14.87</v>
      </c>
      <c r="C1797" s="1">
        <v>870</v>
      </c>
      <c r="D1797" s="1" t="s">
        <v>2648</v>
      </c>
      <c r="E1797" s="1">
        <v>14</v>
      </c>
    </row>
    <row r="1798" spans="1:5" hidden="1" x14ac:dyDescent="0.25">
      <c r="A1798" s="115">
        <v>14.193</v>
      </c>
      <c r="B1798" s="115">
        <v>14.88</v>
      </c>
      <c r="C1798" s="1">
        <v>880</v>
      </c>
      <c r="D1798" s="1" t="s">
        <v>2649</v>
      </c>
      <c r="E1798" s="1">
        <v>14</v>
      </c>
    </row>
    <row r="1799" spans="1:5" hidden="1" x14ac:dyDescent="0.25">
      <c r="A1799" s="115">
        <v>14.194000000000001</v>
      </c>
      <c r="B1799" s="115">
        <v>14.89</v>
      </c>
      <c r="C1799" s="1">
        <v>890</v>
      </c>
      <c r="D1799" s="1" t="s">
        <v>2650</v>
      </c>
      <c r="E1799" s="1">
        <v>14</v>
      </c>
    </row>
    <row r="1800" spans="1:5" hidden="1" x14ac:dyDescent="0.25">
      <c r="A1800" s="115">
        <v>14.195</v>
      </c>
      <c r="B1800" s="115">
        <v>14.895</v>
      </c>
      <c r="C1800" s="1">
        <v>895</v>
      </c>
      <c r="D1800" s="1" t="s">
        <v>2651</v>
      </c>
      <c r="E1800" s="1">
        <v>14</v>
      </c>
    </row>
    <row r="1801" spans="1:5" hidden="1" x14ac:dyDescent="0.25">
      <c r="A1801" s="115">
        <v>14.196</v>
      </c>
      <c r="B1801" s="115">
        <v>14.9</v>
      </c>
      <c r="C1801" s="1">
        <v>900</v>
      </c>
      <c r="D1801" s="1" t="s">
        <v>2652</v>
      </c>
      <c r="E1801" s="1">
        <v>14</v>
      </c>
    </row>
    <row r="1802" spans="1:5" hidden="1" x14ac:dyDescent="0.25">
      <c r="A1802" s="115">
        <v>14.196999999999999</v>
      </c>
      <c r="B1802" s="115">
        <v>14.91</v>
      </c>
      <c r="C1802" s="1">
        <v>910</v>
      </c>
      <c r="D1802" s="1" t="s">
        <v>2653</v>
      </c>
      <c r="E1802" s="1">
        <v>14</v>
      </c>
    </row>
    <row r="1803" spans="1:5" hidden="1" x14ac:dyDescent="0.25">
      <c r="A1803" s="115">
        <v>14.198</v>
      </c>
      <c r="B1803" s="115">
        <v>14.92</v>
      </c>
      <c r="C1803" s="1">
        <v>920</v>
      </c>
      <c r="D1803" s="1" t="s">
        <v>2654</v>
      </c>
      <c r="E1803" s="1">
        <v>14</v>
      </c>
    </row>
    <row r="1804" spans="1:5" hidden="1" x14ac:dyDescent="0.25">
      <c r="A1804" s="115">
        <v>14.199</v>
      </c>
      <c r="B1804" s="115">
        <v>14.925000000000001</v>
      </c>
      <c r="C1804" s="1">
        <v>925</v>
      </c>
      <c r="D1804" s="1" t="s">
        <v>2655</v>
      </c>
      <c r="E1804" s="1">
        <v>14</v>
      </c>
    </row>
    <row r="1805" spans="1:5" hidden="1" x14ac:dyDescent="0.25">
      <c r="A1805" s="115">
        <v>14.2</v>
      </c>
      <c r="B1805" s="115">
        <v>14.93</v>
      </c>
      <c r="C1805" s="1">
        <v>930</v>
      </c>
      <c r="D1805" s="1" t="s">
        <v>2656</v>
      </c>
      <c r="E1805" s="1">
        <v>14</v>
      </c>
    </row>
    <row r="1806" spans="1:5" hidden="1" x14ac:dyDescent="0.25">
      <c r="A1806" s="115">
        <v>14.201000000000001</v>
      </c>
      <c r="B1806" s="115">
        <v>14.935</v>
      </c>
      <c r="C1806" s="1">
        <v>935</v>
      </c>
      <c r="D1806" s="1" t="s">
        <v>2657</v>
      </c>
      <c r="E1806" s="1">
        <v>14</v>
      </c>
    </row>
    <row r="1807" spans="1:5" hidden="1" x14ac:dyDescent="0.25">
      <c r="A1807" s="115">
        <v>14.202</v>
      </c>
      <c r="B1807" s="115">
        <v>14.94</v>
      </c>
      <c r="C1807" s="1">
        <v>940</v>
      </c>
      <c r="D1807" s="1" t="s">
        <v>2658</v>
      </c>
      <c r="E1807" s="1">
        <v>14</v>
      </c>
    </row>
    <row r="1808" spans="1:5" hidden="1" x14ac:dyDescent="0.25">
      <c r="A1808" s="115">
        <v>14.202999999999999</v>
      </c>
      <c r="B1808" s="115">
        <v>14.95</v>
      </c>
      <c r="C1808" s="1">
        <v>950</v>
      </c>
      <c r="D1808" s="1" t="s">
        <v>2659</v>
      </c>
      <c r="E1808" s="1">
        <v>14</v>
      </c>
    </row>
    <row r="1809" spans="1:5" hidden="1" x14ac:dyDescent="0.25">
      <c r="A1809" s="115">
        <v>14.204000000000001</v>
      </c>
      <c r="B1809" s="115">
        <v>14.955</v>
      </c>
      <c r="C1809" s="1">
        <v>955</v>
      </c>
      <c r="D1809" s="1" t="s">
        <v>2660</v>
      </c>
      <c r="E1809" s="1">
        <v>14</v>
      </c>
    </row>
    <row r="1810" spans="1:5" hidden="1" x14ac:dyDescent="0.25">
      <c r="A1810" s="115">
        <v>14.205</v>
      </c>
      <c r="B1810" s="115">
        <v>14.96</v>
      </c>
      <c r="C1810" s="1">
        <v>960</v>
      </c>
      <c r="D1810" s="1" t="s">
        <v>2661</v>
      </c>
      <c r="E1810" s="1">
        <v>14</v>
      </c>
    </row>
    <row r="1811" spans="1:5" hidden="1" x14ac:dyDescent="0.25">
      <c r="A1811" s="115">
        <v>14.206</v>
      </c>
      <c r="B1811" s="115">
        <v>14.97</v>
      </c>
      <c r="C1811" s="1">
        <v>970</v>
      </c>
      <c r="D1811" s="1" t="s">
        <v>2662</v>
      </c>
      <c r="E1811" s="1">
        <v>14</v>
      </c>
    </row>
    <row r="1812" spans="1:5" hidden="1" x14ac:dyDescent="0.25">
      <c r="A1812" s="115">
        <v>14.207000000000001</v>
      </c>
      <c r="B1812" s="115">
        <v>14.98</v>
      </c>
      <c r="C1812" s="1">
        <v>980</v>
      </c>
      <c r="D1812" s="1" t="s">
        <v>2663</v>
      </c>
      <c r="E1812" s="1">
        <v>14</v>
      </c>
    </row>
    <row r="1813" spans="1:5" hidden="1" x14ac:dyDescent="0.25">
      <c r="A1813" s="115">
        <v>14.208</v>
      </c>
      <c r="B1813" s="115">
        <v>14.99</v>
      </c>
      <c r="C1813" s="1">
        <v>990</v>
      </c>
      <c r="D1813" s="1" t="s">
        <v>2664</v>
      </c>
      <c r="E1813" s="1">
        <v>14</v>
      </c>
    </row>
    <row r="1814" spans="1:5" hidden="1" x14ac:dyDescent="0.25">
      <c r="A1814" s="115">
        <v>14.209</v>
      </c>
      <c r="B1814" s="115">
        <v>14.1</v>
      </c>
      <c r="C1814" s="1">
        <v>1000</v>
      </c>
      <c r="D1814" s="1" t="s">
        <v>2665</v>
      </c>
      <c r="E1814" s="1">
        <v>14</v>
      </c>
    </row>
    <row r="1815" spans="1:5" hidden="1" x14ac:dyDescent="0.25">
      <c r="A1815" s="115">
        <v>14.21</v>
      </c>
      <c r="B1815" s="115">
        <v>14.11</v>
      </c>
      <c r="C1815" s="1">
        <v>1100</v>
      </c>
      <c r="D1815" s="1" t="s">
        <v>2666</v>
      </c>
      <c r="E1815" s="1">
        <v>14</v>
      </c>
    </row>
    <row r="1816" spans="1:5" hidden="1" x14ac:dyDescent="0.25">
      <c r="A1816" s="115">
        <v>14.211</v>
      </c>
      <c r="B1816" s="115">
        <v>14.111000000000001</v>
      </c>
      <c r="C1816" s="1">
        <v>1110</v>
      </c>
      <c r="D1816" s="1" t="s">
        <v>2667</v>
      </c>
      <c r="E1816" s="1">
        <v>14</v>
      </c>
    </row>
    <row r="1817" spans="1:5" hidden="1" x14ac:dyDescent="0.25">
      <c r="A1817" s="115">
        <v>14.212</v>
      </c>
      <c r="B1817" s="115">
        <v>14.112</v>
      </c>
      <c r="C1817" s="1">
        <v>1120</v>
      </c>
      <c r="D1817" s="1" t="s">
        <v>2668</v>
      </c>
      <c r="E1817" s="1">
        <v>14</v>
      </c>
    </row>
    <row r="1818" spans="1:5" hidden="1" x14ac:dyDescent="0.25">
      <c r="A1818" s="115">
        <v>14.212999999999999</v>
      </c>
      <c r="B1818" s="115">
        <v>14.113</v>
      </c>
      <c r="C1818" s="1">
        <v>1130</v>
      </c>
      <c r="D1818" s="1" t="s">
        <v>2669</v>
      </c>
      <c r="E1818" s="1">
        <v>14</v>
      </c>
    </row>
    <row r="1819" spans="1:5" hidden="1" x14ac:dyDescent="0.25">
      <c r="A1819" s="115">
        <v>14.214</v>
      </c>
      <c r="B1819" s="115">
        <v>14.114000000000001</v>
      </c>
      <c r="C1819" s="1">
        <v>1140</v>
      </c>
      <c r="D1819" s="1" t="s">
        <v>2670</v>
      </c>
      <c r="E1819" s="1">
        <v>14</v>
      </c>
    </row>
    <row r="1820" spans="1:5" hidden="1" x14ac:dyDescent="0.25">
      <c r="A1820" s="115">
        <v>14.215</v>
      </c>
      <c r="B1820" s="115">
        <v>14.115</v>
      </c>
      <c r="C1820" s="1">
        <v>1150</v>
      </c>
      <c r="D1820" s="1" t="s">
        <v>2671</v>
      </c>
      <c r="E1820" s="1">
        <v>14</v>
      </c>
    </row>
    <row r="1821" spans="1:5" hidden="1" x14ac:dyDescent="0.25">
      <c r="A1821" s="115">
        <v>14.215999999999999</v>
      </c>
      <c r="B1821" s="115">
        <v>14.116</v>
      </c>
      <c r="C1821" s="1">
        <v>1160</v>
      </c>
      <c r="D1821" s="1" t="s">
        <v>2672</v>
      </c>
      <c r="E1821" s="1">
        <v>14</v>
      </c>
    </row>
    <row r="1822" spans="1:5" hidden="1" x14ac:dyDescent="0.25">
      <c r="A1822" s="115">
        <v>14.217000000000001</v>
      </c>
      <c r="B1822" s="115">
        <v>14.117000000000001</v>
      </c>
      <c r="C1822" s="1">
        <v>1170</v>
      </c>
      <c r="D1822" s="1" t="s">
        <v>2673</v>
      </c>
      <c r="E1822" s="1">
        <v>14</v>
      </c>
    </row>
    <row r="1823" spans="1:5" hidden="1" x14ac:dyDescent="0.25">
      <c r="A1823" s="115">
        <v>14.218</v>
      </c>
      <c r="B1823" s="115">
        <v>14.118</v>
      </c>
      <c r="C1823" s="1">
        <v>1180</v>
      </c>
      <c r="D1823" s="1" t="s">
        <v>2674</v>
      </c>
      <c r="E1823" s="1">
        <v>14</v>
      </c>
    </row>
    <row r="1824" spans="1:5" hidden="1" x14ac:dyDescent="0.25">
      <c r="A1824" s="115">
        <v>14.218999999999999</v>
      </c>
      <c r="B1824" s="115">
        <v>14.119</v>
      </c>
      <c r="C1824" s="1">
        <v>1190</v>
      </c>
      <c r="D1824" s="1" t="s">
        <v>2675</v>
      </c>
      <c r="E1824" s="1">
        <v>14</v>
      </c>
    </row>
    <row r="1825" spans="1:5" hidden="1" x14ac:dyDescent="0.25">
      <c r="A1825" s="115">
        <v>14.22</v>
      </c>
      <c r="B1825" s="115">
        <v>14.12</v>
      </c>
      <c r="C1825" s="1">
        <v>1200</v>
      </c>
      <c r="D1825" s="1" t="s">
        <v>2676</v>
      </c>
      <c r="E1825" s="1">
        <v>14</v>
      </c>
    </row>
    <row r="1826" spans="1:5" hidden="1" x14ac:dyDescent="0.25">
      <c r="A1826" s="115">
        <v>14.221</v>
      </c>
      <c r="B1826" s="115">
        <v>14.121</v>
      </c>
      <c r="C1826" s="1">
        <v>1210</v>
      </c>
      <c r="D1826" s="1" t="s">
        <v>2677</v>
      </c>
      <c r="E1826" s="1">
        <v>14</v>
      </c>
    </row>
    <row r="1827" spans="1:5" hidden="1" x14ac:dyDescent="0.25">
      <c r="A1827" s="115">
        <v>14.222</v>
      </c>
      <c r="B1827" s="115">
        <v>14.122</v>
      </c>
      <c r="C1827" s="1">
        <v>1220</v>
      </c>
      <c r="D1827" s="1" t="s">
        <v>2678</v>
      </c>
      <c r="E1827" s="1">
        <v>14</v>
      </c>
    </row>
    <row r="1828" spans="1:5" hidden="1" x14ac:dyDescent="0.25">
      <c r="A1828" s="115">
        <v>14.223000000000001</v>
      </c>
      <c r="B1828" s="115">
        <v>14.122999999999999</v>
      </c>
      <c r="C1828" s="1">
        <v>1230</v>
      </c>
      <c r="D1828" s="1" t="s">
        <v>2679</v>
      </c>
      <c r="E1828" s="1">
        <v>14</v>
      </c>
    </row>
    <row r="1829" spans="1:5" hidden="1" x14ac:dyDescent="0.25">
      <c r="A1829" s="115">
        <v>14.224</v>
      </c>
      <c r="B1829" s="115">
        <v>14.124000000000001</v>
      </c>
      <c r="C1829" s="1">
        <v>1240</v>
      </c>
      <c r="D1829" s="1" t="s">
        <v>2680</v>
      </c>
      <c r="E1829" s="1">
        <v>14</v>
      </c>
    </row>
    <row r="1830" spans="1:5" hidden="1" x14ac:dyDescent="0.25">
      <c r="A1830" s="115">
        <v>14.225</v>
      </c>
      <c r="B1830" s="115">
        <v>14.125</v>
      </c>
      <c r="C1830" s="1">
        <v>1250</v>
      </c>
      <c r="D1830" s="1" t="s">
        <v>2681</v>
      </c>
      <c r="E1830" s="1">
        <v>14</v>
      </c>
    </row>
    <row r="1831" spans="1:5" hidden="1" x14ac:dyDescent="0.25">
      <c r="A1831" s="115">
        <v>14.226000000000001</v>
      </c>
      <c r="B1831" s="115">
        <v>14.125999999999999</v>
      </c>
      <c r="C1831" s="1">
        <v>1260</v>
      </c>
      <c r="D1831" s="1" t="s">
        <v>2682</v>
      </c>
      <c r="E1831" s="1">
        <v>14</v>
      </c>
    </row>
    <row r="1832" spans="1:5" hidden="1" x14ac:dyDescent="0.25">
      <c r="A1832" s="115">
        <v>14.227</v>
      </c>
      <c r="B1832" s="115">
        <v>14.127000000000001</v>
      </c>
      <c r="C1832" s="1">
        <v>1270</v>
      </c>
      <c r="D1832" s="1" t="s">
        <v>2683</v>
      </c>
      <c r="E1832" s="1">
        <v>14</v>
      </c>
    </row>
    <row r="1833" spans="1:5" hidden="1" x14ac:dyDescent="0.25">
      <c r="A1833" s="115">
        <v>14.228</v>
      </c>
      <c r="B1833" s="115">
        <v>14.128</v>
      </c>
      <c r="C1833" s="1">
        <v>1280</v>
      </c>
      <c r="D1833" s="1" t="s">
        <v>2684</v>
      </c>
      <c r="E1833" s="1">
        <v>14</v>
      </c>
    </row>
    <row r="1834" spans="1:5" hidden="1" x14ac:dyDescent="0.25">
      <c r="A1834" s="115">
        <v>14.228999999999999</v>
      </c>
      <c r="B1834" s="115">
        <v>14.13</v>
      </c>
      <c r="C1834" s="1">
        <v>1300</v>
      </c>
      <c r="D1834" s="1" t="s">
        <v>2685</v>
      </c>
      <c r="E1834" s="1">
        <v>14</v>
      </c>
    </row>
    <row r="1835" spans="1:5" hidden="1" x14ac:dyDescent="0.25">
      <c r="A1835" s="115">
        <v>14.23</v>
      </c>
      <c r="B1835" s="115">
        <v>14.131</v>
      </c>
      <c r="C1835" s="1">
        <v>1310</v>
      </c>
      <c r="D1835" s="1" t="s">
        <v>2686</v>
      </c>
      <c r="E1835" s="1">
        <v>14</v>
      </c>
    </row>
    <row r="1836" spans="1:5" hidden="1" x14ac:dyDescent="0.25">
      <c r="A1836" s="115">
        <v>14.231</v>
      </c>
      <c r="B1836" s="115">
        <v>14.132</v>
      </c>
      <c r="C1836" s="1">
        <v>1320</v>
      </c>
      <c r="D1836" s="1" t="s">
        <v>2687</v>
      </c>
      <c r="E1836" s="1">
        <v>14</v>
      </c>
    </row>
    <row r="1837" spans="1:5" hidden="1" x14ac:dyDescent="0.25">
      <c r="A1837" s="115">
        <v>15.101000000000001</v>
      </c>
      <c r="B1837" s="115">
        <v>15.1</v>
      </c>
      <c r="C1837" s="1">
        <v>10</v>
      </c>
      <c r="D1837" s="1" t="s">
        <v>2559</v>
      </c>
      <c r="E1837" s="1">
        <v>15</v>
      </c>
    </row>
    <row r="1838" spans="1:5" hidden="1" x14ac:dyDescent="0.25">
      <c r="A1838" s="115">
        <v>15.102</v>
      </c>
      <c r="B1838" s="115">
        <v>15.2</v>
      </c>
      <c r="C1838" s="1">
        <v>20</v>
      </c>
      <c r="D1838" s="1" t="s">
        <v>2560</v>
      </c>
      <c r="E1838" s="1">
        <v>15</v>
      </c>
    </row>
    <row r="1839" spans="1:5" hidden="1" x14ac:dyDescent="0.25">
      <c r="A1839" s="115">
        <v>15.103</v>
      </c>
      <c r="B1839" s="115">
        <v>15.3</v>
      </c>
      <c r="C1839" s="1">
        <v>30</v>
      </c>
      <c r="D1839" s="1" t="s">
        <v>2561</v>
      </c>
      <c r="E1839" s="1">
        <v>15</v>
      </c>
    </row>
    <row r="1840" spans="1:5" hidden="1" x14ac:dyDescent="0.25">
      <c r="A1840" s="115">
        <v>15.103999999999999</v>
      </c>
      <c r="B1840" s="115">
        <v>15.4</v>
      </c>
      <c r="C1840" s="1">
        <v>40</v>
      </c>
      <c r="D1840" s="1" t="s">
        <v>2562</v>
      </c>
      <c r="E1840" s="1">
        <v>15</v>
      </c>
    </row>
    <row r="1841" spans="1:5" hidden="1" x14ac:dyDescent="0.25">
      <c r="A1841" s="115">
        <v>15.105</v>
      </c>
      <c r="B1841" s="115">
        <v>15.5</v>
      </c>
      <c r="C1841" s="1">
        <v>50</v>
      </c>
      <c r="D1841" s="1" t="s">
        <v>2563</v>
      </c>
      <c r="E1841" s="1">
        <v>15</v>
      </c>
    </row>
    <row r="1842" spans="1:5" hidden="1" x14ac:dyDescent="0.25">
      <c r="A1842" s="115">
        <v>15.106</v>
      </c>
      <c r="B1842" s="115">
        <v>15.6</v>
      </c>
      <c r="C1842" s="1">
        <v>60</v>
      </c>
      <c r="D1842" s="1" t="s">
        <v>2564</v>
      </c>
      <c r="E1842" s="1">
        <v>15</v>
      </c>
    </row>
    <row r="1843" spans="1:5" hidden="1" x14ac:dyDescent="0.25">
      <c r="A1843" s="115">
        <v>15.106999999999999</v>
      </c>
      <c r="B1843" s="115">
        <v>15.7</v>
      </c>
      <c r="C1843" s="1">
        <v>70</v>
      </c>
      <c r="D1843" s="1" t="s">
        <v>2565</v>
      </c>
      <c r="E1843" s="1">
        <v>15</v>
      </c>
    </row>
    <row r="1844" spans="1:5" hidden="1" x14ac:dyDescent="0.25">
      <c r="A1844" s="115">
        <v>15.108000000000001</v>
      </c>
      <c r="B1844" s="115">
        <v>15.8</v>
      </c>
      <c r="C1844" s="1">
        <v>80</v>
      </c>
      <c r="D1844" s="1" t="s">
        <v>2566</v>
      </c>
      <c r="E1844" s="1">
        <v>15</v>
      </c>
    </row>
    <row r="1845" spans="1:5" hidden="1" x14ac:dyDescent="0.25">
      <c r="A1845" s="115">
        <v>15.109</v>
      </c>
      <c r="B1845" s="115">
        <v>15.9</v>
      </c>
      <c r="C1845" s="1">
        <v>90</v>
      </c>
      <c r="D1845" s="1" t="s">
        <v>2567</v>
      </c>
      <c r="E1845" s="1">
        <v>15</v>
      </c>
    </row>
    <row r="1846" spans="1:5" hidden="1" x14ac:dyDescent="0.25">
      <c r="A1846" s="115">
        <v>15.11</v>
      </c>
      <c r="B1846" s="115">
        <v>15.1</v>
      </c>
      <c r="C1846" s="1">
        <v>100</v>
      </c>
      <c r="D1846" s="1" t="s">
        <v>2568</v>
      </c>
      <c r="E1846" s="1">
        <v>15</v>
      </c>
    </row>
    <row r="1847" spans="1:5" hidden="1" x14ac:dyDescent="0.25">
      <c r="A1847" s="115">
        <v>15.111000000000001</v>
      </c>
      <c r="B1847" s="115">
        <v>15.11</v>
      </c>
      <c r="C1847" s="1">
        <v>110</v>
      </c>
      <c r="D1847" s="1" t="s">
        <v>2569</v>
      </c>
      <c r="E1847" s="1">
        <v>15</v>
      </c>
    </row>
    <row r="1848" spans="1:5" hidden="1" x14ac:dyDescent="0.25">
      <c r="A1848" s="115">
        <v>15.112</v>
      </c>
      <c r="B1848" s="115">
        <v>15.12</v>
      </c>
      <c r="C1848" s="1">
        <v>120</v>
      </c>
      <c r="D1848" s="1" t="s">
        <v>2570</v>
      </c>
      <c r="E1848" s="1">
        <v>15</v>
      </c>
    </row>
    <row r="1849" spans="1:5" hidden="1" x14ac:dyDescent="0.25">
      <c r="A1849" s="115">
        <v>15.113</v>
      </c>
      <c r="B1849" s="115">
        <v>15.13</v>
      </c>
      <c r="C1849" s="1">
        <v>130</v>
      </c>
      <c r="D1849" s="1" t="s">
        <v>2571</v>
      </c>
      <c r="E1849" s="1">
        <v>15</v>
      </c>
    </row>
    <row r="1850" spans="1:5" hidden="1" x14ac:dyDescent="0.25">
      <c r="A1850" s="115">
        <v>15.114000000000001</v>
      </c>
      <c r="B1850" s="115">
        <v>15.14</v>
      </c>
      <c r="C1850" s="1">
        <v>140</v>
      </c>
      <c r="D1850" s="1" t="s">
        <v>2572</v>
      </c>
      <c r="E1850" s="1">
        <v>15</v>
      </c>
    </row>
    <row r="1851" spans="1:5" hidden="1" x14ac:dyDescent="0.25">
      <c r="A1851" s="115">
        <v>15.115</v>
      </c>
      <c r="B1851" s="115">
        <v>15.15</v>
      </c>
      <c r="C1851" s="1">
        <v>150</v>
      </c>
      <c r="D1851" s="1" t="s">
        <v>2573</v>
      </c>
      <c r="E1851" s="1">
        <v>15</v>
      </c>
    </row>
    <row r="1852" spans="1:5" hidden="1" x14ac:dyDescent="0.25">
      <c r="A1852" s="115">
        <v>15.116</v>
      </c>
      <c r="B1852" s="115">
        <v>15.16</v>
      </c>
      <c r="C1852" s="1">
        <v>160</v>
      </c>
      <c r="D1852" s="1" t="s">
        <v>2574</v>
      </c>
      <c r="E1852" s="1">
        <v>15</v>
      </c>
    </row>
    <row r="1853" spans="1:5" hidden="1" x14ac:dyDescent="0.25">
      <c r="A1853" s="115">
        <v>15.117000000000001</v>
      </c>
      <c r="B1853" s="115">
        <v>15.17</v>
      </c>
      <c r="C1853" s="1">
        <v>170</v>
      </c>
      <c r="D1853" s="1" t="s">
        <v>2575</v>
      </c>
      <c r="E1853" s="1">
        <v>15</v>
      </c>
    </row>
    <row r="1854" spans="1:5" hidden="1" x14ac:dyDescent="0.25">
      <c r="A1854" s="115">
        <v>15.118</v>
      </c>
      <c r="B1854" s="115">
        <v>15.18</v>
      </c>
      <c r="C1854" s="1">
        <v>180</v>
      </c>
      <c r="D1854" s="1" t="s">
        <v>2576</v>
      </c>
      <c r="E1854" s="1">
        <v>15</v>
      </c>
    </row>
    <row r="1855" spans="1:5" hidden="1" x14ac:dyDescent="0.25">
      <c r="A1855" s="115">
        <v>15.119</v>
      </c>
      <c r="B1855" s="115">
        <v>15.19</v>
      </c>
      <c r="C1855" s="1">
        <v>190</v>
      </c>
      <c r="D1855" s="1" t="s">
        <v>2577</v>
      </c>
      <c r="E1855" s="1">
        <v>15</v>
      </c>
    </row>
    <row r="1856" spans="1:5" hidden="1" x14ac:dyDescent="0.25">
      <c r="A1856" s="115">
        <v>15.12</v>
      </c>
      <c r="B1856" s="115">
        <v>15.2</v>
      </c>
      <c r="C1856" s="1">
        <v>200</v>
      </c>
      <c r="D1856" s="1" t="s">
        <v>2578</v>
      </c>
      <c r="E1856" s="1">
        <v>15</v>
      </c>
    </row>
    <row r="1857" spans="1:5" hidden="1" x14ac:dyDescent="0.25">
      <c r="A1857" s="115">
        <v>15.121</v>
      </c>
      <c r="B1857" s="115">
        <v>15.21</v>
      </c>
      <c r="C1857" s="1">
        <v>210</v>
      </c>
      <c r="D1857" s="1" t="s">
        <v>2579</v>
      </c>
      <c r="E1857" s="1">
        <v>15</v>
      </c>
    </row>
    <row r="1858" spans="1:5" hidden="1" x14ac:dyDescent="0.25">
      <c r="A1858" s="115">
        <v>15.122</v>
      </c>
      <c r="B1858" s="115">
        <v>15.22</v>
      </c>
      <c r="C1858" s="1">
        <v>220</v>
      </c>
      <c r="D1858" s="1" t="s">
        <v>2580</v>
      </c>
      <c r="E1858" s="1">
        <v>15</v>
      </c>
    </row>
    <row r="1859" spans="1:5" hidden="1" x14ac:dyDescent="0.25">
      <c r="A1859" s="115">
        <v>15.122999999999999</v>
      </c>
      <c r="B1859" s="115">
        <v>15.23</v>
      </c>
      <c r="C1859" s="1">
        <v>230</v>
      </c>
      <c r="D1859" s="1" t="s">
        <v>2581</v>
      </c>
      <c r="E1859" s="1">
        <v>15</v>
      </c>
    </row>
    <row r="1860" spans="1:5" hidden="1" x14ac:dyDescent="0.25">
      <c r="A1860" s="115">
        <v>15.124000000000001</v>
      </c>
      <c r="B1860" s="115">
        <v>15.24</v>
      </c>
      <c r="C1860" s="1">
        <v>240</v>
      </c>
      <c r="D1860" s="1" t="s">
        <v>2582</v>
      </c>
      <c r="E1860" s="1">
        <v>15</v>
      </c>
    </row>
    <row r="1861" spans="1:5" hidden="1" x14ac:dyDescent="0.25">
      <c r="A1861" s="115">
        <v>15.125</v>
      </c>
      <c r="B1861" s="115">
        <v>15.25</v>
      </c>
      <c r="C1861" s="1">
        <v>250</v>
      </c>
      <c r="D1861" s="1" t="s">
        <v>2583</v>
      </c>
      <c r="E1861" s="1">
        <v>15</v>
      </c>
    </row>
    <row r="1862" spans="1:5" hidden="1" x14ac:dyDescent="0.25">
      <c r="A1862" s="115">
        <v>15.125999999999999</v>
      </c>
      <c r="B1862" s="115">
        <v>15.26</v>
      </c>
      <c r="C1862" s="1">
        <v>260</v>
      </c>
      <c r="D1862" s="1" t="s">
        <v>2584</v>
      </c>
      <c r="E1862" s="1">
        <v>15</v>
      </c>
    </row>
    <row r="1863" spans="1:5" hidden="1" x14ac:dyDescent="0.25">
      <c r="A1863" s="115">
        <v>15.127000000000001</v>
      </c>
      <c r="B1863" s="115">
        <v>15.27</v>
      </c>
      <c r="C1863" s="1">
        <v>270</v>
      </c>
      <c r="D1863" s="1" t="s">
        <v>2585</v>
      </c>
      <c r="E1863" s="1">
        <v>15</v>
      </c>
    </row>
    <row r="1864" spans="1:5" hidden="1" x14ac:dyDescent="0.25">
      <c r="A1864" s="115">
        <v>15.128</v>
      </c>
      <c r="B1864" s="115">
        <v>15.28</v>
      </c>
      <c r="C1864" s="1">
        <v>280</v>
      </c>
      <c r="D1864" s="1" t="s">
        <v>2586</v>
      </c>
      <c r="E1864" s="1">
        <v>15</v>
      </c>
    </row>
    <row r="1865" spans="1:5" hidden="1" x14ac:dyDescent="0.25">
      <c r="A1865" s="115">
        <v>15.129</v>
      </c>
      <c r="B1865" s="115">
        <v>15.29</v>
      </c>
      <c r="C1865" s="1">
        <v>290</v>
      </c>
      <c r="D1865" s="1" t="s">
        <v>2587</v>
      </c>
      <c r="E1865" s="1">
        <v>15</v>
      </c>
    </row>
    <row r="1866" spans="1:5" hidden="1" x14ac:dyDescent="0.25">
      <c r="A1866" s="115">
        <v>15.13</v>
      </c>
      <c r="B1866" s="115">
        <v>15.3</v>
      </c>
      <c r="C1866" s="1">
        <v>300</v>
      </c>
      <c r="D1866" s="1" t="s">
        <v>2588</v>
      </c>
      <c r="E1866" s="1">
        <v>15</v>
      </c>
    </row>
    <row r="1867" spans="1:5" hidden="1" x14ac:dyDescent="0.25">
      <c r="A1867" s="115">
        <v>15.131</v>
      </c>
      <c r="B1867" s="115">
        <v>15.31</v>
      </c>
      <c r="C1867" s="1">
        <v>310</v>
      </c>
      <c r="D1867" s="1" t="s">
        <v>2589</v>
      </c>
      <c r="E1867" s="1">
        <v>15</v>
      </c>
    </row>
    <row r="1868" spans="1:5" hidden="1" x14ac:dyDescent="0.25">
      <c r="A1868" s="115">
        <v>15.132</v>
      </c>
      <c r="B1868" s="115">
        <v>15.32</v>
      </c>
      <c r="C1868" s="1">
        <v>320</v>
      </c>
      <c r="D1868" s="1" t="s">
        <v>2590</v>
      </c>
      <c r="E1868" s="1">
        <v>15</v>
      </c>
    </row>
    <row r="1869" spans="1:5" hidden="1" x14ac:dyDescent="0.25">
      <c r="A1869" s="115">
        <v>15.132999999999999</v>
      </c>
      <c r="B1869" s="115">
        <v>15.33</v>
      </c>
      <c r="C1869" s="1">
        <v>330</v>
      </c>
      <c r="D1869" s="1" t="s">
        <v>2591</v>
      </c>
      <c r="E1869" s="1">
        <v>15</v>
      </c>
    </row>
    <row r="1870" spans="1:5" hidden="1" x14ac:dyDescent="0.25">
      <c r="A1870" s="115">
        <v>15.134</v>
      </c>
      <c r="B1870" s="115">
        <v>15.34</v>
      </c>
      <c r="C1870" s="1">
        <v>340</v>
      </c>
      <c r="D1870" s="1" t="s">
        <v>2592</v>
      </c>
      <c r="E1870" s="1">
        <v>15</v>
      </c>
    </row>
    <row r="1871" spans="1:5" hidden="1" x14ac:dyDescent="0.25">
      <c r="A1871" s="115">
        <v>15.135</v>
      </c>
      <c r="B1871" s="115">
        <v>15.35</v>
      </c>
      <c r="C1871" s="1">
        <v>350</v>
      </c>
      <c r="D1871" s="1" t="s">
        <v>2593</v>
      </c>
      <c r="E1871" s="1">
        <v>15</v>
      </c>
    </row>
    <row r="1872" spans="1:5" hidden="1" x14ac:dyDescent="0.25">
      <c r="A1872" s="115">
        <v>15.135999999999999</v>
      </c>
      <c r="B1872" s="115">
        <v>15.36</v>
      </c>
      <c r="C1872" s="1">
        <v>360</v>
      </c>
      <c r="D1872" s="1" t="s">
        <v>2594</v>
      </c>
      <c r="E1872" s="1">
        <v>15</v>
      </c>
    </row>
    <row r="1873" spans="1:5" hidden="1" x14ac:dyDescent="0.25">
      <c r="A1873" s="115">
        <v>15.137</v>
      </c>
      <c r="B1873" s="115">
        <v>15.37</v>
      </c>
      <c r="C1873" s="1">
        <v>370</v>
      </c>
      <c r="D1873" s="1" t="s">
        <v>2595</v>
      </c>
      <c r="E1873" s="1">
        <v>15</v>
      </c>
    </row>
    <row r="1874" spans="1:5" hidden="1" x14ac:dyDescent="0.25">
      <c r="A1874" s="115">
        <v>15.138</v>
      </c>
      <c r="B1874" s="115">
        <v>15.38</v>
      </c>
      <c r="C1874" s="1">
        <v>380</v>
      </c>
      <c r="D1874" s="1" t="s">
        <v>2596</v>
      </c>
      <c r="E1874" s="1">
        <v>15</v>
      </c>
    </row>
    <row r="1875" spans="1:5" hidden="1" x14ac:dyDescent="0.25">
      <c r="A1875" s="115">
        <v>15.138999999999999</v>
      </c>
      <c r="B1875" s="115">
        <v>15.39</v>
      </c>
      <c r="C1875" s="1">
        <v>390</v>
      </c>
      <c r="D1875" s="1" t="s">
        <v>2597</v>
      </c>
      <c r="E1875" s="1">
        <v>15</v>
      </c>
    </row>
    <row r="1876" spans="1:5" hidden="1" x14ac:dyDescent="0.25">
      <c r="A1876" s="115">
        <v>15.14</v>
      </c>
      <c r="B1876" s="115">
        <v>15.4</v>
      </c>
      <c r="C1876" s="1">
        <v>400</v>
      </c>
      <c r="D1876" s="1" t="s">
        <v>2598</v>
      </c>
      <c r="E1876" s="1">
        <v>15</v>
      </c>
    </row>
    <row r="1877" spans="1:5" hidden="1" x14ac:dyDescent="0.25">
      <c r="A1877" s="115">
        <v>15.141</v>
      </c>
      <c r="B1877" s="115">
        <v>15.41</v>
      </c>
      <c r="C1877" s="1">
        <v>410</v>
      </c>
      <c r="D1877" s="1" t="s">
        <v>2599</v>
      </c>
      <c r="E1877" s="1">
        <v>15</v>
      </c>
    </row>
    <row r="1878" spans="1:5" hidden="1" x14ac:dyDescent="0.25">
      <c r="A1878" s="115">
        <v>15.141999999999999</v>
      </c>
      <c r="B1878" s="115">
        <v>15.42</v>
      </c>
      <c r="C1878" s="1">
        <v>420</v>
      </c>
      <c r="D1878" s="1" t="s">
        <v>2600</v>
      </c>
      <c r="E1878" s="1">
        <v>15</v>
      </c>
    </row>
    <row r="1879" spans="1:5" hidden="1" x14ac:dyDescent="0.25">
      <c r="A1879" s="115">
        <v>15.143000000000001</v>
      </c>
      <c r="B1879" s="115">
        <v>15.43</v>
      </c>
      <c r="C1879" s="1">
        <v>430</v>
      </c>
      <c r="D1879" s="1" t="s">
        <v>2601</v>
      </c>
      <c r="E1879" s="1">
        <v>15</v>
      </c>
    </row>
    <row r="1880" spans="1:5" hidden="1" x14ac:dyDescent="0.25">
      <c r="A1880" s="115">
        <v>15.144</v>
      </c>
      <c r="B1880" s="115">
        <v>15.44</v>
      </c>
      <c r="C1880" s="1">
        <v>440</v>
      </c>
      <c r="D1880" s="1" t="s">
        <v>2602</v>
      </c>
      <c r="E1880" s="1">
        <v>15</v>
      </c>
    </row>
    <row r="1881" spans="1:5" hidden="1" x14ac:dyDescent="0.25">
      <c r="A1881" s="115">
        <v>15.145</v>
      </c>
      <c r="B1881" s="115">
        <v>15.445</v>
      </c>
      <c r="C1881" s="1">
        <v>445</v>
      </c>
      <c r="D1881" s="1" t="s">
        <v>2603</v>
      </c>
      <c r="E1881" s="1">
        <v>15</v>
      </c>
    </row>
    <row r="1882" spans="1:5" hidden="1" x14ac:dyDescent="0.25">
      <c r="A1882" s="115">
        <v>15.146000000000001</v>
      </c>
      <c r="B1882" s="115">
        <v>15.45</v>
      </c>
      <c r="C1882" s="1">
        <v>450</v>
      </c>
      <c r="D1882" s="1" t="s">
        <v>2604</v>
      </c>
      <c r="E1882" s="1">
        <v>15</v>
      </c>
    </row>
    <row r="1883" spans="1:5" hidden="1" x14ac:dyDescent="0.25">
      <c r="A1883" s="115">
        <v>15.147</v>
      </c>
      <c r="B1883" s="115">
        <v>15.46</v>
      </c>
      <c r="C1883" s="1">
        <v>460</v>
      </c>
      <c r="D1883" s="1" t="s">
        <v>2605</v>
      </c>
      <c r="E1883" s="1">
        <v>15</v>
      </c>
    </row>
    <row r="1884" spans="1:5" hidden="1" x14ac:dyDescent="0.25">
      <c r="A1884" s="115">
        <v>15.148</v>
      </c>
      <c r="B1884" s="115">
        <v>15.47</v>
      </c>
      <c r="C1884" s="1">
        <v>470</v>
      </c>
      <c r="D1884" s="1" t="s">
        <v>2606</v>
      </c>
      <c r="E1884" s="1">
        <v>15</v>
      </c>
    </row>
    <row r="1885" spans="1:5" hidden="1" x14ac:dyDescent="0.25">
      <c r="A1885" s="115">
        <v>15.148999999999999</v>
      </c>
      <c r="B1885" s="115">
        <v>15.48</v>
      </c>
      <c r="C1885" s="1">
        <v>480</v>
      </c>
      <c r="D1885" s="1" t="s">
        <v>2607</v>
      </c>
      <c r="E1885" s="1">
        <v>15</v>
      </c>
    </row>
    <row r="1886" spans="1:5" hidden="1" x14ac:dyDescent="0.25">
      <c r="A1886" s="115">
        <v>15.15</v>
      </c>
      <c r="B1886" s="115">
        <v>15.49</v>
      </c>
      <c r="C1886" s="1">
        <v>490</v>
      </c>
      <c r="D1886" s="1" t="s">
        <v>2608</v>
      </c>
      <c r="E1886" s="1">
        <v>15</v>
      </c>
    </row>
    <row r="1887" spans="1:5" hidden="1" x14ac:dyDescent="0.25">
      <c r="A1887" s="115">
        <v>15.151</v>
      </c>
      <c r="B1887" s="115">
        <v>15.5</v>
      </c>
      <c r="C1887" s="1">
        <v>500</v>
      </c>
      <c r="D1887" s="1" t="s">
        <v>2609</v>
      </c>
      <c r="E1887" s="1">
        <v>15</v>
      </c>
    </row>
    <row r="1888" spans="1:5" hidden="1" x14ac:dyDescent="0.25">
      <c r="A1888" s="115">
        <v>15.151999999999999</v>
      </c>
      <c r="B1888" s="115">
        <v>15.51</v>
      </c>
      <c r="C1888" s="1">
        <v>510</v>
      </c>
      <c r="D1888" s="1" t="s">
        <v>2610</v>
      </c>
      <c r="E1888" s="1">
        <v>15</v>
      </c>
    </row>
    <row r="1889" spans="1:5" hidden="1" x14ac:dyDescent="0.25">
      <c r="A1889" s="115">
        <v>15.153</v>
      </c>
      <c r="B1889" s="115">
        <v>15.52</v>
      </c>
      <c r="C1889" s="1">
        <v>520</v>
      </c>
      <c r="D1889" s="1" t="s">
        <v>2611</v>
      </c>
      <c r="E1889" s="1">
        <v>15</v>
      </c>
    </row>
    <row r="1890" spans="1:5" hidden="1" x14ac:dyDescent="0.25">
      <c r="A1890" s="115">
        <v>15.154</v>
      </c>
      <c r="B1890" s="115">
        <v>15.53</v>
      </c>
      <c r="C1890" s="1">
        <v>530</v>
      </c>
      <c r="D1890" s="1" t="s">
        <v>2612</v>
      </c>
      <c r="E1890" s="1">
        <v>15</v>
      </c>
    </row>
    <row r="1891" spans="1:5" hidden="1" x14ac:dyDescent="0.25">
      <c r="A1891" s="115">
        <v>15.154999999999999</v>
      </c>
      <c r="B1891" s="115">
        <v>15.54</v>
      </c>
      <c r="C1891" s="1">
        <v>540</v>
      </c>
      <c r="D1891" s="1" t="s">
        <v>2613</v>
      </c>
      <c r="E1891" s="1">
        <v>15</v>
      </c>
    </row>
    <row r="1892" spans="1:5" hidden="1" x14ac:dyDescent="0.25">
      <c r="A1892" s="115">
        <v>15.156000000000001</v>
      </c>
      <c r="B1892" s="115">
        <v>15.55</v>
      </c>
      <c r="C1892" s="1">
        <v>550</v>
      </c>
      <c r="D1892" s="1" t="s">
        <v>2614</v>
      </c>
      <c r="E1892" s="1">
        <v>15</v>
      </c>
    </row>
    <row r="1893" spans="1:5" hidden="1" x14ac:dyDescent="0.25">
      <c r="A1893" s="115">
        <v>15.157</v>
      </c>
      <c r="B1893" s="115">
        <v>15.56</v>
      </c>
      <c r="C1893" s="1">
        <v>560</v>
      </c>
      <c r="D1893" s="1" t="s">
        <v>2615</v>
      </c>
      <c r="E1893" s="1">
        <v>15</v>
      </c>
    </row>
    <row r="1894" spans="1:5" hidden="1" x14ac:dyDescent="0.25">
      <c r="A1894" s="115">
        <v>15.157999999999999</v>
      </c>
      <c r="B1894" s="115">
        <v>15.57</v>
      </c>
      <c r="C1894" s="1">
        <v>570</v>
      </c>
      <c r="D1894" s="1" t="s">
        <v>2616</v>
      </c>
      <c r="E1894" s="1">
        <v>15</v>
      </c>
    </row>
    <row r="1895" spans="1:5" hidden="1" x14ac:dyDescent="0.25">
      <c r="A1895" s="115">
        <v>15.159000000000001</v>
      </c>
      <c r="B1895" s="115">
        <v>15.574999999999999</v>
      </c>
      <c r="C1895" s="1">
        <v>575</v>
      </c>
      <c r="D1895" s="1" t="s">
        <v>2617</v>
      </c>
      <c r="E1895" s="1">
        <v>15</v>
      </c>
    </row>
    <row r="1896" spans="1:5" hidden="1" x14ac:dyDescent="0.25">
      <c r="A1896" s="115">
        <v>15.16</v>
      </c>
      <c r="B1896" s="115">
        <v>15.576000000000001</v>
      </c>
      <c r="C1896" s="1">
        <v>576</v>
      </c>
      <c r="D1896" s="1" t="s">
        <v>2618</v>
      </c>
      <c r="E1896" s="1">
        <v>15</v>
      </c>
    </row>
    <row r="1897" spans="1:5" hidden="1" x14ac:dyDescent="0.25">
      <c r="A1897" s="115">
        <v>15.161</v>
      </c>
      <c r="B1897" s="115">
        <v>15.58</v>
      </c>
      <c r="C1897" s="1">
        <v>580</v>
      </c>
      <c r="D1897" s="1" t="s">
        <v>2619</v>
      </c>
      <c r="E1897" s="1">
        <v>15</v>
      </c>
    </row>
    <row r="1898" spans="1:5" hidden="1" x14ac:dyDescent="0.25">
      <c r="A1898" s="115">
        <v>15.162000000000001</v>
      </c>
      <c r="B1898" s="115">
        <v>15.59</v>
      </c>
      <c r="C1898" s="1">
        <v>590</v>
      </c>
      <c r="D1898" s="1" t="s">
        <v>1099</v>
      </c>
      <c r="E1898" s="1">
        <v>15</v>
      </c>
    </row>
    <row r="1899" spans="1:5" hidden="1" x14ac:dyDescent="0.25">
      <c r="A1899" s="115">
        <v>15.163</v>
      </c>
      <c r="B1899" s="115">
        <v>15.6</v>
      </c>
      <c r="C1899" s="1">
        <v>600</v>
      </c>
      <c r="D1899" s="1" t="s">
        <v>2620</v>
      </c>
      <c r="E1899" s="1">
        <v>15</v>
      </c>
    </row>
    <row r="1900" spans="1:5" hidden="1" x14ac:dyDescent="0.25">
      <c r="A1900" s="115">
        <v>15.164</v>
      </c>
      <c r="B1900" s="115">
        <v>15.61</v>
      </c>
      <c r="C1900" s="1">
        <v>610</v>
      </c>
      <c r="D1900" s="1" t="s">
        <v>2621</v>
      </c>
      <c r="E1900" s="1">
        <v>15</v>
      </c>
    </row>
    <row r="1901" spans="1:5" hidden="1" x14ac:dyDescent="0.25">
      <c r="A1901" s="115">
        <v>15.164999999999999</v>
      </c>
      <c r="B1901" s="115">
        <v>15.62</v>
      </c>
      <c r="C1901" s="1">
        <v>620</v>
      </c>
      <c r="D1901" s="1" t="s">
        <v>2622</v>
      </c>
      <c r="E1901" s="1">
        <v>15</v>
      </c>
    </row>
    <row r="1902" spans="1:5" hidden="1" x14ac:dyDescent="0.25">
      <c r="A1902" s="115">
        <v>15.166</v>
      </c>
      <c r="B1902" s="115">
        <v>15.63</v>
      </c>
      <c r="C1902" s="1">
        <v>630</v>
      </c>
      <c r="D1902" s="1" t="s">
        <v>2623</v>
      </c>
      <c r="E1902" s="1">
        <v>15</v>
      </c>
    </row>
    <row r="1903" spans="1:5" hidden="1" x14ac:dyDescent="0.25">
      <c r="A1903" s="115">
        <v>15.167</v>
      </c>
      <c r="B1903" s="115">
        <v>15.64</v>
      </c>
      <c r="C1903" s="1">
        <v>640</v>
      </c>
      <c r="D1903" s="1" t="s">
        <v>2624</v>
      </c>
      <c r="E1903" s="1">
        <v>15</v>
      </c>
    </row>
    <row r="1904" spans="1:5" hidden="1" x14ac:dyDescent="0.25">
      <c r="A1904" s="115">
        <v>15.167999999999999</v>
      </c>
      <c r="B1904" s="115">
        <v>15.65</v>
      </c>
      <c r="C1904" s="1">
        <v>650</v>
      </c>
      <c r="D1904" s="1" t="s">
        <v>2625</v>
      </c>
      <c r="E1904" s="1">
        <v>15</v>
      </c>
    </row>
    <row r="1905" spans="1:5" hidden="1" x14ac:dyDescent="0.25">
      <c r="A1905" s="115">
        <v>15.169</v>
      </c>
      <c r="B1905" s="115">
        <v>15.66</v>
      </c>
      <c r="C1905" s="1">
        <v>660</v>
      </c>
      <c r="D1905" s="1" t="s">
        <v>2626</v>
      </c>
      <c r="E1905" s="1">
        <v>15</v>
      </c>
    </row>
    <row r="1906" spans="1:5" hidden="1" x14ac:dyDescent="0.25">
      <c r="A1906" s="115">
        <v>15.17</v>
      </c>
      <c r="B1906" s="115">
        <v>15.67</v>
      </c>
      <c r="C1906" s="1">
        <v>670</v>
      </c>
      <c r="D1906" s="1" t="s">
        <v>2627</v>
      </c>
      <c r="E1906" s="1">
        <v>15</v>
      </c>
    </row>
    <row r="1907" spans="1:5" hidden="1" x14ac:dyDescent="0.25">
      <c r="A1907" s="115">
        <v>15.170999999999999</v>
      </c>
      <c r="B1907" s="115">
        <v>15.68</v>
      </c>
      <c r="C1907" s="1">
        <v>680</v>
      </c>
      <c r="D1907" s="1" t="s">
        <v>2628</v>
      </c>
      <c r="E1907" s="1">
        <v>15</v>
      </c>
    </row>
    <row r="1908" spans="1:5" hidden="1" x14ac:dyDescent="0.25">
      <c r="A1908" s="115">
        <v>15.172000000000001</v>
      </c>
      <c r="B1908" s="115">
        <v>15.69</v>
      </c>
      <c r="C1908" s="1">
        <v>690</v>
      </c>
      <c r="D1908" s="1" t="s">
        <v>2629</v>
      </c>
      <c r="E1908" s="1">
        <v>15</v>
      </c>
    </row>
    <row r="1909" spans="1:5" hidden="1" x14ac:dyDescent="0.25">
      <c r="A1909" s="115">
        <v>15.173</v>
      </c>
      <c r="B1909" s="115">
        <v>15.7</v>
      </c>
      <c r="C1909" s="1">
        <v>700</v>
      </c>
      <c r="D1909" s="1" t="s">
        <v>2630</v>
      </c>
      <c r="E1909" s="1">
        <v>15</v>
      </c>
    </row>
    <row r="1910" spans="1:5" hidden="1" x14ac:dyDescent="0.25">
      <c r="A1910" s="115">
        <v>15.173999999999999</v>
      </c>
      <c r="B1910" s="115">
        <v>15.71</v>
      </c>
      <c r="C1910" s="1">
        <v>710</v>
      </c>
      <c r="D1910" s="1" t="s">
        <v>2631</v>
      </c>
      <c r="E1910" s="1">
        <v>15</v>
      </c>
    </row>
    <row r="1911" spans="1:5" hidden="1" x14ac:dyDescent="0.25">
      <c r="A1911" s="115">
        <v>15.175000000000001</v>
      </c>
      <c r="B1911" s="115">
        <v>15.72</v>
      </c>
      <c r="C1911" s="1">
        <v>720</v>
      </c>
      <c r="D1911" s="1" t="s">
        <v>2632</v>
      </c>
      <c r="E1911" s="1">
        <v>15</v>
      </c>
    </row>
    <row r="1912" spans="1:5" hidden="1" x14ac:dyDescent="0.25">
      <c r="A1912" s="115">
        <v>15.176</v>
      </c>
      <c r="B1912" s="115">
        <v>15.73</v>
      </c>
      <c r="C1912" s="1">
        <v>730</v>
      </c>
      <c r="D1912" s="1" t="s">
        <v>2633</v>
      </c>
      <c r="E1912" s="1">
        <v>15</v>
      </c>
    </row>
    <row r="1913" spans="1:5" hidden="1" x14ac:dyDescent="0.25">
      <c r="A1913" s="115">
        <v>15.177</v>
      </c>
      <c r="B1913" s="115">
        <v>15.74</v>
      </c>
      <c r="C1913" s="1">
        <v>740</v>
      </c>
      <c r="D1913" s="1" t="s">
        <v>2634</v>
      </c>
      <c r="E1913" s="1">
        <v>15</v>
      </c>
    </row>
    <row r="1914" spans="1:5" hidden="1" x14ac:dyDescent="0.25">
      <c r="A1914" s="115">
        <v>15.178000000000001</v>
      </c>
      <c r="B1914" s="115">
        <v>15.75</v>
      </c>
      <c r="C1914" s="1">
        <v>750</v>
      </c>
      <c r="D1914" s="1" t="s">
        <v>2635</v>
      </c>
      <c r="E1914" s="1">
        <v>15</v>
      </c>
    </row>
    <row r="1915" spans="1:5" hidden="1" x14ac:dyDescent="0.25">
      <c r="A1915" s="115">
        <v>15.179</v>
      </c>
      <c r="B1915" s="115">
        <v>15.755000000000001</v>
      </c>
      <c r="C1915" s="1">
        <v>755</v>
      </c>
      <c r="D1915" s="1" t="s">
        <v>1466</v>
      </c>
      <c r="E1915" s="1">
        <v>15</v>
      </c>
    </row>
    <row r="1916" spans="1:5" hidden="1" x14ac:dyDescent="0.25">
      <c r="A1916" s="115">
        <v>15.18</v>
      </c>
      <c r="B1916" s="115">
        <v>15.76</v>
      </c>
      <c r="C1916" s="1">
        <v>760</v>
      </c>
      <c r="D1916" s="1" t="s">
        <v>2636</v>
      </c>
      <c r="E1916" s="1">
        <v>15</v>
      </c>
    </row>
    <row r="1917" spans="1:5" hidden="1" x14ac:dyDescent="0.25">
      <c r="A1917" s="115">
        <v>15.180999999999999</v>
      </c>
      <c r="B1917" s="115">
        <v>15.77</v>
      </c>
      <c r="C1917" s="1">
        <v>770</v>
      </c>
      <c r="D1917" s="1" t="s">
        <v>2637</v>
      </c>
      <c r="E1917" s="1">
        <v>15</v>
      </c>
    </row>
    <row r="1918" spans="1:5" hidden="1" x14ac:dyDescent="0.25">
      <c r="A1918" s="115">
        <v>15.182</v>
      </c>
      <c r="B1918" s="115">
        <v>15.78</v>
      </c>
      <c r="C1918" s="1">
        <v>780</v>
      </c>
      <c r="D1918" s="1" t="s">
        <v>2638</v>
      </c>
      <c r="E1918" s="1">
        <v>15</v>
      </c>
    </row>
    <row r="1919" spans="1:5" hidden="1" x14ac:dyDescent="0.25">
      <c r="A1919" s="115">
        <v>15.183</v>
      </c>
      <c r="B1919" s="115">
        <v>15.79</v>
      </c>
      <c r="C1919" s="1">
        <v>790</v>
      </c>
      <c r="D1919" s="1" t="s">
        <v>2639</v>
      </c>
      <c r="E1919" s="1">
        <v>15</v>
      </c>
    </row>
    <row r="1920" spans="1:5" hidden="1" x14ac:dyDescent="0.25">
      <c r="A1920" s="115">
        <v>15.183999999999999</v>
      </c>
      <c r="B1920" s="115">
        <v>15.8</v>
      </c>
      <c r="C1920" s="1">
        <v>800</v>
      </c>
      <c r="D1920" s="1" t="s">
        <v>2640</v>
      </c>
      <c r="E1920" s="1">
        <v>15</v>
      </c>
    </row>
    <row r="1921" spans="1:5" hidden="1" x14ac:dyDescent="0.25">
      <c r="A1921" s="115">
        <v>15.185</v>
      </c>
      <c r="B1921" s="115">
        <v>15.805</v>
      </c>
      <c r="C1921" s="1">
        <v>805</v>
      </c>
      <c r="D1921" s="1" t="s">
        <v>2641</v>
      </c>
      <c r="E1921" s="1">
        <v>15</v>
      </c>
    </row>
    <row r="1922" spans="1:5" hidden="1" x14ac:dyDescent="0.25">
      <c r="A1922" s="115">
        <v>15.186</v>
      </c>
      <c r="B1922" s="115">
        <v>15.81</v>
      </c>
      <c r="C1922" s="1">
        <v>810</v>
      </c>
      <c r="D1922" s="1" t="s">
        <v>2642</v>
      </c>
      <c r="E1922" s="1">
        <v>15</v>
      </c>
    </row>
    <row r="1923" spans="1:5" hidden="1" x14ac:dyDescent="0.25">
      <c r="A1923" s="115">
        <v>15.186999999999999</v>
      </c>
      <c r="B1923" s="115">
        <v>15.82</v>
      </c>
      <c r="C1923" s="1">
        <v>820</v>
      </c>
      <c r="D1923" s="1" t="s">
        <v>2643</v>
      </c>
      <c r="E1923" s="1">
        <v>15</v>
      </c>
    </row>
    <row r="1924" spans="1:5" hidden="1" x14ac:dyDescent="0.25">
      <c r="A1924" s="115">
        <v>15.188000000000001</v>
      </c>
      <c r="B1924" s="115">
        <v>15.83</v>
      </c>
      <c r="C1924" s="1">
        <v>830</v>
      </c>
      <c r="D1924" s="1" t="s">
        <v>2644</v>
      </c>
      <c r="E1924" s="1">
        <v>15</v>
      </c>
    </row>
    <row r="1925" spans="1:5" hidden="1" x14ac:dyDescent="0.25">
      <c r="A1925" s="115">
        <v>15.189</v>
      </c>
      <c r="B1925" s="115">
        <v>15.84</v>
      </c>
      <c r="C1925" s="1">
        <v>840</v>
      </c>
      <c r="D1925" s="1" t="s">
        <v>2645</v>
      </c>
      <c r="E1925" s="1">
        <v>15</v>
      </c>
    </row>
    <row r="1926" spans="1:5" hidden="1" x14ac:dyDescent="0.25">
      <c r="A1926" s="115">
        <v>15.19</v>
      </c>
      <c r="B1926" s="115">
        <v>15.85</v>
      </c>
      <c r="C1926" s="1">
        <v>850</v>
      </c>
      <c r="D1926" s="1" t="s">
        <v>2646</v>
      </c>
      <c r="E1926" s="1">
        <v>15</v>
      </c>
    </row>
    <row r="1927" spans="1:5" hidden="1" x14ac:dyDescent="0.25">
      <c r="A1927" s="115">
        <v>15.191000000000001</v>
      </c>
      <c r="B1927" s="115">
        <v>15.86</v>
      </c>
      <c r="C1927" s="1">
        <v>860</v>
      </c>
      <c r="D1927" s="1" t="s">
        <v>2647</v>
      </c>
      <c r="E1927" s="1">
        <v>15</v>
      </c>
    </row>
    <row r="1928" spans="1:5" hidden="1" x14ac:dyDescent="0.25">
      <c r="A1928" s="115">
        <v>15.192</v>
      </c>
      <c r="B1928" s="115">
        <v>15.87</v>
      </c>
      <c r="C1928" s="1">
        <v>870</v>
      </c>
      <c r="D1928" s="1" t="s">
        <v>2648</v>
      </c>
      <c r="E1928" s="1">
        <v>15</v>
      </c>
    </row>
    <row r="1929" spans="1:5" hidden="1" x14ac:dyDescent="0.25">
      <c r="A1929" s="115">
        <v>15.193</v>
      </c>
      <c r="B1929" s="115">
        <v>15.88</v>
      </c>
      <c r="C1929" s="1">
        <v>880</v>
      </c>
      <c r="D1929" s="1" t="s">
        <v>2649</v>
      </c>
      <c r="E1929" s="1">
        <v>15</v>
      </c>
    </row>
    <row r="1930" spans="1:5" hidden="1" x14ac:dyDescent="0.25">
      <c r="A1930" s="115">
        <v>15.194000000000001</v>
      </c>
      <c r="B1930" s="115">
        <v>15.89</v>
      </c>
      <c r="C1930" s="1">
        <v>890</v>
      </c>
      <c r="D1930" s="1" t="s">
        <v>2650</v>
      </c>
      <c r="E1930" s="1">
        <v>15</v>
      </c>
    </row>
    <row r="1931" spans="1:5" hidden="1" x14ac:dyDescent="0.25">
      <c r="A1931" s="115">
        <v>15.195</v>
      </c>
      <c r="B1931" s="115">
        <v>15.895</v>
      </c>
      <c r="C1931" s="1">
        <v>895</v>
      </c>
      <c r="D1931" s="1" t="s">
        <v>2651</v>
      </c>
      <c r="E1931" s="1">
        <v>15</v>
      </c>
    </row>
    <row r="1932" spans="1:5" hidden="1" x14ac:dyDescent="0.25">
      <c r="A1932" s="115">
        <v>15.196</v>
      </c>
      <c r="B1932" s="115">
        <v>15.9</v>
      </c>
      <c r="C1932" s="1">
        <v>900</v>
      </c>
      <c r="D1932" s="1" t="s">
        <v>2652</v>
      </c>
      <c r="E1932" s="1">
        <v>15</v>
      </c>
    </row>
    <row r="1933" spans="1:5" hidden="1" x14ac:dyDescent="0.25">
      <c r="A1933" s="115">
        <v>15.196999999999999</v>
      </c>
      <c r="B1933" s="115">
        <v>15.91</v>
      </c>
      <c r="C1933" s="1">
        <v>910</v>
      </c>
      <c r="D1933" s="1" t="s">
        <v>2653</v>
      </c>
      <c r="E1933" s="1">
        <v>15</v>
      </c>
    </row>
    <row r="1934" spans="1:5" hidden="1" x14ac:dyDescent="0.25">
      <c r="A1934" s="115">
        <v>15.198</v>
      </c>
      <c r="B1934" s="115">
        <v>15.92</v>
      </c>
      <c r="C1934" s="1">
        <v>920</v>
      </c>
      <c r="D1934" s="1" t="s">
        <v>2654</v>
      </c>
      <c r="E1934" s="1">
        <v>15</v>
      </c>
    </row>
    <row r="1935" spans="1:5" hidden="1" x14ac:dyDescent="0.25">
      <c r="A1935" s="115">
        <v>15.199</v>
      </c>
      <c r="B1935" s="115">
        <v>15.925000000000001</v>
      </c>
      <c r="C1935" s="1">
        <v>925</v>
      </c>
      <c r="D1935" s="1" t="s">
        <v>2655</v>
      </c>
      <c r="E1935" s="1">
        <v>15</v>
      </c>
    </row>
    <row r="1936" spans="1:5" hidden="1" x14ac:dyDescent="0.25">
      <c r="A1936" s="115">
        <v>15.2</v>
      </c>
      <c r="B1936" s="115">
        <v>15.93</v>
      </c>
      <c r="C1936" s="1">
        <v>930</v>
      </c>
      <c r="D1936" s="1" t="s">
        <v>2656</v>
      </c>
      <c r="E1936" s="1">
        <v>15</v>
      </c>
    </row>
    <row r="1937" spans="1:5" hidden="1" x14ac:dyDescent="0.25">
      <c r="A1937" s="115">
        <v>15.201000000000001</v>
      </c>
      <c r="B1937" s="115">
        <v>15.935</v>
      </c>
      <c r="C1937" s="1">
        <v>935</v>
      </c>
      <c r="D1937" s="1" t="s">
        <v>2657</v>
      </c>
      <c r="E1937" s="1">
        <v>15</v>
      </c>
    </row>
    <row r="1938" spans="1:5" hidden="1" x14ac:dyDescent="0.25">
      <c r="A1938" s="115">
        <v>15.202</v>
      </c>
      <c r="B1938" s="115">
        <v>15.94</v>
      </c>
      <c r="C1938" s="1">
        <v>940</v>
      </c>
      <c r="D1938" s="1" t="s">
        <v>2658</v>
      </c>
      <c r="E1938" s="1">
        <v>15</v>
      </c>
    </row>
    <row r="1939" spans="1:5" hidden="1" x14ac:dyDescent="0.25">
      <c r="A1939" s="115">
        <v>15.202999999999999</v>
      </c>
      <c r="B1939" s="115">
        <v>15.95</v>
      </c>
      <c r="C1939" s="1">
        <v>950</v>
      </c>
      <c r="D1939" s="1" t="s">
        <v>2659</v>
      </c>
      <c r="E1939" s="1">
        <v>15</v>
      </c>
    </row>
    <row r="1940" spans="1:5" hidden="1" x14ac:dyDescent="0.25">
      <c r="A1940" s="115">
        <v>15.204000000000001</v>
      </c>
      <c r="B1940" s="115">
        <v>15.955</v>
      </c>
      <c r="C1940" s="1">
        <v>955</v>
      </c>
      <c r="D1940" s="1" t="s">
        <v>2660</v>
      </c>
      <c r="E1940" s="1">
        <v>15</v>
      </c>
    </row>
    <row r="1941" spans="1:5" hidden="1" x14ac:dyDescent="0.25">
      <c r="A1941" s="115">
        <v>15.205</v>
      </c>
      <c r="B1941" s="115">
        <v>15.96</v>
      </c>
      <c r="C1941" s="1">
        <v>960</v>
      </c>
      <c r="D1941" s="1" t="s">
        <v>2661</v>
      </c>
      <c r="E1941" s="1">
        <v>15</v>
      </c>
    </row>
    <row r="1942" spans="1:5" hidden="1" x14ac:dyDescent="0.25">
      <c r="A1942" s="115">
        <v>15.206</v>
      </c>
      <c r="B1942" s="115">
        <v>15.97</v>
      </c>
      <c r="C1942" s="1">
        <v>970</v>
      </c>
      <c r="D1942" s="1" t="s">
        <v>2662</v>
      </c>
      <c r="E1942" s="1">
        <v>15</v>
      </c>
    </row>
    <row r="1943" spans="1:5" hidden="1" x14ac:dyDescent="0.25">
      <c r="A1943" s="115">
        <v>15.207000000000001</v>
      </c>
      <c r="B1943" s="115">
        <v>15.98</v>
      </c>
      <c r="C1943" s="1">
        <v>980</v>
      </c>
      <c r="D1943" s="1" t="s">
        <v>2663</v>
      </c>
      <c r="E1943" s="1">
        <v>15</v>
      </c>
    </row>
    <row r="1944" spans="1:5" hidden="1" x14ac:dyDescent="0.25">
      <c r="A1944" s="115">
        <v>15.208</v>
      </c>
      <c r="B1944" s="115">
        <v>15.99</v>
      </c>
      <c r="C1944" s="1">
        <v>990</v>
      </c>
      <c r="D1944" s="1" t="s">
        <v>2664</v>
      </c>
      <c r="E1944" s="1">
        <v>15</v>
      </c>
    </row>
    <row r="1945" spans="1:5" hidden="1" x14ac:dyDescent="0.25">
      <c r="A1945" s="115">
        <v>15.209</v>
      </c>
      <c r="B1945" s="115">
        <v>15.1</v>
      </c>
      <c r="C1945" s="1">
        <v>1000</v>
      </c>
      <c r="D1945" s="1" t="s">
        <v>2665</v>
      </c>
      <c r="E1945" s="1">
        <v>15</v>
      </c>
    </row>
    <row r="1946" spans="1:5" hidden="1" x14ac:dyDescent="0.25">
      <c r="A1946" s="115">
        <v>15.21</v>
      </c>
      <c r="B1946" s="115">
        <v>15.11</v>
      </c>
      <c r="C1946" s="1">
        <v>1100</v>
      </c>
      <c r="D1946" s="1" t="s">
        <v>2666</v>
      </c>
      <c r="E1946" s="1">
        <v>15</v>
      </c>
    </row>
    <row r="1947" spans="1:5" hidden="1" x14ac:dyDescent="0.25">
      <c r="A1947" s="115">
        <v>15.211</v>
      </c>
      <c r="B1947" s="115">
        <v>15.111000000000001</v>
      </c>
      <c r="C1947" s="1">
        <v>1110</v>
      </c>
      <c r="D1947" s="1" t="s">
        <v>2667</v>
      </c>
      <c r="E1947" s="1">
        <v>15</v>
      </c>
    </row>
    <row r="1948" spans="1:5" hidden="1" x14ac:dyDescent="0.25">
      <c r="A1948" s="115">
        <v>15.212</v>
      </c>
      <c r="B1948" s="115">
        <v>15.112</v>
      </c>
      <c r="C1948" s="1">
        <v>1120</v>
      </c>
      <c r="D1948" s="1" t="s">
        <v>2668</v>
      </c>
      <c r="E1948" s="1">
        <v>15</v>
      </c>
    </row>
    <row r="1949" spans="1:5" hidden="1" x14ac:dyDescent="0.25">
      <c r="A1949" s="115">
        <v>15.212999999999999</v>
      </c>
      <c r="B1949" s="115">
        <v>15.113</v>
      </c>
      <c r="C1949" s="1">
        <v>1130</v>
      </c>
      <c r="D1949" s="1" t="s">
        <v>2669</v>
      </c>
      <c r="E1949" s="1">
        <v>15</v>
      </c>
    </row>
    <row r="1950" spans="1:5" hidden="1" x14ac:dyDescent="0.25">
      <c r="A1950" s="115">
        <v>15.214</v>
      </c>
      <c r="B1950" s="115">
        <v>15.114000000000001</v>
      </c>
      <c r="C1950" s="1">
        <v>1140</v>
      </c>
      <c r="D1950" s="1" t="s">
        <v>2670</v>
      </c>
      <c r="E1950" s="1">
        <v>15</v>
      </c>
    </row>
    <row r="1951" spans="1:5" hidden="1" x14ac:dyDescent="0.25">
      <c r="A1951" s="115">
        <v>15.215</v>
      </c>
      <c r="B1951" s="115">
        <v>15.115</v>
      </c>
      <c r="C1951" s="1">
        <v>1150</v>
      </c>
      <c r="D1951" s="1" t="s">
        <v>2671</v>
      </c>
      <c r="E1951" s="1">
        <v>15</v>
      </c>
    </row>
    <row r="1952" spans="1:5" hidden="1" x14ac:dyDescent="0.25">
      <c r="A1952" s="115">
        <v>15.215999999999999</v>
      </c>
      <c r="B1952" s="115">
        <v>15.116</v>
      </c>
      <c r="C1952" s="1">
        <v>1160</v>
      </c>
      <c r="D1952" s="1" t="s">
        <v>2672</v>
      </c>
      <c r="E1952" s="1">
        <v>15</v>
      </c>
    </row>
    <row r="1953" spans="1:5" hidden="1" x14ac:dyDescent="0.25">
      <c r="A1953" s="115">
        <v>15.217000000000001</v>
      </c>
      <c r="B1953" s="115">
        <v>15.117000000000001</v>
      </c>
      <c r="C1953" s="1">
        <v>1170</v>
      </c>
      <c r="D1953" s="1" t="s">
        <v>2673</v>
      </c>
      <c r="E1953" s="1">
        <v>15</v>
      </c>
    </row>
    <row r="1954" spans="1:5" hidden="1" x14ac:dyDescent="0.25">
      <c r="A1954" s="115">
        <v>15.218</v>
      </c>
      <c r="B1954" s="115">
        <v>15.118</v>
      </c>
      <c r="C1954" s="1">
        <v>1180</v>
      </c>
      <c r="D1954" s="1" t="s">
        <v>2674</v>
      </c>
      <c r="E1954" s="1">
        <v>15</v>
      </c>
    </row>
    <row r="1955" spans="1:5" hidden="1" x14ac:dyDescent="0.25">
      <c r="A1955" s="115">
        <v>15.218999999999999</v>
      </c>
      <c r="B1955" s="115">
        <v>15.119</v>
      </c>
      <c r="C1955" s="1">
        <v>1190</v>
      </c>
      <c r="D1955" s="1" t="s">
        <v>2675</v>
      </c>
      <c r="E1955" s="1">
        <v>15</v>
      </c>
    </row>
    <row r="1956" spans="1:5" hidden="1" x14ac:dyDescent="0.25">
      <c r="A1956" s="115">
        <v>15.22</v>
      </c>
      <c r="B1956" s="115">
        <v>15.12</v>
      </c>
      <c r="C1956" s="1">
        <v>1200</v>
      </c>
      <c r="D1956" s="1" t="s">
        <v>2676</v>
      </c>
      <c r="E1956" s="1">
        <v>15</v>
      </c>
    </row>
    <row r="1957" spans="1:5" hidden="1" x14ac:dyDescent="0.25">
      <c r="A1957" s="115">
        <v>15.221</v>
      </c>
      <c r="B1957" s="115">
        <v>15.121</v>
      </c>
      <c r="C1957" s="1">
        <v>1210</v>
      </c>
      <c r="D1957" s="1" t="s">
        <v>2677</v>
      </c>
      <c r="E1957" s="1">
        <v>15</v>
      </c>
    </row>
    <row r="1958" spans="1:5" hidden="1" x14ac:dyDescent="0.25">
      <c r="A1958" s="115">
        <v>15.222</v>
      </c>
      <c r="B1958" s="115">
        <v>15.122</v>
      </c>
      <c r="C1958" s="1">
        <v>1220</v>
      </c>
      <c r="D1958" s="1" t="s">
        <v>2678</v>
      </c>
      <c r="E1958" s="1">
        <v>15</v>
      </c>
    </row>
    <row r="1959" spans="1:5" hidden="1" x14ac:dyDescent="0.25">
      <c r="A1959" s="115">
        <v>15.223000000000001</v>
      </c>
      <c r="B1959" s="115">
        <v>15.122999999999999</v>
      </c>
      <c r="C1959" s="1">
        <v>1230</v>
      </c>
      <c r="D1959" s="1" t="s">
        <v>2679</v>
      </c>
      <c r="E1959" s="1">
        <v>15</v>
      </c>
    </row>
    <row r="1960" spans="1:5" hidden="1" x14ac:dyDescent="0.25">
      <c r="A1960" s="115">
        <v>15.224</v>
      </c>
      <c r="B1960" s="115">
        <v>15.124000000000001</v>
      </c>
      <c r="C1960" s="1">
        <v>1240</v>
      </c>
      <c r="D1960" s="1" t="s">
        <v>2680</v>
      </c>
      <c r="E1960" s="1">
        <v>15</v>
      </c>
    </row>
    <row r="1961" spans="1:5" hidden="1" x14ac:dyDescent="0.25">
      <c r="A1961" s="115">
        <v>15.225</v>
      </c>
      <c r="B1961" s="115">
        <v>15.125</v>
      </c>
      <c r="C1961" s="1">
        <v>1250</v>
      </c>
      <c r="D1961" s="1" t="s">
        <v>2681</v>
      </c>
      <c r="E1961" s="1">
        <v>15</v>
      </c>
    </row>
    <row r="1962" spans="1:5" hidden="1" x14ac:dyDescent="0.25">
      <c r="A1962" s="115">
        <v>15.226000000000001</v>
      </c>
      <c r="B1962" s="115">
        <v>15.125999999999999</v>
      </c>
      <c r="C1962" s="1">
        <v>1260</v>
      </c>
      <c r="D1962" s="1" t="s">
        <v>2682</v>
      </c>
      <c r="E1962" s="1">
        <v>15</v>
      </c>
    </row>
    <row r="1963" spans="1:5" hidden="1" x14ac:dyDescent="0.25">
      <c r="A1963" s="115">
        <v>15.227</v>
      </c>
      <c r="B1963" s="115">
        <v>15.127000000000001</v>
      </c>
      <c r="C1963" s="1">
        <v>1270</v>
      </c>
      <c r="D1963" s="1" t="s">
        <v>2683</v>
      </c>
      <c r="E1963" s="1">
        <v>15</v>
      </c>
    </row>
    <row r="1964" spans="1:5" hidden="1" x14ac:dyDescent="0.25">
      <c r="A1964" s="115">
        <v>15.228</v>
      </c>
      <c r="B1964" s="115">
        <v>15.128</v>
      </c>
      <c r="C1964" s="1">
        <v>1280</v>
      </c>
      <c r="D1964" s="1" t="s">
        <v>2684</v>
      </c>
      <c r="E1964" s="1">
        <v>15</v>
      </c>
    </row>
    <row r="1965" spans="1:5" hidden="1" x14ac:dyDescent="0.25">
      <c r="A1965" s="115">
        <v>15.228999999999999</v>
      </c>
      <c r="B1965" s="115">
        <v>15.13</v>
      </c>
      <c r="C1965" s="1">
        <v>1300</v>
      </c>
      <c r="D1965" s="1" t="s">
        <v>2685</v>
      </c>
      <c r="E1965" s="1">
        <v>15</v>
      </c>
    </row>
    <row r="1966" spans="1:5" hidden="1" x14ac:dyDescent="0.25">
      <c r="A1966" s="115">
        <v>15.23</v>
      </c>
      <c r="B1966" s="115">
        <v>15.131</v>
      </c>
      <c r="C1966" s="1">
        <v>1310</v>
      </c>
      <c r="D1966" s="1" t="s">
        <v>2686</v>
      </c>
      <c r="E1966" s="1">
        <v>15</v>
      </c>
    </row>
    <row r="1967" spans="1:5" hidden="1" x14ac:dyDescent="0.25">
      <c r="A1967" s="115">
        <v>15.231</v>
      </c>
      <c r="B1967" s="115">
        <v>15.132</v>
      </c>
      <c r="C1967" s="1">
        <v>1320</v>
      </c>
      <c r="D1967" s="1" t="s">
        <v>2687</v>
      </c>
      <c r="E1967" s="1">
        <v>15</v>
      </c>
    </row>
    <row r="1968" spans="1:5" hidden="1" x14ac:dyDescent="0.25">
      <c r="A1968" s="115">
        <v>16.100999999999999</v>
      </c>
      <c r="B1968" s="115">
        <v>16.100000000000001</v>
      </c>
      <c r="C1968" s="1">
        <v>10</v>
      </c>
      <c r="D1968" s="1" t="s">
        <v>2559</v>
      </c>
      <c r="E1968" s="1">
        <v>16</v>
      </c>
    </row>
    <row r="1969" spans="1:5" hidden="1" x14ac:dyDescent="0.25">
      <c r="A1969" s="115">
        <v>16.102</v>
      </c>
      <c r="B1969" s="115">
        <v>16.2</v>
      </c>
      <c r="C1969" s="1">
        <v>20</v>
      </c>
      <c r="D1969" s="1" t="s">
        <v>2560</v>
      </c>
      <c r="E1969" s="1">
        <v>16</v>
      </c>
    </row>
    <row r="1970" spans="1:5" hidden="1" x14ac:dyDescent="0.25">
      <c r="A1970" s="115">
        <v>16.103000000000002</v>
      </c>
      <c r="B1970" s="115">
        <v>16.3</v>
      </c>
      <c r="C1970" s="1">
        <v>30</v>
      </c>
      <c r="D1970" s="1" t="s">
        <v>2561</v>
      </c>
      <c r="E1970" s="1">
        <v>16</v>
      </c>
    </row>
    <row r="1971" spans="1:5" hidden="1" x14ac:dyDescent="0.25">
      <c r="A1971" s="115">
        <v>16.103999999999999</v>
      </c>
      <c r="B1971" s="115">
        <v>16.399999999999999</v>
      </c>
      <c r="C1971" s="1">
        <v>40</v>
      </c>
      <c r="D1971" s="1" t="s">
        <v>2562</v>
      </c>
      <c r="E1971" s="1">
        <v>16</v>
      </c>
    </row>
    <row r="1972" spans="1:5" hidden="1" x14ac:dyDescent="0.25">
      <c r="A1972" s="115">
        <v>16.105</v>
      </c>
      <c r="B1972" s="115">
        <v>16.5</v>
      </c>
      <c r="C1972" s="1">
        <v>50</v>
      </c>
      <c r="D1972" s="1" t="s">
        <v>2563</v>
      </c>
      <c r="E1972" s="1">
        <v>16</v>
      </c>
    </row>
    <row r="1973" spans="1:5" hidden="1" x14ac:dyDescent="0.25">
      <c r="A1973" s="115">
        <v>16.106000000000002</v>
      </c>
      <c r="B1973" s="115">
        <v>16.600000000000001</v>
      </c>
      <c r="C1973" s="1">
        <v>60</v>
      </c>
      <c r="D1973" s="1" t="s">
        <v>2564</v>
      </c>
      <c r="E1973" s="1">
        <v>16</v>
      </c>
    </row>
    <row r="1974" spans="1:5" hidden="1" x14ac:dyDescent="0.25">
      <c r="A1974" s="115">
        <v>16.106999999999999</v>
      </c>
      <c r="B1974" s="115">
        <v>16.7</v>
      </c>
      <c r="C1974" s="1">
        <v>70</v>
      </c>
      <c r="D1974" s="1" t="s">
        <v>2565</v>
      </c>
      <c r="E1974" s="1">
        <v>16</v>
      </c>
    </row>
    <row r="1975" spans="1:5" hidden="1" x14ac:dyDescent="0.25">
      <c r="A1975" s="115">
        <v>16.108000000000001</v>
      </c>
      <c r="B1975" s="115">
        <v>16.8</v>
      </c>
      <c r="C1975" s="1">
        <v>80</v>
      </c>
      <c r="D1975" s="1" t="s">
        <v>2566</v>
      </c>
      <c r="E1975" s="1">
        <v>16</v>
      </c>
    </row>
    <row r="1976" spans="1:5" hidden="1" x14ac:dyDescent="0.25">
      <c r="A1976" s="115">
        <v>16.109000000000002</v>
      </c>
      <c r="B1976" s="115">
        <v>16.899999999999999</v>
      </c>
      <c r="C1976" s="1">
        <v>90</v>
      </c>
      <c r="D1976" s="1" t="s">
        <v>2567</v>
      </c>
      <c r="E1976" s="1">
        <v>16</v>
      </c>
    </row>
    <row r="1977" spans="1:5" hidden="1" x14ac:dyDescent="0.25">
      <c r="A1977" s="115">
        <v>16.11</v>
      </c>
      <c r="B1977" s="115">
        <v>16.100000000000001</v>
      </c>
      <c r="C1977" s="1">
        <v>100</v>
      </c>
      <c r="D1977" s="1" t="s">
        <v>2568</v>
      </c>
      <c r="E1977" s="1">
        <v>16</v>
      </c>
    </row>
    <row r="1978" spans="1:5" hidden="1" x14ac:dyDescent="0.25">
      <c r="A1978" s="115">
        <v>16.111000000000001</v>
      </c>
      <c r="B1978" s="115">
        <v>16.11</v>
      </c>
      <c r="C1978" s="1">
        <v>110</v>
      </c>
      <c r="D1978" s="1" t="s">
        <v>2569</v>
      </c>
      <c r="E1978" s="1">
        <v>16</v>
      </c>
    </row>
    <row r="1979" spans="1:5" hidden="1" x14ac:dyDescent="0.25">
      <c r="A1979" s="115">
        <v>16.111999999999998</v>
      </c>
      <c r="B1979" s="115">
        <v>16.12</v>
      </c>
      <c r="C1979" s="1">
        <v>120</v>
      </c>
      <c r="D1979" s="1" t="s">
        <v>2570</v>
      </c>
      <c r="E1979" s="1">
        <v>16</v>
      </c>
    </row>
    <row r="1980" spans="1:5" hidden="1" x14ac:dyDescent="0.25">
      <c r="A1980" s="115">
        <v>16.113</v>
      </c>
      <c r="B1980" s="115">
        <v>16.13</v>
      </c>
      <c r="C1980" s="1">
        <v>130</v>
      </c>
      <c r="D1980" s="1" t="s">
        <v>2571</v>
      </c>
      <c r="E1980" s="1">
        <v>16</v>
      </c>
    </row>
    <row r="1981" spans="1:5" hidden="1" x14ac:dyDescent="0.25">
      <c r="A1981" s="115">
        <v>16.114000000000001</v>
      </c>
      <c r="B1981" s="115">
        <v>16.14</v>
      </c>
      <c r="C1981" s="1">
        <v>140</v>
      </c>
      <c r="D1981" s="1" t="s">
        <v>2572</v>
      </c>
      <c r="E1981" s="1">
        <v>16</v>
      </c>
    </row>
    <row r="1982" spans="1:5" hidden="1" x14ac:dyDescent="0.25">
      <c r="A1982" s="115">
        <v>16.114999999999998</v>
      </c>
      <c r="B1982" s="115">
        <v>16.149999999999999</v>
      </c>
      <c r="C1982" s="1">
        <v>150</v>
      </c>
      <c r="D1982" s="1" t="s">
        <v>2573</v>
      </c>
      <c r="E1982" s="1">
        <v>16</v>
      </c>
    </row>
    <row r="1983" spans="1:5" hidden="1" x14ac:dyDescent="0.25">
      <c r="A1983" s="115">
        <v>16.116</v>
      </c>
      <c r="B1983" s="115">
        <v>16.16</v>
      </c>
      <c r="C1983" s="1">
        <v>160</v>
      </c>
      <c r="D1983" s="1" t="s">
        <v>2574</v>
      </c>
      <c r="E1983" s="1">
        <v>16</v>
      </c>
    </row>
    <row r="1984" spans="1:5" hidden="1" x14ac:dyDescent="0.25">
      <c r="A1984" s="115">
        <v>16.117000000000001</v>
      </c>
      <c r="B1984" s="115">
        <v>16.170000000000002</v>
      </c>
      <c r="C1984" s="1">
        <v>170</v>
      </c>
      <c r="D1984" s="1" t="s">
        <v>2575</v>
      </c>
      <c r="E1984" s="1">
        <v>16</v>
      </c>
    </row>
    <row r="1985" spans="1:5" hidden="1" x14ac:dyDescent="0.25">
      <c r="A1985" s="115">
        <v>16.117999999999999</v>
      </c>
      <c r="B1985" s="115">
        <v>16.18</v>
      </c>
      <c r="C1985" s="1">
        <v>180</v>
      </c>
      <c r="D1985" s="1" t="s">
        <v>2576</v>
      </c>
      <c r="E1985" s="1">
        <v>16</v>
      </c>
    </row>
    <row r="1986" spans="1:5" hidden="1" x14ac:dyDescent="0.25">
      <c r="A1986" s="115">
        <v>16.119</v>
      </c>
      <c r="B1986" s="115">
        <v>16.190000000000001</v>
      </c>
      <c r="C1986" s="1">
        <v>190</v>
      </c>
      <c r="D1986" s="1" t="s">
        <v>2577</v>
      </c>
      <c r="E1986" s="1">
        <v>16</v>
      </c>
    </row>
    <row r="1987" spans="1:5" hidden="1" x14ac:dyDescent="0.25">
      <c r="A1987" s="115">
        <v>16.12</v>
      </c>
      <c r="B1987" s="115">
        <v>16.2</v>
      </c>
      <c r="C1987" s="1">
        <v>200</v>
      </c>
      <c r="D1987" s="1" t="s">
        <v>2578</v>
      </c>
      <c r="E1987" s="1">
        <v>16</v>
      </c>
    </row>
    <row r="1988" spans="1:5" hidden="1" x14ac:dyDescent="0.25">
      <c r="A1988" s="115">
        <v>16.120999999999999</v>
      </c>
      <c r="B1988" s="115">
        <v>16.21</v>
      </c>
      <c r="C1988" s="1">
        <v>210</v>
      </c>
      <c r="D1988" s="1" t="s">
        <v>2579</v>
      </c>
      <c r="E1988" s="1">
        <v>16</v>
      </c>
    </row>
    <row r="1989" spans="1:5" hidden="1" x14ac:dyDescent="0.25">
      <c r="A1989" s="115">
        <v>16.122</v>
      </c>
      <c r="B1989" s="115">
        <v>16.22</v>
      </c>
      <c r="C1989" s="1">
        <v>220</v>
      </c>
      <c r="D1989" s="1" t="s">
        <v>2580</v>
      </c>
      <c r="E1989" s="1">
        <v>16</v>
      </c>
    </row>
    <row r="1990" spans="1:5" hidden="1" x14ac:dyDescent="0.25">
      <c r="A1990" s="115">
        <v>16.123000000000001</v>
      </c>
      <c r="B1990" s="115">
        <v>16.23</v>
      </c>
      <c r="C1990" s="1">
        <v>230</v>
      </c>
      <c r="D1990" s="1" t="s">
        <v>2581</v>
      </c>
      <c r="E1990" s="1">
        <v>16</v>
      </c>
    </row>
    <row r="1991" spans="1:5" hidden="1" x14ac:dyDescent="0.25">
      <c r="A1991" s="115">
        <v>16.123999999999999</v>
      </c>
      <c r="B1991" s="115">
        <v>16.239999999999998</v>
      </c>
      <c r="C1991" s="1">
        <v>240</v>
      </c>
      <c r="D1991" s="1" t="s">
        <v>2582</v>
      </c>
      <c r="E1991" s="1">
        <v>16</v>
      </c>
    </row>
    <row r="1992" spans="1:5" hidden="1" x14ac:dyDescent="0.25">
      <c r="A1992" s="115">
        <v>16.125</v>
      </c>
      <c r="B1992" s="115">
        <v>16.25</v>
      </c>
      <c r="C1992" s="1">
        <v>250</v>
      </c>
      <c r="D1992" s="1" t="s">
        <v>2583</v>
      </c>
      <c r="E1992" s="1">
        <v>16</v>
      </c>
    </row>
    <row r="1993" spans="1:5" hidden="1" x14ac:dyDescent="0.25">
      <c r="A1993" s="115">
        <v>16.126000000000001</v>
      </c>
      <c r="B1993" s="115">
        <v>16.260000000000002</v>
      </c>
      <c r="C1993" s="1">
        <v>260</v>
      </c>
      <c r="D1993" s="1" t="s">
        <v>2584</v>
      </c>
      <c r="E1993" s="1">
        <v>16</v>
      </c>
    </row>
    <row r="1994" spans="1:5" hidden="1" x14ac:dyDescent="0.25">
      <c r="A1994" s="115">
        <v>16.126999999999999</v>
      </c>
      <c r="B1994" s="115">
        <v>16.27</v>
      </c>
      <c r="C1994" s="1">
        <v>270</v>
      </c>
      <c r="D1994" s="1" t="s">
        <v>2585</v>
      </c>
      <c r="E1994" s="1">
        <v>16</v>
      </c>
    </row>
    <row r="1995" spans="1:5" hidden="1" x14ac:dyDescent="0.25">
      <c r="A1995" s="115">
        <v>16.128</v>
      </c>
      <c r="B1995" s="115">
        <v>16.28</v>
      </c>
      <c r="C1995" s="1">
        <v>280</v>
      </c>
      <c r="D1995" s="1" t="s">
        <v>2586</v>
      </c>
      <c r="E1995" s="1">
        <v>16</v>
      </c>
    </row>
    <row r="1996" spans="1:5" hidden="1" x14ac:dyDescent="0.25">
      <c r="A1996" s="115">
        <v>16.129000000000001</v>
      </c>
      <c r="B1996" s="115">
        <v>16.29</v>
      </c>
      <c r="C1996" s="1">
        <v>290</v>
      </c>
      <c r="D1996" s="1" t="s">
        <v>2587</v>
      </c>
      <c r="E1996" s="1">
        <v>16</v>
      </c>
    </row>
    <row r="1997" spans="1:5" hidden="1" x14ac:dyDescent="0.25">
      <c r="A1997" s="115">
        <v>16.13</v>
      </c>
      <c r="B1997" s="115">
        <v>16.3</v>
      </c>
      <c r="C1997" s="1">
        <v>300</v>
      </c>
      <c r="D1997" s="1" t="s">
        <v>2588</v>
      </c>
      <c r="E1997" s="1">
        <v>16</v>
      </c>
    </row>
    <row r="1998" spans="1:5" hidden="1" x14ac:dyDescent="0.25">
      <c r="A1998" s="115">
        <v>16.131</v>
      </c>
      <c r="B1998" s="115">
        <v>16.309999999999999</v>
      </c>
      <c r="C1998" s="1">
        <v>310</v>
      </c>
      <c r="D1998" s="1" t="s">
        <v>2589</v>
      </c>
      <c r="E1998" s="1">
        <v>16</v>
      </c>
    </row>
    <row r="1999" spans="1:5" hidden="1" x14ac:dyDescent="0.25">
      <c r="A1999" s="115">
        <v>16.132000000000001</v>
      </c>
      <c r="B1999" s="115">
        <v>16.32</v>
      </c>
      <c r="C1999" s="1">
        <v>320</v>
      </c>
      <c r="D1999" s="1" t="s">
        <v>2590</v>
      </c>
      <c r="E1999" s="1">
        <v>16</v>
      </c>
    </row>
    <row r="2000" spans="1:5" hidden="1" x14ac:dyDescent="0.25">
      <c r="A2000" s="115">
        <v>16.132999999999999</v>
      </c>
      <c r="B2000" s="115">
        <v>16.329999999999998</v>
      </c>
      <c r="C2000" s="1">
        <v>330</v>
      </c>
      <c r="D2000" s="1" t="s">
        <v>2591</v>
      </c>
      <c r="E2000" s="1">
        <v>16</v>
      </c>
    </row>
    <row r="2001" spans="1:5" hidden="1" x14ac:dyDescent="0.25">
      <c r="A2001" s="115">
        <v>16.134</v>
      </c>
      <c r="B2001" s="115">
        <v>16.34</v>
      </c>
      <c r="C2001" s="1">
        <v>340</v>
      </c>
      <c r="D2001" s="1" t="s">
        <v>2592</v>
      </c>
      <c r="E2001" s="1">
        <v>16</v>
      </c>
    </row>
    <row r="2002" spans="1:5" hidden="1" x14ac:dyDescent="0.25">
      <c r="A2002" s="115">
        <v>16.135000000000002</v>
      </c>
      <c r="B2002" s="115">
        <v>16.350000000000001</v>
      </c>
      <c r="C2002" s="1">
        <v>350</v>
      </c>
      <c r="D2002" s="1" t="s">
        <v>2593</v>
      </c>
      <c r="E2002" s="1">
        <v>16</v>
      </c>
    </row>
    <row r="2003" spans="1:5" hidden="1" x14ac:dyDescent="0.25">
      <c r="A2003" s="115">
        <v>16.135999999999999</v>
      </c>
      <c r="B2003" s="115">
        <v>16.36</v>
      </c>
      <c r="C2003" s="1">
        <v>360</v>
      </c>
      <c r="D2003" s="1" t="s">
        <v>2594</v>
      </c>
      <c r="E2003" s="1">
        <v>16</v>
      </c>
    </row>
    <row r="2004" spans="1:5" hidden="1" x14ac:dyDescent="0.25">
      <c r="A2004" s="115">
        <v>16.137</v>
      </c>
      <c r="B2004" s="115">
        <v>16.37</v>
      </c>
      <c r="C2004" s="1">
        <v>370</v>
      </c>
      <c r="D2004" s="1" t="s">
        <v>2595</v>
      </c>
      <c r="E2004" s="1">
        <v>16</v>
      </c>
    </row>
    <row r="2005" spans="1:5" hidden="1" x14ac:dyDescent="0.25">
      <c r="A2005" s="115">
        <v>16.138000000000002</v>
      </c>
      <c r="B2005" s="115">
        <v>16.38</v>
      </c>
      <c r="C2005" s="1">
        <v>380</v>
      </c>
      <c r="D2005" s="1" t="s">
        <v>2596</v>
      </c>
      <c r="E2005" s="1">
        <v>16</v>
      </c>
    </row>
    <row r="2006" spans="1:5" hidden="1" x14ac:dyDescent="0.25">
      <c r="A2006" s="115">
        <v>16.138999999999999</v>
      </c>
      <c r="B2006" s="115">
        <v>16.39</v>
      </c>
      <c r="C2006" s="1">
        <v>390</v>
      </c>
      <c r="D2006" s="1" t="s">
        <v>2597</v>
      </c>
      <c r="E2006" s="1">
        <v>16</v>
      </c>
    </row>
    <row r="2007" spans="1:5" hidden="1" x14ac:dyDescent="0.25">
      <c r="A2007" s="115">
        <v>16.14</v>
      </c>
      <c r="B2007" s="115">
        <v>16.399999999999999</v>
      </c>
      <c r="C2007" s="1">
        <v>400</v>
      </c>
      <c r="D2007" s="1" t="s">
        <v>2598</v>
      </c>
      <c r="E2007" s="1">
        <v>16</v>
      </c>
    </row>
    <row r="2008" spans="1:5" hidden="1" x14ac:dyDescent="0.25">
      <c r="A2008" s="115">
        <v>16.140999999999998</v>
      </c>
      <c r="B2008" s="115">
        <v>16.41</v>
      </c>
      <c r="C2008" s="1">
        <v>410</v>
      </c>
      <c r="D2008" s="1" t="s">
        <v>2599</v>
      </c>
      <c r="E2008" s="1">
        <v>16</v>
      </c>
    </row>
    <row r="2009" spans="1:5" hidden="1" x14ac:dyDescent="0.25">
      <c r="A2009" s="115">
        <v>16.141999999999999</v>
      </c>
      <c r="B2009" s="115">
        <v>16.420000000000002</v>
      </c>
      <c r="C2009" s="1">
        <v>420</v>
      </c>
      <c r="D2009" s="1" t="s">
        <v>2600</v>
      </c>
      <c r="E2009" s="1">
        <v>16</v>
      </c>
    </row>
    <row r="2010" spans="1:5" hidden="1" x14ac:dyDescent="0.25">
      <c r="A2010" s="115">
        <v>16.143000000000001</v>
      </c>
      <c r="B2010" s="115">
        <v>16.43</v>
      </c>
      <c r="C2010" s="1">
        <v>430</v>
      </c>
      <c r="D2010" s="1" t="s">
        <v>2601</v>
      </c>
      <c r="E2010" s="1">
        <v>16</v>
      </c>
    </row>
    <row r="2011" spans="1:5" hidden="1" x14ac:dyDescent="0.25">
      <c r="A2011" s="115">
        <v>16.143999999999998</v>
      </c>
      <c r="B2011" s="115">
        <v>16.440000000000001</v>
      </c>
      <c r="C2011" s="1">
        <v>440</v>
      </c>
      <c r="D2011" s="1" t="s">
        <v>2602</v>
      </c>
      <c r="E2011" s="1">
        <v>16</v>
      </c>
    </row>
    <row r="2012" spans="1:5" hidden="1" x14ac:dyDescent="0.25">
      <c r="A2012" s="115">
        <v>16.145</v>
      </c>
      <c r="B2012" s="115">
        <v>16.445</v>
      </c>
      <c r="C2012" s="1">
        <v>445</v>
      </c>
      <c r="D2012" s="1" t="s">
        <v>2603</v>
      </c>
      <c r="E2012" s="1">
        <v>16</v>
      </c>
    </row>
    <row r="2013" spans="1:5" hidden="1" x14ac:dyDescent="0.25">
      <c r="A2013" s="115">
        <v>16.146000000000001</v>
      </c>
      <c r="B2013" s="115">
        <v>16.45</v>
      </c>
      <c r="C2013" s="1">
        <v>450</v>
      </c>
      <c r="D2013" s="1" t="s">
        <v>2604</v>
      </c>
      <c r="E2013" s="1">
        <v>16</v>
      </c>
    </row>
    <row r="2014" spans="1:5" hidden="1" x14ac:dyDescent="0.25">
      <c r="A2014" s="115">
        <v>16.146999999999998</v>
      </c>
      <c r="B2014" s="115">
        <v>16.46</v>
      </c>
      <c r="C2014" s="1">
        <v>460</v>
      </c>
      <c r="D2014" s="1" t="s">
        <v>2605</v>
      </c>
      <c r="E2014" s="1">
        <v>16</v>
      </c>
    </row>
    <row r="2015" spans="1:5" hidden="1" x14ac:dyDescent="0.25">
      <c r="A2015" s="115">
        <v>16.148</v>
      </c>
      <c r="B2015" s="115">
        <v>16.47</v>
      </c>
      <c r="C2015" s="1">
        <v>470</v>
      </c>
      <c r="D2015" s="1" t="s">
        <v>2606</v>
      </c>
      <c r="E2015" s="1">
        <v>16</v>
      </c>
    </row>
    <row r="2016" spans="1:5" hidden="1" x14ac:dyDescent="0.25">
      <c r="A2016" s="115">
        <v>16.149000000000001</v>
      </c>
      <c r="B2016" s="115">
        <v>16.48</v>
      </c>
      <c r="C2016" s="1">
        <v>480</v>
      </c>
      <c r="D2016" s="1" t="s">
        <v>2607</v>
      </c>
      <c r="E2016" s="1">
        <v>16</v>
      </c>
    </row>
    <row r="2017" spans="1:5" hidden="1" x14ac:dyDescent="0.25">
      <c r="A2017" s="115">
        <v>16.149999999999999</v>
      </c>
      <c r="B2017" s="115">
        <v>16.489999999999998</v>
      </c>
      <c r="C2017" s="1">
        <v>490</v>
      </c>
      <c r="D2017" s="1" t="s">
        <v>2608</v>
      </c>
      <c r="E2017" s="1">
        <v>16</v>
      </c>
    </row>
    <row r="2018" spans="1:5" hidden="1" x14ac:dyDescent="0.25">
      <c r="A2018" s="115">
        <v>16.151</v>
      </c>
      <c r="B2018" s="115">
        <v>16.5</v>
      </c>
      <c r="C2018" s="1">
        <v>500</v>
      </c>
      <c r="D2018" s="1" t="s">
        <v>2609</v>
      </c>
      <c r="E2018" s="1">
        <v>16</v>
      </c>
    </row>
    <row r="2019" spans="1:5" hidden="1" x14ac:dyDescent="0.25">
      <c r="A2019" s="115">
        <v>16.152000000000001</v>
      </c>
      <c r="B2019" s="115">
        <v>16.510000000000002</v>
      </c>
      <c r="C2019" s="1">
        <v>510</v>
      </c>
      <c r="D2019" s="1" t="s">
        <v>2610</v>
      </c>
      <c r="E2019" s="1">
        <v>16</v>
      </c>
    </row>
    <row r="2020" spans="1:5" hidden="1" x14ac:dyDescent="0.25">
      <c r="A2020" s="115">
        <v>16.152999999999999</v>
      </c>
      <c r="B2020" s="115">
        <v>16.52</v>
      </c>
      <c r="C2020" s="1">
        <v>520</v>
      </c>
      <c r="D2020" s="1" t="s">
        <v>2611</v>
      </c>
      <c r="E2020" s="1">
        <v>16</v>
      </c>
    </row>
    <row r="2021" spans="1:5" hidden="1" x14ac:dyDescent="0.25">
      <c r="A2021" s="115">
        <v>16.154</v>
      </c>
      <c r="B2021" s="115">
        <v>16.53</v>
      </c>
      <c r="C2021" s="1">
        <v>530</v>
      </c>
      <c r="D2021" s="1" t="s">
        <v>2612</v>
      </c>
      <c r="E2021" s="1">
        <v>16</v>
      </c>
    </row>
    <row r="2022" spans="1:5" hidden="1" x14ac:dyDescent="0.25">
      <c r="A2022" s="115">
        <v>16.155000000000001</v>
      </c>
      <c r="B2022" s="115">
        <v>16.54</v>
      </c>
      <c r="C2022" s="1">
        <v>540</v>
      </c>
      <c r="D2022" s="1" t="s">
        <v>2613</v>
      </c>
      <c r="E2022" s="1">
        <v>16</v>
      </c>
    </row>
    <row r="2023" spans="1:5" hidden="1" x14ac:dyDescent="0.25">
      <c r="A2023" s="115">
        <v>16.155999999999999</v>
      </c>
      <c r="B2023" s="115">
        <v>16.55</v>
      </c>
      <c r="C2023" s="1">
        <v>550</v>
      </c>
      <c r="D2023" s="1" t="s">
        <v>2614</v>
      </c>
      <c r="E2023" s="1">
        <v>16</v>
      </c>
    </row>
    <row r="2024" spans="1:5" hidden="1" x14ac:dyDescent="0.25">
      <c r="A2024" s="115">
        <v>16.157</v>
      </c>
      <c r="B2024" s="115">
        <v>16.559999999999999</v>
      </c>
      <c r="C2024" s="1">
        <v>560</v>
      </c>
      <c r="D2024" s="1" t="s">
        <v>2615</v>
      </c>
      <c r="E2024" s="1">
        <v>16</v>
      </c>
    </row>
    <row r="2025" spans="1:5" hidden="1" x14ac:dyDescent="0.25">
      <c r="A2025" s="115">
        <v>16.158000000000001</v>
      </c>
      <c r="B2025" s="115">
        <v>16.57</v>
      </c>
      <c r="C2025" s="1">
        <v>570</v>
      </c>
      <c r="D2025" s="1" t="s">
        <v>2616</v>
      </c>
      <c r="E2025" s="1">
        <v>16</v>
      </c>
    </row>
    <row r="2026" spans="1:5" hidden="1" x14ac:dyDescent="0.25">
      <c r="A2026" s="115">
        <v>16.158999999999999</v>
      </c>
      <c r="B2026" s="115">
        <v>16.574999999999999</v>
      </c>
      <c r="C2026" s="1">
        <v>575</v>
      </c>
      <c r="D2026" s="1" t="s">
        <v>2617</v>
      </c>
      <c r="E2026" s="1">
        <v>16</v>
      </c>
    </row>
    <row r="2027" spans="1:5" hidden="1" x14ac:dyDescent="0.25">
      <c r="A2027" s="115">
        <v>16.16</v>
      </c>
      <c r="B2027" s="115">
        <v>16.576000000000001</v>
      </c>
      <c r="C2027" s="1">
        <v>576</v>
      </c>
      <c r="D2027" s="1" t="s">
        <v>2618</v>
      </c>
      <c r="E2027" s="1">
        <v>16</v>
      </c>
    </row>
    <row r="2028" spans="1:5" hidden="1" x14ac:dyDescent="0.25">
      <c r="A2028" s="115">
        <v>16.161000000000001</v>
      </c>
      <c r="B2028" s="115">
        <v>16.579999999999998</v>
      </c>
      <c r="C2028" s="1">
        <v>580</v>
      </c>
      <c r="D2028" s="1" t="s">
        <v>2619</v>
      </c>
      <c r="E2028" s="1">
        <v>16</v>
      </c>
    </row>
    <row r="2029" spans="1:5" hidden="1" x14ac:dyDescent="0.25">
      <c r="A2029" s="115">
        <v>16.161999999999999</v>
      </c>
      <c r="B2029" s="115">
        <v>16.59</v>
      </c>
      <c r="C2029" s="1">
        <v>590</v>
      </c>
      <c r="D2029" s="1" t="s">
        <v>1099</v>
      </c>
      <c r="E2029" s="1">
        <v>16</v>
      </c>
    </row>
    <row r="2030" spans="1:5" hidden="1" x14ac:dyDescent="0.25">
      <c r="A2030" s="115">
        <v>16.163</v>
      </c>
      <c r="B2030" s="115">
        <v>16.600000000000001</v>
      </c>
      <c r="C2030" s="1">
        <v>600</v>
      </c>
      <c r="D2030" s="1" t="s">
        <v>2620</v>
      </c>
      <c r="E2030" s="1">
        <v>16</v>
      </c>
    </row>
    <row r="2031" spans="1:5" hidden="1" x14ac:dyDescent="0.25">
      <c r="A2031" s="115">
        <v>16.164000000000001</v>
      </c>
      <c r="B2031" s="115">
        <v>16.61</v>
      </c>
      <c r="C2031" s="1">
        <v>610</v>
      </c>
      <c r="D2031" s="1" t="s">
        <v>2621</v>
      </c>
      <c r="E2031" s="1">
        <v>16</v>
      </c>
    </row>
    <row r="2032" spans="1:5" hidden="1" x14ac:dyDescent="0.25">
      <c r="A2032" s="115">
        <v>16.164999999999999</v>
      </c>
      <c r="B2032" s="115">
        <v>16.62</v>
      </c>
      <c r="C2032" s="1">
        <v>620</v>
      </c>
      <c r="D2032" s="1" t="s">
        <v>2622</v>
      </c>
      <c r="E2032" s="1">
        <v>16</v>
      </c>
    </row>
    <row r="2033" spans="1:5" hidden="1" x14ac:dyDescent="0.25">
      <c r="A2033" s="115">
        <v>16.166</v>
      </c>
      <c r="B2033" s="115">
        <v>16.63</v>
      </c>
      <c r="C2033" s="1">
        <v>630</v>
      </c>
      <c r="D2033" s="1" t="s">
        <v>2623</v>
      </c>
      <c r="E2033" s="1">
        <v>16</v>
      </c>
    </row>
    <row r="2034" spans="1:5" hidden="1" x14ac:dyDescent="0.25">
      <c r="A2034" s="115">
        <v>16.167000000000002</v>
      </c>
      <c r="B2034" s="115">
        <v>16.64</v>
      </c>
      <c r="C2034" s="1">
        <v>640</v>
      </c>
      <c r="D2034" s="1" t="s">
        <v>2624</v>
      </c>
      <c r="E2034" s="1">
        <v>16</v>
      </c>
    </row>
    <row r="2035" spans="1:5" hidden="1" x14ac:dyDescent="0.25">
      <c r="A2035" s="115">
        <v>16.167999999999999</v>
      </c>
      <c r="B2035" s="115">
        <v>16.649999999999999</v>
      </c>
      <c r="C2035" s="1">
        <v>650</v>
      </c>
      <c r="D2035" s="1" t="s">
        <v>2625</v>
      </c>
      <c r="E2035" s="1">
        <v>16</v>
      </c>
    </row>
    <row r="2036" spans="1:5" hidden="1" x14ac:dyDescent="0.25">
      <c r="A2036" s="115">
        <v>16.169</v>
      </c>
      <c r="B2036" s="115">
        <v>16.66</v>
      </c>
      <c r="C2036" s="1">
        <v>660</v>
      </c>
      <c r="D2036" s="1" t="s">
        <v>2626</v>
      </c>
      <c r="E2036" s="1">
        <v>16</v>
      </c>
    </row>
    <row r="2037" spans="1:5" hidden="1" x14ac:dyDescent="0.25">
      <c r="A2037" s="115">
        <v>16.170000000000002</v>
      </c>
      <c r="B2037" s="115">
        <v>16.670000000000002</v>
      </c>
      <c r="C2037" s="1">
        <v>670</v>
      </c>
      <c r="D2037" s="1" t="s">
        <v>2627</v>
      </c>
      <c r="E2037" s="1">
        <v>16</v>
      </c>
    </row>
    <row r="2038" spans="1:5" hidden="1" x14ac:dyDescent="0.25">
      <c r="A2038" s="115">
        <v>16.170999999999999</v>
      </c>
      <c r="B2038" s="115">
        <v>16.68</v>
      </c>
      <c r="C2038" s="1">
        <v>680</v>
      </c>
      <c r="D2038" s="1" t="s">
        <v>2628</v>
      </c>
      <c r="E2038" s="1">
        <v>16</v>
      </c>
    </row>
    <row r="2039" spans="1:5" hidden="1" x14ac:dyDescent="0.25">
      <c r="A2039" s="115">
        <v>16.172000000000001</v>
      </c>
      <c r="B2039" s="115">
        <v>16.690000000000001</v>
      </c>
      <c r="C2039" s="1">
        <v>690</v>
      </c>
      <c r="D2039" s="1" t="s">
        <v>2629</v>
      </c>
      <c r="E2039" s="1">
        <v>16</v>
      </c>
    </row>
    <row r="2040" spans="1:5" hidden="1" x14ac:dyDescent="0.25">
      <c r="A2040" s="115">
        <v>16.172999999999998</v>
      </c>
      <c r="B2040" s="115">
        <v>16.7</v>
      </c>
      <c r="C2040" s="1">
        <v>700</v>
      </c>
      <c r="D2040" s="1" t="s">
        <v>2630</v>
      </c>
      <c r="E2040" s="1">
        <v>16</v>
      </c>
    </row>
    <row r="2041" spans="1:5" hidden="1" x14ac:dyDescent="0.25">
      <c r="A2041" s="115">
        <v>16.173999999999999</v>
      </c>
      <c r="B2041" s="115">
        <v>16.71</v>
      </c>
      <c r="C2041" s="1">
        <v>710</v>
      </c>
      <c r="D2041" s="1" t="s">
        <v>2631</v>
      </c>
      <c r="E2041" s="1">
        <v>16</v>
      </c>
    </row>
    <row r="2042" spans="1:5" hidden="1" x14ac:dyDescent="0.25">
      <c r="A2042" s="115">
        <v>16.175000000000001</v>
      </c>
      <c r="B2042" s="115">
        <v>16.72</v>
      </c>
      <c r="C2042" s="1">
        <v>720</v>
      </c>
      <c r="D2042" s="1" t="s">
        <v>2632</v>
      </c>
      <c r="E2042" s="1">
        <v>16</v>
      </c>
    </row>
    <row r="2043" spans="1:5" hidden="1" x14ac:dyDescent="0.25">
      <c r="A2043" s="115">
        <v>16.175999999999998</v>
      </c>
      <c r="B2043" s="115">
        <v>16.73</v>
      </c>
      <c r="C2043" s="1">
        <v>730</v>
      </c>
      <c r="D2043" s="1" t="s">
        <v>2633</v>
      </c>
      <c r="E2043" s="1">
        <v>16</v>
      </c>
    </row>
    <row r="2044" spans="1:5" hidden="1" x14ac:dyDescent="0.25">
      <c r="A2044" s="115">
        <v>16.177</v>
      </c>
      <c r="B2044" s="115">
        <v>16.739999999999998</v>
      </c>
      <c r="C2044" s="1">
        <v>740</v>
      </c>
      <c r="D2044" s="1" t="s">
        <v>2634</v>
      </c>
      <c r="E2044" s="1">
        <v>16</v>
      </c>
    </row>
    <row r="2045" spans="1:5" hidden="1" x14ac:dyDescent="0.25">
      <c r="A2045" s="115">
        <v>16.178000000000001</v>
      </c>
      <c r="B2045" s="115">
        <v>16.75</v>
      </c>
      <c r="C2045" s="1">
        <v>750</v>
      </c>
      <c r="D2045" s="1" t="s">
        <v>2635</v>
      </c>
      <c r="E2045" s="1">
        <v>16</v>
      </c>
    </row>
    <row r="2046" spans="1:5" hidden="1" x14ac:dyDescent="0.25">
      <c r="A2046" s="115">
        <v>16.178999999999998</v>
      </c>
      <c r="B2046" s="115">
        <v>16.754999999999999</v>
      </c>
      <c r="C2046" s="1">
        <v>755</v>
      </c>
      <c r="D2046" s="1" t="s">
        <v>1466</v>
      </c>
      <c r="E2046" s="1">
        <v>16</v>
      </c>
    </row>
    <row r="2047" spans="1:5" hidden="1" x14ac:dyDescent="0.25">
      <c r="A2047" s="115">
        <v>16.18</v>
      </c>
      <c r="B2047" s="115">
        <v>16.760000000000002</v>
      </c>
      <c r="C2047" s="1">
        <v>760</v>
      </c>
      <c r="D2047" s="1" t="s">
        <v>2636</v>
      </c>
      <c r="E2047" s="1">
        <v>16</v>
      </c>
    </row>
    <row r="2048" spans="1:5" hidden="1" x14ac:dyDescent="0.25">
      <c r="A2048" s="115">
        <v>16.181000000000001</v>
      </c>
      <c r="B2048" s="115">
        <v>16.77</v>
      </c>
      <c r="C2048" s="1">
        <v>770</v>
      </c>
      <c r="D2048" s="1" t="s">
        <v>2637</v>
      </c>
      <c r="E2048" s="1">
        <v>16</v>
      </c>
    </row>
    <row r="2049" spans="1:5" hidden="1" x14ac:dyDescent="0.25">
      <c r="A2049" s="115">
        <v>16.181999999999999</v>
      </c>
      <c r="B2049" s="115">
        <v>16.78</v>
      </c>
      <c r="C2049" s="1">
        <v>780</v>
      </c>
      <c r="D2049" s="1" t="s">
        <v>2638</v>
      </c>
      <c r="E2049" s="1">
        <v>16</v>
      </c>
    </row>
    <row r="2050" spans="1:5" hidden="1" x14ac:dyDescent="0.25">
      <c r="A2050" s="115">
        <v>16.183</v>
      </c>
      <c r="B2050" s="115">
        <v>16.79</v>
      </c>
      <c r="C2050" s="1">
        <v>790</v>
      </c>
      <c r="D2050" s="1" t="s">
        <v>2639</v>
      </c>
      <c r="E2050" s="1">
        <v>16</v>
      </c>
    </row>
    <row r="2051" spans="1:5" hidden="1" x14ac:dyDescent="0.25">
      <c r="A2051" s="115">
        <v>16.184000000000001</v>
      </c>
      <c r="B2051" s="115">
        <v>16.8</v>
      </c>
      <c r="C2051" s="1">
        <v>800</v>
      </c>
      <c r="D2051" s="1" t="s">
        <v>2640</v>
      </c>
      <c r="E2051" s="1">
        <v>16</v>
      </c>
    </row>
    <row r="2052" spans="1:5" hidden="1" x14ac:dyDescent="0.25">
      <c r="A2052" s="115">
        <v>16.184999999999999</v>
      </c>
      <c r="B2052" s="115">
        <v>16.805</v>
      </c>
      <c r="C2052" s="1">
        <v>805</v>
      </c>
      <c r="D2052" s="1" t="s">
        <v>2641</v>
      </c>
      <c r="E2052" s="1">
        <v>16</v>
      </c>
    </row>
    <row r="2053" spans="1:5" hidden="1" x14ac:dyDescent="0.25">
      <c r="A2053" s="115">
        <v>16.186</v>
      </c>
      <c r="B2053" s="115">
        <v>16.809999999999999</v>
      </c>
      <c r="C2053" s="1">
        <v>810</v>
      </c>
      <c r="D2053" s="1" t="s">
        <v>2642</v>
      </c>
      <c r="E2053" s="1">
        <v>16</v>
      </c>
    </row>
    <row r="2054" spans="1:5" hidden="1" x14ac:dyDescent="0.25">
      <c r="A2054" s="115">
        <v>16.187000000000001</v>
      </c>
      <c r="B2054" s="115">
        <v>16.82</v>
      </c>
      <c r="C2054" s="1">
        <v>820</v>
      </c>
      <c r="D2054" s="1" t="s">
        <v>2643</v>
      </c>
      <c r="E2054" s="1">
        <v>16</v>
      </c>
    </row>
    <row r="2055" spans="1:5" hidden="1" x14ac:dyDescent="0.25">
      <c r="A2055" s="115">
        <v>16.187999999999999</v>
      </c>
      <c r="B2055" s="115">
        <v>16.829999999999998</v>
      </c>
      <c r="C2055" s="1">
        <v>830</v>
      </c>
      <c r="D2055" s="1" t="s">
        <v>2644</v>
      </c>
      <c r="E2055" s="1">
        <v>16</v>
      </c>
    </row>
    <row r="2056" spans="1:5" hidden="1" x14ac:dyDescent="0.25">
      <c r="A2056" s="115">
        <v>16.189</v>
      </c>
      <c r="B2056" s="115">
        <v>16.84</v>
      </c>
      <c r="C2056" s="1">
        <v>840</v>
      </c>
      <c r="D2056" s="1" t="s">
        <v>2645</v>
      </c>
      <c r="E2056" s="1">
        <v>16</v>
      </c>
    </row>
    <row r="2057" spans="1:5" hidden="1" x14ac:dyDescent="0.25">
      <c r="A2057" s="115">
        <v>16.190000000000001</v>
      </c>
      <c r="B2057" s="115">
        <v>16.850000000000001</v>
      </c>
      <c r="C2057" s="1">
        <v>850</v>
      </c>
      <c r="D2057" s="1" t="s">
        <v>2646</v>
      </c>
      <c r="E2057" s="1">
        <v>16</v>
      </c>
    </row>
    <row r="2058" spans="1:5" hidden="1" x14ac:dyDescent="0.25">
      <c r="A2058" s="115">
        <v>16.190999999999999</v>
      </c>
      <c r="B2058" s="115">
        <v>16.86</v>
      </c>
      <c r="C2058" s="1">
        <v>860</v>
      </c>
      <c r="D2058" s="1" t="s">
        <v>2647</v>
      </c>
      <c r="E2058" s="1">
        <v>16</v>
      </c>
    </row>
    <row r="2059" spans="1:5" hidden="1" x14ac:dyDescent="0.25">
      <c r="A2059" s="115">
        <v>16.192</v>
      </c>
      <c r="B2059" s="115">
        <v>16.87</v>
      </c>
      <c r="C2059" s="1">
        <v>870</v>
      </c>
      <c r="D2059" s="1" t="s">
        <v>2648</v>
      </c>
      <c r="E2059" s="1">
        <v>16</v>
      </c>
    </row>
    <row r="2060" spans="1:5" hidden="1" x14ac:dyDescent="0.25">
      <c r="A2060" s="115">
        <v>16.193000000000001</v>
      </c>
      <c r="B2060" s="115">
        <v>16.88</v>
      </c>
      <c r="C2060" s="1">
        <v>880</v>
      </c>
      <c r="D2060" s="1" t="s">
        <v>2649</v>
      </c>
      <c r="E2060" s="1">
        <v>16</v>
      </c>
    </row>
    <row r="2061" spans="1:5" hidden="1" x14ac:dyDescent="0.25">
      <c r="A2061" s="115">
        <v>16.193999999999999</v>
      </c>
      <c r="B2061" s="115">
        <v>16.89</v>
      </c>
      <c r="C2061" s="1">
        <v>890</v>
      </c>
      <c r="D2061" s="1" t="s">
        <v>2650</v>
      </c>
      <c r="E2061" s="1">
        <v>16</v>
      </c>
    </row>
    <row r="2062" spans="1:5" hidden="1" x14ac:dyDescent="0.25">
      <c r="A2062" s="115">
        <v>16.195</v>
      </c>
      <c r="B2062" s="115">
        <v>16.895</v>
      </c>
      <c r="C2062" s="1">
        <v>895</v>
      </c>
      <c r="D2062" s="1" t="s">
        <v>2651</v>
      </c>
      <c r="E2062" s="1">
        <v>16</v>
      </c>
    </row>
    <row r="2063" spans="1:5" hidden="1" x14ac:dyDescent="0.25">
      <c r="A2063" s="115">
        <v>16.196000000000002</v>
      </c>
      <c r="B2063" s="115">
        <v>16.899999999999999</v>
      </c>
      <c r="C2063" s="1">
        <v>900</v>
      </c>
      <c r="D2063" s="1" t="s">
        <v>2652</v>
      </c>
      <c r="E2063" s="1">
        <v>16</v>
      </c>
    </row>
    <row r="2064" spans="1:5" hidden="1" x14ac:dyDescent="0.25">
      <c r="A2064" s="115">
        <v>16.196999999999999</v>
      </c>
      <c r="B2064" s="115">
        <v>16.91</v>
      </c>
      <c r="C2064" s="1">
        <v>910</v>
      </c>
      <c r="D2064" s="1" t="s">
        <v>2653</v>
      </c>
      <c r="E2064" s="1">
        <v>16</v>
      </c>
    </row>
    <row r="2065" spans="1:5" hidden="1" x14ac:dyDescent="0.25">
      <c r="A2065" s="115">
        <v>16.198</v>
      </c>
      <c r="B2065" s="115">
        <v>16.920000000000002</v>
      </c>
      <c r="C2065" s="1">
        <v>920</v>
      </c>
      <c r="D2065" s="1" t="s">
        <v>2654</v>
      </c>
      <c r="E2065" s="1">
        <v>16</v>
      </c>
    </row>
    <row r="2066" spans="1:5" hidden="1" x14ac:dyDescent="0.25">
      <c r="A2066" s="115">
        <v>16.199000000000002</v>
      </c>
      <c r="B2066" s="115">
        <v>16.925000000000001</v>
      </c>
      <c r="C2066" s="1">
        <v>925</v>
      </c>
      <c r="D2066" s="1" t="s">
        <v>2655</v>
      </c>
      <c r="E2066" s="1">
        <v>16</v>
      </c>
    </row>
    <row r="2067" spans="1:5" hidden="1" x14ac:dyDescent="0.25">
      <c r="A2067" s="115">
        <v>16.2</v>
      </c>
      <c r="B2067" s="115">
        <v>16.93</v>
      </c>
      <c r="C2067" s="1">
        <v>930</v>
      </c>
      <c r="D2067" s="1" t="s">
        <v>2656</v>
      </c>
      <c r="E2067" s="1">
        <v>16</v>
      </c>
    </row>
    <row r="2068" spans="1:5" hidden="1" x14ac:dyDescent="0.25">
      <c r="A2068" s="115">
        <v>16.201000000000001</v>
      </c>
      <c r="B2068" s="115">
        <v>16.934999999999999</v>
      </c>
      <c r="C2068" s="1">
        <v>935</v>
      </c>
      <c r="D2068" s="1" t="s">
        <v>2657</v>
      </c>
      <c r="E2068" s="1">
        <v>16</v>
      </c>
    </row>
    <row r="2069" spans="1:5" hidden="1" x14ac:dyDescent="0.25">
      <c r="A2069" s="115">
        <v>16.202000000000002</v>
      </c>
      <c r="B2069" s="115">
        <v>16.940000000000001</v>
      </c>
      <c r="C2069" s="1">
        <v>940</v>
      </c>
      <c r="D2069" s="1" t="s">
        <v>2658</v>
      </c>
      <c r="E2069" s="1">
        <v>16</v>
      </c>
    </row>
    <row r="2070" spans="1:5" hidden="1" x14ac:dyDescent="0.25">
      <c r="A2070" s="115">
        <v>16.202999999999999</v>
      </c>
      <c r="B2070" s="115">
        <v>16.95</v>
      </c>
      <c r="C2070" s="1">
        <v>950</v>
      </c>
      <c r="D2070" s="1" t="s">
        <v>2659</v>
      </c>
      <c r="E2070" s="1">
        <v>16</v>
      </c>
    </row>
    <row r="2071" spans="1:5" hidden="1" x14ac:dyDescent="0.25">
      <c r="A2071" s="115">
        <v>16.204000000000001</v>
      </c>
      <c r="B2071" s="115">
        <v>16.954999999999998</v>
      </c>
      <c r="C2071" s="1">
        <v>955</v>
      </c>
      <c r="D2071" s="1" t="s">
        <v>2660</v>
      </c>
      <c r="E2071" s="1">
        <v>16</v>
      </c>
    </row>
    <row r="2072" spans="1:5" hidden="1" x14ac:dyDescent="0.25">
      <c r="A2072" s="115">
        <v>16.204999999999998</v>
      </c>
      <c r="B2072" s="115">
        <v>16.96</v>
      </c>
      <c r="C2072" s="1">
        <v>960</v>
      </c>
      <c r="D2072" s="1" t="s">
        <v>2661</v>
      </c>
      <c r="E2072" s="1">
        <v>16</v>
      </c>
    </row>
    <row r="2073" spans="1:5" hidden="1" x14ac:dyDescent="0.25">
      <c r="A2073" s="115">
        <v>16.206</v>
      </c>
      <c r="B2073" s="115">
        <v>16.97</v>
      </c>
      <c r="C2073" s="1">
        <v>970</v>
      </c>
      <c r="D2073" s="1" t="s">
        <v>2662</v>
      </c>
      <c r="E2073" s="1">
        <v>16</v>
      </c>
    </row>
    <row r="2074" spans="1:5" hidden="1" x14ac:dyDescent="0.25">
      <c r="A2074" s="115">
        <v>16.207000000000001</v>
      </c>
      <c r="B2074" s="115">
        <v>16.98</v>
      </c>
      <c r="C2074" s="1">
        <v>980</v>
      </c>
      <c r="D2074" s="1" t="s">
        <v>2663</v>
      </c>
      <c r="E2074" s="1">
        <v>16</v>
      </c>
    </row>
    <row r="2075" spans="1:5" hidden="1" x14ac:dyDescent="0.25">
      <c r="A2075" s="115">
        <v>16.207999999999998</v>
      </c>
      <c r="B2075" s="115">
        <v>16.989999999999998</v>
      </c>
      <c r="C2075" s="1">
        <v>990</v>
      </c>
      <c r="D2075" s="1" t="s">
        <v>2664</v>
      </c>
      <c r="E2075" s="1">
        <v>16</v>
      </c>
    </row>
    <row r="2076" spans="1:5" hidden="1" x14ac:dyDescent="0.25">
      <c r="A2076" s="115">
        <v>16.209</v>
      </c>
      <c r="B2076" s="115">
        <v>16.100000000000001</v>
      </c>
      <c r="C2076" s="1">
        <v>1000</v>
      </c>
      <c r="D2076" s="1" t="s">
        <v>2665</v>
      </c>
      <c r="E2076" s="1">
        <v>16</v>
      </c>
    </row>
    <row r="2077" spans="1:5" hidden="1" x14ac:dyDescent="0.25">
      <c r="A2077" s="115">
        <v>16.21</v>
      </c>
      <c r="B2077" s="115">
        <v>16.11</v>
      </c>
      <c r="C2077" s="1">
        <v>1100</v>
      </c>
      <c r="D2077" s="1" t="s">
        <v>2666</v>
      </c>
      <c r="E2077" s="1">
        <v>16</v>
      </c>
    </row>
    <row r="2078" spans="1:5" hidden="1" x14ac:dyDescent="0.25">
      <c r="A2078" s="115">
        <v>16.210999999999999</v>
      </c>
      <c r="B2078" s="115">
        <v>16.111000000000001</v>
      </c>
      <c r="C2078" s="1">
        <v>1110</v>
      </c>
      <c r="D2078" s="1" t="s">
        <v>2667</v>
      </c>
      <c r="E2078" s="1">
        <v>16</v>
      </c>
    </row>
    <row r="2079" spans="1:5" hidden="1" x14ac:dyDescent="0.25">
      <c r="A2079" s="115">
        <v>16.212</v>
      </c>
      <c r="B2079" s="115">
        <v>16.111999999999998</v>
      </c>
      <c r="C2079" s="1">
        <v>1120</v>
      </c>
      <c r="D2079" s="1" t="s">
        <v>2668</v>
      </c>
      <c r="E2079" s="1">
        <v>16</v>
      </c>
    </row>
    <row r="2080" spans="1:5" hidden="1" x14ac:dyDescent="0.25">
      <c r="A2080" s="115">
        <v>16.213000000000001</v>
      </c>
      <c r="B2080" s="115">
        <v>16.113</v>
      </c>
      <c r="C2080" s="1">
        <v>1130</v>
      </c>
      <c r="D2080" s="1" t="s">
        <v>2669</v>
      </c>
      <c r="E2080" s="1">
        <v>16</v>
      </c>
    </row>
    <row r="2081" spans="1:5" hidden="1" x14ac:dyDescent="0.25">
      <c r="A2081" s="115">
        <v>16.213999999999999</v>
      </c>
      <c r="B2081" s="115">
        <v>16.114000000000001</v>
      </c>
      <c r="C2081" s="1">
        <v>1140</v>
      </c>
      <c r="D2081" s="1" t="s">
        <v>2670</v>
      </c>
      <c r="E2081" s="1">
        <v>16</v>
      </c>
    </row>
    <row r="2082" spans="1:5" hidden="1" x14ac:dyDescent="0.25">
      <c r="A2082" s="115">
        <v>16.215</v>
      </c>
      <c r="B2082" s="115">
        <v>16.114999999999998</v>
      </c>
      <c r="C2082" s="1">
        <v>1150</v>
      </c>
      <c r="D2082" s="1" t="s">
        <v>2671</v>
      </c>
      <c r="E2082" s="1">
        <v>16</v>
      </c>
    </row>
    <row r="2083" spans="1:5" hidden="1" x14ac:dyDescent="0.25">
      <c r="A2083" s="115">
        <v>16.216000000000001</v>
      </c>
      <c r="B2083" s="115">
        <v>16.116</v>
      </c>
      <c r="C2083" s="1">
        <v>1160</v>
      </c>
      <c r="D2083" s="1" t="s">
        <v>2672</v>
      </c>
      <c r="E2083" s="1">
        <v>16</v>
      </c>
    </row>
    <row r="2084" spans="1:5" hidden="1" x14ac:dyDescent="0.25">
      <c r="A2084" s="115">
        <v>16.216999999999999</v>
      </c>
      <c r="B2084" s="115">
        <v>16.117000000000001</v>
      </c>
      <c r="C2084" s="1">
        <v>1170</v>
      </c>
      <c r="D2084" s="1" t="s">
        <v>2673</v>
      </c>
      <c r="E2084" s="1">
        <v>16</v>
      </c>
    </row>
    <row r="2085" spans="1:5" hidden="1" x14ac:dyDescent="0.25">
      <c r="A2085" s="115">
        <v>16.218</v>
      </c>
      <c r="B2085" s="115">
        <v>16.117999999999999</v>
      </c>
      <c r="C2085" s="1">
        <v>1180</v>
      </c>
      <c r="D2085" s="1" t="s">
        <v>2674</v>
      </c>
      <c r="E2085" s="1">
        <v>16</v>
      </c>
    </row>
    <row r="2086" spans="1:5" hidden="1" x14ac:dyDescent="0.25">
      <c r="A2086" s="115">
        <v>16.219000000000001</v>
      </c>
      <c r="B2086" s="115">
        <v>16.119</v>
      </c>
      <c r="C2086" s="1">
        <v>1190</v>
      </c>
      <c r="D2086" s="1" t="s">
        <v>2675</v>
      </c>
      <c r="E2086" s="1">
        <v>16</v>
      </c>
    </row>
    <row r="2087" spans="1:5" hidden="1" x14ac:dyDescent="0.25">
      <c r="A2087" s="115">
        <v>16.22</v>
      </c>
      <c r="B2087" s="115">
        <v>16.12</v>
      </c>
      <c r="C2087" s="1">
        <v>1200</v>
      </c>
      <c r="D2087" s="1" t="s">
        <v>2676</v>
      </c>
      <c r="E2087" s="1">
        <v>16</v>
      </c>
    </row>
    <row r="2088" spans="1:5" hidden="1" x14ac:dyDescent="0.25">
      <c r="A2088" s="115">
        <v>16.221</v>
      </c>
      <c r="B2088" s="115">
        <v>16.120999999999999</v>
      </c>
      <c r="C2088" s="1">
        <v>1210</v>
      </c>
      <c r="D2088" s="1" t="s">
        <v>2677</v>
      </c>
      <c r="E2088" s="1">
        <v>16</v>
      </c>
    </row>
    <row r="2089" spans="1:5" hidden="1" x14ac:dyDescent="0.25">
      <c r="A2089" s="115">
        <v>16.222000000000001</v>
      </c>
      <c r="B2089" s="115">
        <v>16.122</v>
      </c>
      <c r="C2089" s="1">
        <v>1220</v>
      </c>
      <c r="D2089" s="1" t="s">
        <v>2678</v>
      </c>
      <c r="E2089" s="1">
        <v>16</v>
      </c>
    </row>
    <row r="2090" spans="1:5" hidden="1" x14ac:dyDescent="0.25">
      <c r="A2090" s="115">
        <v>16.222999999999999</v>
      </c>
      <c r="B2090" s="115">
        <v>16.123000000000001</v>
      </c>
      <c r="C2090" s="1">
        <v>1230</v>
      </c>
      <c r="D2090" s="1" t="s">
        <v>2679</v>
      </c>
      <c r="E2090" s="1">
        <v>16</v>
      </c>
    </row>
    <row r="2091" spans="1:5" hidden="1" x14ac:dyDescent="0.25">
      <c r="A2091" s="115">
        <v>16.224</v>
      </c>
      <c r="B2091" s="115">
        <v>16.123999999999999</v>
      </c>
      <c r="C2091" s="1">
        <v>1240</v>
      </c>
      <c r="D2091" s="1" t="s">
        <v>2680</v>
      </c>
      <c r="E2091" s="1">
        <v>16</v>
      </c>
    </row>
    <row r="2092" spans="1:5" hidden="1" x14ac:dyDescent="0.25">
      <c r="A2092" s="115">
        <v>16.225000000000001</v>
      </c>
      <c r="B2092" s="115">
        <v>16.125</v>
      </c>
      <c r="C2092" s="1">
        <v>1250</v>
      </c>
      <c r="D2092" s="1" t="s">
        <v>2681</v>
      </c>
      <c r="E2092" s="1">
        <v>16</v>
      </c>
    </row>
    <row r="2093" spans="1:5" hidden="1" x14ac:dyDescent="0.25">
      <c r="A2093" s="115">
        <v>16.225999999999999</v>
      </c>
      <c r="B2093" s="115">
        <v>16.126000000000001</v>
      </c>
      <c r="C2093" s="1">
        <v>1260</v>
      </c>
      <c r="D2093" s="1" t="s">
        <v>2682</v>
      </c>
      <c r="E2093" s="1">
        <v>16</v>
      </c>
    </row>
    <row r="2094" spans="1:5" hidden="1" x14ac:dyDescent="0.25">
      <c r="A2094" s="115">
        <v>16.227</v>
      </c>
      <c r="B2094" s="115">
        <v>16.126999999999999</v>
      </c>
      <c r="C2094" s="1">
        <v>1270</v>
      </c>
      <c r="D2094" s="1" t="s">
        <v>2683</v>
      </c>
      <c r="E2094" s="1">
        <v>16</v>
      </c>
    </row>
    <row r="2095" spans="1:5" hidden="1" x14ac:dyDescent="0.25">
      <c r="A2095" s="115">
        <v>16.228000000000002</v>
      </c>
      <c r="B2095" s="115">
        <v>16.128</v>
      </c>
      <c r="C2095" s="1">
        <v>1280</v>
      </c>
      <c r="D2095" s="1" t="s">
        <v>2684</v>
      </c>
      <c r="E2095" s="1">
        <v>16</v>
      </c>
    </row>
    <row r="2096" spans="1:5" hidden="1" x14ac:dyDescent="0.25">
      <c r="A2096" s="115">
        <v>16.228999999999999</v>
      </c>
      <c r="B2096" s="115">
        <v>16.13</v>
      </c>
      <c r="C2096" s="1">
        <v>1300</v>
      </c>
      <c r="D2096" s="1" t="s">
        <v>2685</v>
      </c>
      <c r="E2096" s="1">
        <v>16</v>
      </c>
    </row>
    <row r="2097" spans="1:5" hidden="1" x14ac:dyDescent="0.25">
      <c r="A2097" s="115">
        <v>16.23</v>
      </c>
      <c r="B2097" s="115">
        <v>16.131</v>
      </c>
      <c r="C2097" s="1">
        <v>1310</v>
      </c>
      <c r="D2097" s="1" t="s">
        <v>2686</v>
      </c>
      <c r="E2097" s="1">
        <v>16</v>
      </c>
    </row>
    <row r="2098" spans="1:5" hidden="1" x14ac:dyDescent="0.25">
      <c r="A2098" s="115">
        <v>16.231000000000002</v>
      </c>
      <c r="B2098" s="115">
        <v>16.132000000000001</v>
      </c>
      <c r="C2098" s="1">
        <v>1320</v>
      </c>
      <c r="D2098" s="1" t="s">
        <v>2687</v>
      </c>
      <c r="E2098" s="1">
        <v>16</v>
      </c>
    </row>
    <row r="2099" spans="1:5" hidden="1" x14ac:dyDescent="0.25">
      <c r="A2099" s="115">
        <v>17.100999999999999</v>
      </c>
      <c r="B2099" s="115">
        <v>17.100000000000001</v>
      </c>
      <c r="C2099" s="1">
        <v>10</v>
      </c>
      <c r="D2099" s="1" t="s">
        <v>2559</v>
      </c>
      <c r="E2099" s="1">
        <v>17</v>
      </c>
    </row>
    <row r="2100" spans="1:5" hidden="1" x14ac:dyDescent="0.25">
      <c r="A2100" s="115">
        <v>17.102</v>
      </c>
      <c r="B2100" s="115">
        <v>17.2</v>
      </c>
      <c r="C2100" s="1">
        <v>20</v>
      </c>
      <c r="D2100" s="1" t="s">
        <v>2560</v>
      </c>
      <c r="E2100" s="1">
        <v>17</v>
      </c>
    </row>
    <row r="2101" spans="1:5" hidden="1" x14ac:dyDescent="0.25">
      <c r="A2101" s="115">
        <v>17.103000000000002</v>
      </c>
      <c r="B2101" s="115">
        <v>17.3</v>
      </c>
      <c r="C2101" s="1">
        <v>30</v>
      </c>
      <c r="D2101" s="1" t="s">
        <v>2561</v>
      </c>
      <c r="E2101" s="1">
        <v>17</v>
      </c>
    </row>
    <row r="2102" spans="1:5" hidden="1" x14ac:dyDescent="0.25">
      <c r="A2102" s="115">
        <v>17.103999999999999</v>
      </c>
      <c r="B2102" s="115">
        <v>17.399999999999999</v>
      </c>
      <c r="C2102" s="1">
        <v>40</v>
      </c>
      <c r="D2102" s="1" t="s">
        <v>2562</v>
      </c>
      <c r="E2102" s="1">
        <v>17</v>
      </c>
    </row>
    <row r="2103" spans="1:5" hidden="1" x14ac:dyDescent="0.25">
      <c r="A2103" s="115">
        <v>17.105</v>
      </c>
      <c r="B2103" s="115">
        <v>17.5</v>
      </c>
      <c r="C2103" s="1">
        <v>50</v>
      </c>
      <c r="D2103" s="1" t="s">
        <v>2563</v>
      </c>
      <c r="E2103" s="1">
        <v>17</v>
      </c>
    </row>
    <row r="2104" spans="1:5" hidden="1" x14ac:dyDescent="0.25">
      <c r="A2104" s="115">
        <v>17.106000000000002</v>
      </c>
      <c r="B2104" s="115">
        <v>17.600000000000001</v>
      </c>
      <c r="C2104" s="1">
        <v>60</v>
      </c>
      <c r="D2104" s="1" t="s">
        <v>2564</v>
      </c>
      <c r="E2104" s="1">
        <v>17</v>
      </c>
    </row>
    <row r="2105" spans="1:5" hidden="1" x14ac:dyDescent="0.25">
      <c r="A2105" s="115">
        <v>17.106999999999999</v>
      </c>
      <c r="B2105" s="115">
        <v>17.7</v>
      </c>
      <c r="C2105" s="1">
        <v>70</v>
      </c>
      <c r="D2105" s="1" t="s">
        <v>2565</v>
      </c>
      <c r="E2105" s="1">
        <v>17</v>
      </c>
    </row>
    <row r="2106" spans="1:5" hidden="1" x14ac:dyDescent="0.25">
      <c r="A2106" s="115">
        <v>17.108000000000001</v>
      </c>
      <c r="B2106" s="115">
        <v>17.8</v>
      </c>
      <c r="C2106" s="1">
        <v>80</v>
      </c>
      <c r="D2106" s="1" t="s">
        <v>2566</v>
      </c>
      <c r="E2106" s="1">
        <v>17</v>
      </c>
    </row>
    <row r="2107" spans="1:5" hidden="1" x14ac:dyDescent="0.25">
      <c r="A2107" s="115">
        <v>17.109000000000002</v>
      </c>
      <c r="B2107" s="115">
        <v>17.899999999999999</v>
      </c>
      <c r="C2107" s="1">
        <v>90</v>
      </c>
      <c r="D2107" s="1" t="s">
        <v>2567</v>
      </c>
      <c r="E2107" s="1">
        <v>17</v>
      </c>
    </row>
    <row r="2108" spans="1:5" hidden="1" x14ac:dyDescent="0.25">
      <c r="A2108" s="115">
        <v>17.11</v>
      </c>
      <c r="B2108" s="115">
        <v>17.100000000000001</v>
      </c>
      <c r="C2108" s="1">
        <v>100</v>
      </c>
      <c r="D2108" s="1" t="s">
        <v>2568</v>
      </c>
      <c r="E2108" s="1">
        <v>17</v>
      </c>
    </row>
    <row r="2109" spans="1:5" hidden="1" x14ac:dyDescent="0.25">
      <c r="A2109" s="115">
        <v>17.111000000000001</v>
      </c>
      <c r="B2109" s="115">
        <v>17.11</v>
      </c>
      <c r="C2109" s="1">
        <v>110</v>
      </c>
      <c r="D2109" s="1" t="s">
        <v>2569</v>
      </c>
      <c r="E2109" s="1">
        <v>17</v>
      </c>
    </row>
    <row r="2110" spans="1:5" hidden="1" x14ac:dyDescent="0.25">
      <c r="A2110" s="115">
        <v>17.111999999999998</v>
      </c>
      <c r="B2110" s="115">
        <v>17.12</v>
      </c>
      <c r="C2110" s="1">
        <v>120</v>
      </c>
      <c r="D2110" s="1" t="s">
        <v>2570</v>
      </c>
      <c r="E2110" s="1">
        <v>17</v>
      </c>
    </row>
    <row r="2111" spans="1:5" hidden="1" x14ac:dyDescent="0.25">
      <c r="A2111" s="115">
        <v>17.113</v>
      </c>
      <c r="B2111" s="115">
        <v>17.13</v>
      </c>
      <c r="C2111" s="1">
        <v>130</v>
      </c>
      <c r="D2111" s="1" t="s">
        <v>2571</v>
      </c>
      <c r="E2111" s="1">
        <v>17</v>
      </c>
    </row>
    <row r="2112" spans="1:5" hidden="1" x14ac:dyDescent="0.25">
      <c r="A2112" s="115">
        <v>17.114000000000001</v>
      </c>
      <c r="B2112" s="115">
        <v>17.14</v>
      </c>
      <c r="C2112" s="1">
        <v>140</v>
      </c>
      <c r="D2112" s="1" t="s">
        <v>2572</v>
      </c>
      <c r="E2112" s="1">
        <v>17</v>
      </c>
    </row>
    <row r="2113" spans="1:5" hidden="1" x14ac:dyDescent="0.25">
      <c r="A2113" s="115">
        <v>17.114999999999998</v>
      </c>
      <c r="B2113" s="115">
        <v>17.149999999999999</v>
      </c>
      <c r="C2113" s="1">
        <v>150</v>
      </c>
      <c r="D2113" s="1" t="s">
        <v>2573</v>
      </c>
      <c r="E2113" s="1">
        <v>17</v>
      </c>
    </row>
    <row r="2114" spans="1:5" hidden="1" x14ac:dyDescent="0.25">
      <c r="A2114" s="115">
        <v>17.116</v>
      </c>
      <c r="B2114" s="115">
        <v>17.16</v>
      </c>
      <c r="C2114" s="1">
        <v>160</v>
      </c>
      <c r="D2114" s="1" t="s">
        <v>2574</v>
      </c>
      <c r="E2114" s="1">
        <v>17</v>
      </c>
    </row>
    <row r="2115" spans="1:5" hidden="1" x14ac:dyDescent="0.25">
      <c r="A2115" s="115">
        <v>17.117000000000001</v>
      </c>
      <c r="B2115" s="115">
        <v>17.170000000000002</v>
      </c>
      <c r="C2115" s="1">
        <v>170</v>
      </c>
      <c r="D2115" s="1" t="s">
        <v>2575</v>
      </c>
      <c r="E2115" s="1">
        <v>17</v>
      </c>
    </row>
    <row r="2116" spans="1:5" hidden="1" x14ac:dyDescent="0.25">
      <c r="A2116" s="115">
        <v>17.117999999999999</v>
      </c>
      <c r="B2116" s="115">
        <v>17.18</v>
      </c>
      <c r="C2116" s="1">
        <v>180</v>
      </c>
      <c r="D2116" s="1" t="s">
        <v>2576</v>
      </c>
      <c r="E2116" s="1">
        <v>17</v>
      </c>
    </row>
    <row r="2117" spans="1:5" hidden="1" x14ac:dyDescent="0.25">
      <c r="A2117" s="115">
        <v>17.119</v>
      </c>
      <c r="B2117" s="115">
        <v>17.190000000000001</v>
      </c>
      <c r="C2117" s="1">
        <v>190</v>
      </c>
      <c r="D2117" s="1" t="s">
        <v>2577</v>
      </c>
      <c r="E2117" s="1">
        <v>17</v>
      </c>
    </row>
    <row r="2118" spans="1:5" hidden="1" x14ac:dyDescent="0.25">
      <c r="A2118" s="115">
        <v>17.12</v>
      </c>
      <c r="B2118" s="115">
        <v>17.2</v>
      </c>
      <c r="C2118" s="1">
        <v>200</v>
      </c>
      <c r="D2118" s="1" t="s">
        <v>2578</v>
      </c>
      <c r="E2118" s="1">
        <v>17</v>
      </c>
    </row>
    <row r="2119" spans="1:5" hidden="1" x14ac:dyDescent="0.25">
      <c r="A2119" s="115">
        <v>17.120999999999999</v>
      </c>
      <c r="B2119" s="115">
        <v>17.21</v>
      </c>
      <c r="C2119" s="1">
        <v>210</v>
      </c>
      <c r="D2119" s="1" t="s">
        <v>2579</v>
      </c>
      <c r="E2119" s="1">
        <v>17</v>
      </c>
    </row>
    <row r="2120" spans="1:5" hidden="1" x14ac:dyDescent="0.25">
      <c r="A2120" s="115">
        <v>17.122</v>
      </c>
      <c r="B2120" s="115">
        <v>17.22</v>
      </c>
      <c r="C2120" s="1">
        <v>220</v>
      </c>
      <c r="D2120" s="1" t="s">
        <v>2580</v>
      </c>
      <c r="E2120" s="1">
        <v>17</v>
      </c>
    </row>
    <row r="2121" spans="1:5" hidden="1" x14ac:dyDescent="0.25">
      <c r="A2121" s="115">
        <v>17.123000000000001</v>
      </c>
      <c r="B2121" s="115">
        <v>17.23</v>
      </c>
      <c r="C2121" s="1">
        <v>230</v>
      </c>
      <c r="D2121" s="1" t="s">
        <v>2581</v>
      </c>
      <c r="E2121" s="1">
        <v>17</v>
      </c>
    </row>
    <row r="2122" spans="1:5" hidden="1" x14ac:dyDescent="0.25">
      <c r="A2122" s="115">
        <v>17.123999999999999</v>
      </c>
      <c r="B2122" s="115">
        <v>17.239999999999998</v>
      </c>
      <c r="C2122" s="1">
        <v>240</v>
      </c>
      <c r="D2122" s="1" t="s">
        <v>2582</v>
      </c>
      <c r="E2122" s="1">
        <v>17</v>
      </c>
    </row>
    <row r="2123" spans="1:5" hidden="1" x14ac:dyDescent="0.25">
      <c r="A2123" s="115">
        <v>17.125</v>
      </c>
      <c r="B2123" s="115">
        <v>17.25</v>
      </c>
      <c r="C2123" s="1">
        <v>250</v>
      </c>
      <c r="D2123" s="1" t="s">
        <v>2583</v>
      </c>
      <c r="E2123" s="1">
        <v>17</v>
      </c>
    </row>
    <row r="2124" spans="1:5" hidden="1" x14ac:dyDescent="0.25">
      <c r="A2124" s="115">
        <v>17.126000000000001</v>
      </c>
      <c r="B2124" s="115">
        <v>17.260000000000002</v>
      </c>
      <c r="C2124" s="1">
        <v>260</v>
      </c>
      <c r="D2124" s="1" t="s">
        <v>2584</v>
      </c>
      <c r="E2124" s="1">
        <v>17</v>
      </c>
    </row>
    <row r="2125" spans="1:5" hidden="1" x14ac:dyDescent="0.25">
      <c r="A2125" s="115">
        <v>17.126999999999999</v>
      </c>
      <c r="B2125" s="115">
        <v>17.27</v>
      </c>
      <c r="C2125" s="1">
        <v>270</v>
      </c>
      <c r="D2125" s="1" t="s">
        <v>2585</v>
      </c>
      <c r="E2125" s="1">
        <v>17</v>
      </c>
    </row>
    <row r="2126" spans="1:5" hidden="1" x14ac:dyDescent="0.25">
      <c r="A2126" s="115">
        <v>17.128</v>
      </c>
      <c r="B2126" s="115">
        <v>17.28</v>
      </c>
      <c r="C2126" s="1">
        <v>280</v>
      </c>
      <c r="D2126" s="1" t="s">
        <v>2586</v>
      </c>
      <c r="E2126" s="1">
        <v>17</v>
      </c>
    </row>
    <row r="2127" spans="1:5" hidden="1" x14ac:dyDescent="0.25">
      <c r="A2127" s="115">
        <v>17.129000000000001</v>
      </c>
      <c r="B2127" s="115">
        <v>17.29</v>
      </c>
      <c r="C2127" s="1">
        <v>290</v>
      </c>
      <c r="D2127" s="1" t="s">
        <v>2587</v>
      </c>
      <c r="E2127" s="1">
        <v>17</v>
      </c>
    </row>
    <row r="2128" spans="1:5" hidden="1" x14ac:dyDescent="0.25">
      <c r="A2128" s="115">
        <v>17.13</v>
      </c>
      <c r="B2128" s="115">
        <v>17.3</v>
      </c>
      <c r="C2128" s="1">
        <v>300</v>
      </c>
      <c r="D2128" s="1" t="s">
        <v>2588</v>
      </c>
      <c r="E2128" s="1">
        <v>17</v>
      </c>
    </row>
    <row r="2129" spans="1:5" hidden="1" x14ac:dyDescent="0.25">
      <c r="A2129" s="115">
        <v>17.131</v>
      </c>
      <c r="B2129" s="115">
        <v>17.309999999999999</v>
      </c>
      <c r="C2129" s="1">
        <v>310</v>
      </c>
      <c r="D2129" s="1" t="s">
        <v>2589</v>
      </c>
      <c r="E2129" s="1">
        <v>17</v>
      </c>
    </row>
    <row r="2130" spans="1:5" hidden="1" x14ac:dyDescent="0.25">
      <c r="A2130" s="115">
        <v>17.132000000000001</v>
      </c>
      <c r="B2130" s="115">
        <v>17.32</v>
      </c>
      <c r="C2130" s="1">
        <v>320</v>
      </c>
      <c r="D2130" s="1" t="s">
        <v>2590</v>
      </c>
      <c r="E2130" s="1">
        <v>17</v>
      </c>
    </row>
    <row r="2131" spans="1:5" hidden="1" x14ac:dyDescent="0.25">
      <c r="A2131" s="115">
        <v>17.132999999999999</v>
      </c>
      <c r="B2131" s="115">
        <v>17.329999999999998</v>
      </c>
      <c r="C2131" s="1">
        <v>330</v>
      </c>
      <c r="D2131" s="1" t="s">
        <v>2591</v>
      </c>
      <c r="E2131" s="1">
        <v>17</v>
      </c>
    </row>
    <row r="2132" spans="1:5" hidden="1" x14ac:dyDescent="0.25">
      <c r="A2132" s="115">
        <v>17.134</v>
      </c>
      <c r="B2132" s="115">
        <v>17.34</v>
      </c>
      <c r="C2132" s="1">
        <v>340</v>
      </c>
      <c r="D2132" s="1" t="s">
        <v>2592</v>
      </c>
      <c r="E2132" s="1">
        <v>17</v>
      </c>
    </row>
    <row r="2133" spans="1:5" hidden="1" x14ac:dyDescent="0.25">
      <c r="A2133" s="115">
        <v>17.135000000000002</v>
      </c>
      <c r="B2133" s="115">
        <v>17.350000000000001</v>
      </c>
      <c r="C2133" s="1">
        <v>350</v>
      </c>
      <c r="D2133" s="1" t="s">
        <v>2593</v>
      </c>
      <c r="E2133" s="1">
        <v>17</v>
      </c>
    </row>
    <row r="2134" spans="1:5" hidden="1" x14ac:dyDescent="0.25">
      <c r="A2134" s="115">
        <v>17.135999999999999</v>
      </c>
      <c r="B2134" s="115">
        <v>17.36</v>
      </c>
      <c r="C2134" s="1">
        <v>360</v>
      </c>
      <c r="D2134" s="1" t="s">
        <v>2594</v>
      </c>
      <c r="E2134" s="1">
        <v>17</v>
      </c>
    </row>
    <row r="2135" spans="1:5" hidden="1" x14ac:dyDescent="0.25">
      <c r="A2135" s="115">
        <v>17.137</v>
      </c>
      <c r="B2135" s="115">
        <v>17.37</v>
      </c>
      <c r="C2135" s="1">
        <v>370</v>
      </c>
      <c r="D2135" s="1" t="s">
        <v>2595</v>
      </c>
      <c r="E2135" s="1">
        <v>17</v>
      </c>
    </row>
    <row r="2136" spans="1:5" hidden="1" x14ac:dyDescent="0.25">
      <c r="A2136" s="115">
        <v>17.138000000000002</v>
      </c>
      <c r="B2136" s="115">
        <v>17.38</v>
      </c>
      <c r="C2136" s="1">
        <v>380</v>
      </c>
      <c r="D2136" s="1" t="s">
        <v>2596</v>
      </c>
      <c r="E2136" s="1">
        <v>17</v>
      </c>
    </row>
    <row r="2137" spans="1:5" hidden="1" x14ac:dyDescent="0.25">
      <c r="A2137" s="115">
        <v>17.138999999999999</v>
      </c>
      <c r="B2137" s="115">
        <v>17.39</v>
      </c>
      <c r="C2137" s="1">
        <v>390</v>
      </c>
      <c r="D2137" s="1" t="s">
        <v>2597</v>
      </c>
      <c r="E2137" s="1">
        <v>17</v>
      </c>
    </row>
    <row r="2138" spans="1:5" hidden="1" x14ac:dyDescent="0.25">
      <c r="A2138" s="115">
        <v>17.14</v>
      </c>
      <c r="B2138" s="115">
        <v>17.399999999999999</v>
      </c>
      <c r="C2138" s="1">
        <v>400</v>
      </c>
      <c r="D2138" s="1" t="s">
        <v>2598</v>
      </c>
      <c r="E2138" s="1">
        <v>17</v>
      </c>
    </row>
    <row r="2139" spans="1:5" hidden="1" x14ac:dyDescent="0.25">
      <c r="A2139" s="115">
        <v>17.140999999999998</v>
      </c>
      <c r="B2139" s="115">
        <v>17.41</v>
      </c>
      <c r="C2139" s="1">
        <v>410</v>
      </c>
      <c r="D2139" s="1" t="s">
        <v>2599</v>
      </c>
      <c r="E2139" s="1">
        <v>17</v>
      </c>
    </row>
    <row r="2140" spans="1:5" hidden="1" x14ac:dyDescent="0.25">
      <c r="A2140" s="115">
        <v>17.141999999999999</v>
      </c>
      <c r="B2140" s="115">
        <v>17.420000000000002</v>
      </c>
      <c r="C2140" s="1">
        <v>420</v>
      </c>
      <c r="D2140" s="1" t="s">
        <v>2600</v>
      </c>
      <c r="E2140" s="1">
        <v>17</v>
      </c>
    </row>
    <row r="2141" spans="1:5" hidden="1" x14ac:dyDescent="0.25">
      <c r="A2141" s="115">
        <v>17.143000000000001</v>
      </c>
      <c r="B2141" s="115">
        <v>17.43</v>
      </c>
      <c r="C2141" s="1">
        <v>430</v>
      </c>
      <c r="D2141" s="1" t="s">
        <v>2601</v>
      </c>
      <c r="E2141" s="1">
        <v>17</v>
      </c>
    </row>
    <row r="2142" spans="1:5" hidden="1" x14ac:dyDescent="0.25">
      <c r="A2142" s="115">
        <v>17.143999999999998</v>
      </c>
      <c r="B2142" s="115">
        <v>17.440000000000001</v>
      </c>
      <c r="C2142" s="1">
        <v>440</v>
      </c>
      <c r="D2142" s="1" t="s">
        <v>2602</v>
      </c>
      <c r="E2142" s="1">
        <v>17</v>
      </c>
    </row>
    <row r="2143" spans="1:5" hidden="1" x14ac:dyDescent="0.25">
      <c r="A2143" s="115">
        <v>17.145</v>
      </c>
      <c r="B2143" s="115">
        <v>17.445</v>
      </c>
      <c r="C2143" s="1">
        <v>445</v>
      </c>
      <c r="D2143" s="1" t="s">
        <v>2603</v>
      </c>
      <c r="E2143" s="1">
        <v>17</v>
      </c>
    </row>
    <row r="2144" spans="1:5" hidden="1" x14ac:dyDescent="0.25">
      <c r="A2144" s="115">
        <v>17.146000000000001</v>
      </c>
      <c r="B2144" s="115">
        <v>17.45</v>
      </c>
      <c r="C2144" s="1">
        <v>450</v>
      </c>
      <c r="D2144" s="1" t="s">
        <v>2604</v>
      </c>
      <c r="E2144" s="1">
        <v>17</v>
      </c>
    </row>
    <row r="2145" spans="1:5" hidden="1" x14ac:dyDescent="0.25">
      <c r="A2145" s="115">
        <v>17.146999999999998</v>
      </c>
      <c r="B2145" s="115">
        <v>17.46</v>
      </c>
      <c r="C2145" s="1">
        <v>460</v>
      </c>
      <c r="D2145" s="1" t="s">
        <v>2605</v>
      </c>
      <c r="E2145" s="1">
        <v>17</v>
      </c>
    </row>
    <row r="2146" spans="1:5" hidden="1" x14ac:dyDescent="0.25">
      <c r="A2146" s="115">
        <v>17.148</v>
      </c>
      <c r="B2146" s="115">
        <v>17.47</v>
      </c>
      <c r="C2146" s="1">
        <v>470</v>
      </c>
      <c r="D2146" s="1" t="s">
        <v>2606</v>
      </c>
      <c r="E2146" s="1">
        <v>17</v>
      </c>
    </row>
    <row r="2147" spans="1:5" hidden="1" x14ac:dyDescent="0.25">
      <c r="A2147" s="115">
        <v>17.149000000000001</v>
      </c>
      <c r="B2147" s="115">
        <v>17.48</v>
      </c>
      <c r="C2147" s="1">
        <v>480</v>
      </c>
      <c r="D2147" s="1" t="s">
        <v>2607</v>
      </c>
      <c r="E2147" s="1">
        <v>17</v>
      </c>
    </row>
    <row r="2148" spans="1:5" hidden="1" x14ac:dyDescent="0.25">
      <c r="A2148" s="115">
        <v>17.149999999999999</v>
      </c>
      <c r="B2148" s="115">
        <v>17.489999999999998</v>
      </c>
      <c r="C2148" s="1">
        <v>490</v>
      </c>
      <c r="D2148" s="1" t="s">
        <v>2608</v>
      </c>
      <c r="E2148" s="1">
        <v>17</v>
      </c>
    </row>
    <row r="2149" spans="1:5" hidden="1" x14ac:dyDescent="0.25">
      <c r="A2149" s="115">
        <v>17.151</v>
      </c>
      <c r="B2149" s="115">
        <v>17.5</v>
      </c>
      <c r="C2149" s="1">
        <v>500</v>
      </c>
      <c r="D2149" s="1" t="s">
        <v>2609</v>
      </c>
      <c r="E2149" s="1">
        <v>17</v>
      </c>
    </row>
    <row r="2150" spans="1:5" hidden="1" x14ac:dyDescent="0.25">
      <c r="A2150" s="115">
        <v>17.152000000000001</v>
      </c>
      <c r="B2150" s="115">
        <v>17.510000000000002</v>
      </c>
      <c r="C2150" s="1">
        <v>510</v>
      </c>
      <c r="D2150" s="1" t="s">
        <v>2610</v>
      </c>
      <c r="E2150" s="1">
        <v>17</v>
      </c>
    </row>
    <row r="2151" spans="1:5" hidden="1" x14ac:dyDescent="0.25">
      <c r="A2151" s="115">
        <v>17.152999999999999</v>
      </c>
      <c r="B2151" s="115">
        <v>17.52</v>
      </c>
      <c r="C2151" s="1">
        <v>520</v>
      </c>
      <c r="D2151" s="1" t="s">
        <v>2611</v>
      </c>
      <c r="E2151" s="1">
        <v>17</v>
      </c>
    </row>
    <row r="2152" spans="1:5" hidden="1" x14ac:dyDescent="0.25">
      <c r="A2152" s="115">
        <v>17.154</v>
      </c>
      <c r="B2152" s="115">
        <v>17.53</v>
      </c>
      <c r="C2152" s="1">
        <v>530</v>
      </c>
      <c r="D2152" s="1" t="s">
        <v>2612</v>
      </c>
      <c r="E2152" s="1">
        <v>17</v>
      </c>
    </row>
    <row r="2153" spans="1:5" hidden="1" x14ac:dyDescent="0.25">
      <c r="A2153" s="115">
        <v>17.155000000000001</v>
      </c>
      <c r="B2153" s="115">
        <v>17.54</v>
      </c>
      <c r="C2153" s="1">
        <v>540</v>
      </c>
      <c r="D2153" s="1" t="s">
        <v>2613</v>
      </c>
      <c r="E2153" s="1">
        <v>17</v>
      </c>
    </row>
    <row r="2154" spans="1:5" hidden="1" x14ac:dyDescent="0.25">
      <c r="A2154" s="115">
        <v>17.155999999999999</v>
      </c>
      <c r="B2154" s="115">
        <v>17.55</v>
      </c>
      <c r="C2154" s="1">
        <v>550</v>
      </c>
      <c r="D2154" s="1" t="s">
        <v>2614</v>
      </c>
      <c r="E2154" s="1">
        <v>17</v>
      </c>
    </row>
    <row r="2155" spans="1:5" hidden="1" x14ac:dyDescent="0.25">
      <c r="A2155" s="115">
        <v>17.157</v>
      </c>
      <c r="B2155" s="115">
        <v>17.559999999999999</v>
      </c>
      <c r="C2155" s="1">
        <v>560</v>
      </c>
      <c r="D2155" s="1" t="s">
        <v>2615</v>
      </c>
      <c r="E2155" s="1">
        <v>17</v>
      </c>
    </row>
    <row r="2156" spans="1:5" hidden="1" x14ac:dyDescent="0.25">
      <c r="A2156" s="115">
        <v>17.158000000000001</v>
      </c>
      <c r="B2156" s="115">
        <v>17.57</v>
      </c>
      <c r="C2156" s="1">
        <v>570</v>
      </c>
      <c r="D2156" s="1" t="s">
        <v>2616</v>
      </c>
      <c r="E2156" s="1">
        <v>17</v>
      </c>
    </row>
    <row r="2157" spans="1:5" hidden="1" x14ac:dyDescent="0.25">
      <c r="A2157" s="115">
        <v>17.158999999999999</v>
      </c>
      <c r="B2157" s="115">
        <v>17.574999999999999</v>
      </c>
      <c r="C2157" s="1">
        <v>575</v>
      </c>
      <c r="D2157" s="1" t="s">
        <v>2617</v>
      </c>
      <c r="E2157" s="1">
        <v>17</v>
      </c>
    </row>
    <row r="2158" spans="1:5" hidden="1" x14ac:dyDescent="0.25">
      <c r="A2158" s="115">
        <v>17.16</v>
      </c>
      <c r="B2158" s="115">
        <v>17.576000000000001</v>
      </c>
      <c r="C2158" s="1">
        <v>576</v>
      </c>
      <c r="D2158" s="1" t="s">
        <v>2618</v>
      </c>
      <c r="E2158" s="1">
        <v>17</v>
      </c>
    </row>
    <row r="2159" spans="1:5" hidden="1" x14ac:dyDescent="0.25">
      <c r="A2159" s="115">
        <v>17.161000000000001</v>
      </c>
      <c r="B2159" s="115">
        <v>17.579999999999998</v>
      </c>
      <c r="C2159" s="1">
        <v>580</v>
      </c>
      <c r="D2159" s="1" t="s">
        <v>2619</v>
      </c>
      <c r="E2159" s="1">
        <v>17</v>
      </c>
    </row>
    <row r="2160" spans="1:5" hidden="1" x14ac:dyDescent="0.25">
      <c r="A2160" s="115">
        <v>17.161999999999999</v>
      </c>
      <c r="B2160" s="115">
        <v>17.59</v>
      </c>
      <c r="C2160" s="1">
        <v>590</v>
      </c>
      <c r="D2160" s="1" t="s">
        <v>1099</v>
      </c>
      <c r="E2160" s="1">
        <v>17</v>
      </c>
    </row>
    <row r="2161" spans="1:5" hidden="1" x14ac:dyDescent="0.25">
      <c r="A2161" s="115">
        <v>17.163</v>
      </c>
      <c r="B2161" s="115">
        <v>17.600000000000001</v>
      </c>
      <c r="C2161" s="1">
        <v>600</v>
      </c>
      <c r="D2161" s="1" t="s">
        <v>2620</v>
      </c>
      <c r="E2161" s="1">
        <v>17</v>
      </c>
    </row>
    <row r="2162" spans="1:5" hidden="1" x14ac:dyDescent="0.25">
      <c r="A2162" s="115">
        <v>17.164000000000001</v>
      </c>
      <c r="B2162" s="115">
        <v>17.61</v>
      </c>
      <c r="C2162" s="1">
        <v>610</v>
      </c>
      <c r="D2162" s="1" t="s">
        <v>2621</v>
      </c>
      <c r="E2162" s="1">
        <v>17</v>
      </c>
    </row>
    <row r="2163" spans="1:5" hidden="1" x14ac:dyDescent="0.25">
      <c r="A2163" s="115">
        <v>17.164999999999999</v>
      </c>
      <c r="B2163" s="115">
        <v>17.62</v>
      </c>
      <c r="C2163" s="1">
        <v>620</v>
      </c>
      <c r="D2163" s="1" t="s">
        <v>2622</v>
      </c>
      <c r="E2163" s="1">
        <v>17</v>
      </c>
    </row>
    <row r="2164" spans="1:5" hidden="1" x14ac:dyDescent="0.25">
      <c r="A2164" s="115">
        <v>17.166</v>
      </c>
      <c r="B2164" s="115">
        <v>17.63</v>
      </c>
      <c r="C2164" s="1">
        <v>630</v>
      </c>
      <c r="D2164" s="1" t="s">
        <v>2623</v>
      </c>
      <c r="E2164" s="1">
        <v>17</v>
      </c>
    </row>
    <row r="2165" spans="1:5" hidden="1" x14ac:dyDescent="0.25">
      <c r="A2165" s="115">
        <v>17.167000000000002</v>
      </c>
      <c r="B2165" s="115">
        <v>17.64</v>
      </c>
      <c r="C2165" s="1">
        <v>640</v>
      </c>
      <c r="D2165" s="1" t="s">
        <v>2624</v>
      </c>
      <c r="E2165" s="1">
        <v>17</v>
      </c>
    </row>
    <row r="2166" spans="1:5" hidden="1" x14ac:dyDescent="0.25">
      <c r="A2166" s="115">
        <v>17.167999999999999</v>
      </c>
      <c r="B2166" s="115">
        <v>17.649999999999999</v>
      </c>
      <c r="C2166" s="1">
        <v>650</v>
      </c>
      <c r="D2166" s="1" t="s">
        <v>2625</v>
      </c>
      <c r="E2166" s="1">
        <v>17</v>
      </c>
    </row>
    <row r="2167" spans="1:5" hidden="1" x14ac:dyDescent="0.25">
      <c r="A2167" s="115">
        <v>17.169</v>
      </c>
      <c r="B2167" s="115">
        <v>17.66</v>
      </c>
      <c r="C2167" s="1">
        <v>660</v>
      </c>
      <c r="D2167" s="1" t="s">
        <v>2626</v>
      </c>
      <c r="E2167" s="1">
        <v>17</v>
      </c>
    </row>
    <row r="2168" spans="1:5" hidden="1" x14ac:dyDescent="0.25">
      <c r="A2168" s="115">
        <v>17.170000000000002</v>
      </c>
      <c r="B2168" s="115">
        <v>17.670000000000002</v>
      </c>
      <c r="C2168" s="1">
        <v>670</v>
      </c>
      <c r="D2168" s="1" t="s">
        <v>2627</v>
      </c>
      <c r="E2168" s="1">
        <v>17</v>
      </c>
    </row>
    <row r="2169" spans="1:5" hidden="1" x14ac:dyDescent="0.25">
      <c r="A2169" s="115">
        <v>17.170999999999999</v>
      </c>
      <c r="B2169" s="115">
        <v>17.68</v>
      </c>
      <c r="C2169" s="1">
        <v>680</v>
      </c>
      <c r="D2169" s="1" t="s">
        <v>2628</v>
      </c>
      <c r="E2169" s="1">
        <v>17</v>
      </c>
    </row>
    <row r="2170" spans="1:5" hidden="1" x14ac:dyDescent="0.25">
      <c r="A2170" s="115">
        <v>17.172000000000001</v>
      </c>
      <c r="B2170" s="115">
        <v>17.690000000000001</v>
      </c>
      <c r="C2170" s="1">
        <v>690</v>
      </c>
      <c r="D2170" s="1" t="s">
        <v>2629</v>
      </c>
      <c r="E2170" s="1">
        <v>17</v>
      </c>
    </row>
    <row r="2171" spans="1:5" hidden="1" x14ac:dyDescent="0.25">
      <c r="A2171" s="115">
        <v>17.172999999999998</v>
      </c>
      <c r="B2171" s="115">
        <v>17.7</v>
      </c>
      <c r="C2171" s="1">
        <v>700</v>
      </c>
      <c r="D2171" s="1" t="s">
        <v>2630</v>
      </c>
      <c r="E2171" s="1">
        <v>17</v>
      </c>
    </row>
    <row r="2172" spans="1:5" hidden="1" x14ac:dyDescent="0.25">
      <c r="A2172" s="115">
        <v>17.173999999999999</v>
      </c>
      <c r="B2172" s="115">
        <v>17.71</v>
      </c>
      <c r="C2172" s="1">
        <v>710</v>
      </c>
      <c r="D2172" s="1" t="s">
        <v>2631</v>
      </c>
      <c r="E2172" s="1">
        <v>17</v>
      </c>
    </row>
    <row r="2173" spans="1:5" hidden="1" x14ac:dyDescent="0.25">
      <c r="A2173" s="115">
        <v>17.175000000000001</v>
      </c>
      <c r="B2173" s="115">
        <v>17.72</v>
      </c>
      <c r="C2173" s="1">
        <v>720</v>
      </c>
      <c r="D2173" s="1" t="s">
        <v>2632</v>
      </c>
      <c r="E2173" s="1">
        <v>17</v>
      </c>
    </row>
    <row r="2174" spans="1:5" hidden="1" x14ac:dyDescent="0.25">
      <c r="A2174" s="115">
        <v>17.175999999999998</v>
      </c>
      <c r="B2174" s="115">
        <v>17.73</v>
      </c>
      <c r="C2174" s="1">
        <v>730</v>
      </c>
      <c r="D2174" s="1" t="s">
        <v>2633</v>
      </c>
      <c r="E2174" s="1">
        <v>17</v>
      </c>
    </row>
    <row r="2175" spans="1:5" hidden="1" x14ac:dyDescent="0.25">
      <c r="A2175" s="115">
        <v>17.177</v>
      </c>
      <c r="B2175" s="115">
        <v>17.739999999999998</v>
      </c>
      <c r="C2175" s="1">
        <v>740</v>
      </c>
      <c r="D2175" s="1" t="s">
        <v>2634</v>
      </c>
      <c r="E2175" s="1">
        <v>17</v>
      </c>
    </row>
    <row r="2176" spans="1:5" hidden="1" x14ac:dyDescent="0.25">
      <c r="A2176" s="115">
        <v>17.178000000000001</v>
      </c>
      <c r="B2176" s="115">
        <v>17.75</v>
      </c>
      <c r="C2176" s="1">
        <v>750</v>
      </c>
      <c r="D2176" s="1" t="s">
        <v>2635</v>
      </c>
      <c r="E2176" s="1">
        <v>17</v>
      </c>
    </row>
    <row r="2177" spans="1:5" hidden="1" x14ac:dyDescent="0.25">
      <c r="A2177" s="115">
        <v>17.178999999999998</v>
      </c>
      <c r="B2177" s="115">
        <v>17.754999999999999</v>
      </c>
      <c r="C2177" s="1">
        <v>755</v>
      </c>
      <c r="D2177" s="1" t="s">
        <v>1466</v>
      </c>
      <c r="E2177" s="1">
        <v>17</v>
      </c>
    </row>
    <row r="2178" spans="1:5" hidden="1" x14ac:dyDescent="0.25">
      <c r="A2178" s="115">
        <v>17.18</v>
      </c>
      <c r="B2178" s="115">
        <v>17.760000000000002</v>
      </c>
      <c r="C2178" s="1">
        <v>760</v>
      </c>
      <c r="D2178" s="1" t="s">
        <v>2636</v>
      </c>
      <c r="E2178" s="1">
        <v>17</v>
      </c>
    </row>
    <row r="2179" spans="1:5" hidden="1" x14ac:dyDescent="0.25">
      <c r="A2179" s="115">
        <v>17.181000000000001</v>
      </c>
      <c r="B2179" s="115">
        <v>17.77</v>
      </c>
      <c r="C2179" s="1">
        <v>770</v>
      </c>
      <c r="D2179" s="1" t="s">
        <v>2637</v>
      </c>
      <c r="E2179" s="1">
        <v>17</v>
      </c>
    </row>
    <row r="2180" spans="1:5" hidden="1" x14ac:dyDescent="0.25">
      <c r="A2180" s="115">
        <v>17.181999999999999</v>
      </c>
      <c r="B2180" s="115">
        <v>17.78</v>
      </c>
      <c r="C2180" s="1">
        <v>780</v>
      </c>
      <c r="D2180" s="1" t="s">
        <v>2638</v>
      </c>
      <c r="E2180" s="1">
        <v>17</v>
      </c>
    </row>
    <row r="2181" spans="1:5" hidden="1" x14ac:dyDescent="0.25">
      <c r="A2181" s="115">
        <v>17.183</v>
      </c>
      <c r="B2181" s="115">
        <v>17.79</v>
      </c>
      <c r="C2181" s="1">
        <v>790</v>
      </c>
      <c r="D2181" s="1" t="s">
        <v>2639</v>
      </c>
      <c r="E2181" s="1">
        <v>17</v>
      </c>
    </row>
    <row r="2182" spans="1:5" hidden="1" x14ac:dyDescent="0.25">
      <c r="A2182" s="115">
        <v>17.184000000000001</v>
      </c>
      <c r="B2182" s="115">
        <v>17.8</v>
      </c>
      <c r="C2182" s="1">
        <v>800</v>
      </c>
      <c r="D2182" s="1" t="s">
        <v>2640</v>
      </c>
      <c r="E2182" s="1">
        <v>17</v>
      </c>
    </row>
    <row r="2183" spans="1:5" hidden="1" x14ac:dyDescent="0.25">
      <c r="A2183" s="115">
        <v>17.184999999999999</v>
      </c>
      <c r="B2183" s="115">
        <v>17.805</v>
      </c>
      <c r="C2183" s="1">
        <v>805</v>
      </c>
      <c r="D2183" s="1" t="s">
        <v>2641</v>
      </c>
      <c r="E2183" s="1">
        <v>17</v>
      </c>
    </row>
    <row r="2184" spans="1:5" hidden="1" x14ac:dyDescent="0.25">
      <c r="A2184" s="115">
        <v>17.186</v>
      </c>
      <c r="B2184" s="115">
        <v>17.809999999999999</v>
      </c>
      <c r="C2184" s="1">
        <v>810</v>
      </c>
      <c r="D2184" s="1" t="s">
        <v>2642</v>
      </c>
      <c r="E2184" s="1">
        <v>17</v>
      </c>
    </row>
    <row r="2185" spans="1:5" hidden="1" x14ac:dyDescent="0.25">
      <c r="A2185" s="115">
        <v>17.187000000000001</v>
      </c>
      <c r="B2185" s="115">
        <v>17.82</v>
      </c>
      <c r="C2185" s="1">
        <v>820</v>
      </c>
      <c r="D2185" s="1" t="s">
        <v>2643</v>
      </c>
      <c r="E2185" s="1">
        <v>17</v>
      </c>
    </row>
    <row r="2186" spans="1:5" hidden="1" x14ac:dyDescent="0.25">
      <c r="A2186" s="115">
        <v>17.187999999999999</v>
      </c>
      <c r="B2186" s="115">
        <v>17.829999999999998</v>
      </c>
      <c r="C2186" s="1">
        <v>830</v>
      </c>
      <c r="D2186" s="1" t="s">
        <v>2644</v>
      </c>
      <c r="E2186" s="1">
        <v>17</v>
      </c>
    </row>
    <row r="2187" spans="1:5" hidden="1" x14ac:dyDescent="0.25">
      <c r="A2187" s="115">
        <v>17.189</v>
      </c>
      <c r="B2187" s="115">
        <v>17.84</v>
      </c>
      <c r="C2187" s="1">
        <v>840</v>
      </c>
      <c r="D2187" s="1" t="s">
        <v>2645</v>
      </c>
      <c r="E2187" s="1">
        <v>17</v>
      </c>
    </row>
    <row r="2188" spans="1:5" hidden="1" x14ac:dyDescent="0.25">
      <c r="A2188" s="115">
        <v>17.190000000000001</v>
      </c>
      <c r="B2188" s="115">
        <v>17.850000000000001</v>
      </c>
      <c r="C2188" s="1">
        <v>850</v>
      </c>
      <c r="D2188" s="1" t="s">
        <v>2646</v>
      </c>
      <c r="E2188" s="1">
        <v>17</v>
      </c>
    </row>
    <row r="2189" spans="1:5" hidden="1" x14ac:dyDescent="0.25">
      <c r="A2189" s="115">
        <v>17.190999999999999</v>
      </c>
      <c r="B2189" s="115">
        <v>17.86</v>
      </c>
      <c r="C2189" s="1">
        <v>860</v>
      </c>
      <c r="D2189" s="1" t="s">
        <v>2647</v>
      </c>
      <c r="E2189" s="1">
        <v>17</v>
      </c>
    </row>
    <row r="2190" spans="1:5" hidden="1" x14ac:dyDescent="0.25">
      <c r="A2190" s="115">
        <v>17.192</v>
      </c>
      <c r="B2190" s="115">
        <v>17.87</v>
      </c>
      <c r="C2190" s="1">
        <v>870</v>
      </c>
      <c r="D2190" s="1" t="s">
        <v>2648</v>
      </c>
      <c r="E2190" s="1">
        <v>17</v>
      </c>
    </row>
    <row r="2191" spans="1:5" hidden="1" x14ac:dyDescent="0.25">
      <c r="A2191" s="115">
        <v>17.193000000000001</v>
      </c>
      <c r="B2191" s="115">
        <v>17.88</v>
      </c>
      <c r="C2191" s="1">
        <v>880</v>
      </c>
      <c r="D2191" s="1" t="s">
        <v>2649</v>
      </c>
      <c r="E2191" s="1">
        <v>17</v>
      </c>
    </row>
    <row r="2192" spans="1:5" hidden="1" x14ac:dyDescent="0.25">
      <c r="A2192" s="115">
        <v>17.193999999999999</v>
      </c>
      <c r="B2192" s="115">
        <v>17.89</v>
      </c>
      <c r="C2192" s="1">
        <v>890</v>
      </c>
      <c r="D2192" s="1" t="s">
        <v>2650</v>
      </c>
      <c r="E2192" s="1">
        <v>17</v>
      </c>
    </row>
    <row r="2193" spans="1:5" hidden="1" x14ac:dyDescent="0.25">
      <c r="A2193" s="115">
        <v>17.195</v>
      </c>
      <c r="B2193" s="115">
        <v>17.895</v>
      </c>
      <c r="C2193" s="1">
        <v>895</v>
      </c>
      <c r="D2193" s="1" t="s">
        <v>2651</v>
      </c>
      <c r="E2193" s="1">
        <v>17</v>
      </c>
    </row>
    <row r="2194" spans="1:5" hidden="1" x14ac:dyDescent="0.25">
      <c r="A2194" s="115">
        <v>17.196000000000002</v>
      </c>
      <c r="B2194" s="115">
        <v>17.899999999999999</v>
      </c>
      <c r="C2194" s="1">
        <v>900</v>
      </c>
      <c r="D2194" s="1" t="s">
        <v>2652</v>
      </c>
      <c r="E2194" s="1">
        <v>17</v>
      </c>
    </row>
    <row r="2195" spans="1:5" hidden="1" x14ac:dyDescent="0.25">
      <c r="A2195" s="115">
        <v>17.196999999999999</v>
      </c>
      <c r="B2195" s="115">
        <v>17.91</v>
      </c>
      <c r="C2195" s="1">
        <v>910</v>
      </c>
      <c r="D2195" s="1" t="s">
        <v>2653</v>
      </c>
      <c r="E2195" s="1">
        <v>17</v>
      </c>
    </row>
    <row r="2196" spans="1:5" hidden="1" x14ac:dyDescent="0.25">
      <c r="A2196" s="115">
        <v>17.198</v>
      </c>
      <c r="B2196" s="115">
        <v>17.920000000000002</v>
      </c>
      <c r="C2196" s="1">
        <v>920</v>
      </c>
      <c r="D2196" s="1" t="s">
        <v>2654</v>
      </c>
      <c r="E2196" s="1">
        <v>17</v>
      </c>
    </row>
    <row r="2197" spans="1:5" hidden="1" x14ac:dyDescent="0.25">
      <c r="A2197" s="115">
        <v>17.199000000000002</v>
      </c>
      <c r="B2197" s="115">
        <v>17.925000000000001</v>
      </c>
      <c r="C2197" s="1">
        <v>925</v>
      </c>
      <c r="D2197" s="1" t="s">
        <v>2655</v>
      </c>
      <c r="E2197" s="1">
        <v>17</v>
      </c>
    </row>
    <row r="2198" spans="1:5" hidden="1" x14ac:dyDescent="0.25">
      <c r="A2198" s="115">
        <v>17.2</v>
      </c>
      <c r="B2198" s="115">
        <v>17.93</v>
      </c>
      <c r="C2198" s="1">
        <v>930</v>
      </c>
      <c r="D2198" s="1" t="s">
        <v>2656</v>
      </c>
      <c r="E2198" s="1">
        <v>17</v>
      </c>
    </row>
    <row r="2199" spans="1:5" hidden="1" x14ac:dyDescent="0.25">
      <c r="A2199" s="115">
        <v>17.201000000000001</v>
      </c>
      <c r="B2199" s="115">
        <v>17.934999999999999</v>
      </c>
      <c r="C2199" s="1">
        <v>935</v>
      </c>
      <c r="D2199" s="1" t="s">
        <v>2657</v>
      </c>
      <c r="E2199" s="1">
        <v>17</v>
      </c>
    </row>
    <row r="2200" spans="1:5" hidden="1" x14ac:dyDescent="0.25">
      <c r="A2200" s="115">
        <v>17.202000000000002</v>
      </c>
      <c r="B2200" s="115">
        <v>17.940000000000001</v>
      </c>
      <c r="C2200" s="1">
        <v>940</v>
      </c>
      <c r="D2200" s="1" t="s">
        <v>2658</v>
      </c>
      <c r="E2200" s="1">
        <v>17</v>
      </c>
    </row>
    <row r="2201" spans="1:5" hidden="1" x14ac:dyDescent="0.25">
      <c r="A2201" s="115">
        <v>17.202999999999999</v>
      </c>
      <c r="B2201" s="115">
        <v>17.95</v>
      </c>
      <c r="C2201" s="1">
        <v>950</v>
      </c>
      <c r="D2201" s="1" t="s">
        <v>2659</v>
      </c>
      <c r="E2201" s="1">
        <v>17</v>
      </c>
    </row>
    <row r="2202" spans="1:5" hidden="1" x14ac:dyDescent="0.25">
      <c r="A2202" s="115">
        <v>17.204000000000001</v>
      </c>
      <c r="B2202" s="115">
        <v>17.954999999999998</v>
      </c>
      <c r="C2202" s="1">
        <v>955</v>
      </c>
      <c r="D2202" s="1" t="s">
        <v>2660</v>
      </c>
      <c r="E2202" s="1">
        <v>17</v>
      </c>
    </row>
    <row r="2203" spans="1:5" hidden="1" x14ac:dyDescent="0.25">
      <c r="A2203" s="115">
        <v>17.204999999999998</v>
      </c>
      <c r="B2203" s="115">
        <v>17.96</v>
      </c>
      <c r="C2203" s="1">
        <v>960</v>
      </c>
      <c r="D2203" s="1" t="s">
        <v>2661</v>
      </c>
      <c r="E2203" s="1">
        <v>17</v>
      </c>
    </row>
    <row r="2204" spans="1:5" hidden="1" x14ac:dyDescent="0.25">
      <c r="A2204" s="115">
        <v>17.206</v>
      </c>
      <c r="B2204" s="115">
        <v>17.97</v>
      </c>
      <c r="C2204" s="1">
        <v>970</v>
      </c>
      <c r="D2204" s="1" t="s">
        <v>2662</v>
      </c>
      <c r="E2204" s="1">
        <v>17</v>
      </c>
    </row>
    <row r="2205" spans="1:5" hidden="1" x14ac:dyDescent="0.25">
      <c r="A2205" s="115">
        <v>17.207000000000001</v>
      </c>
      <c r="B2205" s="115">
        <v>17.98</v>
      </c>
      <c r="C2205" s="1">
        <v>980</v>
      </c>
      <c r="D2205" s="1" t="s">
        <v>2663</v>
      </c>
      <c r="E2205" s="1">
        <v>17</v>
      </c>
    </row>
    <row r="2206" spans="1:5" hidden="1" x14ac:dyDescent="0.25">
      <c r="A2206" s="115">
        <v>17.207999999999998</v>
      </c>
      <c r="B2206" s="115">
        <v>17.989999999999998</v>
      </c>
      <c r="C2206" s="1">
        <v>990</v>
      </c>
      <c r="D2206" s="1" t="s">
        <v>2664</v>
      </c>
      <c r="E2206" s="1">
        <v>17</v>
      </c>
    </row>
    <row r="2207" spans="1:5" hidden="1" x14ac:dyDescent="0.25">
      <c r="A2207" s="115">
        <v>17.209</v>
      </c>
      <c r="B2207" s="115">
        <v>17.100000000000001</v>
      </c>
      <c r="C2207" s="1">
        <v>1000</v>
      </c>
      <c r="D2207" s="1" t="s">
        <v>2665</v>
      </c>
      <c r="E2207" s="1">
        <v>17</v>
      </c>
    </row>
    <row r="2208" spans="1:5" hidden="1" x14ac:dyDescent="0.25">
      <c r="A2208" s="115">
        <v>17.21</v>
      </c>
      <c r="B2208" s="115">
        <v>17.11</v>
      </c>
      <c r="C2208" s="1">
        <v>1100</v>
      </c>
      <c r="D2208" s="1" t="s">
        <v>2666</v>
      </c>
      <c r="E2208" s="1">
        <v>17</v>
      </c>
    </row>
    <row r="2209" spans="1:5" hidden="1" x14ac:dyDescent="0.25">
      <c r="A2209" s="115">
        <v>17.210999999999999</v>
      </c>
      <c r="B2209" s="115">
        <v>17.111000000000001</v>
      </c>
      <c r="C2209" s="1">
        <v>1110</v>
      </c>
      <c r="D2209" s="1" t="s">
        <v>2667</v>
      </c>
      <c r="E2209" s="1">
        <v>17</v>
      </c>
    </row>
    <row r="2210" spans="1:5" hidden="1" x14ac:dyDescent="0.25">
      <c r="A2210" s="115">
        <v>17.212</v>
      </c>
      <c r="B2210" s="115">
        <v>17.111999999999998</v>
      </c>
      <c r="C2210" s="1">
        <v>1120</v>
      </c>
      <c r="D2210" s="1" t="s">
        <v>2668</v>
      </c>
      <c r="E2210" s="1">
        <v>17</v>
      </c>
    </row>
    <row r="2211" spans="1:5" hidden="1" x14ac:dyDescent="0.25">
      <c r="A2211" s="115">
        <v>17.213000000000001</v>
      </c>
      <c r="B2211" s="115">
        <v>17.113</v>
      </c>
      <c r="C2211" s="1">
        <v>1130</v>
      </c>
      <c r="D2211" s="1" t="s">
        <v>2669</v>
      </c>
      <c r="E2211" s="1">
        <v>17</v>
      </c>
    </row>
    <row r="2212" spans="1:5" hidden="1" x14ac:dyDescent="0.25">
      <c r="A2212" s="115">
        <v>17.213999999999999</v>
      </c>
      <c r="B2212" s="115">
        <v>17.114000000000001</v>
      </c>
      <c r="C2212" s="1">
        <v>1140</v>
      </c>
      <c r="D2212" s="1" t="s">
        <v>2670</v>
      </c>
      <c r="E2212" s="1">
        <v>17</v>
      </c>
    </row>
    <row r="2213" spans="1:5" hidden="1" x14ac:dyDescent="0.25">
      <c r="A2213" s="115">
        <v>17.215</v>
      </c>
      <c r="B2213" s="115">
        <v>17.114999999999998</v>
      </c>
      <c r="C2213" s="1">
        <v>1150</v>
      </c>
      <c r="D2213" s="1" t="s">
        <v>2671</v>
      </c>
      <c r="E2213" s="1">
        <v>17</v>
      </c>
    </row>
    <row r="2214" spans="1:5" hidden="1" x14ac:dyDescent="0.25">
      <c r="A2214" s="115">
        <v>17.216000000000001</v>
      </c>
      <c r="B2214" s="115">
        <v>17.116</v>
      </c>
      <c r="C2214" s="1">
        <v>1160</v>
      </c>
      <c r="D2214" s="1" t="s">
        <v>2672</v>
      </c>
      <c r="E2214" s="1">
        <v>17</v>
      </c>
    </row>
    <row r="2215" spans="1:5" hidden="1" x14ac:dyDescent="0.25">
      <c r="A2215" s="115">
        <v>17.216999999999999</v>
      </c>
      <c r="B2215" s="115">
        <v>17.117000000000001</v>
      </c>
      <c r="C2215" s="1">
        <v>1170</v>
      </c>
      <c r="D2215" s="1" t="s">
        <v>2673</v>
      </c>
      <c r="E2215" s="1">
        <v>17</v>
      </c>
    </row>
    <row r="2216" spans="1:5" hidden="1" x14ac:dyDescent="0.25">
      <c r="A2216" s="115">
        <v>17.218</v>
      </c>
      <c r="B2216" s="115">
        <v>17.117999999999999</v>
      </c>
      <c r="C2216" s="1">
        <v>1180</v>
      </c>
      <c r="D2216" s="1" t="s">
        <v>2674</v>
      </c>
      <c r="E2216" s="1">
        <v>17</v>
      </c>
    </row>
    <row r="2217" spans="1:5" hidden="1" x14ac:dyDescent="0.25">
      <c r="A2217" s="115">
        <v>17.219000000000001</v>
      </c>
      <c r="B2217" s="115">
        <v>17.119</v>
      </c>
      <c r="C2217" s="1">
        <v>1190</v>
      </c>
      <c r="D2217" s="1" t="s">
        <v>2675</v>
      </c>
      <c r="E2217" s="1">
        <v>17</v>
      </c>
    </row>
    <row r="2218" spans="1:5" hidden="1" x14ac:dyDescent="0.25">
      <c r="A2218" s="115">
        <v>17.22</v>
      </c>
      <c r="B2218" s="115">
        <v>17.12</v>
      </c>
      <c r="C2218" s="1">
        <v>1200</v>
      </c>
      <c r="D2218" s="1" t="s">
        <v>2676</v>
      </c>
      <c r="E2218" s="1">
        <v>17</v>
      </c>
    </row>
    <row r="2219" spans="1:5" hidden="1" x14ac:dyDescent="0.25">
      <c r="A2219" s="115">
        <v>17.221</v>
      </c>
      <c r="B2219" s="115">
        <v>17.120999999999999</v>
      </c>
      <c r="C2219" s="1">
        <v>1210</v>
      </c>
      <c r="D2219" s="1" t="s">
        <v>2677</v>
      </c>
      <c r="E2219" s="1">
        <v>17</v>
      </c>
    </row>
    <row r="2220" spans="1:5" hidden="1" x14ac:dyDescent="0.25">
      <c r="A2220" s="115">
        <v>17.222000000000001</v>
      </c>
      <c r="B2220" s="115">
        <v>17.122</v>
      </c>
      <c r="C2220" s="1">
        <v>1220</v>
      </c>
      <c r="D2220" s="1" t="s">
        <v>2678</v>
      </c>
      <c r="E2220" s="1">
        <v>17</v>
      </c>
    </row>
    <row r="2221" spans="1:5" hidden="1" x14ac:dyDescent="0.25">
      <c r="A2221" s="115">
        <v>17.222999999999999</v>
      </c>
      <c r="B2221" s="115">
        <v>17.123000000000001</v>
      </c>
      <c r="C2221" s="1">
        <v>1230</v>
      </c>
      <c r="D2221" s="1" t="s">
        <v>2679</v>
      </c>
      <c r="E2221" s="1">
        <v>17</v>
      </c>
    </row>
    <row r="2222" spans="1:5" hidden="1" x14ac:dyDescent="0.25">
      <c r="A2222" s="115">
        <v>17.224</v>
      </c>
      <c r="B2222" s="115">
        <v>17.123999999999999</v>
      </c>
      <c r="C2222" s="1">
        <v>1240</v>
      </c>
      <c r="D2222" s="1" t="s">
        <v>2680</v>
      </c>
      <c r="E2222" s="1">
        <v>17</v>
      </c>
    </row>
    <row r="2223" spans="1:5" hidden="1" x14ac:dyDescent="0.25">
      <c r="A2223" s="115">
        <v>17.225000000000001</v>
      </c>
      <c r="B2223" s="115">
        <v>17.125</v>
      </c>
      <c r="C2223" s="1">
        <v>1250</v>
      </c>
      <c r="D2223" s="1" t="s">
        <v>2681</v>
      </c>
      <c r="E2223" s="1">
        <v>17</v>
      </c>
    </row>
    <row r="2224" spans="1:5" hidden="1" x14ac:dyDescent="0.25">
      <c r="A2224" s="115">
        <v>17.225999999999999</v>
      </c>
      <c r="B2224" s="115">
        <v>17.126000000000001</v>
      </c>
      <c r="C2224" s="1">
        <v>1260</v>
      </c>
      <c r="D2224" s="1" t="s">
        <v>2682</v>
      </c>
      <c r="E2224" s="1">
        <v>17</v>
      </c>
    </row>
    <row r="2225" spans="1:5" hidden="1" x14ac:dyDescent="0.25">
      <c r="A2225" s="115">
        <v>17.227</v>
      </c>
      <c r="B2225" s="115">
        <v>17.126999999999999</v>
      </c>
      <c r="C2225" s="1">
        <v>1270</v>
      </c>
      <c r="D2225" s="1" t="s">
        <v>2683</v>
      </c>
      <c r="E2225" s="1">
        <v>17</v>
      </c>
    </row>
    <row r="2226" spans="1:5" hidden="1" x14ac:dyDescent="0.25">
      <c r="A2226" s="115">
        <v>17.228000000000002</v>
      </c>
      <c r="B2226" s="115">
        <v>17.128</v>
      </c>
      <c r="C2226" s="1">
        <v>1280</v>
      </c>
      <c r="D2226" s="1" t="s">
        <v>2684</v>
      </c>
      <c r="E2226" s="1">
        <v>17</v>
      </c>
    </row>
    <row r="2227" spans="1:5" hidden="1" x14ac:dyDescent="0.25">
      <c r="A2227" s="115">
        <v>17.228999999999999</v>
      </c>
      <c r="B2227" s="115">
        <v>17.13</v>
      </c>
      <c r="C2227" s="1">
        <v>1300</v>
      </c>
      <c r="D2227" s="1" t="s">
        <v>2685</v>
      </c>
      <c r="E2227" s="1">
        <v>17</v>
      </c>
    </row>
    <row r="2228" spans="1:5" hidden="1" x14ac:dyDescent="0.25">
      <c r="A2228" s="115">
        <v>17.23</v>
      </c>
      <c r="B2228" s="115">
        <v>17.131</v>
      </c>
      <c r="C2228" s="1">
        <v>1310</v>
      </c>
      <c r="D2228" s="1" t="s">
        <v>2686</v>
      </c>
      <c r="E2228" s="1">
        <v>17</v>
      </c>
    </row>
    <row r="2229" spans="1:5" hidden="1" x14ac:dyDescent="0.25">
      <c r="A2229" s="115">
        <v>17.231000000000002</v>
      </c>
      <c r="B2229" s="115">
        <v>17.132000000000001</v>
      </c>
      <c r="C2229" s="1">
        <v>1320</v>
      </c>
      <c r="D2229" s="1" t="s">
        <v>2687</v>
      </c>
      <c r="E2229" s="1">
        <v>17</v>
      </c>
    </row>
    <row r="2230" spans="1:5" hidden="1" x14ac:dyDescent="0.25">
      <c r="A2230" s="115">
        <v>18.100999999999999</v>
      </c>
      <c r="B2230" s="115">
        <v>18.100000000000001</v>
      </c>
      <c r="C2230" s="1">
        <v>10</v>
      </c>
      <c r="D2230" s="1" t="s">
        <v>2559</v>
      </c>
      <c r="E2230" s="1">
        <v>18</v>
      </c>
    </row>
    <row r="2231" spans="1:5" hidden="1" x14ac:dyDescent="0.25">
      <c r="A2231" s="115">
        <v>18.102</v>
      </c>
      <c r="B2231" s="115">
        <v>18.2</v>
      </c>
      <c r="C2231" s="1">
        <v>20</v>
      </c>
      <c r="D2231" s="1" t="s">
        <v>2560</v>
      </c>
      <c r="E2231" s="1">
        <v>18</v>
      </c>
    </row>
    <row r="2232" spans="1:5" hidden="1" x14ac:dyDescent="0.25">
      <c r="A2232" s="115">
        <v>18.103000000000002</v>
      </c>
      <c r="B2232" s="115">
        <v>18.3</v>
      </c>
      <c r="C2232" s="1">
        <v>30</v>
      </c>
      <c r="D2232" s="1" t="s">
        <v>2561</v>
      </c>
      <c r="E2232" s="1">
        <v>18</v>
      </c>
    </row>
    <row r="2233" spans="1:5" hidden="1" x14ac:dyDescent="0.25">
      <c r="A2233" s="115">
        <v>18.103999999999999</v>
      </c>
      <c r="B2233" s="115">
        <v>18.399999999999999</v>
      </c>
      <c r="C2233" s="1">
        <v>40</v>
      </c>
      <c r="D2233" s="1" t="s">
        <v>2562</v>
      </c>
      <c r="E2233" s="1">
        <v>18</v>
      </c>
    </row>
    <row r="2234" spans="1:5" hidden="1" x14ac:dyDescent="0.25">
      <c r="A2234" s="115">
        <v>18.105</v>
      </c>
      <c r="B2234" s="115">
        <v>18.5</v>
      </c>
      <c r="C2234" s="1">
        <v>50</v>
      </c>
      <c r="D2234" s="1" t="s">
        <v>2563</v>
      </c>
      <c r="E2234" s="1">
        <v>18</v>
      </c>
    </row>
    <row r="2235" spans="1:5" hidden="1" x14ac:dyDescent="0.25">
      <c r="A2235" s="115">
        <v>18.106000000000002</v>
      </c>
      <c r="B2235" s="115">
        <v>18.600000000000001</v>
      </c>
      <c r="C2235" s="1">
        <v>60</v>
      </c>
      <c r="D2235" s="1" t="s">
        <v>2564</v>
      </c>
      <c r="E2235" s="1">
        <v>18</v>
      </c>
    </row>
    <row r="2236" spans="1:5" hidden="1" x14ac:dyDescent="0.25">
      <c r="A2236" s="115">
        <v>18.106999999999999</v>
      </c>
      <c r="B2236" s="115">
        <v>18.7</v>
      </c>
      <c r="C2236" s="1">
        <v>70</v>
      </c>
      <c r="D2236" s="1" t="s">
        <v>2565</v>
      </c>
      <c r="E2236" s="1">
        <v>18</v>
      </c>
    </row>
    <row r="2237" spans="1:5" hidden="1" x14ac:dyDescent="0.25">
      <c r="A2237" s="115">
        <v>18.108000000000001</v>
      </c>
      <c r="B2237" s="115">
        <v>18.8</v>
      </c>
      <c r="C2237" s="1">
        <v>80</v>
      </c>
      <c r="D2237" s="1" t="s">
        <v>2566</v>
      </c>
      <c r="E2237" s="1">
        <v>18</v>
      </c>
    </row>
    <row r="2238" spans="1:5" hidden="1" x14ac:dyDescent="0.25">
      <c r="A2238" s="115">
        <v>18.109000000000002</v>
      </c>
      <c r="B2238" s="115">
        <v>18.899999999999999</v>
      </c>
      <c r="C2238" s="1">
        <v>90</v>
      </c>
      <c r="D2238" s="1" t="s">
        <v>2567</v>
      </c>
      <c r="E2238" s="1">
        <v>18</v>
      </c>
    </row>
    <row r="2239" spans="1:5" hidden="1" x14ac:dyDescent="0.25">
      <c r="A2239" s="115">
        <v>18.11</v>
      </c>
      <c r="B2239" s="115">
        <v>18.100000000000001</v>
      </c>
      <c r="C2239" s="1">
        <v>100</v>
      </c>
      <c r="D2239" s="1" t="s">
        <v>2568</v>
      </c>
      <c r="E2239" s="1">
        <v>18</v>
      </c>
    </row>
    <row r="2240" spans="1:5" hidden="1" x14ac:dyDescent="0.25">
      <c r="A2240" s="115">
        <v>18.111000000000001</v>
      </c>
      <c r="B2240" s="115">
        <v>18.11</v>
      </c>
      <c r="C2240" s="1">
        <v>110</v>
      </c>
      <c r="D2240" s="1" t="s">
        <v>2569</v>
      </c>
      <c r="E2240" s="1">
        <v>18</v>
      </c>
    </row>
    <row r="2241" spans="1:5" hidden="1" x14ac:dyDescent="0.25">
      <c r="A2241" s="115">
        <v>18.111999999999998</v>
      </c>
      <c r="B2241" s="115">
        <v>18.12</v>
      </c>
      <c r="C2241" s="1">
        <v>120</v>
      </c>
      <c r="D2241" s="1" t="s">
        <v>2570</v>
      </c>
      <c r="E2241" s="1">
        <v>18</v>
      </c>
    </row>
    <row r="2242" spans="1:5" hidden="1" x14ac:dyDescent="0.25">
      <c r="A2242" s="115">
        <v>18.113</v>
      </c>
      <c r="B2242" s="115">
        <v>18.13</v>
      </c>
      <c r="C2242" s="1">
        <v>130</v>
      </c>
      <c r="D2242" s="1" t="s">
        <v>2571</v>
      </c>
      <c r="E2242" s="1">
        <v>18</v>
      </c>
    </row>
    <row r="2243" spans="1:5" hidden="1" x14ac:dyDescent="0.25">
      <c r="A2243" s="115">
        <v>18.114000000000001</v>
      </c>
      <c r="B2243" s="115">
        <v>18.14</v>
      </c>
      <c r="C2243" s="1">
        <v>140</v>
      </c>
      <c r="D2243" s="1" t="s">
        <v>2572</v>
      </c>
      <c r="E2243" s="1">
        <v>18</v>
      </c>
    </row>
    <row r="2244" spans="1:5" hidden="1" x14ac:dyDescent="0.25">
      <c r="A2244" s="115">
        <v>18.114999999999998</v>
      </c>
      <c r="B2244" s="115">
        <v>18.149999999999999</v>
      </c>
      <c r="C2244" s="1">
        <v>150</v>
      </c>
      <c r="D2244" s="1" t="s">
        <v>2573</v>
      </c>
      <c r="E2244" s="1">
        <v>18</v>
      </c>
    </row>
    <row r="2245" spans="1:5" hidden="1" x14ac:dyDescent="0.25">
      <c r="A2245" s="115">
        <v>18.116</v>
      </c>
      <c r="B2245" s="115">
        <v>18.16</v>
      </c>
      <c r="C2245" s="1">
        <v>160</v>
      </c>
      <c r="D2245" s="1" t="s">
        <v>2574</v>
      </c>
      <c r="E2245" s="1">
        <v>18</v>
      </c>
    </row>
    <row r="2246" spans="1:5" hidden="1" x14ac:dyDescent="0.25">
      <c r="A2246" s="115">
        <v>18.117000000000001</v>
      </c>
      <c r="B2246" s="115">
        <v>18.170000000000002</v>
      </c>
      <c r="C2246" s="1">
        <v>170</v>
      </c>
      <c r="D2246" s="1" t="s">
        <v>2575</v>
      </c>
      <c r="E2246" s="1">
        <v>18</v>
      </c>
    </row>
    <row r="2247" spans="1:5" hidden="1" x14ac:dyDescent="0.25">
      <c r="A2247" s="115">
        <v>18.117999999999999</v>
      </c>
      <c r="B2247" s="115">
        <v>18.18</v>
      </c>
      <c r="C2247" s="1">
        <v>180</v>
      </c>
      <c r="D2247" s="1" t="s">
        <v>2576</v>
      </c>
      <c r="E2247" s="1">
        <v>18</v>
      </c>
    </row>
    <row r="2248" spans="1:5" hidden="1" x14ac:dyDescent="0.25">
      <c r="A2248" s="115">
        <v>18.119</v>
      </c>
      <c r="B2248" s="115">
        <v>18.190000000000001</v>
      </c>
      <c r="C2248" s="1">
        <v>190</v>
      </c>
      <c r="D2248" s="1" t="s">
        <v>2577</v>
      </c>
      <c r="E2248" s="1">
        <v>18</v>
      </c>
    </row>
    <row r="2249" spans="1:5" hidden="1" x14ac:dyDescent="0.25">
      <c r="A2249" s="115">
        <v>18.12</v>
      </c>
      <c r="B2249" s="115">
        <v>18.2</v>
      </c>
      <c r="C2249" s="1">
        <v>200</v>
      </c>
      <c r="D2249" s="1" t="s">
        <v>2578</v>
      </c>
      <c r="E2249" s="1">
        <v>18</v>
      </c>
    </row>
    <row r="2250" spans="1:5" hidden="1" x14ac:dyDescent="0.25">
      <c r="A2250" s="115">
        <v>18.120999999999999</v>
      </c>
      <c r="B2250" s="115">
        <v>18.21</v>
      </c>
      <c r="C2250" s="1">
        <v>210</v>
      </c>
      <c r="D2250" s="1" t="s">
        <v>2579</v>
      </c>
      <c r="E2250" s="1">
        <v>18</v>
      </c>
    </row>
    <row r="2251" spans="1:5" hidden="1" x14ac:dyDescent="0.25">
      <c r="A2251" s="115">
        <v>18.122</v>
      </c>
      <c r="B2251" s="115">
        <v>18.22</v>
      </c>
      <c r="C2251" s="1">
        <v>220</v>
      </c>
      <c r="D2251" s="1" t="s">
        <v>2580</v>
      </c>
      <c r="E2251" s="1">
        <v>18</v>
      </c>
    </row>
    <row r="2252" spans="1:5" hidden="1" x14ac:dyDescent="0.25">
      <c r="A2252" s="115">
        <v>18.123000000000001</v>
      </c>
      <c r="B2252" s="115">
        <v>18.23</v>
      </c>
      <c r="C2252" s="1">
        <v>230</v>
      </c>
      <c r="D2252" s="1" t="s">
        <v>2581</v>
      </c>
      <c r="E2252" s="1">
        <v>18</v>
      </c>
    </row>
    <row r="2253" spans="1:5" hidden="1" x14ac:dyDescent="0.25">
      <c r="A2253" s="115">
        <v>18.123999999999999</v>
      </c>
      <c r="B2253" s="115">
        <v>18.239999999999998</v>
      </c>
      <c r="C2253" s="1">
        <v>240</v>
      </c>
      <c r="D2253" s="1" t="s">
        <v>2582</v>
      </c>
      <c r="E2253" s="1">
        <v>18</v>
      </c>
    </row>
    <row r="2254" spans="1:5" hidden="1" x14ac:dyDescent="0.25">
      <c r="A2254" s="115">
        <v>18.125</v>
      </c>
      <c r="B2254" s="115">
        <v>18.25</v>
      </c>
      <c r="C2254" s="1">
        <v>250</v>
      </c>
      <c r="D2254" s="1" t="s">
        <v>2583</v>
      </c>
      <c r="E2254" s="1">
        <v>18</v>
      </c>
    </row>
    <row r="2255" spans="1:5" hidden="1" x14ac:dyDescent="0.25">
      <c r="A2255" s="115">
        <v>18.126000000000001</v>
      </c>
      <c r="B2255" s="115">
        <v>18.260000000000002</v>
      </c>
      <c r="C2255" s="1">
        <v>260</v>
      </c>
      <c r="D2255" s="1" t="s">
        <v>2584</v>
      </c>
      <c r="E2255" s="1">
        <v>18</v>
      </c>
    </row>
    <row r="2256" spans="1:5" hidden="1" x14ac:dyDescent="0.25">
      <c r="A2256" s="115">
        <v>18.126999999999999</v>
      </c>
      <c r="B2256" s="115">
        <v>18.27</v>
      </c>
      <c r="C2256" s="1">
        <v>270</v>
      </c>
      <c r="D2256" s="1" t="s">
        <v>2585</v>
      </c>
      <c r="E2256" s="1">
        <v>18</v>
      </c>
    </row>
    <row r="2257" spans="1:5" hidden="1" x14ac:dyDescent="0.25">
      <c r="A2257" s="115">
        <v>18.128</v>
      </c>
      <c r="B2257" s="115">
        <v>18.28</v>
      </c>
      <c r="C2257" s="1">
        <v>280</v>
      </c>
      <c r="D2257" s="1" t="s">
        <v>2586</v>
      </c>
      <c r="E2257" s="1">
        <v>18</v>
      </c>
    </row>
    <row r="2258" spans="1:5" hidden="1" x14ac:dyDescent="0.25">
      <c r="A2258" s="115">
        <v>18.129000000000001</v>
      </c>
      <c r="B2258" s="115">
        <v>18.29</v>
      </c>
      <c r="C2258" s="1">
        <v>290</v>
      </c>
      <c r="D2258" s="1" t="s">
        <v>2587</v>
      </c>
      <c r="E2258" s="1">
        <v>18</v>
      </c>
    </row>
    <row r="2259" spans="1:5" hidden="1" x14ac:dyDescent="0.25">
      <c r="A2259" s="115">
        <v>18.13</v>
      </c>
      <c r="B2259" s="115">
        <v>18.3</v>
      </c>
      <c r="C2259" s="1">
        <v>300</v>
      </c>
      <c r="D2259" s="1" t="s">
        <v>2588</v>
      </c>
      <c r="E2259" s="1">
        <v>18</v>
      </c>
    </row>
    <row r="2260" spans="1:5" hidden="1" x14ac:dyDescent="0.25">
      <c r="A2260" s="115">
        <v>18.131</v>
      </c>
      <c r="B2260" s="115">
        <v>18.309999999999999</v>
      </c>
      <c r="C2260" s="1">
        <v>310</v>
      </c>
      <c r="D2260" s="1" t="s">
        <v>2589</v>
      </c>
      <c r="E2260" s="1">
        <v>18</v>
      </c>
    </row>
    <row r="2261" spans="1:5" hidden="1" x14ac:dyDescent="0.25">
      <c r="A2261" s="115">
        <v>18.132000000000001</v>
      </c>
      <c r="B2261" s="115">
        <v>18.32</v>
      </c>
      <c r="C2261" s="1">
        <v>320</v>
      </c>
      <c r="D2261" s="1" t="s">
        <v>2590</v>
      </c>
      <c r="E2261" s="1">
        <v>18</v>
      </c>
    </row>
    <row r="2262" spans="1:5" hidden="1" x14ac:dyDescent="0.25">
      <c r="A2262" s="115">
        <v>18.132999999999999</v>
      </c>
      <c r="B2262" s="115">
        <v>18.329999999999998</v>
      </c>
      <c r="C2262" s="1">
        <v>330</v>
      </c>
      <c r="D2262" s="1" t="s">
        <v>2591</v>
      </c>
      <c r="E2262" s="1">
        <v>18</v>
      </c>
    </row>
    <row r="2263" spans="1:5" hidden="1" x14ac:dyDescent="0.25">
      <c r="A2263" s="115">
        <v>18.134</v>
      </c>
      <c r="B2263" s="115">
        <v>18.34</v>
      </c>
      <c r="C2263" s="1">
        <v>340</v>
      </c>
      <c r="D2263" s="1" t="s">
        <v>2592</v>
      </c>
      <c r="E2263" s="1">
        <v>18</v>
      </c>
    </row>
    <row r="2264" spans="1:5" hidden="1" x14ac:dyDescent="0.25">
      <c r="A2264" s="115">
        <v>18.135000000000002</v>
      </c>
      <c r="B2264" s="115">
        <v>18.350000000000001</v>
      </c>
      <c r="C2264" s="1">
        <v>350</v>
      </c>
      <c r="D2264" s="1" t="s">
        <v>2593</v>
      </c>
      <c r="E2264" s="1">
        <v>18</v>
      </c>
    </row>
    <row r="2265" spans="1:5" hidden="1" x14ac:dyDescent="0.25">
      <c r="A2265" s="115">
        <v>18.135999999999999</v>
      </c>
      <c r="B2265" s="115">
        <v>18.36</v>
      </c>
      <c r="C2265" s="1">
        <v>360</v>
      </c>
      <c r="D2265" s="1" t="s">
        <v>2594</v>
      </c>
      <c r="E2265" s="1">
        <v>18</v>
      </c>
    </row>
    <row r="2266" spans="1:5" hidden="1" x14ac:dyDescent="0.25">
      <c r="A2266" s="115">
        <v>18.137</v>
      </c>
      <c r="B2266" s="115">
        <v>18.37</v>
      </c>
      <c r="C2266" s="1">
        <v>370</v>
      </c>
      <c r="D2266" s="1" t="s">
        <v>2595</v>
      </c>
      <c r="E2266" s="1">
        <v>18</v>
      </c>
    </row>
    <row r="2267" spans="1:5" hidden="1" x14ac:dyDescent="0.25">
      <c r="A2267" s="115">
        <v>18.138000000000002</v>
      </c>
      <c r="B2267" s="115">
        <v>18.38</v>
      </c>
      <c r="C2267" s="1">
        <v>380</v>
      </c>
      <c r="D2267" s="1" t="s">
        <v>2596</v>
      </c>
      <c r="E2267" s="1">
        <v>18</v>
      </c>
    </row>
    <row r="2268" spans="1:5" hidden="1" x14ac:dyDescent="0.25">
      <c r="A2268" s="115">
        <v>18.138999999999999</v>
      </c>
      <c r="B2268" s="115">
        <v>18.39</v>
      </c>
      <c r="C2268" s="1">
        <v>390</v>
      </c>
      <c r="D2268" s="1" t="s">
        <v>2597</v>
      </c>
      <c r="E2268" s="1">
        <v>18</v>
      </c>
    </row>
    <row r="2269" spans="1:5" hidden="1" x14ac:dyDescent="0.25">
      <c r="A2269" s="115">
        <v>18.14</v>
      </c>
      <c r="B2269" s="115">
        <v>18.399999999999999</v>
      </c>
      <c r="C2269" s="1">
        <v>400</v>
      </c>
      <c r="D2269" s="1" t="s">
        <v>2598</v>
      </c>
      <c r="E2269" s="1">
        <v>18</v>
      </c>
    </row>
    <row r="2270" spans="1:5" hidden="1" x14ac:dyDescent="0.25">
      <c r="A2270" s="115">
        <v>18.140999999999998</v>
      </c>
      <c r="B2270" s="115">
        <v>18.41</v>
      </c>
      <c r="C2270" s="1">
        <v>410</v>
      </c>
      <c r="D2270" s="1" t="s">
        <v>2599</v>
      </c>
      <c r="E2270" s="1">
        <v>18</v>
      </c>
    </row>
    <row r="2271" spans="1:5" hidden="1" x14ac:dyDescent="0.25">
      <c r="A2271" s="115">
        <v>18.141999999999999</v>
      </c>
      <c r="B2271" s="115">
        <v>18.420000000000002</v>
      </c>
      <c r="C2271" s="1">
        <v>420</v>
      </c>
      <c r="D2271" s="1" t="s">
        <v>2600</v>
      </c>
      <c r="E2271" s="1">
        <v>18</v>
      </c>
    </row>
    <row r="2272" spans="1:5" hidden="1" x14ac:dyDescent="0.25">
      <c r="A2272" s="115">
        <v>18.143000000000001</v>
      </c>
      <c r="B2272" s="115">
        <v>18.43</v>
      </c>
      <c r="C2272" s="1">
        <v>430</v>
      </c>
      <c r="D2272" s="1" t="s">
        <v>2601</v>
      </c>
      <c r="E2272" s="1">
        <v>18</v>
      </c>
    </row>
    <row r="2273" spans="1:5" hidden="1" x14ac:dyDescent="0.25">
      <c r="A2273" s="115">
        <v>18.143999999999998</v>
      </c>
      <c r="B2273" s="115">
        <v>18.440000000000001</v>
      </c>
      <c r="C2273" s="1">
        <v>440</v>
      </c>
      <c r="D2273" s="1" t="s">
        <v>2602</v>
      </c>
      <c r="E2273" s="1">
        <v>18</v>
      </c>
    </row>
    <row r="2274" spans="1:5" hidden="1" x14ac:dyDescent="0.25">
      <c r="A2274" s="115">
        <v>18.145</v>
      </c>
      <c r="B2274" s="115">
        <v>18.445</v>
      </c>
      <c r="C2274" s="1">
        <v>445</v>
      </c>
      <c r="D2274" s="1" t="s">
        <v>2603</v>
      </c>
      <c r="E2274" s="1">
        <v>18</v>
      </c>
    </row>
    <row r="2275" spans="1:5" hidden="1" x14ac:dyDescent="0.25">
      <c r="A2275" s="115">
        <v>18.146000000000001</v>
      </c>
      <c r="B2275" s="115">
        <v>18.45</v>
      </c>
      <c r="C2275" s="1">
        <v>450</v>
      </c>
      <c r="D2275" s="1" t="s">
        <v>2604</v>
      </c>
      <c r="E2275" s="1">
        <v>18</v>
      </c>
    </row>
    <row r="2276" spans="1:5" hidden="1" x14ac:dyDescent="0.25">
      <c r="A2276" s="115">
        <v>18.146999999999998</v>
      </c>
      <c r="B2276" s="115">
        <v>18.46</v>
      </c>
      <c r="C2276" s="1">
        <v>460</v>
      </c>
      <c r="D2276" s="1" t="s">
        <v>2605</v>
      </c>
      <c r="E2276" s="1">
        <v>18</v>
      </c>
    </row>
    <row r="2277" spans="1:5" hidden="1" x14ac:dyDescent="0.25">
      <c r="A2277" s="115">
        <v>18.148</v>
      </c>
      <c r="B2277" s="115">
        <v>18.47</v>
      </c>
      <c r="C2277" s="1">
        <v>470</v>
      </c>
      <c r="D2277" s="1" t="s">
        <v>2606</v>
      </c>
      <c r="E2277" s="1">
        <v>18</v>
      </c>
    </row>
    <row r="2278" spans="1:5" hidden="1" x14ac:dyDescent="0.25">
      <c r="A2278" s="115">
        <v>18.149000000000001</v>
      </c>
      <c r="B2278" s="115">
        <v>18.48</v>
      </c>
      <c r="C2278" s="1">
        <v>480</v>
      </c>
      <c r="D2278" s="1" t="s">
        <v>2607</v>
      </c>
      <c r="E2278" s="1">
        <v>18</v>
      </c>
    </row>
    <row r="2279" spans="1:5" hidden="1" x14ac:dyDescent="0.25">
      <c r="A2279" s="115">
        <v>18.149999999999999</v>
      </c>
      <c r="B2279" s="115">
        <v>18.489999999999998</v>
      </c>
      <c r="C2279" s="1">
        <v>490</v>
      </c>
      <c r="D2279" s="1" t="s">
        <v>2608</v>
      </c>
      <c r="E2279" s="1">
        <v>18</v>
      </c>
    </row>
    <row r="2280" spans="1:5" hidden="1" x14ac:dyDescent="0.25">
      <c r="A2280" s="115">
        <v>18.151</v>
      </c>
      <c r="B2280" s="115">
        <v>18.5</v>
      </c>
      <c r="C2280" s="1">
        <v>500</v>
      </c>
      <c r="D2280" s="1" t="s">
        <v>2609</v>
      </c>
      <c r="E2280" s="1">
        <v>18</v>
      </c>
    </row>
    <row r="2281" spans="1:5" hidden="1" x14ac:dyDescent="0.25">
      <c r="A2281" s="115">
        <v>18.152000000000001</v>
      </c>
      <c r="B2281" s="115">
        <v>18.510000000000002</v>
      </c>
      <c r="C2281" s="1">
        <v>510</v>
      </c>
      <c r="D2281" s="1" t="s">
        <v>2610</v>
      </c>
      <c r="E2281" s="1">
        <v>18</v>
      </c>
    </row>
    <row r="2282" spans="1:5" hidden="1" x14ac:dyDescent="0.25">
      <c r="A2282" s="115">
        <v>18.152999999999999</v>
      </c>
      <c r="B2282" s="115">
        <v>18.52</v>
      </c>
      <c r="C2282" s="1">
        <v>520</v>
      </c>
      <c r="D2282" s="1" t="s">
        <v>2611</v>
      </c>
      <c r="E2282" s="1">
        <v>18</v>
      </c>
    </row>
    <row r="2283" spans="1:5" hidden="1" x14ac:dyDescent="0.25">
      <c r="A2283" s="115">
        <v>18.154</v>
      </c>
      <c r="B2283" s="115">
        <v>18.53</v>
      </c>
      <c r="C2283" s="1">
        <v>530</v>
      </c>
      <c r="D2283" s="1" t="s">
        <v>2612</v>
      </c>
      <c r="E2283" s="1">
        <v>18</v>
      </c>
    </row>
    <row r="2284" spans="1:5" hidden="1" x14ac:dyDescent="0.25">
      <c r="A2284" s="115">
        <v>18.155000000000001</v>
      </c>
      <c r="B2284" s="115">
        <v>18.54</v>
      </c>
      <c r="C2284" s="1">
        <v>540</v>
      </c>
      <c r="D2284" s="1" t="s">
        <v>2613</v>
      </c>
      <c r="E2284" s="1">
        <v>18</v>
      </c>
    </row>
    <row r="2285" spans="1:5" hidden="1" x14ac:dyDescent="0.25">
      <c r="A2285" s="115">
        <v>18.155999999999999</v>
      </c>
      <c r="B2285" s="115">
        <v>18.55</v>
      </c>
      <c r="C2285" s="1">
        <v>550</v>
      </c>
      <c r="D2285" s="1" t="s">
        <v>2614</v>
      </c>
      <c r="E2285" s="1">
        <v>18</v>
      </c>
    </row>
    <row r="2286" spans="1:5" hidden="1" x14ac:dyDescent="0.25">
      <c r="A2286" s="115">
        <v>18.157</v>
      </c>
      <c r="B2286" s="115">
        <v>18.559999999999999</v>
      </c>
      <c r="C2286" s="1">
        <v>560</v>
      </c>
      <c r="D2286" s="1" t="s">
        <v>2615</v>
      </c>
      <c r="E2286" s="1">
        <v>18</v>
      </c>
    </row>
    <row r="2287" spans="1:5" hidden="1" x14ac:dyDescent="0.25">
      <c r="A2287" s="115">
        <v>18.158000000000001</v>
      </c>
      <c r="B2287" s="115">
        <v>18.57</v>
      </c>
      <c r="C2287" s="1">
        <v>570</v>
      </c>
      <c r="D2287" s="1" t="s">
        <v>2616</v>
      </c>
      <c r="E2287" s="1">
        <v>18</v>
      </c>
    </row>
    <row r="2288" spans="1:5" hidden="1" x14ac:dyDescent="0.25">
      <c r="A2288" s="115">
        <v>18.158999999999999</v>
      </c>
      <c r="B2288" s="115">
        <v>18.574999999999999</v>
      </c>
      <c r="C2288" s="1">
        <v>575</v>
      </c>
      <c r="D2288" s="1" t="s">
        <v>2617</v>
      </c>
      <c r="E2288" s="1">
        <v>18</v>
      </c>
    </row>
    <row r="2289" spans="1:5" hidden="1" x14ac:dyDescent="0.25">
      <c r="A2289" s="115">
        <v>18.16</v>
      </c>
      <c r="B2289" s="115">
        <v>18.576000000000001</v>
      </c>
      <c r="C2289" s="1">
        <v>576</v>
      </c>
      <c r="D2289" s="1" t="s">
        <v>2618</v>
      </c>
      <c r="E2289" s="1">
        <v>18</v>
      </c>
    </row>
    <row r="2290" spans="1:5" hidden="1" x14ac:dyDescent="0.25">
      <c r="A2290" s="115">
        <v>18.161000000000001</v>
      </c>
      <c r="B2290" s="115">
        <v>18.579999999999998</v>
      </c>
      <c r="C2290" s="1">
        <v>580</v>
      </c>
      <c r="D2290" s="1" t="s">
        <v>2619</v>
      </c>
      <c r="E2290" s="1">
        <v>18</v>
      </c>
    </row>
    <row r="2291" spans="1:5" hidden="1" x14ac:dyDescent="0.25">
      <c r="A2291" s="115">
        <v>18.161999999999999</v>
      </c>
      <c r="B2291" s="115">
        <v>18.59</v>
      </c>
      <c r="C2291" s="1">
        <v>590</v>
      </c>
      <c r="D2291" s="1" t="s">
        <v>1099</v>
      </c>
      <c r="E2291" s="1">
        <v>18</v>
      </c>
    </row>
    <row r="2292" spans="1:5" hidden="1" x14ac:dyDescent="0.25">
      <c r="A2292" s="115">
        <v>18.163</v>
      </c>
      <c r="B2292" s="115">
        <v>18.600000000000001</v>
      </c>
      <c r="C2292" s="1">
        <v>600</v>
      </c>
      <c r="D2292" s="1" t="s">
        <v>2620</v>
      </c>
      <c r="E2292" s="1">
        <v>18</v>
      </c>
    </row>
    <row r="2293" spans="1:5" hidden="1" x14ac:dyDescent="0.25">
      <c r="A2293" s="115">
        <v>18.164000000000001</v>
      </c>
      <c r="B2293" s="115">
        <v>18.61</v>
      </c>
      <c r="C2293" s="1">
        <v>610</v>
      </c>
      <c r="D2293" s="1" t="s">
        <v>2621</v>
      </c>
      <c r="E2293" s="1">
        <v>18</v>
      </c>
    </row>
    <row r="2294" spans="1:5" hidden="1" x14ac:dyDescent="0.25">
      <c r="A2294" s="115">
        <v>18.164999999999999</v>
      </c>
      <c r="B2294" s="115">
        <v>18.62</v>
      </c>
      <c r="C2294" s="1">
        <v>620</v>
      </c>
      <c r="D2294" s="1" t="s">
        <v>2622</v>
      </c>
      <c r="E2294" s="1">
        <v>18</v>
      </c>
    </row>
    <row r="2295" spans="1:5" hidden="1" x14ac:dyDescent="0.25">
      <c r="A2295" s="115">
        <v>18.166</v>
      </c>
      <c r="B2295" s="115">
        <v>18.63</v>
      </c>
      <c r="C2295" s="1">
        <v>630</v>
      </c>
      <c r="D2295" s="1" t="s">
        <v>2623</v>
      </c>
      <c r="E2295" s="1">
        <v>18</v>
      </c>
    </row>
    <row r="2296" spans="1:5" hidden="1" x14ac:dyDescent="0.25">
      <c r="A2296" s="115">
        <v>18.167000000000002</v>
      </c>
      <c r="B2296" s="115">
        <v>18.64</v>
      </c>
      <c r="C2296" s="1">
        <v>640</v>
      </c>
      <c r="D2296" s="1" t="s">
        <v>2624</v>
      </c>
      <c r="E2296" s="1">
        <v>18</v>
      </c>
    </row>
    <row r="2297" spans="1:5" hidden="1" x14ac:dyDescent="0.25">
      <c r="A2297" s="115">
        <v>18.167999999999999</v>
      </c>
      <c r="B2297" s="115">
        <v>18.649999999999999</v>
      </c>
      <c r="C2297" s="1">
        <v>650</v>
      </c>
      <c r="D2297" s="1" t="s">
        <v>2625</v>
      </c>
      <c r="E2297" s="1">
        <v>18</v>
      </c>
    </row>
    <row r="2298" spans="1:5" hidden="1" x14ac:dyDescent="0.25">
      <c r="A2298" s="115">
        <v>18.169</v>
      </c>
      <c r="B2298" s="115">
        <v>18.66</v>
      </c>
      <c r="C2298" s="1">
        <v>660</v>
      </c>
      <c r="D2298" s="1" t="s">
        <v>2626</v>
      </c>
      <c r="E2298" s="1">
        <v>18</v>
      </c>
    </row>
    <row r="2299" spans="1:5" hidden="1" x14ac:dyDescent="0.25">
      <c r="A2299" s="115">
        <v>18.170000000000002</v>
      </c>
      <c r="B2299" s="115">
        <v>18.670000000000002</v>
      </c>
      <c r="C2299" s="1">
        <v>670</v>
      </c>
      <c r="D2299" s="1" t="s">
        <v>2627</v>
      </c>
      <c r="E2299" s="1">
        <v>18</v>
      </c>
    </row>
    <row r="2300" spans="1:5" hidden="1" x14ac:dyDescent="0.25">
      <c r="A2300" s="115">
        <v>18.170999999999999</v>
      </c>
      <c r="B2300" s="115">
        <v>18.68</v>
      </c>
      <c r="C2300" s="1">
        <v>680</v>
      </c>
      <c r="D2300" s="1" t="s">
        <v>2628</v>
      </c>
      <c r="E2300" s="1">
        <v>18</v>
      </c>
    </row>
    <row r="2301" spans="1:5" hidden="1" x14ac:dyDescent="0.25">
      <c r="A2301" s="115">
        <v>18.172000000000001</v>
      </c>
      <c r="B2301" s="115">
        <v>18.690000000000001</v>
      </c>
      <c r="C2301" s="1">
        <v>690</v>
      </c>
      <c r="D2301" s="1" t="s">
        <v>2629</v>
      </c>
      <c r="E2301" s="1">
        <v>18</v>
      </c>
    </row>
    <row r="2302" spans="1:5" hidden="1" x14ac:dyDescent="0.25">
      <c r="A2302" s="115">
        <v>18.172999999999998</v>
      </c>
      <c r="B2302" s="115">
        <v>18.7</v>
      </c>
      <c r="C2302" s="1">
        <v>700</v>
      </c>
      <c r="D2302" s="1" t="s">
        <v>2630</v>
      </c>
      <c r="E2302" s="1">
        <v>18</v>
      </c>
    </row>
    <row r="2303" spans="1:5" hidden="1" x14ac:dyDescent="0.25">
      <c r="A2303" s="115">
        <v>18.173999999999999</v>
      </c>
      <c r="B2303" s="115">
        <v>18.71</v>
      </c>
      <c r="C2303" s="1">
        <v>710</v>
      </c>
      <c r="D2303" s="1" t="s">
        <v>2631</v>
      </c>
      <c r="E2303" s="1">
        <v>18</v>
      </c>
    </row>
    <row r="2304" spans="1:5" hidden="1" x14ac:dyDescent="0.25">
      <c r="A2304" s="115">
        <v>18.175000000000001</v>
      </c>
      <c r="B2304" s="115">
        <v>18.72</v>
      </c>
      <c r="C2304" s="1">
        <v>720</v>
      </c>
      <c r="D2304" s="1" t="s">
        <v>2632</v>
      </c>
      <c r="E2304" s="1">
        <v>18</v>
      </c>
    </row>
    <row r="2305" spans="1:5" hidden="1" x14ac:dyDescent="0.25">
      <c r="A2305" s="115">
        <v>18.175999999999998</v>
      </c>
      <c r="B2305" s="115">
        <v>18.73</v>
      </c>
      <c r="C2305" s="1">
        <v>730</v>
      </c>
      <c r="D2305" s="1" t="s">
        <v>2633</v>
      </c>
      <c r="E2305" s="1">
        <v>18</v>
      </c>
    </row>
    <row r="2306" spans="1:5" hidden="1" x14ac:dyDescent="0.25">
      <c r="A2306" s="115">
        <v>18.177</v>
      </c>
      <c r="B2306" s="115">
        <v>18.739999999999998</v>
      </c>
      <c r="C2306" s="1">
        <v>740</v>
      </c>
      <c r="D2306" s="1" t="s">
        <v>2634</v>
      </c>
      <c r="E2306" s="1">
        <v>18</v>
      </c>
    </row>
    <row r="2307" spans="1:5" hidden="1" x14ac:dyDescent="0.25">
      <c r="A2307" s="115">
        <v>18.178000000000001</v>
      </c>
      <c r="B2307" s="115">
        <v>18.75</v>
      </c>
      <c r="C2307" s="1">
        <v>750</v>
      </c>
      <c r="D2307" s="1" t="s">
        <v>2635</v>
      </c>
      <c r="E2307" s="1">
        <v>18</v>
      </c>
    </row>
    <row r="2308" spans="1:5" hidden="1" x14ac:dyDescent="0.25">
      <c r="A2308" s="115">
        <v>18.178999999999998</v>
      </c>
      <c r="B2308" s="115">
        <v>18.754999999999999</v>
      </c>
      <c r="C2308" s="1">
        <v>755</v>
      </c>
      <c r="D2308" s="1" t="s">
        <v>1466</v>
      </c>
      <c r="E2308" s="1">
        <v>18</v>
      </c>
    </row>
    <row r="2309" spans="1:5" hidden="1" x14ac:dyDescent="0.25">
      <c r="A2309" s="115">
        <v>18.18</v>
      </c>
      <c r="B2309" s="115">
        <v>18.760000000000002</v>
      </c>
      <c r="C2309" s="1">
        <v>760</v>
      </c>
      <c r="D2309" s="1" t="s">
        <v>2636</v>
      </c>
      <c r="E2309" s="1">
        <v>18</v>
      </c>
    </row>
    <row r="2310" spans="1:5" hidden="1" x14ac:dyDescent="0.25">
      <c r="A2310" s="115">
        <v>18.181000000000001</v>
      </c>
      <c r="B2310" s="115">
        <v>18.77</v>
      </c>
      <c r="C2310" s="1">
        <v>770</v>
      </c>
      <c r="D2310" s="1" t="s">
        <v>2637</v>
      </c>
      <c r="E2310" s="1">
        <v>18</v>
      </c>
    </row>
    <row r="2311" spans="1:5" hidden="1" x14ac:dyDescent="0.25">
      <c r="A2311" s="115">
        <v>18.181999999999999</v>
      </c>
      <c r="B2311" s="115">
        <v>18.78</v>
      </c>
      <c r="C2311" s="1">
        <v>780</v>
      </c>
      <c r="D2311" s="1" t="s">
        <v>2638</v>
      </c>
      <c r="E2311" s="1">
        <v>18</v>
      </c>
    </row>
    <row r="2312" spans="1:5" hidden="1" x14ac:dyDescent="0.25">
      <c r="A2312" s="115">
        <v>18.183</v>
      </c>
      <c r="B2312" s="115">
        <v>18.79</v>
      </c>
      <c r="C2312" s="1">
        <v>790</v>
      </c>
      <c r="D2312" s="1" t="s">
        <v>2639</v>
      </c>
      <c r="E2312" s="1">
        <v>18</v>
      </c>
    </row>
    <row r="2313" spans="1:5" hidden="1" x14ac:dyDescent="0.25">
      <c r="A2313" s="115">
        <v>18.184000000000001</v>
      </c>
      <c r="B2313" s="115">
        <v>18.8</v>
      </c>
      <c r="C2313" s="1">
        <v>800</v>
      </c>
      <c r="D2313" s="1" t="s">
        <v>2640</v>
      </c>
      <c r="E2313" s="1">
        <v>18</v>
      </c>
    </row>
    <row r="2314" spans="1:5" hidden="1" x14ac:dyDescent="0.25">
      <c r="A2314" s="115">
        <v>18.184999999999999</v>
      </c>
      <c r="B2314" s="115">
        <v>18.805</v>
      </c>
      <c r="C2314" s="1">
        <v>805</v>
      </c>
      <c r="D2314" s="1" t="s">
        <v>2641</v>
      </c>
      <c r="E2314" s="1">
        <v>18</v>
      </c>
    </row>
    <row r="2315" spans="1:5" hidden="1" x14ac:dyDescent="0.25">
      <c r="A2315" s="115">
        <v>18.186</v>
      </c>
      <c r="B2315" s="115">
        <v>18.809999999999999</v>
      </c>
      <c r="C2315" s="1">
        <v>810</v>
      </c>
      <c r="D2315" s="1" t="s">
        <v>2642</v>
      </c>
      <c r="E2315" s="1">
        <v>18</v>
      </c>
    </row>
    <row r="2316" spans="1:5" hidden="1" x14ac:dyDescent="0.25">
      <c r="A2316" s="115">
        <v>18.187000000000001</v>
      </c>
      <c r="B2316" s="115">
        <v>18.82</v>
      </c>
      <c r="C2316" s="1">
        <v>820</v>
      </c>
      <c r="D2316" s="1" t="s">
        <v>2643</v>
      </c>
      <c r="E2316" s="1">
        <v>18</v>
      </c>
    </row>
    <row r="2317" spans="1:5" hidden="1" x14ac:dyDescent="0.25">
      <c r="A2317" s="115">
        <v>18.187999999999999</v>
      </c>
      <c r="B2317" s="115">
        <v>18.829999999999998</v>
      </c>
      <c r="C2317" s="1">
        <v>830</v>
      </c>
      <c r="D2317" s="1" t="s">
        <v>2644</v>
      </c>
      <c r="E2317" s="1">
        <v>18</v>
      </c>
    </row>
    <row r="2318" spans="1:5" hidden="1" x14ac:dyDescent="0.25">
      <c r="A2318" s="115">
        <v>18.189</v>
      </c>
      <c r="B2318" s="115">
        <v>18.84</v>
      </c>
      <c r="C2318" s="1">
        <v>840</v>
      </c>
      <c r="D2318" s="1" t="s">
        <v>2645</v>
      </c>
      <c r="E2318" s="1">
        <v>18</v>
      </c>
    </row>
    <row r="2319" spans="1:5" hidden="1" x14ac:dyDescent="0.25">
      <c r="A2319" s="115">
        <v>18.190000000000001</v>
      </c>
      <c r="B2319" s="115">
        <v>18.850000000000001</v>
      </c>
      <c r="C2319" s="1">
        <v>850</v>
      </c>
      <c r="D2319" s="1" t="s">
        <v>2646</v>
      </c>
      <c r="E2319" s="1">
        <v>18</v>
      </c>
    </row>
    <row r="2320" spans="1:5" hidden="1" x14ac:dyDescent="0.25">
      <c r="A2320" s="115">
        <v>18.190999999999999</v>
      </c>
      <c r="B2320" s="115">
        <v>18.86</v>
      </c>
      <c r="C2320" s="1">
        <v>860</v>
      </c>
      <c r="D2320" s="1" t="s">
        <v>2647</v>
      </c>
      <c r="E2320" s="1">
        <v>18</v>
      </c>
    </row>
    <row r="2321" spans="1:5" hidden="1" x14ac:dyDescent="0.25">
      <c r="A2321" s="115">
        <v>18.192</v>
      </c>
      <c r="B2321" s="115">
        <v>18.87</v>
      </c>
      <c r="C2321" s="1">
        <v>870</v>
      </c>
      <c r="D2321" s="1" t="s">
        <v>2648</v>
      </c>
      <c r="E2321" s="1">
        <v>18</v>
      </c>
    </row>
    <row r="2322" spans="1:5" hidden="1" x14ac:dyDescent="0.25">
      <c r="A2322" s="115">
        <v>18.193000000000001</v>
      </c>
      <c r="B2322" s="115">
        <v>18.88</v>
      </c>
      <c r="C2322" s="1">
        <v>880</v>
      </c>
      <c r="D2322" s="1" t="s">
        <v>2649</v>
      </c>
      <c r="E2322" s="1">
        <v>18</v>
      </c>
    </row>
    <row r="2323" spans="1:5" hidden="1" x14ac:dyDescent="0.25">
      <c r="A2323" s="115">
        <v>18.193999999999999</v>
      </c>
      <c r="B2323" s="115">
        <v>18.89</v>
      </c>
      <c r="C2323" s="1">
        <v>890</v>
      </c>
      <c r="D2323" s="1" t="s">
        <v>2650</v>
      </c>
      <c r="E2323" s="1">
        <v>18</v>
      </c>
    </row>
    <row r="2324" spans="1:5" hidden="1" x14ac:dyDescent="0.25">
      <c r="A2324" s="115">
        <v>18.195</v>
      </c>
      <c r="B2324" s="115">
        <v>18.895</v>
      </c>
      <c r="C2324" s="1">
        <v>895</v>
      </c>
      <c r="D2324" s="1" t="s">
        <v>2651</v>
      </c>
      <c r="E2324" s="1">
        <v>18</v>
      </c>
    </row>
    <row r="2325" spans="1:5" hidden="1" x14ac:dyDescent="0.25">
      <c r="A2325" s="115">
        <v>18.196000000000002</v>
      </c>
      <c r="B2325" s="115">
        <v>18.899999999999999</v>
      </c>
      <c r="C2325" s="1">
        <v>900</v>
      </c>
      <c r="D2325" s="1" t="s">
        <v>2652</v>
      </c>
      <c r="E2325" s="1">
        <v>18</v>
      </c>
    </row>
    <row r="2326" spans="1:5" hidden="1" x14ac:dyDescent="0.25">
      <c r="A2326" s="115">
        <v>18.196999999999999</v>
      </c>
      <c r="B2326" s="115">
        <v>18.91</v>
      </c>
      <c r="C2326" s="1">
        <v>910</v>
      </c>
      <c r="D2326" s="1" t="s">
        <v>2653</v>
      </c>
      <c r="E2326" s="1">
        <v>18</v>
      </c>
    </row>
    <row r="2327" spans="1:5" hidden="1" x14ac:dyDescent="0.25">
      <c r="A2327" s="115">
        <v>18.198</v>
      </c>
      <c r="B2327" s="115">
        <v>18.920000000000002</v>
      </c>
      <c r="C2327" s="1">
        <v>920</v>
      </c>
      <c r="D2327" s="1" t="s">
        <v>2654</v>
      </c>
      <c r="E2327" s="1">
        <v>18</v>
      </c>
    </row>
    <row r="2328" spans="1:5" hidden="1" x14ac:dyDescent="0.25">
      <c r="A2328" s="115">
        <v>18.199000000000002</v>
      </c>
      <c r="B2328" s="115">
        <v>18.925000000000001</v>
      </c>
      <c r="C2328" s="1">
        <v>925</v>
      </c>
      <c r="D2328" s="1" t="s">
        <v>2655</v>
      </c>
      <c r="E2328" s="1">
        <v>18</v>
      </c>
    </row>
    <row r="2329" spans="1:5" hidden="1" x14ac:dyDescent="0.25">
      <c r="A2329" s="115">
        <v>18.2</v>
      </c>
      <c r="B2329" s="115">
        <v>18.93</v>
      </c>
      <c r="C2329" s="1">
        <v>930</v>
      </c>
      <c r="D2329" s="1" t="s">
        <v>2656</v>
      </c>
      <c r="E2329" s="1">
        <v>18</v>
      </c>
    </row>
    <row r="2330" spans="1:5" hidden="1" x14ac:dyDescent="0.25">
      <c r="A2330" s="115">
        <v>18.201000000000001</v>
      </c>
      <c r="B2330" s="115">
        <v>18.934999999999999</v>
      </c>
      <c r="C2330" s="1">
        <v>935</v>
      </c>
      <c r="D2330" s="1" t="s">
        <v>2657</v>
      </c>
      <c r="E2330" s="1">
        <v>18</v>
      </c>
    </row>
    <row r="2331" spans="1:5" hidden="1" x14ac:dyDescent="0.25">
      <c r="A2331" s="115">
        <v>18.202000000000002</v>
      </c>
      <c r="B2331" s="115">
        <v>18.940000000000001</v>
      </c>
      <c r="C2331" s="1">
        <v>940</v>
      </c>
      <c r="D2331" s="1" t="s">
        <v>2658</v>
      </c>
      <c r="E2331" s="1">
        <v>18</v>
      </c>
    </row>
    <row r="2332" spans="1:5" hidden="1" x14ac:dyDescent="0.25">
      <c r="A2332" s="115">
        <v>18.202999999999999</v>
      </c>
      <c r="B2332" s="115">
        <v>18.95</v>
      </c>
      <c r="C2332" s="1">
        <v>950</v>
      </c>
      <c r="D2332" s="1" t="s">
        <v>2659</v>
      </c>
      <c r="E2332" s="1">
        <v>18</v>
      </c>
    </row>
    <row r="2333" spans="1:5" hidden="1" x14ac:dyDescent="0.25">
      <c r="A2333" s="115">
        <v>18.204000000000001</v>
      </c>
      <c r="B2333" s="115">
        <v>18.954999999999998</v>
      </c>
      <c r="C2333" s="1">
        <v>955</v>
      </c>
      <c r="D2333" s="1" t="s">
        <v>2660</v>
      </c>
      <c r="E2333" s="1">
        <v>18</v>
      </c>
    </row>
    <row r="2334" spans="1:5" hidden="1" x14ac:dyDescent="0.25">
      <c r="A2334" s="115">
        <v>18.204999999999998</v>
      </c>
      <c r="B2334" s="115">
        <v>18.96</v>
      </c>
      <c r="C2334" s="1">
        <v>960</v>
      </c>
      <c r="D2334" s="1" t="s">
        <v>2661</v>
      </c>
      <c r="E2334" s="1">
        <v>18</v>
      </c>
    </row>
    <row r="2335" spans="1:5" hidden="1" x14ac:dyDescent="0.25">
      <c r="A2335" s="115">
        <v>18.206</v>
      </c>
      <c r="B2335" s="115">
        <v>18.97</v>
      </c>
      <c r="C2335" s="1">
        <v>970</v>
      </c>
      <c r="D2335" s="1" t="s">
        <v>2662</v>
      </c>
      <c r="E2335" s="1">
        <v>18</v>
      </c>
    </row>
    <row r="2336" spans="1:5" hidden="1" x14ac:dyDescent="0.25">
      <c r="A2336" s="115">
        <v>18.207000000000001</v>
      </c>
      <c r="B2336" s="115">
        <v>18.98</v>
      </c>
      <c r="C2336" s="1">
        <v>980</v>
      </c>
      <c r="D2336" s="1" t="s">
        <v>2663</v>
      </c>
      <c r="E2336" s="1">
        <v>18</v>
      </c>
    </row>
    <row r="2337" spans="1:5" hidden="1" x14ac:dyDescent="0.25">
      <c r="A2337" s="115">
        <v>18.207999999999998</v>
      </c>
      <c r="B2337" s="115">
        <v>18.989999999999998</v>
      </c>
      <c r="C2337" s="1">
        <v>990</v>
      </c>
      <c r="D2337" s="1" t="s">
        <v>2664</v>
      </c>
      <c r="E2337" s="1">
        <v>18</v>
      </c>
    </row>
    <row r="2338" spans="1:5" hidden="1" x14ac:dyDescent="0.25">
      <c r="A2338" s="115">
        <v>18.209</v>
      </c>
      <c r="B2338" s="115">
        <v>18.100000000000001</v>
      </c>
      <c r="C2338" s="1">
        <v>1000</v>
      </c>
      <c r="D2338" s="1" t="s">
        <v>2665</v>
      </c>
      <c r="E2338" s="1">
        <v>18</v>
      </c>
    </row>
    <row r="2339" spans="1:5" hidden="1" x14ac:dyDescent="0.25">
      <c r="A2339" s="115">
        <v>18.21</v>
      </c>
      <c r="B2339" s="115">
        <v>18.11</v>
      </c>
      <c r="C2339" s="1">
        <v>1100</v>
      </c>
      <c r="D2339" s="1" t="s">
        <v>2666</v>
      </c>
      <c r="E2339" s="1">
        <v>18</v>
      </c>
    </row>
    <row r="2340" spans="1:5" hidden="1" x14ac:dyDescent="0.25">
      <c r="A2340" s="115">
        <v>18.210999999999999</v>
      </c>
      <c r="B2340" s="115">
        <v>18.111000000000001</v>
      </c>
      <c r="C2340" s="1">
        <v>1110</v>
      </c>
      <c r="D2340" s="1" t="s">
        <v>2667</v>
      </c>
      <c r="E2340" s="1">
        <v>18</v>
      </c>
    </row>
    <row r="2341" spans="1:5" hidden="1" x14ac:dyDescent="0.25">
      <c r="A2341" s="115">
        <v>18.212</v>
      </c>
      <c r="B2341" s="115">
        <v>18.111999999999998</v>
      </c>
      <c r="C2341" s="1">
        <v>1120</v>
      </c>
      <c r="D2341" s="1" t="s">
        <v>2668</v>
      </c>
      <c r="E2341" s="1">
        <v>18</v>
      </c>
    </row>
    <row r="2342" spans="1:5" hidden="1" x14ac:dyDescent="0.25">
      <c r="A2342" s="115">
        <v>18.213000000000001</v>
      </c>
      <c r="B2342" s="115">
        <v>18.113</v>
      </c>
      <c r="C2342" s="1">
        <v>1130</v>
      </c>
      <c r="D2342" s="1" t="s">
        <v>2669</v>
      </c>
      <c r="E2342" s="1">
        <v>18</v>
      </c>
    </row>
    <row r="2343" spans="1:5" hidden="1" x14ac:dyDescent="0.25">
      <c r="A2343" s="115">
        <v>18.213999999999999</v>
      </c>
      <c r="B2343" s="115">
        <v>18.114000000000001</v>
      </c>
      <c r="C2343" s="1">
        <v>1140</v>
      </c>
      <c r="D2343" s="1" t="s">
        <v>2670</v>
      </c>
      <c r="E2343" s="1">
        <v>18</v>
      </c>
    </row>
    <row r="2344" spans="1:5" hidden="1" x14ac:dyDescent="0.25">
      <c r="A2344" s="115">
        <v>18.215</v>
      </c>
      <c r="B2344" s="115">
        <v>18.114999999999998</v>
      </c>
      <c r="C2344" s="1">
        <v>1150</v>
      </c>
      <c r="D2344" s="1" t="s">
        <v>2671</v>
      </c>
      <c r="E2344" s="1">
        <v>18</v>
      </c>
    </row>
    <row r="2345" spans="1:5" hidden="1" x14ac:dyDescent="0.25">
      <c r="A2345" s="115">
        <v>18.216000000000001</v>
      </c>
      <c r="B2345" s="115">
        <v>18.116</v>
      </c>
      <c r="C2345" s="1">
        <v>1160</v>
      </c>
      <c r="D2345" s="1" t="s">
        <v>2672</v>
      </c>
      <c r="E2345" s="1">
        <v>18</v>
      </c>
    </row>
    <row r="2346" spans="1:5" hidden="1" x14ac:dyDescent="0.25">
      <c r="A2346" s="115">
        <v>18.216999999999999</v>
      </c>
      <c r="B2346" s="115">
        <v>18.117000000000001</v>
      </c>
      <c r="C2346" s="1">
        <v>1170</v>
      </c>
      <c r="D2346" s="1" t="s">
        <v>2673</v>
      </c>
      <c r="E2346" s="1">
        <v>18</v>
      </c>
    </row>
    <row r="2347" spans="1:5" hidden="1" x14ac:dyDescent="0.25">
      <c r="A2347" s="115">
        <v>18.218</v>
      </c>
      <c r="B2347" s="115">
        <v>18.117999999999999</v>
      </c>
      <c r="C2347" s="1">
        <v>1180</v>
      </c>
      <c r="D2347" s="1" t="s">
        <v>2674</v>
      </c>
      <c r="E2347" s="1">
        <v>18</v>
      </c>
    </row>
    <row r="2348" spans="1:5" hidden="1" x14ac:dyDescent="0.25">
      <c r="A2348" s="115">
        <v>18.219000000000001</v>
      </c>
      <c r="B2348" s="115">
        <v>18.119</v>
      </c>
      <c r="C2348" s="1">
        <v>1190</v>
      </c>
      <c r="D2348" s="1" t="s">
        <v>2675</v>
      </c>
      <c r="E2348" s="1">
        <v>18</v>
      </c>
    </row>
    <row r="2349" spans="1:5" hidden="1" x14ac:dyDescent="0.25">
      <c r="A2349" s="115">
        <v>18.22</v>
      </c>
      <c r="B2349" s="115">
        <v>18.12</v>
      </c>
      <c r="C2349" s="1">
        <v>1200</v>
      </c>
      <c r="D2349" s="1" t="s">
        <v>2676</v>
      </c>
      <c r="E2349" s="1">
        <v>18</v>
      </c>
    </row>
    <row r="2350" spans="1:5" hidden="1" x14ac:dyDescent="0.25">
      <c r="A2350" s="115">
        <v>18.221</v>
      </c>
      <c r="B2350" s="115">
        <v>18.120999999999999</v>
      </c>
      <c r="C2350" s="1">
        <v>1210</v>
      </c>
      <c r="D2350" s="1" t="s">
        <v>2677</v>
      </c>
      <c r="E2350" s="1">
        <v>18</v>
      </c>
    </row>
    <row r="2351" spans="1:5" hidden="1" x14ac:dyDescent="0.25">
      <c r="A2351" s="115">
        <v>18.222000000000001</v>
      </c>
      <c r="B2351" s="115">
        <v>18.122</v>
      </c>
      <c r="C2351" s="1">
        <v>1220</v>
      </c>
      <c r="D2351" s="1" t="s">
        <v>2678</v>
      </c>
      <c r="E2351" s="1">
        <v>18</v>
      </c>
    </row>
    <row r="2352" spans="1:5" hidden="1" x14ac:dyDescent="0.25">
      <c r="A2352" s="115">
        <v>18.222999999999999</v>
      </c>
      <c r="B2352" s="115">
        <v>18.123000000000001</v>
      </c>
      <c r="C2352" s="1">
        <v>1230</v>
      </c>
      <c r="D2352" s="1" t="s">
        <v>2679</v>
      </c>
      <c r="E2352" s="1">
        <v>18</v>
      </c>
    </row>
    <row r="2353" spans="1:5" hidden="1" x14ac:dyDescent="0.25">
      <c r="A2353" s="115">
        <v>18.224</v>
      </c>
      <c r="B2353" s="115">
        <v>18.123999999999999</v>
      </c>
      <c r="C2353" s="1">
        <v>1240</v>
      </c>
      <c r="D2353" s="1" t="s">
        <v>2680</v>
      </c>
      <c r="E2353" s="1">
        <v>18</v>
      </c>
    </row>
    <row r="2354" spans="1:5" hidden="1" x14ac:dyDescent="0.25">
      <c r="A2354" s="115">
        <v>18.225000000000001</v>
      </c>
      <c r="B2354" s="115">
        <v>18.125</v>
      </c>
      <c r="C2354" s="1">
        <v>1250</v>
      </c>
      <c r="D2354" s="1" t="s">
        <v>2681</v>
      </c>
      <c r="E2354" s="1">
        <v>18</v>
      </c>
    </row>
    <row r="2355" spans="1:5" hidden="1" x14ac:dyDescent="0.25">
      <c r="A2355" s="115">
        <v>18.225999999999999</v>
      </c>
      <c r="B2355" s="115">
        <v>18.126000000000001</v>
      </c>
      <c r="C2355" s="1">
        <v>1260</v>
      </c>
      <c r="D2355" s="1" t="s">
        <v>2682</v>
      </c>
      <c r="E2355" s="1">
        <v>18</v>
      </c>
    </row>
    <row r="2356" spans="1:5" hidden="1" x14ac:dyDescent="0.25">
      <c r="A2356" s="115">
        <v>18.227</v>
      </c>
      <c r="B2356" s="115">
        <v>18.126999999999999</v>
      </c>
      <c r="C2356" s="1">
        <v>1270</v>
      </c>
      <c r="D2356" s="1" t="s">
        <v>2683</v>
      </c>
      <c r="E2356" s="1">
        <v>18</v>
      </c>
    </row>
    <row r="2357" spans="1:5" hidden="1" x14ac:dyDescent="0.25">
      <c r="A2357" s="115">
        <v>18.228000000000002</v>
      </c>
      <c r="B2357" s="115">
        <v>18.128</v>
      </c>
      <c r="C2357" s="1">
        <v>1280</v>
      </c>
      <c r="D2357" s="1" t="s">
        <v>2684</v>
      </c>
      <c r="E2357" s="1">
        <v>18</v>
      </c>
    </row>
    <row r="2358" spans="1:5" hidden="1" x14ac:dyDescent="0.25">
      <c r="A2358" s="115">
        <v>18.228999999999999</v>
      </c>
      <c r="B2358" s="115">
        <v>18.13</v>
      </c>
      <c r="C2358" s="1">
        <v>1300</v>
      </c>
      <c r="D2358" s="1" t="s">
        <v>2685</v>
      </c>
      <c r="E2358" s="1">
        <v>18</v>
      </c>
    </row>
    <row r="2359" spans="1:5" hidden="1" x14ac:dyDescent="0.25">
      <c r="A2359" s="115">
        <v>18.23</v>
      </c>
      <c r="B2359" s="115">
        <v>18.131</v>
      </c>
      <c r="C2359" s="1">
        <v>1310</v>
      </c>
      <c r="D2359" s="1" t="s">
        <v>2686</v>
      </c>
      <c r="E2359" s="1">
        <v>18</v>
      </c>
    </row>
    <row r="2360" spans="1:5" hidden="1" x14ac:dyDescent="0.25">
      <c r="A2360" s="115">
        <v>18.231000000000002</v>
      </c>
      <c r="B2360" s="115">
        <v>18.132000000000001</v>
      </c>
      <c r="C2360" s="1">
        <v>1320</v>
      </c>
      <c r="D2360" s="1" t="s">
        <v>2687</v>
      </c>
      <c r="E2360" s="1">
        <v>18</v>
      </c>
    </row>
    <row r="2361" spans="1:5" hidden="1" x14ac:dyDescent="0.25">
      <c r="A2361" s="115">
        <v>19.100999999999999</v>
      </c>
      <c r="B2361" s="115">
        <v>19.100000000000001</v>
      </c>
      <c r="C2361" s="1">
        <v>10</v>
      </c>
      <c r="D2361" s="1" t="s">
        <v>2559</v>
      </c>
      <c r="E2361" s="1">
        <v>19</v>
      </c>
    </row>
    <row r="2362" spans="1:5" hidden="1" x14ac:dyDescent="0.25">
      <c r="A2362" s="115">
        <v>19.102</v>
      </c>
      <c r="B2362" s="115">
        <v>19.2</v>
      </c>
      <c r="C2362" s="1">
        <v>20</v>
      </c>
      <c r="D2362" s="1" t="s">
        <v>2560</v>
      </c>
      <c r="E2362" s="1">
        <v>19</v>
      </c>
    </row>
    <row r="2363" spans="1:5" hidden="1" x14ac:dyDescent="0.25">
      <c r="A2363" s="115">
        <v>19.103000000000002</v>
      </c>
      <c r="B2363" s="115">
        <v>19.3</v>
      </c>
      <c r="C2363" s="1">
        <v>30</v>
      </c>
      <c r="D2363" s="1" t="s">
        <v>2561</v>
      </c>
      <c r="E2363" s="1">
        <v>19</v>
      </c>
    </row>
    <row r="2364" spans="1:5" hidden="1" x14ac:dyDescent="0.25">
      <c r="A2364" s="115">
        <v>19.103999999999999</v>
      </c>
      <c r="B2364" s="115">
        <v>19.399999999999999</v>
      </c>
      <c r="C2364" s="1">
        <v>40</v>
      </c>
      <c r="D2364" s="1" t="s">
        <v>2562</v>
      </c>
      <c r="E2364" s="1">
        <v>19</v>
      </c>
    </row>
    <row r="2365" spans="1:5" hidden="1" x14ac:dyDescent="0.25">
      <c r="A2365" s="115">
        <v>19.105</v>
      </c>
      <c r="B2365" s="115">
        <v>19.5</v>
      </c>
      <c r="C2365" s="1">
        <v>50</v>
      </c>
      <c r="D2365" s="1" t="s">
        <v>2563</v>
      </c>
      <c r="E2365" s="1">
        <v>19</v>
      </c>
    </row>
    <row r="2366" spans="1:5" hidden="1" x14ac:dyDescent="0.25">
      <c r="A2366" s="115">
        <v>19.106000000000002</v>
      </c>
      <c r="B2366" s="115">
        <v>19.600000000000001</v>
      </c>
      <c r="C2366" s="1">
        <v>60</v>
      </c>
      <c r="D2366" s="1" t="s">
        <v>2564</v>
      </c>
      <c r="E2366" s="1">
        <v>19</v>
      </c>
    </row>
    <row r="2367" spans="1:5" hidden="1" x14ac:dyDescent="0.25">
      <c r="A2367" s="115">
        <v>19.106999999999999</v>
      </c>
      <c r="B2367" s="115">
        <v>19.7</v>
      </c>
      <c r="C2367" s="1">
        <v>70</v>
      </c>
      <c r="D2367" s="1" t="s">
        <v>2565</v>
      </c>
      <c r="E2367" s="1">
        <v>19</v>
      </c>
    </row>
    <row r="2368" spans="1:5" hidden="1" x14ac:dyDescent="0.25">
      <c r="A2368" s="115">
        <v>19.108000000000001</v>
      </c>
      <c r="B2368" s="115">
        <v>19.8</v>
      </c>
      <c r="C2368" s="1">
        <v>80</v>
      </c>
      <c r="D2368" s="1" t="s">
        <v>2566</v>
      </c>
      <c r="E2368" s="1">
        <v>19</v>
      </c>
    </row>
    <row r="2369" spans="1:5" hidden="1" x14ac:dyDescent="0.25">
      <c r="A2369" s="115">
        <v>19.109000000000002</v>
      </c>
      <c r="B2369" s="115">
        <v>19.899999999999999</v>
      </c>
      <c r="C2369" s="1">
        <v>90</v>
      </c>
      <c r="D2369" s="1" t="s">
        <v>2567</v>
      </c>
      <c r="E2369" s="1">
        <v>19</v>
      </c>
    </row>
    <row r="2370" spans="1:5" hidden="1" x14ac:dyDescent="0.25">
      <c r="A2370" s="115">
        <v>19.11</v>
      </c>
      <c r="B2370" s="115">
        <v>19.100000000000001</v>
      </c>
      <c r="C2370" s="1">
        <v>100</v>
      </c>
      <c r="D2370" s="1" t="s">
        <v>2568</v>
      </c>
      <c r="E2370" s="1">
        <v>19</v>
      </c>
    </row>
    <row r="2371" spans="1:5" hidden="1" x14ac:dyDescent="0.25">
      <c r="A2371" s="115">
        <v>19.111000000000001</v>
      </c>
      <c r="B2371" s="115">
        <v>19.11</v>
      </c>
      <c r="C2371" s="1">
        <v>110</v>
      </c>
      <c r="D2371" s="1" t="s">
        <v>2569</v>
      </c>
      <c r="E2371" s="1">
        <v>19</v>
      </c>
    </row>
    <row r="2372" spans="1:5" hidden="1" x14ac:dyDescent="0.25">
      <c r="A2372" s="115">
        <v>19.111999999999998</v>
      </c>
      <c r="B2372" s="115">
        <v>19.12</v>
      </c>
      <c r="C2372" s="1">
        <v>120</v>
      </c>
      <c r="D2372" s="1" t="s">
        <v>2570</v>
      </c>
      <c r="E2372" s="1">
        <v>19</v>
      </c>
    </row>
    <row r="2373" spans="1:5" hidden="1" x14ac:dyDescent="0.25">
      <c r="A2373" s="115">
        <v>19.113</v>
      </c>
      <c r="B2373" s="115">
        <v>19.13</v>
      </c>
      <c r="C2373" s="1">
        <v>130</v>
      </c>
      <c r="D2373" s="1" t="s">
        <v>2571</v>
      </c>
      <c r="E2373" s="1">
        <v>19</v>
      </c>
    </row>
    <row r="2374" spans="1:5" hidden="1" x14ac:dyDescent="0.25">
      <c r="A2374" s="115">
        <v>19.114000000000001</v>
      </c>
      <c r="B2374" s="115">
        <v>19.14</v>
      </c>
      <c r="C2374" s="1">
        <v>140</v>
      </c>
      <c r="D2374" s="1" t="s">
        <v>2572</v>
      </c>
      <c r="E2374" s="1">
        <v>19</v>
      </c>
    </row>
    <row r="2375" spans="1:5" hidden="1" x14ac:dyDescent="0.25">
      <c r="A2375" s="115">
        <v>19.114999999999998</v>
      </c>
      <c r="B2375" s="115">
        <v>19.149999999999999</v>
      </c>
      <c r="C2375" s="1">
        <v>150</v>
      </c>
      <c r="D2375" s="1" t="s">
        <v>2573</v>
      </c>
      <c r="E2375" s="1">
        <v>19</v>
      </c>
    </row>
    <row r="2376" spans="1:5" hidden="1" x14ac:dyDescent="0.25">
      <c r="A2376" s="115">
        <v>19.116</v>
      </c>
      <c r="B2376" s="115">
        <v>19.16</v>
      </c>
      <c r="C2376" s="1">
        <v>160</v>
      </c>
      <c r="D2376" s="1" t="s">
        <v>2574</v>
      </c>
      <c r="E2376" s="1">
        <v>19</v>
      </c>
    </row>
    <row r="2377" spans="1:5" hidden="1" x14ac:dyDescent="0.25">
      <c r="A2377" s="115">
        <v>19.117000000000001</v>
      </c>
      <c r="B2377" s="115">
        <v>19.170000000000002</v>
      </c>
      <c r="C2377" s="1">
        <v>170</v>
      </c>
      <c r="D2377" s="1" t="s">
        <v>2575</v>
      </c>
      <c r="E2377" s="1">
        <v>19</v>
      </c>
    </row>
    <row r="2378" spans="1:5" hidden="1" x14ac:dyDescent="0.25">
      <c r="A2378" s="115">
        <v>19.117999999999999</v>
      </c>
      <c r="B2378" s="115">
        <v>19.18</v>
      </c>
      <c r="C2378" s="1">
        <v>180</v>
      </c>
      <c r="D2378" s="1" t="s">
        <v>2576</v>
      </c>
      <c r="E2378" s="1">
        <v>19</v>
      </c>
    </row>
    <row r="2379" spans="1:5" hidden="1" x14ac:dyDescent="0.25">
      <c r="A2379" s="115">
        <v>19.119</v>
      </c>
      <c r="B2379" s="115">
        <v>19.190000000000001</v>
      </c>
      <c r="C2379" s="1">
        <v>190</v>
      </c>
      <c r="D2379" s="1" t="s">
        <v>2577</v>
      </c>
      <c r="E2379" s="1">
        <v>19</v>
      </c>
    </row>
    <row r="2380" spans="1:5" hidden="1" x14ac:dyDescent="0.25">
      <c r="A2380" s="115">
        <v>19.12</v>
      </c>
      <c r="B2380" s="115">
        <v>19.2</v>
      </c>
      <c r="C2380" s="1">
        <v>200</v>
      </c>
      <c r="D2380" s="1" t="s">
        <v>2578</v>
      </c>
      <c r="E2380" s="1">
        <v>19</v>
      </c>
    </row>
    <row r="2381" spans="1:5" hidden="1" x14ac:dyDescent="0.25">
      <c r="A2381" s="115">
        <v>19.120999999999999</v>
      </c>
      <c r="B2381" s="115">
        <v>19.21</v>
      </c>
      <c r="C2381" s="1">
        <v>210</v>
      </c>
      <c r="D2381" s="1" t="s">
        <v>2579</v>
      </c>
      <c r="E2381" s="1">
        <v>19</v>
      </c>
    </row>
    <row r="2382" spans="1:5" hidden="1" x14ac:dyDescent="0.25">
      <c r="A2382" s="115">
        <v>19.122</v>
      </c>
      <c r="B2382" s="115">
        <v>19.22</v>
      </c>
      <c r="C2382" s="1">
        <v>220</v>
      </c>
      <c r="D2382" s="1" t="s">
        <v>2580</v>
      </c>
      <c r="E2382" s="1">
        <v>19</v>
      </c>
    </row>
    <row r="2383" spans="1:5" hidden="1" x14ac:dyDescent="0.25">
      <c r="A2383" s="115">
        <v>19.123000000000001</v>
      </c>
      <c r="B2383" s="115">
        <v>19.23</v>
      </c>
      <c r="C2383" s="1">
        <v>230</v>
      </c>
      <c r="D2383" s="1" t="s">
        <v>2581</v>
      </c>
      <c r="E2383" s="1">
        <v>19</v>
      </c>
    </row>
    <row r="2384" spans="1:5" hidden="1" x14ac:dyDescent="0.25">
      <c r="A2384" s="115">
        <v>19.123999999999999</v>
      </c>
      <c r="B2384" s="115">
        <v>19.239999999999998</v>
      </c>
      <c r="C2384" s="1">
        <v>240</v>
      </c>
      <c r="D2384" s="1" t="s">
        <v>2582</v>
      </c>
      <c r="E2384" s="1">
        <v>19</v>
      </c>
    </row>
    <row r="2385" spans="1:5" hidden="1" x14ac:dyDescent="0.25">
      <c r="A2385" s="115">
        <v>19.125</v>
      </c>
      <c r="B2385" s="115">
        <v>19.25</v>
      </c>
      <c r="C2385" s="1">
        <v>250</v>
      </c>
      <c r="D2385" s="1" t="s">
        <v>2583</v>
      </c>
      <c r="E2385" s="1">
        <v>19</v>
      </c>
    </row>
    <row r="2386" spans="1:5" hidden="1" x14ac:dyDescent="0.25">
      <c r="A2386" s="115">
        <v>19.126000000000001</v>
      </c>
      <c r="B2386" s="115">
        <v>19.260000000000002</v>
      </c>
      <c r="C2386" s="1">
        <v>260</v>
      </c>
      <c r="D2386" s="1" t="s">
        <v>2584</v>
      </c>
      <c r="E2386" s="1">
        <v>19</v>
      </c>
    </row>
    <row r="2387" spans="1:5" hidden="1" x14ac:dyDescent="0.25">
      <c r="A2387" s="115">
        <v>19.126999999999999</v>
      </c>
      <c r="B2387" s="115">
        <v>19.27</v>
      </c>
      <c r="C2387" s="1">
        <v>270</v>
      </c>
      <c r="D2387" s="1" t="s">
        <v>2585</v>
      </c>
      <c r="E2387" s="1">
        <v>19</v>
      </c>
    </row>
    <row r="2388" spans="1:5" hidden="1" x14ac:dyDescent="0.25">
      <c r="A2388" s="115">
        <v>19.128</v>
      </c>
      <c r="B2388" s="115">
        <v>19.28</v>
      </c>
      <c r="C2388" s="1">
        <v>280</v>
      </c>
      <c r="D2388" s="1" t="s">
        <v>2586</v>
      </c>
      <c r="E2388" s="1">
        <v>19</v>
      </c>
    </row>
    <row r="2389" spans="1:5" hidden="1" x14ac:dyDescent="0.25">
      <c r="A2389" s="115">
        <v>19.129000000000001</v>
      </c>
      <c r="B2389" s="115">
        <v>19.29</v>
      </c>
      <c r="C2389" s="1">
        <v>290</v>
      </c>
      <c r="D2389" s="1" t="s">
        <v>2587</v>
      </c>
      <c r="E2389" s="1">
        <v>19</v>
      </c>
    </row>
    <row r="2390" spans="1:5" hidden="1" x14ac:dyDescent="0.25">
      <c r="A2390" s="115">
        <v>19.13</v>
      </c>
      <c r="B2390" s="115">
        <v>19.3</v>
      </c>
      <c r="C2390" s="1">
        <v>300</v>
      </c>
      <c r="D2390" s="1" t="s">
        <v>2588</v>
      </c>
      <c r="E2390" s="1">
        <v>19</v>
      </c>
    </row>
    <row r="2391" spans="1:5" hidden="1" x14ac:dyDescent="0.25">
      <c r="A2391" s="115">
        <v>19.131</v>
      </c>
      <c r="B2391" s="115">
        <v>19.309999999999999</v>
      </c>
      <c r="C2391" s="1">
        <v>310</v>
      </c>
      <c r="D2391" s="1" t="s">
        <v>2589</v>
      </c>
      <c r="E2391" s="1">
        <v>19</v>
      </c>
    </row>
    <row r="2392" spans="1:5" hidden="1" x14ac:dyDescent="0.25">
      <c r="A2392" s="115">
        <v>19.132000000000001</v>
      </c>
      <c r="B2392" s="115">
        <v>19.32</v>
      </c>
      <c r="C2392" s="1">
        <v>320</v>
      </c>
      <c r="D2392" s="1" t="s">
        <v>2590</v>
      </c>
      <c r="E2392" s="1">
        <v>19</v>
      </c>
    </row>
    <row r="2393" spans="1:5" hidden="1" x14ac:dyDescent="0.25">
      <c r="A2393" s="115">
        <v>19.132999999999999</v>
      </c>
      <c r="B2393" s="115">
        <v>19.329999999999998</v>
      </c>
      <c r="C2393" s="1">
        <v>330</v>
      </c>
      <c r="D2393" s="1" t="s">
        <v>2591</v>
      </c>
      <c r="E2393" s="1">
        <v>19</v>
      </c>
    </row>
    <row r="2394" spans="1:5" hidden="1" x14ac:dyDescent="0.25">
      <c r="A2394" s="115">
        <v>19.134</v>
      </c>
      <c r="B2394" s="115">
        <v>19.34</v>
      </c>
      <c r="C2394" s="1">
        <v>340</v>
      </c>
      <c r="D2394" s="1" t="s">
        <v>2592</v>
      </c>
      <c r="E2394" s="1">
        <v>19</v>
      </c>
    </row>
    <row r="2395" spans="1:5" hidden="1" x14ac:dyDescent="0.25">
      <c r="A2395" s="115">
        <v>19.135000000000002</v>
      </c>
      <c r="B2395" s="115">
        <v>19.350000000000001</v>
      </c>
      <c r="C2395" s="1">
        <v>350</v>
      </c>
      <c r="D2395" s="1" t="s">
        <v>2593</v>
      </c>
      <c r="E2395" s="1">
        <v>19</v>
      </c>
    </row>
    <row r="2396" spans="1:5" hidden="1" x14ac:dyDescent="0.25">
      <c r="A2396" s="115">
        <v>19.135999999999999</v>
      </c>
      <c r="B2396" s="115">
        <v>19.36</v>
      </c>
      <c r="C2396" s="1">
        <v>360</v>
      </c>
      <c r="D2396" s="1" t="s">
        <v>2594</v>
      </c>
      <c r="E2396" s="1">
        <v>19</v>
      </c>
    </row>
    <row r="2397" spans="1:5" hidden="1" x14ac:dyDescent="0.25">
      <c r="A2397" s="115">
        <v>19.137</v>
      </c>
      <c r="B2397" s="115">
        <v>19.37</v>
      </c>
      <c r="C2397" s="1">
        <v>370</v>
      </c>
      <c r="D2397" s="1" t="s">
        <v>2595</v>
      </c>
      <c r="E2397" s="1">
        <v>19</v>
      </c>
    </row>
    <row r="2398" spans="1:5" hidden="1" x14ac:dyDescent="0.25">
      <c r="A2398" s="115">
        <v>19.138000000000002</v>
      </c>
      <c r="B2398" s="115">
        <v>19.38</v>
      </c>
      <c r="C2398" s="1">
        <v>380</v>
      </c>
      <c r="D2398" s="1" t="s">
        <v>2596</v>
      </c>
      <c r="E2398" s="1">
        <v>19</v>
      </c>
    </row>
    <row r="2399" spans="1:5" hidden="1" x14ac:dyDescent="0.25">
      <c r="A2399" s="115">
        <v>19.138999999999999</v>
      </c>
      <c r="B2399" s="115">
        <v>19.39</v>
      </c>
      <c r="C2399" s="1">
        <v>390</v>
      </c>
      <c r="D2399" s="1" t="s">
        <v>2597</v>
      </c>
      <c r="E2399" s="1">
        <v>19</v>
      </c>
    </row>
    <row r="2400" spans="1:5" hidden="1" x14ac:dyDescent="0.25">
      <c r="A2400" s="115">
        <v>19.14</v>
      </c>
      <c r="B2400" s="115">
        <v>19.399999999999999</v>
      </c>
      <c r="C2400" s="1">
        <v>400</v>
      </c>
      <c r="D2400" s="1" t="s">
        <v>2598</v>
      </c>
      <c r="E2400" s="1">
        <v>19</v>
      </c>
    </row>
    <row r="2401" spans="1:5" hidden="1" x14ac:dyDescent="0.25">
      <c r="A2401" s="115">
        <v>19.140999999999998</v>
      </c>
      <c r="B2401" s="115">
        <v>19.41</v>
      </c>
      <c r="C2401" s="1">
        <v>410</v>
      </c>
      <c r="D2401" s="1" t="s">
        <v>2599</v>
      </c>
      <c r="E2401" s="1">
        <v>19</v>
      </c>
    </row>
    <row r="2402" spans="1:5" hidden="1" x14ac:dyDescent="0.25">
      <c r="A2402" s="115">
        <v>19.141999999999999</v>
      </c>
      <c r="B2402" s="115">
        <v>19.420000000000002</v>
      </c>
      <c r="C2402" s="1">
        <v>420</v>
      </c>
      <c r="D2402" s="1" t="s">
        <v>2600</v>
      </c>
      <c r="E2402" s="1">
        <v>19</v>
      </c>
    </row>
    <row r="2403" spans="1:5" hidden="1" x14ac:dyDescent="0.25">
      <c r="A2403" s="115">
        <v>19.143000000000001</v>
      </c>
      <c r="B2403" s="115">
        <v>19.43</v>
      </c>
      <c r="C2403" s="1">
        <v>430</v>
      </c>
      <c r="D2403" s="1" t="s">
        <v>2601</v>
      </c>
      <c r="E2403" s="1">
        <v>19</v>
      </c>
    </row>
    <row r="2404" spans="1:5" hidden="1" x14ac:dyDescent="0.25">
      <c r="A2404" s="115">
        <v>19.143999999999998</v>
      </c>
      <c r="B2404" s="115">
        <v>19.440000000000001</v>
      </c>
      <c r="C2404" s="1">
        <v>440</v>
      </c>
      <c r="D2404" s="1" t="s">
        <v>2602</v>
      </c>
      <c r="E2404" s="1">
        <v>19</v>
      </c>
    </row>
    <row r="2405" spans="1:5" hidden="1" x14ac:dyDescent="0.25">
      <c r="A2405" s="115">
        <v>19.145</v>
      </c>
      <c r="B2405" s="115">
        <v>19.445</v>
      </c>
      <c r="C2405" s="1">
        <v>445</v>
      </c>
      <c r="D2405" s="1" t="s">
        <v>2603</v>
      </c>
      <c r="E2405" s="1">
        <v>19</v>
      </c>
    </row>
    <row r="2406" spans="1:5" hidden="1" x14ac:dyDescent="0.25">
      <c r="A2406" s="115">
        <v>19.146000000000001</v>
      </c>
      <c r="B2406" s="115">
        <v>19.45</v>
      </c>
      <c r="C2406" s="1">
        <v>450</v>
      </c>
      <c r="D2406" s="1" t="s">
        <v>2604</v>
      </c>
      <c r="E2406" s="1">
        <v>19</v>
      </c>
    </row>
    <row r="2407" spans="1:5" hidden="1" x14ac:dyDescent="0.25">
      <c r="A2407" s="115">
        <v>19.146999999999998</v>
      </c>
      <c r="B2407" s="115">
        <v>19.46</v>
      </c>
      <c r="C2407" s="1">
        <v>460</v>
      </c>
      <c r="D2407" s="1" t="s">
        <v>2605</v>
      </c>
      <c r="E2407" s="1">
        <v>19</v>
      </c>
    </row>
    <row r="2408" spans="1:5" hidden="1" x14ac:dyDescent="0.25">
      <c r="A2408" s="115">
        <v>19.148</v>
      </c>
      <c r="B2408" s="115">
        <v>19.47</v>
      </c>
      <c r="C2408" s="1">
        <v>470</v>
      </c>
      <c r="D2408" s="1" t="s">
        <v>2606</v>
      </c>
      <c r="E2408" s="1">
        <v>19</v>
      </c>
    </row>
    <row r="2409" spans="1:5" hidden="1" x14ac:dyDescent="0.25">
      <c r="A2409" s="115">
        <v>19.149000000000001</v>
      </c>
      <c r="B2409" s="115">
        <v>19.48</v>
      </c>
      <c r="C2409" s="1">
        <v>480</v>
      </c>
      <c r="D2409" s="1" t="s">
        <v>2607</v>
      </c>
      <c r="E2409" s="1">
        <v>19</v>
      </c>
    </row>
    <row r="2410" spans="1:5" hidden="1" x14ac:dyDescent="0.25">
      <c r="A2410" s="115">
        <v>19.149999999999999</v>
      </c>
      <c r="B2410" s="115">
        <v>19.489999999999998</v>
      </c>
      <c r="C2410" s="1">
        <v>490</v>
      </c>
      <c r="D2410" s="1" t="s">
        <v>2608</v>
      </c>
      <c r="E2410" s="1">
        <v>19</v>
      </c>
    </row>
    <row r="2411" spans="1:5" hidden="1" x14ac:dyDescent="0.25">
      <c r="A2411" s="115">
        <v>19.151</v>
      </c>
      <c r="B2411" s="115">
        <v>19.5</v>
      </c>
      <c r="C2411" s="1">
        <v>500</v>
      </c>
      <c r="D2411" s="1" t="s">
        <v>2609</v>
      </c>
      <c r="E2411" s="1">
        <v>19</v>
      </c>
    </row>
    <row r="2412" spans="1:5" hidden="1" x14ac:dyDescent="0.25">
      <c r="A2412" s="115">
        <v>19.152000000000001</v>
      </c>
      <c r="B2412" s="115">
        <v>19.510000000000002</v>
      </c>
      <c r="C2412" s="1">
        <v>510</v>
      </c>
      <c r="D2412" s="1" t="s">
        <v>2610</v>
      </c>
      <c r="E2412" s="1">
        <v>19</v>
      </c>
    </row>
    <row r="2413" spans="1:5" hidden="1" x14ac:dyDescent="0.25">
      <c r="A2413" s="115">
        <v>19.152999999999999</v>
      </c>
      <c r="B2413" s="115">
        <v>19.52</v>
      </c>
      <c r="C2413" s="1">
        <v>520</v>
      </c>
      <c r="D2413" s="1" t="s">
        <v>2611</v>
      </c>
      <c r="E2413" s="1">
        <v>19</v>
      </c>
    </row>
    <row r="2414" spans="1:5" hidden="1" x14ac:dyDescent="0.25">
      <c r="A2414" s="115">
        <v>19.154</v>
      </c>
      <c r="B2414" s="115">
        <v>19.53</v>
      </c>
      <c r="C2414" s="1">
        <v>530</v>
      </c>
      <c r="D2414" s="1" t="s">
        <v>2612</v>
      </c>
      <c r="E2414" s="1">
        <v>19</v>
      </c>
    </row>
    <row r="2415" spans="1:5" hidden="1" x14ac:dyDescent="0.25">
      <c r="A2415" s="115">
        <v>19.155000000000001</v>
      </c>
      <c r="B2415" s="115">
        <v>19.54</v>
      </c>
      <c r="C2415" s="1">
        <v>540</v>
      </c>
      <c r="D2415" s="1" t="s">
        <v>2613</v>
      </c>
      <c r="E2415" s="1">
        <v>19</v>
      </c>
    </row>
    <row r="2416" spans="1:5" hidden="1" x14ac:dyDescent="0.25">
      <c r="A2416" s="115">
        <v>19.155999999999999</v>
      </c>
      <c r="B2416" s="115">
        <v>19.55</v>
      </c>
      <c r="C2416" s="1">
        <v>550</v>
      </c>
      <c r="D2416" s="1" t="s">
        <v>2614</v>
      </c>
      <c r="E2416" s="1">
        <v>19</v>
      </c>
    </row>
    <row r="2417" spans="1:5" hidden="1" x14ac:dyDescent="0.25">
      <c r="A2417" s="115">
        <v>19.157</v>
      </c>
      <c r="B2417" s="115">
        <v>19.559999999999999</v>
      </c>
      <c r="C2417" s="1">
        <v>560</v>
      </c>
      <c r="D2417" s="1" t="s">
        <v>2615</v>
      </c>
      <c r="E2417" s="1">
        <v>19</v>
      </c>
    </row>
    <row r="2418" spans="1:5" hidden="1" x14ac:dyDescent="0.25">
      <c r="A2418" s="115">
        <v>19.158000000000001</v>
      </c>
      <c r="B2418" s="115">
        <v>19.57</v>
      </c>
      <c r="C2418" s="1">
        <v>570</v>
      </c>
      <c r="D2418" s="1" t="s">
        <v>2616</v>
      </c>
      <c r="E2418" s="1">
        <v>19</v>
      </c>
    </row>
    <row r="2419" spans="1:5" hidden="1" x14ac:dyDescent="0.25">
      <c r="A2419" s="115">
        <v>19.158999999999999</v>
      </c>
      <c r="B2419" s="115">
        <v>19.574999999999999</v>
      </c>
      <c r="C2419" s="1">
        <v>575</v>
      </c>
      <c r="D2419" s="1" t="s">
        <v>2617</v>
      </c>
      <c r="E2419" s="1">
        <v>19</v>
      </c>
    </row>
    <row r="2420" spans="1:5" hidden="1" x14ac:dyDescent="0.25">
      <c r="A2420" s="115">
        <v>19.16</v>
      </c>
      <c r="B2420" s="115">
        <v>19.576000000000001</v>
      </c>
      <c r="C2420" s="1">
        <v>576</v>
      </c>
      <c r="D2420" s="1" t="s">
        <v>2618</v>
      </c>
      <c r="E2420" s="1">
        <v>19</v>
      </c>
    </row>
    <row r="2421" spans="1:5" hidden="1" x14ac:dyDescent="0.25">
      <c r="A2421" s="115">
        <v>19.161000000000001</v>
      </c>
      <c r="B2421" s="115">
        <v>19.579999999999998</v>
      </c>
      <c r="C2421" s="1">
        <v>580</v>
      </c>
      <c r="D2421" s="1" t="s">
        <v>2619</v>
      </c>
      <c r="E2421" s="1">
        <v>19</v>
      </c>
    </row>
    <row r="2422" spans="1:5" hidden="1" x14ac:dyDescent="0.25">
      <c r="A2422" s="115">
        <v>19.161999999999999</v>
      </c>
      <c r="B2422" s="115">
        <v>19.59</v>
      </c>
      <c r="C2422" s="1">
        <v>590</v>
      </c>
      <c r="D2422" s="1" t="s">
        <v>1099</v>
      </c>
      <c r="E2422" s="1">
        <v>19</v>
      </c>
    </row>
    <row r="2423" spans="1:5" hidden="1" x14ac:dyDescent="0.25">
      <c r="A2423" s="115">
        <v>19.163</v>
      </c>
      <c r="B2423" s="115">
        <v>19.600000000000001</v>
      </c>
      <c r="C2423" s="1">
        <v>600</v>
      </c>
      <c r="D2423" s="1" t="s">
        <v>2620</v>
      </c>
      <c r="E2423" s="1">
        <v>19</v>
      </c>
    </row>
    <row r="2424" spans="1:5" hidden="1" x14ac:dyDescent="0.25">
      <c r="A2424" s="115">
        <v>19.164000000000001</v>
      </c>
      <c r="B2424" s="115">
        <v>19.61</v>
      </c>
      <c r="C2424" s="1">
        <v>610</v>
      </c>
      <c r="D2424" s="1" t="s">
        <v>2621</v>
      </c>
      <c r="E2424" s="1">
        <v>19</v>
      </c>
    </row>
    <row r="2425" spans="1:5" hidden="1" x14ac:dyDescent="0.25">
      <c r="A2425" s="115">
        <v>19.164999999999999</v>
      </c>
      <c r="B2425" s="115">
        <v>19.62</v>
      </c>
      <c r="C2425" s="1">
        <v>620</v>
      </c>
      <c r="D2425" s="1" t="s">
        <v>2622</v>
      </c>
      <c r="E2425" s="1">
        <v>19</v>
      </c>
    </row>
    <row r="2426" spans="1:5" hidden="1" x14ac:dyDescent="0.25">
      <c r="A2426" s="115">
        <v>19.166</v>
      </c>
      <c r="B2426" s="115">
        <v>19.63</v>
      </c>
      <c r="C2426" s="1">
        <v>630</v>
      </c>
      <c r="D2426" s="1" t="s">
        <v>2623</v>
      </c>
      <c r="E2426" s="1">
        <v>19</v>
      </c>
    </row>
    <row r="2427" spans="1:5" hidden="1" x14ac:dyDescent="0.25">
      <c r="A2427" s="115">
        <v>19.167000000000002</v>
      </c>
      <c r="B2427" s="115">
        <v>19.64</v>
      </c>
      <c r="C2427" s="1">
        <v>640</v>
      </c>
      <c r="D2427" s="1" t="s">
        <v>2624</v>
      </c>
      <c r="E2427" s="1">
        <v>19</v>
      </c>
    </row>
    <row r="2428" spans="1:5" hidden="1" x14ac:dyDescent="0.25">
      <c r="A2428" s="115">
        <v>19.167999999999999</v>
      </c>
      <c r="B2428" s="115">
        <v>19.649999999999999</v>
      </c>
      <c r="C2428" s="1">
        <v>650</v>
      </c>
      <c r="D2428" s="1" t="s">
        <v>2625</v>
      </c>
      <c r="E2428" s="1">
        <v>19</v>
      </c>
    </row>
    <row r="2429" spans="1:5" hidden="1" x14ac:dyDescent="0.25">
      <c r="A2429" s="115">
        <v>19.169</v>
      </c>
      <c r="B2429" s="115">
        <v>19.66</v>
      </c>
      <c r="C2429" s="1">
        <v>660</v>
      </c>
      <c r="D2429" s="1" t="s">
        <v>2626</v>
      </c>
      <c r="E2429" s="1">
        <v>19</v>
      </c>
    </row>
    <row r="2430" spans="1:5" hidden="1" x14ac:dyDescent="0.25">
      <c r="A2430" s="115">
        <v>19.170000000000002</v>
      </c>
      <c r="B2430" s="115">
        <v>19.670000000000002</v>
      </c>
      <c r="C2430" s="1">
        <v>670</v>
      </c>
      <c r="D2430" s="1" t="s">
        <v>2627</v>
      </c>
      <c r="E2430" s="1">
        <v>19</v>
      </c>
    </row>
    <row r="2431" spans="1:5" hidden="1" x14ac:dyDescent="0.25">
      <c r="A2431" s="115">
        <v>19.170999999999999</v>
      </c>
      <c r="B2431" s="115">
        <v>19.68</v>
      </c>
      <c r="C2431" s="1">
        <v>680</v>
      </c>
      <c r="D2431" s="1" t="s">
        <v>2628</v>
      </c>
      <c r="E2431" s="1">
        <v>19</v>
      </c>
    </row>
    <row r="2432" spans="1:5" hidden="1" x14ac:dyDescent="0.25">
      <c r="A2432" s="115">
        <v>19.172000000000001</v>
      </c>
      <c r="B2432" s="115">
        <v>19.690000000000001</v>
      </c>
      <c r="C2432" s="1">
        <v>690</v>
      </c>
      <c r="D2432" s="1" t="s">
        <v>2629</v>
      </c>
      <c r="E2432" s="1">
        <v>19</v>
      </c>
    </row>
    <row r="2433" spans="1:5" hidden="1" x14ac:dyDescent="0.25">
      <c r="A2433" s="115">
        <v>19.172999999999998</v>
      </c>
      <c r="B2433" s="115">
        <v>19.7</v>
      </c>
      <c r="C2433" s="1">
        <v>700</v>
      </c>
      <c r="D2433" s="1" t="s">
        <v>2630</v>
      </c>
      <c r="E2433" s="1">
        <v>19</v>
      </c>
    </row>
    <row r="2434" spans="1:5" hidden="1" x14ac:dyDescent="0.25">
      <c r="A2434" s="115">
        <v>19.173999999999999</v>
      </c>
      <c r="B2434" s="115">
        <v>19.71</v>
      </c>
      <c r="C2434" s="1">
        <v>710</v>
      </c>
      <c r="D2434" s="1" t="s">
        <v>2631</v>
      </c>
      <c r="E2434" s="1">
        <v>19</v>
      </c>
    </row>
    <row r="2435" spans="1:5" hidden="1" x14ac:dyDescent="0.25">
      <c r="A2435" s="115">
        <v>19.175000000000001</v>
      </c>
      <c r="B2435" s="115">
        <v>19.72</v>
      </c>
      <c r="C2435" s="1">
        <v>720</v>
      </c>
      <c r="D2435" s="1" t="s">
        <v>2632</v>
      </c>
      <c r="E2435" s="1">
        <v>19</v>
      </c>
    </row>
    <row r="2436" spans="1:5" hidden="1" x14ac:dyDescent="0.25">
      <c r="A2436" s="115">
        <v>19.175999999999998</v>
      </c>
      <c r="B2436" s="115">
        <v>19.73</v>
      </c>
      <c r="C2436" s="1">
        <v>730</v>
      </c>
      <c r="D2436" s="1" t="s">
        <v>2633</v>
      </c>
      <c r="E2436" s="1">
        <v>19</v>
      </c>
    </row>
    <row r="2437" spans="1:5" hidden="1" x14ac:dyDescent="0.25">
      <c r="A2437" s="115">
        <v>19.177</v>
      </c>
      <c r="B2437" s="115">
        <v>19.739999999999998</v>
      </c>
      <c r="C2437" s="1">
        <v>740</v>
      </c>
      <c r="D2437" s="1" t="s">
        <v>2634</v>
      </c>
      <c r="E2437" s="1">
        <v>19</v>
      </c>
    </row>
    <row r="2438" spans="1:5" hidden="1" x14ac:dyDescent="0.25">
      <c r="A2438" s="115">
        <v>19.178000000000001</v>
      </c>
      <c r="B2438" s="115">
        <v>19.75</v>
      </c>
      <c r="C2438" s="1">
        <v>750</v>
      </c>
      <c r="D2438" s="1" t="s">
        <v>2635</v>
      </c>
      <c r="E2438" s="1">
        <v>19</v>
      </c>
    </row>
    <row r="2439" spans="1:5" hidden="1" x14ac:dyDescent="0.25">
      <c r="A2439" s="115">
        <v>19.178999999999998</v>
      </c>
      <c r="B2439" s="115">
        <v>19.754999999999999</v>
      </c>
      <c r="C2439" s="1">
        <v>755</v>
      </c>
      <c r="D2439" s="1" t="s">
        <v>1466</v>
      </c>
      <c r="E2439" s="1">
        <v>19</v>
      </c>
    </row>
    <row r="2440" spans="1:5" hidden="1" x14ac:dyDescent="0.25">
      <c r="A2440" s="115">
        <v>19.18</v>
      </c>
      <c r="B2440" s="115">
        <v>19.760000000000002</v>
      </c>
      <c r="C2440" s="1">
        <v>760</v>
      </c>
      <c r="D2440" s="1" t="s">
        <v>2636</v>
      </c>
      <c r="E2440" s="1">
        <v>19</v>
      </c>
    </row>
    <row r="2441" spans="1:5" hidden="1" x14ac:dyDescent="0.25">
      <c r="A2441" s="115">
        <v>19.181000000000001</v>
      </c>
      <c r="B2441" s="115">
        <v>19.77</v>
      </c>
      <c r="C2441" s="1">
        <v>770</v>
      </c>
      <c r="D2441" s="1" t="s">
        <v>2637</v>
      </c>
      <c r="E2441" s="1">
        <v>19</v>
      </c>
    </row>
    <row r="2442" spans="1:5" hidden="1" x14ac:dyDescent="0.25">
      <c r="A2442" s="115">
        <v>19.181999999999999</v>
      </c>
      <c r="B2442" s="115">
        <v>19.78</v>
      </c>
      <c r="C2442" s="1">
        <v>780</v>
      </c>
      <c r="D2442" s="1" t="s">
        <v>2638</v>
      </c>
      <c r="E2442" s="1">
        <v>19</v>
      </c>
    </row>
    <row r="2443" spans="1:5" hidden="1" x14ac:dyDescent="0.25">
      <c r="A2443" s="115">
        <v>19.183</v>
      </c>
      <c r="B2443" s="115">
        <v>19.79</v>
      </c>
      <c r="C2443" s="1">
        <v>790</v>
      </c>
      <c r="D2443" s="1" t="s">
        <v>2639</v>
      </c>
      <c r="E2443" s="1">
        <v>19</v>
      </c>
    </row>
    <row r="2444" spans="1:5" hidden="1" x14ac:dyDescent="0.25">
      <c r="A2444" s="115">
        <v>19.184000000000001</v>
      </c>
      <c r="B2444" s="115">
        <v>19.8</v>
      </c>
      <c r="C2444" s="1">
        <v>800</v>
      </c>
      <c r="D2444" s="1" t="s">
        <v>2640</v>
      </c>
      <c r="E2444" s="1">
        <v>19</v>
      </c>
    </row>
    <row r="2445" spans="1:5" hidden="1" x14ac:dyDescent="0.25">
      <c r="A2445" s="115">
        <v>19.184999999999999</v>
      </c>
      <c r="B2445" s="115">
        <v>19.805</v>
      </c>
      <c r="C2445" s="1">
        <v>805</v>
      </c>
      <c r="D2445" s="1" t="s">
        <v>2641</v>
      </c>
      <c r="E2445" s="1">
        <v>19</v>
      </c>
    </row>
    <row r="2446" spans="1:5" hidden="1" x14ac:dyDescent="0.25">
      <c r="A2446" s="115">
        <v>19.186</v>
      </c>
      <c r="B2446" s="115">
        <v>19.809999999999999</v>
      </c>
      <c r="C2446" s="1">
        <v>810</v>
      </c>
      <c r="D2446" s="1" t="s">
        <v>2642</v>
      </c>
      <c r="E2446" s="1">
        <v>19</v>
      </c>
    </row>
    <row r="2447" spans="1:5" hidden="1" x14ac:dyDescent="0.25">
      <c r="A2447" s="115">
        <v>19.187000000000001</v>
      </c>
      <c r="B2447" s="115">
        <v>19.82</v>
      </c>
      <c r="C2447" s="1">
        <v>820</v>
      </c>
      <c r="D2447" s="1" t="s">
        <v>2643</v>
      </c>
      <c r="E2447" s="1">
        <v>19</v>
      </c>
    </row>
    <row r="2448" spans="1:5" hidden="1" x14ac:dyDescent="0.25">
      <c r="A2448" s="115">
        <v>19.187999999999999</v>
      </c>
      <c r="B2448" s="115">
        <v>19.829999999999998</v>
      </c>
      <c r="C2448" s="1">
        <v>830</v>
      </c>
      <c r="D2448" s="1" t="s">
        <v>2644</v>
      </c>
      <c r="E2448" s="1">
        <v>19</v>
      </c>
    </row>
    <row r="2449" spans="1:5" hidden="1" x14ac:dyDescent="0.25">
      <c r="A2449" s="115">
        <v>19.189</v>
      </c>
      <c r="B2449" s="115">
        <v>19.84</v>
      </c>
      <c r="C2449" s="1">
        <v>840</v>
      </c>
      <c r="D2449" s="1" t="s">
        <v>2645</v>
      </c>
      <c r="E2449" s="1">
        <v>19</v>
      </c>
    </row>
    <row r="2450" spans="1:5" hidden="1" x14ac:dyDescent="0.25">
      <c r="A2450" s="115">
        <v>19.190000000000001</v>
      </c>
      <c r="B2450" s="115">
        <v>19.850000000000001</v>
      </c>
      <c r="C2450" s="1">
        <v>850</v>
      </c>
      <c r="D2450" s="1" t="s">
        <v>2646</v>
      </c>
      <c r="E2450" s="1">
        <v>19</v>
      </c>
    </row>
    <row r="2451" spans="1:5" hidden="1" x14ac:dyDescent="0.25">
      <c r="A2451" s="115">
        <v>19.190999999999999</v>
      </c>
      <c r="B2451" s="115">
        <v>19.86</v>
      </c>
      <c r="C2451" s="1">
        <v>860</v>
      </c>
      <c r="D2451" s="1" t="s">
        <v>2647</v>
      </c>
      <c r="E2451" s="1">
        <v>19</v>
      </c>
    </row>
    <row r="2452" spans="1:5" hidden="1" x14ac:dyDescent="0.25">
      <c r="A2452" s="115">
        <v>19.192</v>
      </c>
      <c r="B2452" s="115">
        <v>19.87</v>
      </c>
      <c r="C2452" s="1">
        <v>870</v>
      </c>
      <c r="D2452" s="1" t="s">
        <v>2648</v>
      </c>
      <c r="E2452" s="1">
        <v>19</v>
      </c>
    </row>
    <row r="2453" spans="1:5" hidden="1" x14ac:dyDescent="0.25">
      <c r="A2453" s="115">
        <v>19.193000000000001</v>
      </c>
      <c r="B2453" s="115">
        <v>19.88</v>
      </c>
      <c r="C2453" s="1">
        <v>880</v>
      </c>
      <c r="D2453" s="1" t="s">
        <v>2649</v>
      </c>
      <c r="E2453" s="1">
        <v>19</v>
      </c>
    </row>
    <row r="2454" spans="1:5" hidden="1" x14ac:dyDescent="0.25">
      <c r="A2454" s="115">
        <v>19.193999999999999</v>
      </c>
      <c r="B2454" s="115">
        <v>19.89</v>
      </c>
      <c r="C2454" s="1">
        <v>890</v>
      </c>
      <c r="D2454" s="1" t="s">
        <v>2650</v>
      </c>
      <c r="E2454" s="1">
        <v>19</v>
      </c>
    </row>
    <row r="2455" spans="1:5" hidden="1" x14ac:dyDescent="0.25">
      <c r="A2455" s="115">
        <v>19.195</v>
      </c>
      <c r="B2455" s="115">
        <v>19.895</v>
      </c>
      <c r="C2455" s="1">
        <v>895</v>
      </c>
      <c r="D2455" s="1" t="s">
        <v>2651</v>
      </c>
      <c r="E2455" s="1">
        <v>19</v>
      </c>
    </row>
    <row r="2456" spans="1:5" hidden="1" x14ac:dyDescent="0.25">
      <c r="A2456" s="115">
        <v>19.196000000000002</v>
      </c>
      <c r="B2456" s="115">
        <v>19.899999999999999</v>
      </c>
      <c r="C2456" s="1">
        <v>900</v>
      </c>
      <c r="D2456" s="1" t="s">
        <v>2652</v>
      </c>
      <c r="E2456" s="1">
        <v>19</v>
      </c>
    </row>
    <row r="2457" spans="1:5" hidden="1" x14ac:dyDescent="0.25">
      <c r="A2457" s="115">
        <v>19.196999999999999</v>
      </c>
      <c r="B2457" s="115">
        <v>19.91</v>
      </c>
      <c r="C2457" s="1">
        <v>910</v>
      </c>
      <c r="D2457" s="1" t="s">
        <v>2653</v>
      </c>
      <c r="E2457" s="1">
        <v>19</v>
      </c>
    </row>
    <row r="2458" spans="1:5" hidden="1" x14ac:dyDescent="0.25">
      <c r="A2458" s="115">
        <v>19.198</v>
      </c>
      <c r="B2458" s="115">
        <v>19.920000000000002</v>
      </c>
      <c r="C2458" s="1">
        <v>920</v>
      </c>
      <c r="D2458" s="1" t="s">
        <v>2654</v>
      </c>
      <c r="E2458" s="1">
        <v>19</v>
      </c>
    </row>
    <row r="2459" spans="1:5" hidden="1" x14ac:dyDescent="0.25">
      <c r="A2459" s="115">
        <v>19.199000000000002</v>
      </c>
      <c r="B2459" s="115">
        <v>19.925000000000001</v>
      </c>
      <c r="C2459" s="1">
        <v>925</v>
      </c>
      <c r="D2459" s="1" t="s">
        <v>2655</v>
      </c>
      <c r="E2459" s="1">
        <v>19</v>
      </c>
    </row>
    <row r="2460" spans="1:5" hidden="1" x14ac:dyDescent="0.25">
      <c r="A2460" s="115">
        <v>19.2</v>
      </c>
      <c r="B2460" s="115">
        <v>19.93</v>
      </c>
      <c r="C2460" s="1">
        <v>930</v>
      </c>
      <c r="D2460" s="1" t="s">
        <v>2656</v>
      </c>
      <c r="E2460" s="1">
        <v>19</v>
      </c>
    </row>
    <row r="2461" spans="1:5" hidden="1" x14ac:dyDescent="0.25">
      <c r="A2461" s="115">
        <v>19.201000000000001</v>
      </c>
      <c r="B2461" s="115">
        <v>19.934999999999999</v>
      </c>
      <c r="C2461" s="1">
        <v>935</v>
      </c>
      <c r="D2461" s="1" t="s">
        <v>2657</v>
      </c>
      <c r="E2461" s="1">
        <v>19</v>
      </c>
    </row>
    <row r="2462" spans="1:5" hidden="1" x14ac:dyDescent="0.25">
      <c r="A2462" s="115">
        <v>19.202000000000002</v>
      </c>
      <c r="B2462" s="115">
        <v>19.940000000000001</v>
      </c>
      <c r="C2462" s="1">
        <v>940</v>
      </c>
      <c r="D2462" s="1" t="s">
        <v>2658</v>
      </c>
      <c r="E2462" s="1">
        <v>19</v>
      </c>
    </row>
    <row r="2463" spans="1:5" hidden="1" x14ac:dyDescent="0.25">
      <c r="A2463" s="115">
        <v>19.202999999999999</v>
      </c>
      <c r="B2463" s="115">
        <v>19.95</v>
      </c>
      <c r="C2463" s="1">
        <v>950</v>
      </c>
      <c r="D2463" s="1" t="s">
        <v>2659</v>
      </c>
      <c r="E2463" s="1">
        <v>19</v>
      </c>
    </row>
    <row r="2464" spans="1:5" hidden="1" x14ac:dyDescent="0.25">
      <c r="A2464" s="115">
        <v>19.204000000000001</v>
      </c>
      <c r="B2464" s="115">
        <v>19.954999999999998</v>
      </c>
      <c r="C2464" s="1">
        <v>955</v>
      </c>
      <c r="D2464" s="1" t="s">
        <v>2660</v>
      </c>
      <c r="E2464" s="1">
        <v>19</v>
      </c>
    </row>
    <row r="2465" spans="1:5" hidden="1" x14ac:dyDescent="0.25">
      <c r="A2465" s="115">
        <v>19.204999999999998</v>
      </c>
      <c r="B2465" s="115">
        <v>19.96</v>
      </c>
      <c r="C2465" s="1">
        <v>960</v>
      </c>
      <c r="D2465" s="1" t="s">
        <v>2661</v>
      </c>
      <c r="E2465" s="1">
        <v>19</v>
      </c>
    </row>
    <row r="2466" spans="1:5" hidden="1" x14ac:dyDescent="0.25">
      <c r="A2466" s="115">
        <v>19.206</v>
      </c>
      <c r="B2466" s="115">
        <v>19.97</v>
      </c>
      <c r="C2466" s="1">
        <v>970</v>
      </c>
      <c r="D2466" s="1" t="s">
        <v>2662</v>
      </c>
      <c r="E2466" s="1">
        <v>19</v>
      </c>
    </row>
    <row r="2467" spans="1:5" hidden="1" x14ac:dyDescent="0.25">
      <c r="A2467" s="115">
        <v>19.207000000000001</v>
      </c>
      <c r="B2467" s="115">
        <v>19.98</v>
      </c>
      <c r="C2467" s="1">
        <v>980</v>
      </c>
      <c r="D2467" s="1" t="s">
        <v>2663</v>
      </c>
      <c r="E2467" s="1">
        <v>19</v>
      </c>
    </row>
    <row r="2468" spans="1:5" hidden="1" x14ac:dyDescent="0.25">
      <c r="A2468" s="115">
        <v>19.207999999999998</v>
      </c>
      <c r="B2468" s="115">
        <v>19.989999999999998</v>
      </c>
      <c r="C2468" s="1">
        <v>990</v>
      </c>
      <c r="D2468" s="1" t="s">
        <v>2664</v>
      </c>
      <c r="E2468" s="1">
        <v>19</v>
      </c>
    </row>
    <row r="2469" spans="1:5" hidden="1" x14ac:dyDescent="0.25">
      <c r="A2469" s="115">
        <v>19.209</v>
      </c>
      <c r="B2469" s="115">
        <v>19.100000000000001</v>
      </c>
      <c r="C2469" s="1">
        <v>1000</v>
      </c>
      <c r="D2469" s="1" t="s">
        <v>2665</v>
      </c>
      <c r="E2469" s="1">
        <v>19</v>
      </c>
    </row>
    <row r="2470" spans="1:5" hidden="1" x14ac:dyDescent="0.25">
      <c r="A2470" s="115">
        <v>19.21</v>
      </c>
      <c r="B2470" s="115">
        <v>19.11</v>
      </c>
      <c r="C2470" s="1">
        <v>1100</v>
      </c>
      <c r="D2470" s="1" t="s">
        <v>2666</v>
      </c>
      <c r="E2470" s="1">
        <v>19</v>
      </c>
    </row>
    <row r="2471" spans="1:5" hidden="1" x14ac:dyDescent="0.25">
      <c r="A2471" s="115">
        <v>19.210999999999999</v>
      </c>
      <c r="B2471" s="115">
        <v>19.111000000000001</v>
      </c>
      <c r="C2471" s="1">
        <v>1110</v>
      </c>
      <c r="D2471" s="1" t="s">
        <v>2667</v>
      </c>
      <c r="E2471" s="1">
        <v>19</v>
      </c>
    </row>
    <row r="2472" spans="1:5" hidden="1" x14ac:dyDescent="0.25">
      <c r="A2472" s="115">
        <v>19.212</v>
      </c>
      <c r="B2472" s="115">
        <v>19.111999999999998</v>
      </c>
      <c r="C2472" s="1">
        <v>1120</v>
      </c>
      <c r="D2472" s="1" t="s">
        <v>2668</v>
      </c>
      <c r="E2472" s="1">
        <v>19</v>
      </c>
    </row>
    <row r="2473" spans="1:5" hidden="1" x14ac:dyDescent="0.25">
      <c r="A2473" s="115">
        <v>19.213000000000001</v>
      </c>
      <c r="B2473" s="115">
        <v>19.113</v>
      </c>
      <c r="C2473" s="1">
        <v>1130</v>
      </c>
      <c r="D2473" s="1" t="s">
        <v>2669</v>
      </c>
      <c r="E2473" s="1">
        <v>19</v>
      </c>
    </row>
    <row r="2474" spans="1:5" hidden="1" x14ac:dyDescent="0.25">
      <c r="A2474" s="115">
        <v>19.213999999999999</v>
      </c>
      <c r="B2474" s="115">
        <v>19.114000000000001</v>
      </c>
      <c r="C2474" s="1">
        <v>1140</v>
      </c>
      <c r="D2474" s="1" t="s">
        <v>2670</v>
      </c>
      <c r="E2474" s="1">
        <v>19</v>
      </c>
    </row>
    <row r="2475" spans="1:5" hidden="1" x14ac:dyDescent="0.25">
      <c r="A2475" s="115">
        <v>19.215</v>
      </c>
      <c r="B2475" s="115">
        <v>19.114999999999998</v>
      </c>
      <c r="C2475" s="1">
        <v>1150</v>
      </c>
      <c r="D2475" s="1" t="s">
        <v>2671</v>
      </c>
      <c r="E2475" s="1">
        <v>19</v>
      </c>
    </row>
    <row r="2476" spans="1:5" hidden="1" x14ac:dyDescent="0.25">
      <c r="A2476" s="115">
        <v>19.216000000000001</v>
      </c>
      <c r="B2476" s="115">
        <v>19.116</v>
      </c>
      <c r="C2476" s="1">
        <v>1160</v>
      </c>
      <c r="D2476" s="1" t="s">
        <v>2672</v>
      </c>
      <c r="E2476" s="1">
        <v>19</v>
      </c>
    </row>
    <row r="2477" spans="1:5" hidden="1" x14ac:dyDescent="0.25">
      <c r="A2477" s="115">
        <v>19.216999999999999</v>
      </c>
      <c r="B2477" s="115">
        <v>19.117000000000001</v>
      </c>
      <c r="C2477" s="1">
        <v>1170</v>
      </c>
      <c r="D2477" s="1" t="s">
        <v>2673</v>
      </c>
      <c r="E2477" s="1">
        <v>19</v>
      </c>
    </row>
    <row r="2478" spans="1:5" hidden="1" x14ac:dyDescent="0.25">
      <c r="A2478" s="115">
        <v>19.218</v>
      </c>
      <c r="B2478" s="115">
        <v>19.117999999999999</v>
      </c>
      <c r="C2478" s="1">
        <v>1180</v>
      </c>
      <c r="D2478" s="1" t="s">
        <v>2674</v>
      </c>
      <c r="E2478" s="1">
        <v>19</v>
      </c>
    </row>
    <row r="2479" spans="1:5" hidden="1" x14ac:dyDescent="0.25">
      <c r="A2479" s="115">
        <v>19.219000000000001</v>
      </c>
      <c r="B2479" s="115">
        <v>19.119</v>
      </c>
      <c r="C2479" s="1">
        <v>1190</v>
      </c>
      <c r="D2479" s="1" t="s">
        <v>2675</v>
      </c>
      <c r="E2479" s="1">
        <v>19</v>
      </c>
    </row>
    <row r="2480" spans="1:5" hidden="1" x14ac:dyDescent="0.25">
      <c r="A2480" s="115">
        <v>19.22</v>
      </c>
      <c r="B2480" s="115">
        <v>19.12</v>
      </c>
      <c r="C2480" s="1">
        <v>1200</v>
      </c>
      <c r="D2480" s="1" t="s">
        <v>2676</v>
      </c>
      <c r="E2480" s="1">
        <v>19</v>
      </c>
    </row>
    <row r="2481" spans="1:5" hidden="1" x14ac:dyDescent="0.25">
      <c r="A2481" s="115">
        <v>19.221</v>
      </c>
      <c r="B2481" s="115">
        <v>19.120999999999999</v>
      </c>
      <c r="C2481" s="1">
        <v>1210</v>
      </c>
      <c r="D2481" s="1" t="s">
        <v>2677</v>
      </c>
      <c r="E2481" s="1">
        <v>19</v>
      </c>
    </row>
    <row r="2482" spans="1:5" hidden="1" x14ac:dyDescent="0.25">
      <c r="A2482" s="115">
        <v>19.222000000000001</v>
      </c>
      <c r="B2482" s="115">
        <v>19.122</v>
      </c>
      <c r="C2482" s="1">
        <v>1220</v>
      </c>
      <c r="D2482" s="1" t="s">
        <v>2678</v>
      </c>
      <c r="E2482" s="1">
        <v>19</v>
      </c>
    </row>
    <row r="2483" spans="1:5" hidden="1" x14ac:dyDescent="0.25">
      <c r="A2483" s="115">
        <v>19.222999999999999</v>
      </c>
      <c r="B2483" s="115">
        <v>19.123000000000001</v>
      </c>
      <c r="C2483" s="1">
        <v>1230</v>
      </c>
      <c r="D2483" s="1" t="s">
        <v>2679</v>
      </c>
      <c r="E2483" s="1">
        <v>19</v>
      </c>
    </row>
    <row r="2484" spans="1:5" hidden="1" x14ac:dyDescent="0.25">
      <c r="A2484" s="115">
        <v>19.224</v>
      </c>
      <c r="B2484" s="115">
        <v>19.123999999999999</v>
      </c>
      <c r="C2484" s="1">
        <v>1240</v>
      </c>
      <c r="D2484" s="1" t="s">
        <v>2680</v>
      </c>
      <c r="E2484" s="1">
        <v>19</v>
      </c>
    </row>
    <row r="2485" spans="1:5" hidden="1" x14ac:dyDescent="0.25">
      <c r="A2485" s="115">
        <v>19.225000000000001</v>
      </c>
      <c r="B2485" s="115">
        <v>19.125</v>
      </c>
      <c r="C2485" s="1">
        <v>1250</v>
      </c>
      <c r="D2485" s="1" t="s">
        <v>2681</v>
      </c>
      <c r="E2485" s="1">
        <v>19</v>
      </c>
    </row>
    <row r="2486" spans="1:5" hidden="1" x14ac:dyDescent="0.25">
      <c r="A2486" s="115">
        <v>19.225999999999999</v>
      </c>
      <c r="B2486" s="115">
        <v>19.126000000000001</v>
      </c>
      <c r="C2486" s="1">
        <v>1260</v>
      </c>
      <c r="D2486" s="1" t="s">
        <v>2682</v>
      </c>
      <c r="E2486" s="1">
        <v>19</v>
      </c>
    </row>
    <row r="2487" spans="1:5" hidden="1" x14ac:dyDescent="0.25">
      <c r="A2487" s="115">
        <v>19.227</v>
      </c>
      <c r="B2487" s="115">
        <v>19.126999999999999</v>
      </c>
      <c r="C2487" s="1">
        <v>1270</v>
      </c>
      <c r="D2487" s="1" t="s">
        <v>2683</v>
      </c>
      <c r="E2487" s="1">
        <v>19</v>
      </c>
    </row>
    <row r="2488" spans="1:5" hidden="1" x14ac:dyDescent="0.25">
      <c r="A2488" s="115">
        <v>19.228000000000002</v>
      </c>
      <c r="B2488" s="115">
        <v>19.128</v>
      </c>
      <c r="C2488" s="1">
        <v>1280</v>
      </c>
      <c r="D2488" s="1" t="s">
        <v>2684</v>
      </c>
      <c r="E2488" s="1">
        <v>19</v>
      </c>
    </row>
    <row r="2489" spans="1:5" hidden="1" x14ac:dyDescent="0.25">
      <c r="A2489" s="115">
        <v>19.228999999999999</v>
      </c>
      <c r="B2489" s="115">
        <v>19.13</v>
      </c>
      <c r="C2489" s="1">
        <v>1300</v>
      </c>
      <c r="D2489" s="1" t="s">
        <v>2685</v>
      </c>
      <c r="E2489" s="1">
        <v>19</v>
      </c>
    </row>
    <row r="2490" spans="1:5" hidden="1" x14ac:dyDescent="0.25">
      <c r="A2490" s="115">
        <v>19.23</v>
      </c>
      <c r="B2490" s="115">
        <v>19.131</v>
      </c>
      <c r="C2490" s="1">
        <v>1310</v>
      </c>
      <c r="D2490" s="1" t="s">
        <v>2686</v>
      </c>
      <c r="E2490" s="1">
        <v>19</v>
      </c>
    </row>
    <row r="2491" spans="1:5" hidden="1" x14ac:dyDescent="0.25">
      <c r="A2491" s="115">
        <v>19.231000000000002</v>
      </c>
      <c r="B2491" s="115">
        <v>19.132000000000001</v>
      </c>
      <c r="C2491" s="1">
        <v>1320</v>
      </c>
      <c r="D2491" s="1" t="s">
        <v>2687</v>
      </c>
      <c r="E2491" s="1">
        <v>19</v>
      </c>
    </row>
    <row r="2492" spans="1:5" hidden="1" x14ac:dyDescent="0.25">
      <c r="A2492" s="115">
        <v>20.100999999999999</v>
      </c>
      <c r="B2492" s="115">
        <v>20.100000000000001</v>
      </c>
      <c r="C2492" s="1">
        <v>10</v>
      </c>
      <c r="D2492" s="1" t="s">
        <v>2559</v>
      </c>
      <c r="E2492" s="1">
        <v>20</v>
      </c>
    </row>
    <row r="2493" spans="1:5" hidden="1" x14ac:dyDescent="0.25">
      <c r="A2493" s="115">
        <v>20.102</v>
      </c>
      <c r="B2493" s="115">
        <v>20.2</v>
      </c>
      <c r="C2493" s="1">
        <v>20</v>
      </c>
      <c r="D2493" s="1" t="s">
        <v>2560</v>
      </c>
      <c r="E2493" s="1">
        <v>20</v>
      </c>
    </row>
    <row r="2494" spans="1:5" hidden="1" x14ac:dyDescent="0.25">
      <c r="A2494" s="115">
        <v>20.103000000000002</v>
      </c>
      <c r="B2494" s="115">
        <v>20.3</v>
      </c>
      <c r="C2494" s="1">
        <v>30</v>
      </c>
      <c r="D2494" s="1" t="s">
        <v>2561</v>
      </c>
      <c r="E2494" s="1">
        <v>20</v>
      </c>
    </row>
    <row r="2495" spans="1:5" hidden="1" x14ac:dyDescent="0.25">
      <c r="A2495" s="115">
        <v>20.103999999999999</v>
      </c>
      <c r="B2495" s="115">
        <v>20.399999999999999</v>
      </c>
      <c r="C2495" s="1">
        <v>40</v>
      </c>
      <c r="D2495" s="1" t="s">
        <v>2562</v>
      </c>
      <c r="E2495" s="1">
        <v>20</v>
      </c>
    </row>
    <row r="2496" spans="1:5" hidden="1" x14ac:dyDescent="0.25">
      <c r="A2496" s="115">
        <v>20.105</v>
      </c>
      <c r="B2496" s="115">
        <v>20.5</v>
      </c>
      <c r="C2496" s="1">
        <v>50</v>
      </c>
      <c r="D2496" s="1" t="s">
        <v>2563</v>
      </c>
      <c r="E2496" s="1">
        <v>20</v>
      </c>
    </row>
    <row r="2497" spans="1:5" hidden="1" x14ac:dyDescent="0.25">
      <c r="A2497" s="115">
        <v>20.106000000000002</v>
      </c>
      <c r="B2497" s="115">
        <v>20.6</v>
      </c>
      <c r="C2497" s="1">
        <v>60</v>
      </c>
      <c r="D2497" s="1" t="s">
        <v>2564</v>
      </c>
      <c r="E2497" s="1">
        <v>20</v>
      </c>
    </row>
    <row r="2498" spans="1:5" hidden="1" x14ac:dyDescent="0.25">
      <c r="A2498" s="115">
        <v>20.106999999999999</v>
      </c>
      <c r="B2498" s="115">
        <v>20.7</v>
      </c>
      <c r="C2498" s="1">
        <v>70</v>
      </c>
      <c r="D2498" s="1" t="s">
        <v>2565</v>
      </c>
      <c r="E2498" s="1">
        <v>20</v>
      </c>
    </row>
    <row r="2499" spans="1:5" hidden="1" x14ac:dyDescent="0.25">
      <c r="A2499" s="115">
        <v>20.108000000000001</v>
      </c>
      <c r="B2499" s="115">
        <v>20.8</v>
      </c>
      <c r="C2499" s="1">
        <v>80</v>
      </c>
      <c r="D2499" s="1" t="s">
        <v>2566</v>
      </c>
      <c r="E2499" s="1">
        <v>20</v>
      </c>
    </row>
    <row r="2500" spans="1:5" hidden="1" x14ac:dyDescent="0.25">
      <c r="A2500" s="115">
        <v>20.109000000000002</v>
      </c>
      <c r="B2500" s="115">
        <v>20.9</v>
      </c>
      <c r="C2500" s="1">
        <v>90</v>
      </c>
      <c r="D2500" s="1" t="s">
        <v>2567</v>
      </c>
      <c r="E2500" s="1">
        <v>20</v>
      </c>
    </row>
    <row r="2501" spans="1:5" hidden="1" x14ac:dyDescent="0.25">
      <c r="A2501" s="115">
        <v>20.11</v>
      </c>
      <c r="B2501" s="115">
        <v>20.100000000000001</v>
      </c>
      <c r="C2501" s="1">
        <v>100</v>
      </c>
      <c r="D2501" s="1" t="s">
        <v>2568</v>
      </c>
      <c r="E2501" s="1">
        <v>20</v>
      </c>
    </row>
    <row r="2502" spans="1:5" hidden="1" x14ac:dyDescent="0.25">
      <c r="A2502" s="115">
        <v>20.111000000000001</v>
      </c>
      <c r="B2502" s="115">
        <v>20.11</v>
      </c>
      <c r="C2502" s="1">
        <v>110</v>
      </c>
      <c r="D2502" s="1" t="s">
        <v>2569</v>
      </c>
      <c r="E2502" s="1">
        <v>20</v>
      </c>
    </row>
    <row r="2503" spans="1:5" hidden="1" x14ac:dyDescent="0.25">
      <c r="A2503" s="115">
        <v>20.111999999999998</v>
      </c>
      <c r="B2503" s="115">
        <v>20.12</v>
      </c>
      <c r="C2503" s="1">
        <v>120</v>
      </c>
      <c r="D2503" s="1" t="s">
        <v>2570</v>
      </c>
      <c r="E2503" s="1">
        <v>20</v>
      </c>
    </row>
    <row r="2504" spans="1:5" hidden="1" x14ac:dyDescent="0.25">
      <c r="A2504" s="115">
        <v>20.113</v>
      </c>
      <c r="B2504" s="115">
        <v>20.13</v>
      </c>
      <c r="C2504" s="1">
        <v>130</v>
      </c>
      <c r="D2504" s="1" t="s">
        <v>2571</v>
      </c>
      <c r="E2504" s="1">
        <v>20</v>
      </c>
    </row>
    <row r="2505" spans="1:5" hidden="1" x14ac:dyDescent="0.25">
      <c r="A2505" s="115">
        <v>20.114000000000001</v>
      </c>
      <c r="B2505" s="115">
        <v>20.14</v>
      </c>
      <c r="C2505" s="1">
        <v>140</v>
      </c>
      <c r="D2505" s="1" t="s">
        <v>2572</v>
      </c>
      <c r="E2505" s="1">
        <v>20</v>
      </c>
    </row>
    <row r="2506" spans="1:5" hidden="1" x14ac:dyDescent="0.25">
      <c r="A2506" s="115">
        <v>20.114999999999998</v>
      </c>
      <c r="B2506" s="115">
        <v>20.149999999999999</v>
      </c>
      <c r="C2506" s="1">
        <v>150</v>
      </c>
      <c r="D2506" s="1" t="s">
        <v>2573</v>
      </c>
      <c r="E2506" s="1">
        <v>20</v>
      </c>
    </row>
    <row r="2507" spans="1:5" hidden="1" x14ac:dyDescent="0.25">
      <c r="A2507" s="115">
        <v>20.116</v>
      </c>
      <c r="B2507" s="115">
        <v>20.16</v>
      </c>
      <c r="C2507" s="1">
        <v>160</v>
      </c>
      <c r="D2507" s="1" t="s">
        <v>2574</v>
      </c>
      <c r="E2507" s="1">
        <v>20</v>
      </c>
    </row>
    <row r="2508" spans="1:5" hidden="1" x14ac:dyDescent="0.25">
      <c r="A2508" s="115">
        <v>20.117000000000001</v>
      </c>
      <c r="B2508" s="115">
        <v>20.170000000000002</v>
      </c>
      <c r="C2508" s="1">
        <v>170</v>
      </c>
      <c r="D2508" s="1" t="s">
        <v>2575</v>
      </c>
      <c r="E2508" s="1">
        <v>20</v>
      </c>
    </row>
    <row r="2509" spans="1:5" hidden="1" x14ac:dyDescent="0.25">
      <c r="A2509" s="115">
        <v>20.117999999999999</v>
      </c>
      <c r="B2509" s="115">
        <v>20.18</v>
      </c>
      <c r="C2509" s="1">
        <v>180</v>
      </c>
      <c r="D2509" s="1" t="s">
        <v>2576</v>
      </c>
      <c r="E2509" s="1">
        <v>20</v>
      </c>
    </row>
    <row r="2510" spans="1:5" hidden="1" x14ac:dyDescent="0.25">
      <c r="A2510" s="115">
        <v>20.119</v>
      </c>
      <c r="B2510" s="115">
        <v>20.190000000000001</v>
      </c>
      <c r="C2510" s="1">
        <v>190</v>
      </c>
      <c r="D2510" s="1" t="s">
        <v>2577</v>
      </c>
      <c r="E2510" s="1">
        <v>20</v>
      </c>
    </row>
    <row r="2511" spans="1:5" hidden="1" x14ac:dyDescent="0.25">
      <c r="A2511" s="115">
        <v>20.12</v>
      </c>
      <c r="B2511" s="115">
        <v>20.2</v>
      </c>
      <c r="C2511" s="1">
        <v>200</v>
      </c>
      <c r="D2511" s="1" t="s">
        <v>2578</v>
      </c>
      <c r="E2511" s="1">
        <v>20</v>
      </c>
    </row>
    <row r="2512" spans="1:5" hidden="1" x14ac:dyDescent="0.25">
      <c r="A2512" s="115">
        <v>20.120999999999999</v>
      </c>
      <c r="B2512" s="115">
        <v>20.21</v>
      </c>
      <c r="C2512" s="1">
        <v>210</v>
      </c>
      <c r="D2512" s="1" t="s">
        <v>2579</v>
      </c>
      <c r="E2512" s="1">
        <v>20</v>
      </c>
    </row>
    <row r="2513" spans="1:5" hidden="1" x14ac:dyDescent="0.25">
      <c r="A2513" s="115">
        <v>20.122</v>
      </c>
      <c r="B2513" s="115">
        <v>20.22</v>
      </c>
      <c r="C2513" s="1">
        <v>220</v>
      </c>
      <c r="D2513" s="1" t="s">
        <v>2580</v>
      </c>
      <c r="E2513" s="1">
        <v>20</v>
      </c>
    </row>
    <row r="2514" spans="1:5" hidden="1" x14ac:dyDescent="0.25">
      <c r="A2514" s="115">
        <v>20.123000000000001</v>
      </c>
      <c r="B2514" s="115">
        <v>20.23</v>
      </c>
      <c r="C2514" s="1">
        <v>230</v>
      </c>
      <c r="D2514" s="1" t="s">
        <v>2581</v>
      </c>
      <c r="E2514" s="1">
        <v>20</v>
      </c>
    </row>
    <row r="2515" spans="1:5" hidden="1" x14ac:dyDescent="0.25">
      <c r="A2515" s="115">
        <v>20.123999999999999</v>
      </c>
      <c r="B2515" s="115">
        <v>20.239999999999998</v>
      </c>
      <c r="C2515" s="1">
        <v>240</v>
      </c>
      <c r="D2515" s="1" t="s">
        <v>2582</v>
      </c>
      <c r="E2515" s="1">
        <v>20</v>
      </c>
    </row>
    <row r="2516" spans="1:5" hidden="1" x14ac:dyDescent="0.25">
      <c r="A2516" s="115">
        <v>20.125</v>
      </c>
      <c r="B2516" s="115">
        <v>20.25</v>
      </c>
      <c r="C2516" s="1">
        <v>250</v>
      </c>
      <c r="D2516" s="1" t="s">
        <v>2583</v>
      </c>
      <c r="E2516" s="1">
        <v>20</v>
      </c>
    </row>
    <row r="2517" spans="1:5" hidden="1" x14ac:dyDescent="0.25">
      <c r="A2517" s="115">
        <v>20.126000000000001</v>
      </c>
      <c r="B2517" s="115">
        <v>20.260000000000002</v>
      </c>
      <c r="C2517" s="1">
        <v>260</v>
      </c>
      <c r="D2517" s="1" t="s">
        <v>2584</v>
      </c>
      <c r="E2517" s="1">
        <v>20</v>
      </c>
    </row>
    <row r="2518" spans="1:5" hidden="1" x14ac:dyDescent="0.25">
      <c r="A2518" s="115">
        <v>20.126999999999999</v>
      </c>
      <c r="B2518" s="115">
        <v>20.27</v>
      </c>
      <c r="C2518" s="1">
        <v>270</v>
      </c>
      <c r="D2518" s="1" t="s">
        <v>2585</v>
      </c>
      <c r="E2518" s="1">
        <v>20</v>
      </c>
    </row>
    <row r="2519" spans="1:5" hidden="1" x14ac:dyDescent="0.25">
      <c r="A2519" s="115">
        <v>20.128</v>
      </c>
      <c r="B2519" s="115">
        <v>20.28</v>
      </c>
      <c r="C2519" s="1">
        <v>280</v>
      </c>
      <c r="D2519" s="1" t="s">
        <v>2586</v>
      </c>
      <c r="E2519" s="1">
        <v>20</v>
      </c>
    </row>
    <row r="2520" spans="1:5" hidden="1" x14ac:dyDescent="0.25">
      <c r="A2520" s="115">
        <v>20.129000000000001</v>
      </c>
      <c r="B2520" s="115">
        <v>20.29</v>
      </c>
      <c r="C2520" s="1">
        <v>290</v>
      </c>
      <c r="D2520" s="1" t="s">
        <v>2587</v>
      </c>
      <c r="E2520" s="1">
        <v>20</v>
      </c>
    </row>
    <row r="2521" spans="1:5" hidden="1" x14ac:dyDescent="0.25">
      <c r="A2521" s="115">
        <v>20.13</v>
      </c>
      <c r="B2521" s="115">
        <v>20.3</v>
      </c>
      <c r="C2521" s="1">
        <v>300</v>
      </c>
      <c r="D2521" s="1" t="s">
        <v>2588</v>
      </c>
      <c r="E2521" s="1">
        <v>20</v>
      </c>
    </row>
    <row r="2522" spans="1:5" hidden="1" x14ac:dyDescent="0.25">
      <c r="A2522" s="115">
        <v>20.131</v>
      </c>
      <c r="B2522" s="115">
        <v>20.309999999999999</v>
      </c>
      <c r="C2522" s="1">
        <v>310</v>
      </c>
      <c r="D2522" s="1" t="s">
        <v>2589</v>
      </c>
      <c r="E2522" s="1">
        <v>20</v>
      </c>
    </row>
    <row r="2523" spans="1:5" hidden="1" x14ac:dyDescent="0.25">
      <c r="A2523" s="115">
        <v>20.132000000000001</v>
      </c>
      <c r="B2523" s="115">
        <v>20.32</v>
      </c>
      <c r="C2523" s="1">
        <v>320</v>
      </c>
      <c r="D2523" s="1" t="s">
        <v>2590</v>
      </c>
      <c r="E2523" s="1">
        <v>20</v>
      </c>
    </row>
    <row r="2524" spans="1:5" hidden="1" x14ac:dyDescent="0.25">
      <c r="A2524" s="115">
        <v>20.132999999999999</v>
      </c>
      <c r="B2524" s="115">
        <v>20.329999999999998</v>
      </c>
      <c r="C2524" s="1">
        <v>330</v>
      </c>
      <c r="D2524" s="1" t="s">
        <v>2591</v>
      </c>
      <c r="E2524" s="1">
        <v>20</v>
      </c>
    </row>
    <row r="2525" spans="1:5" hidden="1" x14ac:dyDescent="0.25">
      <c r="A2525" s="115">
        <v>20.134</v>
      </c>
      <c r="B2525" s="115">
        <v>20.34</v>
      </c>
      <c r="C2525" s="1">
        <v>340</v>
      </c>
      <c r="D2525" s="1" t="s">
        <v>2592</v>
      </c>
      <c r="E2525" s="1">
        <v>20</v>
      </c>
    </row>
    <row r="2526" spans="1:5" hidden="1" x14ac:dyDescent="0.25">
      <c r="A2526" s="115">
        <v>20.135000000000002</v>
      </c>
      <c r="B2526" s="115">
        <v>20.350000000000001</v>
      </c>
      <c r="C2526" s="1">
        <v>350</v>
      </c>
      <c r="D2526" s="1" t="s">
        <v>2593</v>
      </c>
      <c r="E2526" s="1">
        <v>20</v>
      </c>
    </row>
    <row r="2527" spans="1:5" hidden="1" x14ac:dyDescent="0.25">
      <c r="A2527" s="115">
        <v>20.135999999999999</v>
      </c>
      <c r="B2527" s="115">
        <v>20.36</v>
      </c>
      <c r="C2527" s="1">
        <v>360</v>
      </c>
      <c r="D2527" s="1" t="s">
        <v>2594</v>
      </c>
      <c r="E2527" s="1">
        <v>20</v>
      </c>
    </row>
    <row r="2528" spans="1:5" hidden="1" x14ac:dyDescent="0.25">
      <c r="A2528" s="115">
        <v>20.137</v>
      </c>
      <c r="B2528" s="115">
        <v>20.37</v>
      </c>
      <c r="C2528" s="1">
        <v>370</v>
      </c>
      <c r="D2528" s="1" t="s">
        <v>2595</v>
      </c>
      <c r="E2528" s="1">
        <v>20</v>
      </c>
    </row>
    <row r="2529" spans="1:5" hidden="1" x14ac:dyDescent="0.25">
      <c r="A2529" s="115">
        <v>20.138000000000002</v>
      </c>
      <c r="B2529" s="115">
        <v>20.38</v>
      </c>
      <c r="C2529" s="1">
        <v>380</v>
      </c>
      <c r="D2529" s="1" t="s">
        <v>2596</v>
      </c>
      <c r="E2529" s="1">
        <v>20</v>
      </c>
    </row>
    <row r="2530" spans="1:5" hidden="1" x14ac:dyDescent="0.25">
      <c r="A2530" s="115">
        <v>20.138999999999999</v>
      </c>
      <c r="B2530" s="115">
        <v>20.39</v>
      </c>
      <c r="C2530" s="1">
        <v>390</v>
      </c>
      <c r="D2530" s="1" t="s">
        <v>2597</v>
      </c>
      <c r="E2530" s="1">
        <v>20</v>
      </c>
    </row>
    <row r="2531" spans="1:5" hidden="1" x14ac:dyDescent="0.25">
      <c r="A2531" s="115">
        <v>20.14</v>
      </c>
      <c r="B2531" s="115">
        <v>20.399999999999999</v>
      </c>
      <c r="C2531" s="1">
        <v>400</v>
      </c>
      <c r="D2531" s="1" t="s">
        <v>2598</v>
      </c>
      <c r="E2531" s="1">
        <v>20</v>
      </c>
    </row>
    <row r="2532" spans="1:5" hidden="1" x14ac:dyDescent="0.25">
      <c r="A2532" s="115">
        <v>20.140999999999998</v>
      </c>
      <c r="B2532" s="115">
        <v>20.41</v>
      </c>
      <c r="C2532" s="1">
        <v>410</v>
      </c>
      <c r="D2532" s="1" t="s">
        <v>2599</v>
      </c>
      <c r="E2532" s="1">
        <v>20</v>
      </c>
    </row>
    <row r="2533" spans="1:5" hidden="1" x14ac:dyDescent="0.25">
      <c r="A2533" s="115">
        <v>20.141999999999999</v>
      </c>
      <c r="B2533" s="115">
        <v>20.420000000000002</v>
      </c>
      <c r="C2533" s="1">
        <v>420</v>
      </c>
      <c r="D2533" s="1" t="s">
        <v>2600</v>
      </c>
      <c r="E2533" s="1">
        <v>20</v>
      </c>
    </row>
    <row r="2534" spans="1:5" hidden="1" x14ac:dyDescent="0.25">
      <c r="A2534" s="115">
        <v>20.143000000000001</v>
      </c>
      <c r="B2534" s="115">
        <v>20.43</v>
      </c>
      <c r="C2534" s="1">
        <v>430</v>
      </c>
      <c r="D2534" s="1" t="s">
        <v>2601</v>
      </c>
      <c r="E2534" s="1">
        <v>20</v>
      </c>
    </row>
    <row r="2535" spans="1:5" hidden="1" x14ac:dyDescent="0.25">
      <c r="A2535" s="115">
        <v>20.143999999999998</v>
      </c>
      <c r="B2535" s="115">
        <v>20.440000000000001</v>
      </c>
      <c r="C2535" s="1">
        <v>440</v>
      </c>
      <c r="D2535" s="1" t="s">
        <v>2602</v>
      </c>
      <c r="E2535" s="1">
        <v>20</v>
      </c>
    </row>
    <row r="2536" spans="1:5" hidden="1" x14ac:dyDescent="0.25">
      <c r="A2536" s="115">
        <v>20.145</v>
      </c>
      <c r="B2536" s="115">
        <v>20.445</v>
      </c>
      <c r="C2536" s="1">
        <v>445</v>
      </c>
      <c r="D2536" s="1" t="s">
        <v>2603</v>
      </c>
      <c r="E2536" s="1">
        <v>20</v>
      </c>
    </row>
    <row r="2537" spans="1:5" hidden="1" x14ac:dyDescent="0.25">
      <c r="A2537" s="115">
        <v>20.146000000000001</v>
      </c>
      <c r="B2537" s="115">
        <v>20.45</v>
      </c>
      <c r="C2537" s="1">
        <v>450</v>
      </c>
      <c r="D2537" s="1" t="s">
        <v>2604</v>
      </c>
      <c r="E2537" s="1">
        <v>20</v>
      </c>
    </row>
    <row r="2538" spans="1:5" hidden="1" x14ac:dyDescent="0.25">
      <c r="A2538" s="115">
        <v>20.146999999999998</v>
      </c>
      <c r="B2538" s="115">
        <v>20.46</v>
      </c>
      <c r="C2538" s="1">
        <v>460</v>
      </c>
      <c r="D2538" s="1" t="s">
        <v>2605</v>
      </c>
      <c r="E2538" s="1">
        <v>20</v>
      </c>
    </row>
    <row r="2539" spans="1:5" hidden="1" x14ac:dyDescent="0.25">
      <c r="A2539" s="115">
        <v>20.148</v>
      </c>
      <c r="B2539" s="115">
        <v>20.47</v>
      </c>
      <c r="C2539" s="1">
        <v>470</v>
      </c>
      <c r="D2539" s="1" t="s">
        <v>2606</v>
      </c>
      <c r="E2539" s="1">
        <v>20</v>
      </c>
    </row>
    <row r="2540" spans="1:5" hidden="1" x14ac:dyDescent="0.25">
      <c r="A2540" s="115">
        <v>20.149000000000001</v>
      </c>
      <c r="B2540" s="115">
        <v>20.48</v>
      </c>
      <c r="C2540" s="1">
        <v>480</v>
      </c>
      <c r="D2540" s="1" t="s">
        <v>2607</v>
      </c>
      <c r="E2540" s="1">
        <v>20</v>
      </c>
    </row>
    <row r="2541" spans="1:5" hidden="1" x14ac:dyDescent="0.25">
      <c r="A2541" s="115">
        <v>20.149999999999999</v>
      </c>
      <c r="B2541" s="115">
        <v>20.49</v>
      </c>
      <c r="C2541" s="1">
        <v>490</v>
      </c>
      <c r="D2541" s="1" t="s">
        <v>2608</v>
      </c>
      <c r="E2541" s="1">
        <v>20</v>
      </c>
    </row>
    <row r="2542" spans="1:5" hidden="1" x14ac:dyDescent="0.25">
      <c r="A2542" s="115">
        <v>20.151</v>
      </c>
      <c r="B2542" s="115">
        <v>20.5</v>
      </c>
      <c r="C2542" s="1">
        <v>500</v>
      </c>
      <c r="D2542" s="1" t="s">
        <v>2609</v>
      </c>
      <c r="E2542" s="1">
        <v>20</v>
      </c>
    </row>
    <row r="2543" spans="1:5" hidden="1" x14ac:dyDescent="0.25">
      <c r="A2543" s="115">
        <v>20.152000000000001</v>
      </c>
      <c r="B2543" s="115">
        <v>20.51</v>
      </c>
      <c r="C2543" s="1">
        <v>510</v>
      </c>
      <c r="D2543" s="1" t="s">
        <v>2610</v>
      </c>
      <c r="E2543" s="1">
        <v>20</v>
      </c>
    </row>
    <row r="2544" spans="1:5" hidden="1" x14ac:dyDescent="0.25">
      <c r="A2544" s="115">
        <v>20.152999999999999</v>
      </c>
      <c r="B2544" s="115">
        <v>20.52</v>
      </c>
      <c r="C2544" s="1">
        <v>520</v>
      </c>
      <c r="D2544" s="1" t="s">
        <v>2611</v>
      </c>
      <c r="E2544" s="1">
        <v>20</v>
      </c>
    </row>
    <row r="2545" spans="1:5" hidden="1" x14ac:dyDescent="0.25">
      <c r="A2545" s="115">
        <v>20.154</v>
      </c>
      <c r="B2545" s="115">
        <v>20.53</v>
      </c>
      <c r="C2545" s="1">
        <v>530</v>
      </c>
      <c r="D2545" s="1" t="s">
        <v>2612</v>
      </c>
      <c r="E2545" s="1">
        <v>20</v>
      </c>
    </row>
    <row r="2546" spans="1:5" hidden="1" x14ac:dyDescent="0.25">
      <c r="A2546" s="115">
        <v>20.155000000000001</v>
      </c>
      <c r="B2546" s="115">
        <v>20.54</v>
      </c>
      <c r="C2546" s="1">
        <v>540</v>
      </c>
      <c r="D2546" s="1" t="s">
        <v>2613</v>
      </c>
      <c r="E2546" s="1">
        <v>20</v>
      </c>
    </row>
    <row r="2547" spans="1:5" hidden="1" x14ac:dyDescent="0.25">
      <c r="A2547" s="115">
        <v>20.155999999999999</v>
      </c>
      <c r="B2547" s="115">
        <v>20.55</v>
      </c>
      <c r="C2547" s="1">
        <v>550</v>
      </c>
      <c r="D2547" s="1" t="s">
        <v>2614</v>
      </c>
      <c r="E2547" s="1">
        <v>20</v>
      </c>
    </row>
    <row r="2548" spans="1:5" hidden="1" x14ac:dyDescent="0.25">
      <c r="A2548" s="115">
        <v>20.157</v>
      </c>
      <c r="B2548" s="115">
        <v>20.56</v>
      </c>
      <c r="C2548" s="1">
        <v>560</v>
      </c>
      <c r="D2548" s="1" t="s">
        <v>2615</v>
      </c>
      <c r="E2548" s="1">
        <v>20</v>
      </c>
    </row>
    <row r="2549" spans="1:5" hidden="1" x14ac:dyDescent="0.25">
      <c r="A2549" s="115">
        <v>20.158000000000001</v>
      </c>
      <c r="B2549" s="115">
        <v>20.57</v>
      </c>
      <c r="C2549" s="1">
        <v>570</v>
      </c>
      <c r="D2549" s="1" t="s">
        <v>2616</v>
      </c>
      <c r="E2549" s="1">
        <v>20</v>
      </c>
    </row>
    <row r="2550" spans="1:5" hidden="1" x14ac:dyDescent="0.25">
      <c r="A2550" s="115">
        <v>20.158999999999999</v>
      </c>
      <c r="B2550" s="115">
        <v>20.574999999999999</v>
      </c>
      <c r="C2550" s="1">
        <v>575</v>
      </c>
      <c r="D2550" s="1" t="s">
        <v>2617</v>
      </c>
      <c r="E2550" s="1">
        <v>20</v>
      </c>
    </row>
    <row r="2551" spans="1:5" hidden="1" x14ac:dyDescent="0.25">
      <c r="A2551" s="115">
        <v>20.16</v>
      </c>
      <c r="B2551" s="115">
        <v>20.576000000000001</v>
      </c>
      <c r="C2551" s="1">
        <v>576</v>
      </c>
      <c r="D2551" s="1" t="s">
        <v>2618</v>
      </c>
      <c r="E2551" s="1">
        <v>20</v>
      </c>
    </row>
    <row r="2552" spans="1:5" hidden="1" x14ac:dyDescent="0.25">
      <c r="A2552" s="115">
        <v>20.161000000000001</v>
      </c>
      <c r="B2552" s="115">
        <v>20.58</v>
      </c>
      <c r="C2552" s="1">
        <v>580</v>
      </c>
      <c r="D2552" s="1" t="s">
        <v>2619</v>
      </c>
      <c r="E2552" s="1">
        <v>20</v>
      </c>
    </row>
    <row r="2553" spans="1:5" hidden="1" x14ac:dyDescent="0.25">
      <c r="A2553" s="115">
        <v>20.161999999999999</v>
      </c>
      <c r="B2553" s="115">
        <v>20.59</v>
      </c>
      <c r="C2553" s="1">
        <v>590</v>
      </c>
      <c r="D2553" s="1" t="s">
        <v>1099</v>
      </c>
      <c r="E2553" s="1">
        <v>20</v>
      </c>
    </row>
    <row r="2554" spans="1:5" hidden="1" x14ac:dyDescent="0.25">
      <c r="A2554" s="115">
        <v>20.163</v>
      </c>
      <c r="B2554" s="115">
        <v>20.6</v>
      </c>
      <c r="C2554" s="1">
        <v>600</v>
      </c>
      <c r="D2554" s="1" t="s">
        <v>2620</v>
      </c>
      <c r="E2554" s="1">
        <v>20</v>
      </c>
    </row>
    <row r="2555" spans="1:5" hidden="1" x14ac:dyDescent="0.25">
      <c r="A2555" s="115">
        <v>20.164000000000001</v>
      </c>
      <c r="B2555" s="115">
        <v>20.61</v>
      </c>
      <c r="C2555" s="1">
        <v>610</v>
      </c>
      <c r="D2555" s="1" t="s">
        <v>2621</v>
      </c>
      <c r="E2555" s="1">
        <v>20</v>
      </c>
    </row>
    <row r="2556" spans="1:5" hidden="1" x14ac:dyDescent="0.25">
      <c r="A2556" s="115">
        <v>20.164999999999999</v>
      </c>
      <c r="B2556" s="115">
        <v>20.62</v>
      </c>
      <c r="C2556" s="1">
        <v>620</v>
      </c>
      <c r="D2556" s="1" t="s">
        <v>2622</v>
      </c>
      <c r="E2556" s="1">
        <v>20</v>
      </c>
    </row>
    <row r="2557" spans="1:5" hidden="1" x14ac:dyDescent="0.25">
      <c r="A2557" s="115">
        <v>20.166</v>
      </c>
      <c r="B2557" s="115">
        <v>20.63</v>
      </c>
      <c r="C2557" s="1">
        <v>630</v>
      </c>
      <c r="D2557" s="1" t="s">
        <v>2623</v>
      </c>
      <c r="E2557" s="1">
        <v>20</v>
      </c>
    </row>
    <row r="2558" spans="1:5" hidden="1" x14ac:dyDescent="0.25">
      <c r="A2558" s="115">
        <v>20.167000000000002</v>
      </c>
      <c r="B2558" s="115">
        <v>20.64</v>
      </c>
      <c r="C2558" s="1">
        <v>640</v>
      </c>
      <c r="D2558" s="1" t="s">
        <v>2624</v>
      </c>
      <c r="E2558" s="1">
        <v>20</v>
      </c>
    </row>
    <row r="2559" spans="1:5" hidden="1" x14ac:dyDescent="0.25">
      <c r="A2559" s="115">
        <v>20.167999999999999</v>
      </c>
      <c r="B2559" s="115">
        <v>20.65</v>
      </c>
      <c r="C2559" s="1">
        <v>650</v>
      </c>
      <c r="D2559" s="1" t="s">
        <v>2625</v>
      </c>
      <c r="E2559" s="1">
        <v>20</v>
      </c>
    </row>
    <row r="2560" spans="1:5" hidden="1" x14ac:dyDescent="0.25">
      <c r="A2560" s="115">
        <v>20.169</v>
      </c>
      <c r="B2560" s="115">
        <v>20.66</v>
      </c>
      <c r="C2560" s="1">
        <v>660</v>
      </c>
      <c r="D2560" s="1" t="s">
        <v>2626</v>
      </c>
      <c r="E2560" s="1">
        <v>20</v>
      </c>
    </row>
    <row r="2561" spans="1:5" hidden="1" x14ac:dyDescent="0.25">
      <c r="A2561" s="115">
        <v>20.170000000000002</v>
      </c>
      <c r="B2561" s="115">
        <v>20.67</v>
      </c>
      <c r="C2561" s="1">
        <v>670</v>
      </c>
      <c r="D2561" s="1" t="s">
        <v>2627</v>
      </c>
      <c r="E2561" s="1">
        <v>20</v>
      </c>
    </row>
    <row r="2562" spans="1:5" hidden="1" x14ac:dyDescent="0.25">
      <c r="A2562" s="115">
        <v>20.170999999999999</v>
      </c>
      <c r="B2562" s="115">
        <v>20.68</v>
      </c>
      <c r="C2562" s="1">
        <v>680</v>
      </c>
      <c r="D2562" s="1" t="s">
        <v>2628</v>
      </c>
      <c r="E2562" s="1">
        <v>20</v>
      </c>
    </row>
    <row r="2563" spans="1:5" hidden="1" x14ac:dyDescent="0.25">
      <c r="A2563" s="115">
        <v>20.172000000000001</v>
      </c>
      <c r="B2563" s="115">
        <v>20.69</v>
      </c>
      <c r="C2563" s="1">
        <v>690</v>
      </c>
      <c r="D2563" s="1" t="s">
        <v>2629</v>
      </c>
      <c r="E2563" s="1">
        <v>20</v>
      </c>
    </row>
    <row r="2564" spans="1:5" hidden="1" x14ac:dyDescent="0.25">
      <c r="A2564" s="115">
        <v>20.172999999999998</v>
      </c>
      <c r="B2564" s="115">
        <v>20.7</v>
      </c>
      <c r="C2564" s="1">
        <v>700</v>
      </c>
      <c r="D2564" s="1" t="s">
        <v>2630</v>
      </c>
      <c r="E2564" s="1">
        <v>20</v>
      </c>
    </row>
    <row r="2565" spans="1:5" hidden="1" x14ac:dyDescent="0.25">
      <c r="A2565" s="115">
        <v>20.173999999999999</v>
      </c>
      <c r="B2565" s="115">
        <v>20.71</v>
      </c>
      <c r="C2565" s="1">
        <v>710</v>
      </c>
      <c r="D2565" s="1" t="s">
        <v>2631</v>
      </c>
      <c r="E2565" s="1">
        <v>20</v>
      </c>
    </row>
    <row r="2566" spans="1:5" hidden="1" x14ac:dyDescent="0.25">
      <c r="A2566" s="115">
        <v>20.175000000000001</v>
      </c>
      <c r="B2566" s="115">
        <v>20.72</v>
      </c>
      <c r="C2566" s="1">
        <v>720</v>
      </c>
      <c r="D2566" s="1" t="s">
        <v>2632</v>
      </c>
      <c r="E2566" s="1">
        <v>20</v>
      </c>
    </row>
    <row r="2567" spans="1:5" hidden="1" x14ac:dyDescent="0.25">
      <c r="A2567" s="115">
        <v>20.175999999999998</v>
      </c>
      <c r="B2567" s="115">
        <v>20.73</v>
      </c>
      <c r="C2567" s="1">
        <v>730</v>
      </c>
      <c r="D2567" s="1" t="s">
        <v>2633</v>
      </c>
      <c r="E2567" s="1">
        <v>20</v>
      </c>
    </row>
    <row r="2568" spans="1:5" hidden="1" x14ac:dyDescent="0.25">
      <c r="A2568" s="115">
        <v>20.177</v>
      </c>
      <c r="B2568" s="115">
        <v>20.74</v>
      </c>
      <c r="C2568" s="1">
        <v>740</v>
      </c>
      <c r="D2568" s="1" t="s">
        <v>2634</v>
      </c>
      <c r="E2568" s="1">
        <v>20</v>
      </c>
    </row>
    <row r="2569" spans="1:5" hidden="1" x14ac:dyDescent="0.25">
      <c r="A2569" s="115">
        <v>20.178000000000001</v>
      </c>
      <c r="B2569" s="115">
        <v>20.75</v>
      </c>
      <c r="C2569" s="1">
        <v>750</v>
      </c>
      <c r="D2569" s="1" t="s">
        <v>2635</v>
      </c>
      <c r="E2569" s="1">
        <v>20</v>
      </c>
    </row>
    <row r="2570" spans="1:5" hidden="1" x14ac:dyDescent="0.25">
      <c r="A2570" s="115">
        <v>20.178999999999998</v>
      </c>
      <c r="B2570" s="115">
        <v>20.754999999999999</v>
      </c>
      <c r="C2570" s="1">
        <v>755</v>
      </c>
      <c r="D2570" s="1" t="s">
        <v>1466</v>
      </c>
      <c r="E2570" s="1">
        <v>20</v>
      </c>
    </row>
    <row r="2571" spans="1:5" hidden="1" x14ac:dyDescent="0.25">
      <c r="A2571" s="115">
        <v>20.18</v>
      </c>
      <c r="B2571" s="115">
        <v>20.76</v>
      </c>
      <c r="C2571" s="1">
        <v>760</v>
      </c>
      <c r="D2571" s="1" t="s">
        <v>2636</v>
      </c>
      <c r="E2571" s="1">
        <v>20</v>
      </c>
    </row>
    <row r="2572" spans="1:5" hidden="1" x14ac:dyDescent="0.25">
      <c r="A2572" s="115">
        <v>20.181000000000001</v>
      </c>
      <c r="B2572" s="115">
        <v>20.77</v>
      </c>
      <c r="C2572" s="1">
        <v>770</v>
      </c>
      <c r="D2572" s="1" t="s">
        <v>2637</v>
      </c>
      <c r="E2572" s="1">
        <v>20</v>
      </c>
    </row>
    <row r="2573" spans="1:5" hidden="1" x14ac:dyDescent="0.25">
      <c r="A2573" s="115">
        <v>20.181999999999999</v>
      </c>
      <c r="B2573" s="115">
        <v>20.78</v>
      </c>
      <c r="C2573" s="1">
        <v>780</v>
      </c>
      <c r="D2573" s="1" t="s">
        <v>2638</v>
      </c>
      <c r="E2573" s="1">
        <v>20</v>
      </c>
    </row>
    <row r="2574" spans="1:5" hidden="1" x14ac:dyDescent="0.25">
      <c r="A2574" s="115">
        <v>20.183</v>
      </c>
      <c r="B2574" s="115">
        <v>20.79</v>
      </c>
      <c r="C2574" s="1">
        <v>790</v>
      </c>
      <c r="D2574" s="1" t="s">
        <v>2639</v>
      </c>
      <c r="E2574" s="1">
        <v>20</v>
      </c>
    </row>
    <row r="2575" spans="1:5" hidden="1" x14ac:dyDescent="0.25">
      <c r="A2575" s="115">
        <v>20.184000000000001</v>
      </c>
      <c r="B2575" s="115">
        <v>20.8</v>
      </c>
      <c r="C2575" s="1">
        <v>800</v>
      </c>
      <c r="D2575" s="1" t="s">
        <v>2640</v>
      </c>
      <c r="E2575" s="1">
        <v>20</v>
      </c>
    </row>
    <row r="2576" spans="1:5" hidden="1" x14ac:dyDescent="0.25">
      <c r="A2576" s="115">
        <v>20.184999999999999</v>
      </c>
      <c r="B2576" s="115">
        <v>20.805</v>
      </c>
      <c r="C2576" s="1">
        <v>805</v>
      </c>
      <c r="D2576" s="1" t="s">
        <v>2641</v>
      </c>
      <c r="E2576" s="1">
        <v>20</v>
      </c>
    </row>
    <row r="2577" spans="1:5" hidden="1" x14ac:dyDescent="0.25">
      <c r="A2577" s="115">
        <v>20.186</v>
      </c>
      <c r="B2577" s="115">
        <v>20.81</v>
      </c>
      <c r="C2577" s="1">
        <v>810</v>
      </c>
      <c r="D2577" s="1" t="s">
        <v>2642</v>
      </c>
      <c r="E2577" s="1">
        <v>20</v>
      </c>
    </row>
    <row r="2578" spans="1:5" hidden="1" x14ac:dyDescent="0.25">
      <c r="A2578" s="115">
        <v>20.187000000000001</v>
      </c>
      <c r="B2578" s="115">
        <v>20.82</v>
      </c>
      <c r="C2578" s="1">
        <v>820</v>
      </c>
      <c r="D2578" s="1" t="s">
        <v>2643</v>
      </c>
      <c r="E2578" s="1">
        <v>20</v>
      </c>
    </row>
    <row r="2579" spans="1:5" hidden="1" x14ac:dyDescent="0.25">
      <c r="A2579" s="115">
        <v>20.187999999999999</v>
      </c>
      <c r="B2579" s="115">
        <v>20.83</v>
      </c>
      <c r="C2579" s="1">
        <v>830</v>
      </c>
      <c r="D2579" s="1" t="s">
        <v>2644</v>
      </c>
      <c r="E2579" s="1">
        <v>20</v>
      </c>
    </row>
    <row r="2580" spans="1:5" hidden="1" x14ac:dyDescent="0.25">
      <c r="A2580" s="115">
        <v>20.189</v>
      </c>
      <c r="B2580" s="115">
        <v>20.84</v>
      </c>
      <c r="C2580" s="1">
        <v>840</v>
      </c>
      <c r="D2580" s="1" t="s">
        <v>2645</v>
      </c>
      <c r="E2580" s="1">
        <v>20</v>
      </c>
    </row>
    <row r="2581" spans="1:5" hidden="1" x14ac:dyDescent="0.25">
      <c r="A2581" s="115">
        <v>20.190000000000001</v>
      </c>
      <c r="B2581" s="115">
        <v>20.85</v>
      </c>
      <c r="C2581" s="1">
        <v>850</v>
      </c>
      <c r="D2581" s="1" t="s">
        <v>2646</v>
      </c>
      <c r="E2581" s="1">
        <v>20</v>
      </c>
    </row>
    <row r="2582" spans="1:5" hidden="1" x14ac:dyDescent="0.25">
      <c r="A2582" s="115">
        <v>20.190999999999999</v>
      </c>
      <c r="B2582" s="115">
        <v>20.86</v>
      </c>
      <c r="C2582" s="1">
        <v>860</v>
      </c>
      <c r="D2582" s="1" t="s">
        <v>2647</v>
      </c>
      <c r="E2582" s="1">
        <v>20</v>
      </c>
    </row>
    <row r="2583" spans="1:5" hidden="1" x14ac:dyDescent="0.25">
      <c r="A2583" s="115">
        <v>20.192</v>
      </c>
      <c r="B2583" s="115">
        <v>20.87</v>
      </c>
      <c r="C2583" s="1">
        <v>870</v>
      </c>
      <c r="D2583" s="1" t="s">
        <v>2648</v>
      </c>
      <c r="E2583" s="1">
        <v>20</v>
      </c>
    </row>
    <row r="2584" spans="1:5" hidden="1" x14ac:dyDescent="0.25">
      <c r="A2584" s="115">
        <v>20.193000000000001</v>
      </c>
      <c r="B2584" s="115">
        <v>20.88</v>
      </c>
      <c r="C2584" s="1">
        <v>880</v>
      </c>
      <c r="D2584" s="1" t="s">
        <v>2649</v>
      </c>
      <c r="E2584" s="1">
        <v>20</v>
      </c>
    </row>
    <row r="2585" spans="1:5" hidden="1" x14ac:dyDescent="0.25">
      <c r="A2585" s="115">
        <v>20.193999999999999</v>
      </c>
      <c r="B2585" s="115">
        <v>20.89</v>
      </c>
      <c r="C2585" s="1">
        <v>890</v>
      </c>
      <c r="D2585" s="1" t="s">
        <v>2650</v>
      </c>
      <c r="E2585" s="1">
        <v>20</v>
      </c>
    </row>
    <row r="2586" spans="1:5" hidden="1" x14ac:dyDescent="0.25">
      <c r="A2586" s="115">
        <v>20.195</v>
      </c>
      <c r="B2586" s="115">
        <v>20.895</v>
      </c>
      <c r="C2586" s="1">
        <v>895</v>
      </c>
      <c r="D2586" s="1" t="s">
        <v>2651</v>
      </c>
      <c r="E2586" s="1">
        <v>20</v>
      </c>
    </row>
    <row r="2587" spans="1:5" hidden="1" x14ac:dyDescent="0.25">
      <c r="A2587" s="115">
        <v>20.196000000000002</v>
      </c>
      <c r="B2587" s="115">
        <v>20.9</v>
      </c>
      <c r="C2587" s="1">
        <v>900</v>
      </c>
      <c r="D2587" s="1" t="s">
        <v>2652</v>
      </c>
      <c r="E2587" s="1">
        <v>20</v>
      </c>
    </row>
    <row r="2588" spans="1:5" hidden="1" x14ac:dyDescent="0.25">
      <c r="A2588" s="115">
        <v>20.196999999999999</v>
      </c>
      <c r="B2588" s="115">
        <v>20.91</v>
      </c>
      <c r="C2588" s="1">
        <v>910</v>
      </c>
      <c r="D2588" s="1" t="s">
        <v>2653</v>
      </c>
      <c r="E2588" s="1">
        <v>20</v>
      </c>
    </row>
    <row r="2589" spans="1:5" hidden="1" x14ac:dyDescent="0.25">
      <c r="A2589" s="115">
        <v>20.198</v>
      </c>
      <c r="B2589" s="115">
        <v>20.92</v>
      </c>
      <c r="C2589" s="1">
        <v>920</v>
      </c>
      <c r="D2589" s="1" t="s">
        <v>2654</v>
      </c>
      <c r="E2589" s="1">
        <v>20</v>
      </c>
    </row>
    <row r="2590" spans="1:5" hidden="1" x14ac:dyDescent="0.25">
      <c r="A2590" s="115">
        <v>20.199000000000002</v>
      </c>
      <c r="B2590" s="115">
        <v>20.925000000000001</v>
      </c>
      <c r="C2590" s="1">
        <v>925</v>
      </c>
      <c r="D2590" s="1" t="s">
        <v>2655</v>
      </c>
      <c r="E2590" s="1">
        <v>20</v>
      </c>
    </row>
    <row r="2591" spans="1:5" hidden="1" x14ac:dyDescent="0.25">
      <c r="A2591" s="115">
        <v>20.2</v>
      </c>
      <c r="B2591" s="115">
        <v>20.93</v>
      </c>
      <c r="C2591" s="1">
        <v>930</v>
      </c>
      <c r="D2591" s="1" t="s">
        <v>2656</v>
      </c>
      <c r="E2591" s="1">
        <v>20</v>
      </c>
    </row>
    <row r="2592" spans="1:5" hidden="1" x14ac:dyDescent="0.25">
      <c r="A2592" s="115">
        <v>20.201000000000001</v>
      </c>
      <c r="B2592" s="115">
        <v>20.934999999999999</v>
      </c>
      <c r="C2592" s="1">
        <v>935</v>
      </c>
      <c r="D2592" s="1" t="s">
        <v>2657</v>
      </c>
      <c r="E2592" s="1">
        <v>20</v>
      </c>
    </row>
    <row r="2593" spans="1:5" hidden="1" x14ac:dyDescent="0.25">
      <c r="A2593" s="115">
        <v>20.202000000000002</v>
      </c>
      <c r="B2593" s="115">
        <v>20.94</v>
      </c>
      <c r="C2593" s="1">
        <v>940</v>
      </c>
      <c r="D2593" s="1" t="s">
        <v>2658</v>
      </c>
      <c r="E2593" s="1">
        <v>20</v>
      </c>
    </row>
    <row r="2594" spans="1:5" hidden="1" x14ac:dyDescent="0.25">
      <c r="A2594" s="115">
        <v>20.202999999999999</v>
      </c>
      <c r="B2594" s="115">
        <v>20.95</v>
      </c>
      <c r="C2594" s="1">
        <v>950</v>
      </c>
      <c r="D2594" s="1" t="s">
        <v>2659</v>
      </c>
      <c r="E2594" s="1">
        <v>20</v>
      </c>
    </row>
    <row r="2595" spans="1:5" hidden="1" x14ac:dyDescent="0.25">
      <c r="A2595" s="115">
        <v>20.204000000000001</v>
      </c>
      <c r="B2595" s="115">
        <v>20.954999999999998</v>
      </c>
      <c r="C2595" s="1">
        <v>955</v>
      </c>
      <c r="D2595" s="1" t="s">
        <v>2660</v>
      </c>
      <c r="E2595" s="1">
        <v>20</v>
      </c>
    </row>
    <row r="2596" spans="1:5" hidden="1" x14ac:dyDescent="0.25">
      <c r="A2596" s="115">
        <v>20.204999999999998</v>
      </c>
      <c r="B2596" s="115">
        <v>20.96</v>
      </c>
      <c r="C2596" s="1">
        <v>960</v>
      </c>
      <c r="D2596" s="1" t="s">
        <v>2661</v>
      </c>
      <c r="E2596" s="1">
        <v>20</v>
      </c>
    </row>
    <row r="2597" spans="1:5" hidden="1" x14ac:dyDescent="0.25">
      <c r="A2597" s="115">
        <v>20.206</v>
      </c>
      <c r="B2597" s="115">
        <v>20.97</v>
      </c>
      <c r="C2597" s="1">
        <v>970</v>
      </c>
      <c r="D2597" s="1" t="s">
        <v>2662</v>
      </c>
      <c r="E2597" s="1">
        <v>20</v>
      </c>
    </row>
    <row r="2598" spans="1:5" hidden="1" x14ac:dyDescent="0.25">
      <c r="A2598" s="115">
        <v>20.207000000000001</v>
      </c>
      <c r="B2598" s="115">
        <v>20.98</v>
      </c>
      <c r="C2598" s="1">
        <v>980</v>
      </c>
      <c r="D2598" s="1" t="s">
        <v>2663</v>
      </c>
      <c r="E2598" s="1">
        <v>20</v>
      </c>
    </row>
    <row r="2599" spans="1:5" hidden="1" x14ac:dyDescent="0.25">
      <c r="A2599" s="115">
        <v>20.207999999999998</v>
      </c>
      <c r="B2599" s="115">
        <v>20.99</v>
      </c>
      <c r="C2599" s="1">
        <v>990</v>
      </c>
      <c r="D2599" s="1" t="s">
        <v>2664</v>
      </c>
      <c r="E2599" s="1">
        <v>20</v>
      </c>
    </row>
    <row r="2600" spans="1:5" hidden="1" x14ac:dyDescent="0.25">
      <c r="A2600" s="115">
        <v>20.209</v>
      </c>
      <c r="B2600" s="115">
        <v>20.100000000000001</v>
      </c>
      <c r="C2600" s="1">
        <v>1000</v>
      </c>
      <c r="D2600" s="1" t="s">
        <v>2665</v>
      </c>
      <c r="E2600" s="1">
        <v>20</v>
      </c>
    </row>
    <row r="2601" spans="1:5" hidden="1" x14ac:dyDescent="0.25">
      <c r="A2601" s="115">
        <v>20.21</v>
      </c>
      <c r="B2601" s="115">
        <v>20.11</v>
      </c>
      <c r="C2601" s="1">
        <v>1100</v>
      </c>
      <c r="D2601" s="1" t="s">
        <v>2666</v>
      </c>
      <c r="E2601" s="1">
        <v>20</v>
      </c>
    </row>
    <row r="2602" spans="1:5" hidden="1" x14ac:dyDescent="0.25">
      <c r="A2602" s="115">
        <v>20.210999999999999</v>
      </c>
      <c r="B2602" s="115">
        <v>20.111000000000001</v>
      </c>
      <c r="C2602" s="1">
        <v>1110</v>
      </c>
      <c r="D2602" s="1" t="s">
        <v>2667</v>
      </c>
      <c r="E2602" s="1">
        <v>20</v>
      </c>
    </row>
    <row r="2603" spans="1:5" hidden="1" x14ac:dyDescent="0.25">
      <c r="A2603" s="115">
        <v>20.212</v>
      </c>
      <c r="B2603" s="115">
        <v>20.111999999999998</v>
      </c>
      <c r="C2603" s="1">
        <v>1120</v>
      </c>
      <c r="D2603" s="1" t="s">
        <v>2668</v>
      </c>
      <c r="E2603" s="1">
        <v>20</v>
      </c>
    </row>
    <row r="2604" spans="1:5" hidden="1" x14ac:dyDescent="0.25">
      <c r="A2604" s="115">
        <v>20.213000000000001</v>
      </c>
      <c r="B2604" s="115">
        <v>20.113</v>
      </c>
      <c r="C2604" s="1">
        <v>1130</v>
      </c>
      <c r="D2604" s="1" t="s">
        <v>2669</v>
      </c>
      <c r="E2604" s="1">
        <v>20</v>
      </c>
    </row>
    <row r="2605" spans="1:5" hidden="1" x14ac:dyDescent="0.25">
      <c r="A2605" s="115">
        <v>20.213999999999999</v>
      </c>
      <c r="B2605" s="115">
        <v>20.114000000000001</v>
      </c>
      <c r="C2605" s="1">
        <v>1140</v>
      </c>
      <c r="D2605" s="1" t="s">
        <v>2670</v>
      </c>
      <c r="E2605" s="1">
        <v>20</v>
      </c>
    </row>
    <row r="2606" spans="1:5" hidden="1" x14ac:dyDescent="0.25">
      <c r="A2606" s="115">
        <v>20.215</v>
      </c>
      <c r="B2606" s="115">
        <v>20.114999999999998</v>
      </c>
      <c r="C2606" s="1">
        <v>1150</v>
      </c>
      <c r="D2606" s="1" t="s">
        <v>2671</v>
      </c>
      <c r="E2606" s="1">
        <v>20</v>
      </c>
    </row>
    <row r="2607" spans="1:5" hidden="1" x14ac:dyDescent="0.25">
      <c r="A2607" s="115">
        <v>20.216000000000001</v>
      </c>
      <c r="B2607" s="115">
        <v>20.116</v>
      </c>
      <c r="C2607" s="1">
        <v>1160</v>
      </c>
      <c r="D2607" s="1" t="s">
        <v>2672</v>
      </c>
      <c r="E2607" s="1">
        <v>20</v>
      </c>
    </row>
    <row r="2608" spans="1:5" hidden="1" x14ac:dyDescent="0.25">
      <c r="A2608" s="115">
        <v>20.216999999999999</v>
      </c>
      <c r="B2608" s="115">
        <v>20.117000000000001</v>
      </c>
      <c r="C2608" s="1">
        <v>1170</v>
      </c>
      <c r="D2608" s="1" t="s">
        <v>2673</v>
      </c>
      <c r="E2608" s="1">
        <v>20</v>
      </c>
    </row>
    <row r="2609" spans="1:5" hidden="1" x14ac:dyDescent="0.25">
      <c r="A2609" s="115">
        <v>20.218</v>
      </c>
      <c r="B2609" s="115">
        <v>20.117999999999999</v>
      </c>
      <c r="C2609" s="1">
        <v>1180</v>
      </c>
      <c r="D2609" s="1" t="s">
        <v>2674</v>
      </c>
      <c r="E2609" s="1">
        <v>20</v>
      </c>
    </row>
    <row r="2610" spans="1:5" hidden="1" x14ac:dyDescent="0.25">
      <c r="A2610" s="115">
        <v>20.219000000000001</v>
      </c>
      <c r="B2610" s="115">
        <v>20.119</v>
      </c>
      <c r="C2610" s="1">
        <v>1190</v>
      </c>
      <c r="D2610" s="1" t="s">
        <v>2675</v>
      </c>
      <c r="E2610" s="1">
        <v>20</v>
      </c>
    </row>
    <row r="2611" spans="1:5" hidden="1" x14ac:dyDescent="0.25">
      <c r="A2611" s="115">
        <v>20.22</v>
      </c>
      <c r="B2611" s="115">
        <v>20.12</v>
      </c>
      <c r="C2611" s="1">
        <v>1200</v>
      </c>
      <c r="D2611" s="1" t="s">
        <v>2676</v>
      </c>
      <c r="E2611" s="1">
        <v>20</v>
      </c>
    </row>
    <row r="2612" spans="1:5" hidden="1" x14ac:dyDescent="0.25">
      <c r="A2612" s="115">
        <v>20.221</v>
      </c>
      <c r="B2612" s="115">
        <v>20.120999999999999</v>
      </c>
      <c r="C2612" s="1">
        <v>1210</v>
      </c>
      <c r="D2612" s="1" t="s">
        <v>2677</v>
      </c>
      <c r="E2612" s="1">
        <v>20</v>
      </c>
    </row>
    <row r="2613" spans="1:5" hidden="1" x14ac:dyDescent="0.25">
      <c r="A2613" s="115">
        <v>20.222000000000001</v>
      </c>
      <c r="B2613" s="115">
        <v>20.122</v>
      </c>
      <c r="C2613" s="1">
        <v>1220</v>
      </c>
      <c r="D2613" s="1" t="s">
        <v>2678</v>
      </c>
      <c r="E2613" s="1">
        <v>20</v>
      </c>
    </row>
    <row r="2614" spans="1:5" hidden="1" x14ac:dyDescent="0.25">
      <c r="A2614" s="115">
        <v>20.222999999999999</v>
      </c>
      <c r="B2614" s="115">
        <v>20.123000000000001</v>
      </c>
      <c r="C2614" s="1">
        <v>1230</v>
      </c>
      <c r="D2614" s="1" t="s">
        <v>2679</v>
      </c>
      <c r="E2614" s="1">
        <v>20</v>
      </c>
    </row>
    <row r="2615" spans="1:5" hidden="1" x14ac:dyDescent="0.25">
      <c r="A2615" s="115">
        <v>20.224</v>
      </c>
      <c r="B2615" s="115">
        <v>20.123999999999999</v>
      </c>
      <c r="C2615" s="1">
        <v>1240</v>
      </c>
      <c r="D2615" s="1" t="s">
        <v>2680</v>
      </c>
      <c r="E2615" s="1">
        <v>20</v>
      </c>
    </row>
    <row r="2616" spans="1:5" hidden="1" x14ac:dyDescent="0.25">
      <c r="A2616" s="115">
        <v>20.225000000000001</v>
      </c>
      <c r="B2616" s="115">
        <v>20.125</v>
      </c>
      <c r="C2616" s="1">
        <v>1250</v>
      </c>
      <c r="D2616" s="1" t="s">
        <v>2681</v>
      </c>
      <c r="E2616" s="1">
        <v>20</v>
      </c>
    </row>
    <row r="2617" spans="1:5" hidden="1" x14ac:dyDescent="0.25">
      <c r="A2617" s="115">
        <v>20.225999999999999</v>
      </c>
      <c r="B2617" s="115">
        <v>20.126000000000001</v>
      </c>
      <c r="C2617" s="1">
        <v>1260</v>
      </c>
      <c r="D2617" s="1" t="s">
        <v>2682</v>
      </c>
      <c r="E2617" s="1">
        <v>20</v>
      </c>
    </row>
    <row r="2618" spans="1:5" hidden="1" x14ac:dyDescent="0.25">
      <c r="A2618" s="115">
        <v>20.227</v>
      </c>
      <c r="B2618" s="115">
        <v>20.126999999999999</v>
      </c>
      <c r="C2618" s="1">
        <v>1270</v>
      </c>
      <c r="D2618" s="1" t="s">
        <v>2683</v>
      </c>
      <c r="E2618" s="1">
        <v>20</v>
      </c>
    </row>
    <row r="2619" spans="1:5" hidden="1" x14ac:dyDescent="0.25">
      <c r="A2619" s="115">
        <v>20.228000000000002</v>
      </c>
      <c r="B2619" s="115">
        <v>20.128</v>
      </c>
      <c r="C2619" s="1">
        <v>1280</v>
      </c>
      <c r="D2619" s="1" t="s">
        <v>2684</v>
      </c>
      <c r="E2619" s="1">
        <v>20</v>
      </c>
    </row>
    <row r="2620" spans="1:5" hidden="1" x14ac:dyDescent="0.25">
      <c r="A2620" s="115">
        <v>20.228999999999999</v>
      </c>
      <c r="B2620" s="115">
        <v>20.13</v>
      </c>
      <c r="C2620" s="1">
        <v>1300</v>
      </c>
      <c r="D2620" s="1" t="s">
        <v>2685</v>
      </c>
      <c r="E2620" s="1">
        <v>20</v>
      </c>
    </row>
    <row r="2621" spans="1:5" hidden="1" x14ac:dyDescent="0.25">
      <c r="A2621" s="115">
        <v>20.23</v>
      </c>
      <c r="B2621" s="115">
        <v>20.131</v>
      </c>
      <c r="C2621" s="1">
        <v>1310</v>
      </c>
      <c r="D2621" s="1" t="s">
        <v>2686</v>
      </c>
      <c r="E2621" s="1">
        <v>20</v>
      </c>
    </row>
    <row r="2622" spans="1:5" hidden="1" x14ac:dyDescent="0.25">
      <c r="A2622" s="115">
        <v>20.231000000000002</v>
      </c>
      <c r="B2622" s="115">
        <v>20.132000000000001</v>
      </c>
      <c r="C2622" s="1">
        <v>1320</v>
      </c>
      <c r="D2622" s="1" t="s">
        <v>2687</v>
      </c>
      <c r="E2622" s="1">
        <v>20</v>
      </c>
    </row>
    <row r="2623" spans="1:5" hidden="1" x14ac:dyDescent="0.25">
      <c r="A2623" s="115">
        <v>21.100999999999999</v>
      </c>
      <c r="B2623" s="115">
        <v>21.1</v>
      </c>
      <c r="C2623" s="1">
        <v>10</v>
      </c>
      <c r="D2623" s="1" t="s">
        <v>2559</v>
      </c>
      <c r="E2623" s="1">
        <v>21</v>
      </c>
    </row>
    <row r="2624" spans="1:5" hidden="1" x14ac:dyDescent="0.25">
      <c r="A2624" s="115">
        <v>21.102</v>
      </c>
      <c r="B2624" s="115">
        <v>21.2</v>
      </c>
      <c r="C2624" s="1">
        <v>20</v>
      </c>
      <c r="D2624" s="1" t="s">
        <v>2560</v>
      </c>
      <c r="E2624" s="1">
        <v>21</v>
      </c>
    </row>
    <row r="2625" spans="1:5" hidden="1" x14ac:dyDescent="0.25">
      <c r="A2625" s="115">
        <v>21.103000000000002</v>
      </c>
      <c r="B2625" s="115">
        <v>21.3</v>
      </c>
      <c r="C2625" s="1">
        <v>30</v>
      </c>
      <c r="D2625" s="1" t="s">
        <v>2561</v>
      </c>
      <c r="E2625" s="1">
        <v>21</v>
      </c>
    </row>
    <row r="2626" spans="1:5" hidden="1" x14ac:dyDescent="0.25">
      <c r="A2626" s="115">
        <v>21.103999999999999</v>
      </c>
      <c r="B2626" s="115">
        <v>21.4</v>
      </c>
      <c r="C2626" s="1">
        <v>40</v>
      </c>
      <c r="D2626" s="1" t="s">
        <v>2562</v>
      </c>
      <c r="E2626" s="1">
        <v>21</v>
      </c>
    </row>
    <row r="2627" spans="1:5" hidden="1" x14ac:dyDescent="0.25">
      <c r="A2627" s="115">
        <v>21.105</v>
      </c>
      <c r="B2627" s="115">
        <v>21.5</v>
      </c>
      <c r="C2627" s="1">
        <v>50</v>
      </c>
      <c r="D2627" s="1" t="s">
        <v>2563</v>
      </c>
      <c r="E2627" s="1">
        <v>21</v>
      </c>
    </row>
    <row r="2628" spans="1:5" hidden="1" x14ac:dyDescent="0.25">
      <c r="A2628" s="115">
        <v>21.106000000000002</v>
      </c>
      <c r="B2628" s="115">
        <v>21.6</v>
      </c>
      <c r="C2628" s="1">
        <v>60</v>
      </c>
      <c r="D2628" s="1" t="s">
        <v>2564</v>
      </c>
      <c r="E2628" s="1">
        <v>21</v>
      </c>
    </row>
    <row r="2629" spans="1:5" hidden="1" x14ac:dyDescent="0.25">
      <c r="A2629" s="115">
        <v>21.106999999999999</v>
      </c>
      <c r="B2629" s="115">
        <v>21.7</v>
      </c>
      <c r="C2629" s="1">
        <v>70</v>
      </c>
      <c r="D2629" s="1" t="s">
        <v>2565</v>
      </c>
      <c r="E2629" s="1">
        <v>21</v>
      </c>
    </row>
    <row r="2630" spans="1:5" hidden="1" x14ac:dyDescent="0.25">
      <c r="A2630" s="115">
        <v>21.108000000000001</v>
      </c>
      <c r="B2630" s="115">
        <v>21.8</v>
      </c>
      <c r="C2630" s="1">
        <v>80</v>
      </c>
      <c r="D2630" s="1" t="s">
        <v>2566</v>
      </c>
      <c r="E2630" s="1">
        <v>21</v>
      </c>
    </row>
    <row r="2631" spans="1:5" hidden="1" x14ac:dyDescent="0.25">
      <c r="A2631" s="115">
        <v>21.109000000000002</v>
      </c>
      <c r="B2631" s="115">
        <v>21.9</v>
      </c>
      <c r="C2631" s="1">
        <v>90</v>
      </c>
      <c r="D2631" s="1" t="s">
        <v>2567</v>
      </c>
      <c r="E2631" s="1">
        <v>21</v>
      </c>
    </row>
    <row r="2632" spans="1:5" hidden="1" x14ac:dyDescent="0.25">
      <c r="A2632" s="115">
        <v>21.11</v>
      </c>
      <c r="B2632" s="115">
        <v>21.1</v>
      </c>
      <c r="C2632" s="1">
        <v>100</v>
      </c>
      <c r="D2632" s="1" t="s">
        <v>2568</v>
      </c>
      <c r="E2632" s="1">
        <v>21</v>
      </c>
    </row>
    <row r="2633" spans="1:5" hidden="1" x14ac:dyDescent="0.25">
      <c r="A2633" s="115">
        <v>21.111000000000001</v>
      </c>
      <c r="B2633" s="115">
        <v>21.11</v>
      </c>
      <c r="C2633" s="1">
        <v>110</v>
      </c>
      <c r="D2633" s="1" t="s">
        <v>2569</v>
      </c>
      <c r="E2633" s="1">
        <v>21</v>
      </c>
    </row>
    <row r="2634" spans="1:5" hidden="1" x14ac:dyDescent="0.25">
      <c r="A2634" s="115">
        <v>21.111999999999998</v>
      </c>
      <c r="B2634" s="115">
        <v>21.12</v>
      </c>
      <c r="C2634" s="1">
        <v>120</v>
      </c>
      <c r="D2634" s="1" t="s">
        <v>2570</v>
      </c>
      <c r="E2634" s="1">
        <v>21</v>
      </c>
    </row>
    <row r="2635" spans="1:5" hidden="1" x14ac:dyDescent="0.25">
      <c r="A2635" s="115">
        <v>21.113</v>
      </c>
      <c r="B2635" s="115">
        <v>21.13</v>
      </c>
      <c r="C2635" s="1">
        <v>130</v>
      </c>
      <c r="D2635" s="1" t="s">
        <v>2571</v>
      </c>
      <c r="E2635" s="1">
        <v>21</v>
      </c>
    </row>
    <row r="2636" spans="1:5" hidden="1" x14ac:dyDescent="0.25">
      <c r="A2636" s="115">
        <v>21.114000000000001</v>
      </c>
      <c r="B2636" s="115">
        <v>21.14</v>
      </c>
      <c r="C2636" s="1">
        <v>140</v>
      </c>
      <c r="D2636" s="1" t="s">
        <v>2572</v>
      </c>
      <c r="E2636" s="1">
        <v>21</v>
      </c>
    </row>
    <row r="2637" spans="1:5" hidden="1" x14ac:dyDescent="0.25">
      <c r="A2637" s="115">
        <v>21.114999999999998</v>
      </c>
      <c r="B2637" s="115">
        <v>21.15</v>
      </c>
      <c r="C2637" s="1">
        <v>150</v>
      </c>
      <c r="D2637" s="1" t="s">
        <v>2573</v>
      </c>
      <c r="E2637" s="1">
        <v>21</v>
      </c>
    </row>
    <row r="2638" spans="1:5" hidden="1" x14ac:dyDescent="0.25">
      <c r="A2638" s="115">
        <v>21.116</v>
      </c>
      <c r="B2638" s="115">
        <v>21.16</v>
      </c>
      <c r="C2638" s="1">
        <v>160</v>
      </c>
      <c r="D2638" s="1" t="s">
        <v>2574</v>
      </c>
      <c r="E2638" s="1">
        <v>21</v>
      </c>
    </row>
    <row r="2639" spans="1:5" hidden="1" x14ac:dyDescent="0.25">
      <c r="A2639" s="115">
        <v>21.117000000000001</v>
      </c>
      <c r="B2639" s="115">
        <v>21.17</v>
      </c>
      <c r="C2639" s="1">
        <v>170</v>
      </c>
      <c r="D2639" s="1" t="s">
        <v>2575</v>
      </c>
      <c r="E2639" s="1">
        <v>21</v>
      </c>
    </row>
    <row r="2640" spans="1:5" hidden="1" x14ac:dyDescent="0.25">
      <c r="A2640" s="115">
        <v>21.117999999999999</v>
      </c>
      <c r="B2640" s="115">
        <v>21.18</v>
      </c>
      <c r="C2640" s="1">
        <v>180</v>
      </c>
      <c r="D2640" s="1" t="s">
        <v>2576</v>
      </c>
      <c r="E2640" s="1">
        <v>21</v>
      </c>
    </row>
    <row r="2641" spans="1:5" hidden="1" x14ac:dyDescent="0.25">
      <c r="A2641" s="115">
        <v>21.119</v>
      </c>
      <c r="B2641" s="115">
        <v>21.19</v>
      </c>
      <c r="C2641" s="1">
        <v>190</v>
      </c>
      <c r="D2641" s="1" t="s">
        <v>2577</v>
      </c>
      <c r="E2641" s="1">
        <v>21</v>
      </c>
    </row>
    <row r="2642" spans="1:5" hidden="1" x14ac:dyDescent="0.25">
      <c r="A2642" s="115">
        <v>21.12</v>
      </c>
      <c r="B2642" s="115">
        <v>21.2</v>
      </c>
      <c r="C2642" s="1">
        <v>200</v>
      </c>
      <c r="D2642" s="1" t="s">
        <v>2578</v>
      </c>
      <c r="E2642" s="1">
        <v>21</v>
      </c>
    </row>
    <row r="2643" spans="1:5" hidden="1" x14ac:dyDescent="0.25">
      <c r="A2643" s="115">
        <v>21.120999999999999</v>
      </c>
      <c r="B2643" s="115">
        <v>21.21</v>
      </c>
      <c r="C2643" s="1">
        <v>210</v>
      </c>
      <c r="D2643" s="1" t="s">
        <v>2579</v>
      </c>
      <c r="E2643" s="1">
        <v>21</v>
      </c>
    </row>
    <row r="2644" spans="1:5" hidden="1" x14ac:dyDescent="0.25">
      <c r="A2644" s="115">
        <v>21.122</v>
      </c>
      <c r="B2644" s="115">
        <v>21.22</v>
      </c>
      <c r="C2644" s="1">
        <v>220</v>
      </c>
      <c r="D2644" s="1" t="s">
        <v>2580</v>
      </c>
      <c r="E2644" s="1">
        <v>21</v>
      </c>
    </row>
    <row r="2645" spans="1:5" hidden="1" x14ac:dyDescent="0.25">
      <c r="A2645" s="115">
        <v>21.123000000000001</v>
      </c>
      <c r="B2645" s="115">
        <v>21.23</v>
      </c>
      <c r="C2645" s="1">
        <v>230</v>
      </c>
      <c r="D2645" s="1" t="s">
        <v>2581</v>
      </c>
      <c r="E2645" s="1">
        <v>21</v>
      </c>
    </row>
    <row r="2646" spans="1:5" hidden="1" x14ac:dyDescent="0.25">
      <c r="A2646" s="115">
        <v>21.123999999999999</v>
      </c>
      <c r="B2646" s="115">
        <v>21.24</v>
      </c>
      <c r="C2646" s="1">
        <v>240</v>
      </c>
      <c r="D2646" s="1" t="s">
        <v>2582</v>
      </c>
      <c r="E2646" s="1">
        <v>21</v>
      </c>
    </row>
    <row r="2647" spans="1:5" hidden="1" x14ac:dyDescent="0.25">
      <c r="A2647" s="115">
        <v>21.125</v>
      </c>
      <c r="B2647" s="115">
        <v>21.25</v>
      </c>
      <c r="C2647" s="1">
        <v>250</v>
      </c>
      <c r="D2647" s="1" t="s">
        <v>2583</v>
      </c>
      <c r="E2647" s="1">
        <v>21</v>
      </c>
    </row>
    <row r="2648" spans="1:5" hidden="1" x14ac:dyDescent="0.25">
      <c r="A2648" s="115">
        <v>21.126000000000001</v>
      </c>
      <c r="B2648" s="115">
        <v>21.26</v>
      </c>
      <c r="C2648" s="1">
        <v>260</v>
      </c>
      <c r="D2648" s="1" t="s">
        <v>2584</v>
      </c>
      <c r="E2648" s="1">
        <v>21</v>
      </c>
    </row>
    <row r="2649" spans="1:5" hidden="1" x14ac:dyDescent="0.25">
      <c r="A2649" s="115">
        <v>21.126999999999999</v>
      </c>
      <c r="B2649" s="115">
        <v>21.27</v>
      </c>
      <c r="C2649" s="1">
        <v>270</v>
      </c>
      <c r="D2649" s="1" t="s">
        <v>2585</v>
      </c>
      <c r="E2649" s="1">
        <v>21</v>
      </c>
    </row>
    <row r="2650" spans="1:5" hidden="1" x14ac:dyDescent="0.25">
      <c r="A2650" s="115">
        <v>21.128</v>
      </c>
      <c r="B2650" s="115">
        <v>21.28</v>
      </c>
      <c r="C2650" s="1">
        <v>280</v>
      </c>
      <c r="D2650" s="1" t="s">
        <v>2586</v>
      </c>
      <c r="E2650" s="1">
        <v>21</v>
      </c>
    </row>
    <row r="2651" spans="1:5" hidden="1" x14ac:dyDescent="0.25">
      <c r="A2651" s="115">
        <v>21.129000000000001</v>
      </c>
      <c r="B2651" s="115">
        <v>21.29</v>
      </c>
      <c r="C2651" s="1">
        <v>290</v>
      </c>
      <c r="D2651" s="1" t="s">
        <v>2587</v>
      </c>
      <c r="E2651" s="1">
        <v>21</v>
      </c>
    </row>
    <row r="2652" spans="1:5" hidden="1" x14ac:dyDescent="0.25">
      <c r="A2652" s="115">
        <v>21.13</v>
      </c>
      <c r="B2652" s="115">
        <v>21.3</v>
      </c>
      <c r="C2652" s="1">
        <v>300</v>
      </c>
      <c r="D2652" s="1" t="s">
        <v>2588</v>
      </c>
      <c r="E2652" s="1">
        <v>21</v>
      </c>
    </row>
    <row r="2653" spans="1:5" hidden="1" x14ac:dyDescent="0.25">
      <c r="A2653" s="115">
        <v>21.131</v>
      </c>
      <c r="B2653" s="115">
        <v>21.31</v>
      </c>
      <c r="C2653" s="1">
        <v>310</v>
      </c>
      <c r="D2653" s="1" t="s">
        <v>2589</v>
      </c>
      <c r="E2653" s="1">
        <v>21</v>
      </c>
    </row>
    <row r="2654" spans="1:5" hidden="1" x14ac:dyDescent="0.25">
      <c r="A2654" s="115">
        <v>21.132000000000001</v>
      </c>
      <c r="B2654" s="115">
        <v>21.32</v>
      </c>
      <c r="C2654" s="1">
        <v>320</v>
      </c>
      <c r="D2654" s="1" t="s">
        <v>2590</v>
      </c>
      <c r="E2654" s="1">
        <v>21</v>
      </c>
    </row>
    <row r="2655" spans="1:5" hidden="1" x14ac:dyDescent="0.25">
      <c r="A2655" s="115">
        <v>21.132999999999999</v>
      </c>
      <c r="B2655" s="115">
        <v>21.33</v>
      </c>
      <c r="C2655" s="1">
        <v>330</v>
      </c>
      <c r="D2655" s="1" t="s">
        <v>2591</v>
      </c>
      <c r="E2655" s="1">
        <v>21</v>
      </c>
    </row>
    <row r="2656" spans="1:5" hidden="1" x14ac:dyDescent="0.25">
      <c r="A2656" s="115">
        <v>21.134</v>
      </c>
      <c r="B2656" s="115">
        <v>21.34</v>
      </c>
      <c r="C2656" s="1">
        <v>340</v>
      </c>
      <c r="D2656" s="1" t="s">
        <v>2592</v>
      </c>
      <c r="E2656" s="1">
        <v>21</v>
      </c>
    </row>
    <row r="2657" spans="1:5" hidden="1" x14ac:dyDescent="0.25">
      <c r="A2657" s="115">
        <v>21.135000000000002</v>
      </c>
      <c r="B2657" s="115">
        <v>21.35</v>
      </c>
      <c r="C2657" s="1">
        <v>350</v>
      </c>
      <c r="D2657" s="1" t="s">
        <v>2593</v>
      </c>
      <c r="E2657" s="1">
        <v>21</v>
      </c>
    </row>
    <row r="2658" spans="1:5" hidden="1" x14ac:dyDescent="0.25">
      <c r="A2658" s="115">
        <v>21.135999999999999</v>
      </c>
      <c r="B2658" s="115">
        <v>21.36</v>
      </c>
      <c r="C2658" s="1">
        <v>360</v>
      </c>
      <c r="D2658" s="1" t="s">
        <v>2594</v>
      </c>
      <c r="E2658" s="1">
        <v>21</v>
      </c>
    </row>
    <row r="2659" spans="1:5" hidden="1" x14ac:dyDescent="0.25">
      <c r="A2659" s="115">
        <v>21.137</v>
      </c>
      <c r="B2659" s="115">
        <v>21.37</v>
      </c>
      <c r="C2659" s="1">
        <v>370</v>
      </c>
      <c r="D2659" s="1" t="s">
        <v>2595</v>
      </c>
      <c r="E2659" s="1">
        <v>21</v>
      </c>
    </row>
    <row r="2660" spans="1:5" hidden="1" x14ac:dyDescent="0.25">
      <c r="A2660" s="115">
        <v>21.138000000000002</v>
      </c>
      <c r="B2660" s="115">
        <v>21.38</v>
      </c>
      <c r="C2660" s="1">
        <v>380</v>
      </c>
      <c r="D2660" s="1" t="s">
        <v>2596</v>
      </c>
      <c r="E2660" s="1">
        <v>21</v>
      </c>
    </row>
    <row r="2661" spans="1:5" hidden="1" x14ac:dyDescent="0.25">
      <c r="A2661" s="115">
        <v>21.138999999999999</v>
      </c>
      <c r="B2661" s="115">
        <v>21.39</v>
      </c>
      <c r="C2661" s="1">
        <v>390</v>
      </c>
      <c r="D2661" s="1" t="s">
        <v>2597</v>
      </c>
      <c r="E2661" s="1">
        <v>21</v>
      </c>
    </row>
    <row r="2662" spans="1:5" hidden="1" x14ac:dyDescent="0.25">
      <c r="A2662" s="115">
        <v>21.14</v>
      </c>
      <c r="B2662" s="115">
        <v>21.4</v>
      </c>
      <c r="C2662" s="1">
        <v>400</v>
      </c>
      <c r="D2662" s="1" t="s">
        <v>2598</v>
      </c>
      <c r="E2662" s="1">
        <v>21</v>
      </c>
    </row>
    <row r="2663" spans="1:5" hidden="1" x14ac:dyDescent="0.25">
      <c r="A2663" s="115">
        <v>21.140999999999998</v>
      </c>
      <c r="B2663" s="115">
        <v>21.41</v>
      </c>
      <c r="C2663" s="1">
        <v>410</v>
      </c>
      <c r="D2663" s="1" t="s">
        <v>2599</v>
      </c>
      <c r="E2663" s="1">
        <v>21</v>
      </c>
    </row>
    <row r="2664" spans="1:5" hidden="1" x14ac:dyDescent="0.25">
      <c r="A2664" s="115">
        <v>21.141999999999999</v>
      </c>
      <c r="B2664" s="115">
        <v>21.42</v>
      </c>
      <c r="C2664" s="1">
        <v>420</v>
      </c>
      <c r="D2664" s="1" t="s">
        <v>2600</v>
      </c>
      <c r="E2664" s="1">
        <v>21</v>
      </c>
    </row>
    <row r="2665" spans="1:5" hidden="1" x14ac:dyDescent="0.25">
      <c r="A2665" s="115">
        <v>21.143000000000001</v>
      </c>
      <c r="B2665" s="115">
        <v>21.43</v>
      </c>
      <c r="C2665" s="1">
        <v>430</v>
      </c>
      <c r="D2665" s="1" t="s">
        <v>2601</v>
      </c>
      <c r="E2665" s="1">
        <v>21</v>
      </c>
    </row>
    <row r="2666" spans="1:5" hidden="1" x14ac:dyDescent="0.25">
      <c r="A2666" s="115">
        <v>21.143999999999998</v>
      </c>
      <c r="B2666" s="115">
        <v>21.44</v>
      </c>
      <c r="C2666" s="1">
        <v>440</v>
      </c>
      <c r="D2666" s="1" t="s">
        <v>2602</v>
      </c>
      <c r="E2666" s="1">
        <v>21</v>
      </c>
    </row>
    <row r="2667" spans="1:5" hidden="1" x14ac:dyDescent="0.25">
      <c r="A2667" s="115">
        <v>21.145</v>
      </c>
      <c r="B2667" s="115">
        <v>21.445</v>
      </c>
      <c r="C2667" s="1">
        <v>445</v>
      </c>
      <c r="D2667" s="1" t="s">
        <v>2603</v>
      </c>
      <c r="E2667" s="1">
        <v>21</v>
      </c>
    </row>
    <row r="2668" spans="1:5" hidden="1" x14ac:dyDescent="0.25">
      <c r="A2668" s="115">
        <v>21.146000000000001</v>
      </c>
      <c r="B2668" s="115">
        <v>21.45</v>
      </c>
      <c r="C2668" s="1">
        <v>450</v>
      </c>
      <c r="D2668" s="1" t="s">
        <v>2604</v>
      </c>
      <c r="E2668" s="1">
        <v>21</v>
      </c>
    </row>
    <row r="2669" spans="1:5" hidden="1" x14ac:dyDescent="0.25">
      <c r="A2669" s="115">
        <v>21.146999999999998</v>
      </c>
      <c r="B2669" s="115">
        <v>21.46</v>
      </c>
      <c r="C2669" s="1">
        <v>460</v>
      </c>
      <c r="D2669" s="1" t="s">
        <v>2605</v>
      </c>
      <c r="E2669" s="1">
        <v>21</v>
      </c>
    </row>
    <row r="2670" spans="1:5" hidden="1" x14ac:dyDescent="0.25">
      <c r="A2670" s="115">
        <v>21.148</v>
      </c>
      <c r="B2670" s="115">
        <v>21.47</v>
      </c>
      <c r="C2670" s="1">
        <v>470</v>
      </c>
      <c r="D2670" s="1" t="s">
        <v>2606</v>
      </c>
      <c r="E2670" s="1">
        <v>21</v>
      </c>
    </row>
    <row r="2671" spans="1:5" hidden="1" x14ac:dyDescent="0.25">
      <c r="A2671" s="115">
        <v>21.149000000000001</v>
      </c>
      <c r="B2671" s="115">
        <v>21.48</v>
      </c>
      <c r="C2671" s="1">
        <v>480</v>
      </c>
      <c r="D2671" s="1" t="s">
        <v>2607</v>
      </c>
      <c r="E2671" s="1">
        <v>21</v>
      </c>
    </row>
    <row r="2672" spans="1:5" hidden="1" x14ac:dyDescent="0.25">
      <c r="A2672" s="115">
        <v>21.15</v>
      </c>
      <c r="B2672" s="115">
        <v>21.49</v>
      </c>
      <c r="C2672" s="1">
        <v>490</v>
      </c>
      <c r="D2672" s="1" t="s">
        <v>2608</v>
      </c>
      <c r="E2672" s="1">
        <v>21</v>
      </c>
    </row>
    <row r="2673" spans="1:5" hidden="1" x14ac:dyDescent="0.25">
      <c r="A2673" s="115">
        <v>21.151</v>
      </c>
      <c r="B2673" s="115">
        <v>21.5</v>
      </c>
      <c r="C2673" s="1">
        <v>500</v>
      </c>
      <c r="D2673" s="1" t="s">
        <v>2609</v>
      </c>
      <c r="E2673" s="1">
        <v>21</v>
      </c>
    </row>
    <row r="2674" spans="1:5" hidden="1" x14ac:dyDescent="0.25">
      <c r="A2674" s="115">
        <v>21.152000000000001</v>
      </c>
      <c r="B2674" s="115">
        <v>21.51</v>
      </c>
      <c r="C2674" s="1">
        <v>510</v>
      </c>
      <c r="D2674" s="1" t="s">
        <v>2610</v>
      </c>
      <c r="E2674" s="1">
        <v>21</v>
      </c>
    </row>
    <row r="2675" spans="1:5" hidden="1" x14ac:dyDescent="0.25">
      <c r="A2675" s="115">
        <v>21.152999999999999</v>
      </c>
      <c r="B2675" s="115">
        <v>21.52</v>
      </c>
      <c r="C2675" s="1">
        <v>520</v>
      </c>
      <c r="D2675" s="1" t="s">
        <v>2611</v>
      </c>
      <c r="E2675" s="1">
        <v>21</v>
      </c>
    </row>
    <row r="2676" spans="1:5" hidden="1" x14ac:dyDescent="0.25">
      <c r="A2676" s="115">
        <v>21.154</v>
      </c>
      <c r="B2676" s="115">
        <v>21.53</v>
      </c>
      <c r="C2676" s="1">
        <v>530</v>
      </c>
      <c r="D2676" s="1" t="s">
        <v>2612</v>
      </c>
      <c r="E2676" s="1">
        <v>21</v>
      </c>
    </row>
    <row r="2677" spans="1:5" hidden="1" x14ac:dyDescent="0.25">
      <c r="A2677" s="115">
        <v>21.155000000000001</v>
      </c>
      <c r="B2677" s="115">
        <v>21.54</v>
      </c>
      <c r="C2677" s="1">
        <v>540</v>
      </c>
      <c r="D2677" s="1" t="s">
        <v>2613</v>
      </c>
      <c r="E2677" s="1">
        <v>21</v>
      </c>
    </row>
    <row r="2678" spans="1:5" hidden="1" x14ac:dyDescent="0.25">
      <c r="A2678" s="115">
        <v>21.155999999999999</v>
      </c>
      <c r="B2678" s="115">
        <v>21.55</v>
      </c>
      <c r="C2678" s="1">
        <v>550</v>
      </c>
      <c r="D2678" s="1" t="s">
        <v>2614</v>
      </c>
      <c r="E2678" s="1">
        <v>21</v>
      </c>
    </row>
    <row r="2679" spans="1:5" hidden="1" x14ac:dyDescent="0.25">
      <c r="A2679" s="115">
        <v>21.157</v>
      </c>
      <c r="B2679" s="115">
        <v>21.56</v>
      </c>
      <c r="C2679" s="1">
        <v>560</v>
      </c>
      <c r="D2679" s="1" t="s">
        <v>2615</v>
      </c>
      <c r="E2679" s="1">
        <v>21</v>
      </c>
    </row>
    <row r="2680" spans="1:5" hidden="1" x14ac:dyDescent="0.25">
      <c r="A2680" s="115">
        <v>21.158000000000001</v>
      </c>
      <c r="B2680" s="115">
        <v>21.57</v>
      </c>
      <c r="C2680" s="1">
        <v>570</v>
      </c>
      <c r="D2680" s="1" t="s">
        <v>2616</v>
      </c>
      <c r="E2680" s="1">
        <v>21</v>
      </c>
    </row>
    <row r="2681" spans="1:5" hidden="1" x14ac:dyDescent="0.25">
      <c r="A2681" s="115">
        <v>21.158999999999999</v>
      </c>
      <c r="B2681" s="115">
        <v>21.574999999999999</v>
      </c>
      <c r="C2681" s="1">
        <v>575</v>
      </c>
      <c r="D2681" s="1" t="s">
        <v>2617</v>
      </c>
      <c r="E2681" s="1">
        <v>21</v>
      </c>
    </row>
    <row r="2682" spans="1:5" hidden="1" x14ac:dyDescent="0.25">
      <c r="A2682" s="115">
        <v>21.16</v>
      </c>
      <c r="B2682" s="115">
        <v>21.576000000000001</v>
      </c>
      <c r="C2682" s="1">
        <v>576</v>
      </c>
      <c r="D2682" s="1" t="s">
        <v>2618</v>
      </c>
      <c r="E2682" s="1">
        <v>21</v>
      </c>
    </row>
    <row r="2683" spans="1:5" hidden="1" x14ac:dyDescent="0.25">
      <c r="A2683" s="115">
        <v>21.161000000000001</v>
      </c>
      <c r="B2683" s="115">
        <v>21.58</v>
      </c>
      <c r="C2683" s="1">
        <v>580</v>
      </c>
      <c r="D2683" s="1" t="s">
        <v>2619</v>
      </c>
      <c r="E2683" s="1">
        <v>21</v>
      </c>
    </row>
    <row r="2684" spans="1:5" hidden="1" x14ac:dyDescent="0.25">
      <c r="A2684" s="115">
        <v>21.161999999999999</v>
      </c>
      <c r="B2684" s="115">
        <v>21.59</v>
      </c>
      <c r="C2684" s="1">
        <v>590</v>
      </c>
      <c r="D2684" s="1" t="s">
        <v>1099</v>
      </c>
      <c r="E2684" s="1">
        <v>21</v>
      </c>
    </row>
    <row r="2685" spans="1:5" hidden="1" x14ac:dyDescent="0.25">
      <c r="A2685" s="115">
        <v>21.163</v>
      </c>
      <c r="B2685" s="115">
        <v>21.6</v>
      </c>
      <c r="C2685" s="1">
        <v>600</v>
      </c>
      <c r="D2685" s="1" t="s">
        <v>2620</v>
      </c>
      <c r="E2685" s="1">
        <v>21</v>
      </c>
    </row>
    <row r="2686" spans="1:5" hidden="1" x14ac:dyDescent="0.25">
      <c r="A2686" s="115">
        <v>21.164000000000001</v>
      </c>
      <c r="B2686" s="115">
        <v>21.61</v>
      </c>
      <c r="C2686" s="1">
        <v>610</v>
      </c>
      <c r="D2686" s="1" t="s">
        <v>2621</v>
      </c>
      <c r="E2686" s="1">
        <v>21</v>
      </c>
    </row>
    <row r="2687" spans="1:5" hidden="1" x14ac:dyDescent="0.25">
      <c r="A2687" s="115">
        <v>21.164999999999999</v>
      </c>
      <c r="B2687" s="115">
        <v>21.62</v>
      </c>
      <c r="C2687" s="1">
        <v>620</v>
      </c>
      <c r="D2687" s="1" t="s">
        <v>2622</v>
      </c>
      <c r="E2687" s="1">
        <v>21</v>
      </c>
    </row>
    <row r="2688" spans="1:5" hidden="1" x14ac:dyDescent="0.25">
      <c r="A2688" s="115">
        <v>21.166</v>
      </c>
      <c r="B2688" s="115">
        <v>21.63</v>
      </c>
      <c r="C2688" s="1">
        <v>630</v>
      </c>
      <c r="D2688" s="1" t="s">
        <v>2623</v>
      </c>
      <c r="E2688" s="1">
        <v>21</v>
      </c>
    </row>
    <row r="2689" spans="1:5" hidden="1" x14ac:dyDescent="0.25">
      <c r="A2689" s="115">
        <v>21.167000000000002</v>
      </c>
      <c r="B2689" s="115">
        <v>21.64</v>
      </c>
      <c r="C2689" s="1">
        <v>640</v>
      </c>
      <c r="D2689" s="1" t="s">
        <v>2624</v>
      </c>
      <c r="E2689" s="1">
        <v>21</v>
      </c>
    </row>
    <row r="2690" spans="1:5" hidden="1" x14ac:dyDescent="0.25">
      <c r="A2690" s="115">
        <v>21.167999999999999</v>
      </c>
      <c r="B2690" s="115">
        <v>21.65</v>
      </c>
      <c r="C2690" s="1">
        <v>650</v>
      </c>
      <c r="D2690" s="1" t="s">
        <v>2625</v>
      </c>
      <c r="E2690" s="1">
        <v>21</v>
      </c>
    </row>
    <row r="2691" spans="1:5" hidden="1" x14ac:dyDescent="0.25">
      <c r="A2691" s="115">
        <v>21.169</v>
      </c>
      <c r="B2691" s="115">
        <v>21.66</v>
      </c>
      <c r="C2691" s="1">
        <v>660</v>
      </c>
      <c r="D2691" s="1" t="s">
        <v>2626</v>
      </c>
      <c r="E2691" s="1">
        <v>21</v>
      </c>
    </row>
    <row r="2692" spans="1:5" hidden="1" x14ac:dyDescent="0.25">
      <c r="A2692" s="115">
        <v>21.17</v>
      </c>
      <c r="B2692" s="115">
        <v>21.67</v>
      </c>
      <c r="C2692" s="1">
        <v>670</v>
      </c>
      <c r="D2692" s="1" t="s">
        <v>2627</v>
      </c>
      <c r="E2692" s="1">
        <v>21</v>
      </c>
    </row>
    <row r="2693" spans="1:5" hidden="1" x14ac:dyDescent="0.25">
      <c r="A2693" s="115">
        <v>21.170999999999999</v>
      </c>
      <c r="B2693" s="115">
        <v>21.68</v>
      </c>
      <c r="C2693" s="1">
        <v>680</v>
      </c>
      <c r="D2693" s="1" t="s">
        <v>2628</v>
      </c>
      <c r="E2693" s="1">
        <v>21</v>
      </c>
    </row>
    <row r="2694" spans="1:5" hidden="1" x14ac:dyDescent="0.25">
      <c r="A2694" s="115">
        <v>21.172000000000001</v>
      </c>
      <c r="B2694" s="115">
        <v>21.69</v>
      </c>
      <c r="C2694" s="1">
        <v>690</v>
      </c>
      <c r="D2694" s="1" t="s">
        <v>2629</v>
      </c>
      <c r="E2694" s="1">
        <v>21</v>
      </c>
    </row>
    <row r="2695" spans="1:5" hidden="1" x14ac:dyDescent="0.25">
      <c r="A2695" s="115">
        <v>21.172999999999998</v>
      </c>
      <c r="B2695" s="115">
        <v>21.7</v>
      </c>
      <c r="C2695" s="1">
        <v>700</v>
      </c>
      <c r="D2695" s="1" t="s">
        <v>2630</v>
      </c>
      <c r="E2695" s="1">
        <v>21</v>
      </c>
    </row>
    <row r="2696" spans="1:5" hidden="1" x14ac:dyDescent="0.25">
      <c r="A2696" s="115">
        <v>21.173999999999999</v>
      </c>
      <c r="B2696" s="115">
        <v>21.71</v>
      </c>
      <c r="C2696" s="1">
        <v>710</v>
      </c>
      <c r="D2696" s="1" t="s">
        <v>2631</v>
      </c>
      <c r="E2696" s="1">
        <v>21</v>
      </c>
    </row>
    <row r="2697" spans="1:5" hidden="1" x14ac:dyDescent="0.25">
      <c r="A2697" s="115">
        <v>21.175000000000001</v>
      </c>
      <c r="B2697" s="115">
        <v>21.72</v>
      </c>
      <c r="C2697" s="1">
        <v>720</v>
      </c>
      <c r="D2697" s="1" t="s">
        <v>2632</v>
      </c>
      <c r="E2697" s="1">
        <v>21</v>
      </c>
    </row>
    <row r="2698" spans="1:5" hidden="1" x14ac:dyDescent="0.25">
      <c r="A2698" s="115">
        <v>21.175999999999998</v>
      </c>
      <c r="B2698" s="115">
        <v>21.73</v>
      </c>
      <c r="C2698" s="1">
        <v>730</v>
      </c>
      <c r="D2698" s="1" t="s">
        <v>2633</v>
      </c>
      <c r="E2698" s="1">
        <v>21</v>
      </c>
    </row>
    <row r="2699" spans="1:5" hidden="1" x14ac:dyDescent="0.25">
      <c r="A2699" s="115">
        <v>21.177</v>
      </c>
      <c r="B2699" s="115">
        <v>21.74</v>
      </c>
      <c r="C2699" s="1">
        <v>740</v>
      </c>
      <c r="D2699" s="1" t="s">
        <v>2634</v>
      </c>
      <c r="E2699" s="1">
        <v>21</v>
      </c>
    </row>
    <row r="2700" spans="1:5" hidden="1" x14ac:dyDescent="0.25">
      <c r="A2700" s="115">
        <v>21.178000000000001</v>
      </c>
      <c r="B2700" s="115">
        <v>21.75</v>
      </c>
      <c r="C2700" s="1">
        <v>750</v>
      </c>
      <c r="D2700" s="1" t="s">
        <v>2635</v>
      </c>
      <c r="E2700" s="1">
        <v>21</v>
      </c>
    </row>
    <row r="2701" spans="1:5" hidden="1" x14ac:dyDescent="0.25">
      <c r="A2701" s="115">
        <v>21.178999999999998</v>
      </c>
      <c r="B2701" s="115">
        <v>21.754999999999999</v>
      </c>
      <c r="C2701" s="1">
        <v>755</v>
      </c>
      <c r="D2701" s="1" t="s">
        <v>1466</v>
      </c>
      <c r="E2701" s="1">
        <v>21</v>
      </c>
    </row>
    <row r="2702" spans="1:5" hidden="1" x14ac:dyDescent="0.25">
      <c r="A2702" s="115">
        <v>21.18</v>
      </c>
      <c r="B2702" s="115">
        <v>21.76</v>
      </c>
      <c r="C2702" s="1">
        <v>760</v>
      </c>
      <c r="D2702" s="1" t="s">
        <v>2636</v>
      </c>
      <c r="E2702" s="1">
        <v>21</v>
      </c>
    </row>
    <row r="2703" spans="1:5" hidden="1" x14ac:dyDescent="0.25">
      <c r="A2703" s="115">
        <v>21.181000000000001</v>
      </c>
      <c r="B2703" s="115">
        <v>21.77</v>
      </c>
      <c r="C2703" s="1">
        <v>770</v>
      </c>
      <c r="D2703" s="1" t="s">
        <v>2637</v>
      </c>
      <c r="E2703" s="1">
        <v>21</v>
      </c>
    </row>
    <row r="2704" spans="1:5" hidden="1" x14ac:dyDescent="0.25">
      <c r="A2704" s="115">
        <v>21.181999999999999</v>
      </c>
      <c r="B2704" s="115">
        <v>21.78</v>
      </c>
      <c r="C2704" s="1">
        <v>780</v>
      </c>
      <c r="D2704" s="1" t="s">
        <v>2638</v>
      </c>
      <c r="E2704" s="1">
        <v>21</v>
      </c>
    </row>
    <row r="2705" spans="1:5" hidden="1" x14ac:dyDescent="0.25">
      <c r="A2705" s="115">
        <v>21.183</v>
      </c>
      <c r="B2705" s="115">
        <v>21.79</v>
      </c>
      <c r="C2705" s="1">
        <v>790</v>
      </c>
      <c r="D2705" s="1" t="s">
        <v>2639</v>
      </c>
      <c r="E2705" s="1">
        <v>21</v>
      </c>
    </row>
    <row r="2706" spans="1:5" hidden="1" x14ac:dyDescent="0.25">
      <c r="A2706" s="115">
        <v>21.184000000000001</v>
      </c>
      <c r="B2706" s="115">
        <v>21.8</v>
      </c>
      <c r="C2706" s="1">
        <v>800</v>
      </c>
      <c r="D2706" s="1" t="s">
        <v>2640</v>
      </c>
      <c r="E2706" s="1">
        <v>21</v>
      </c>
    </row>
    <row r="2707" spans="1:5" hidden="1" x14ac:dyDescent="0.25">
      <c r="A2707" s="115">
        <v>21.184999999999999</v>
      </c>
      <c r="B2707" s="115">
        <v>21.805</v>
      </c>
      <c r="C2707" s="1">
        <v>805</v>
      </c>
      <c r="D2707" s="1" t="s">
        <v>2641</v>
      </c>
      <c r="E2707" s="1">
        <v>21</v>
      </c>
    </row>
    <row r="2708" spans="1:5" hidden="1" x14ac:dyDescent="0.25">
      <c r="A2708" s="115">
        <v>21.186</v>
      </c>
      <c r="B2708" s="115">
        <v>21.81</v>
      </c>
      <c r="C2708" s="1">
        <v>810</v>
      </c>
      <c r="D2708" s="1" t="s">
        <v>2642</v>
      </c>
      <c r="E2708" s="1">
        <v>21</v>
      </c>
    </row>
    <row r="2709" spans="1:5" hidden="1" x14ac:dyDescent="0.25">
      <c r="A2709" s="115">
        <v>21.187000000000001</v>
      </c>
      <c r="B2709" s="115">
        <v>21.82</v>
      </c>
      <c r="C2709" s="1">
        <v>820</v>
      </c>
      <c r="D2709" s="1" t="s">
        <v>2643</v>
      </c>
      <c r="E2709" s="1">
        <v>21</v>
      </c>
    </row>
    <row r="2710" spans="1:5" hidden="1" x14ac:dyDescent="0.25">
      <c r="A2710" s="115">
        <v>21.187999999999999</v>
      </c>
      <c r="B2710" s="115">
        <v>21.83</v>
      </c>
      <c r="C2710" s="1">
        <v>830</v>
      </c>
      <c r="D2710" s="1" t="s">
        <v>2644</v>
      </c>
      <c r="E2710" s="1">
        <v>21</v>
      </c>
    </row>
    <row r="2711" spans="1:5" hidden="1" x14ac:dyDescent="0.25">
      <c r="A2711" s="115">
        <v>21.189</v>
      </c>
      <c r="B2711" s="115">
        <v>21.84</v>
      </c>
      <c r="C2711" s="1">
        <v>840</v>
      </c>
      <c r="D2711" s="1" t="s">
        <v>2645</v>
      </c>
      <c r="E2711" s="1">
        <v>21</v>
      </c>
    </row>
    <row r="2712" spans="1:5" hidden="1" x14ac:dyDescent="0.25">
      <c r="A2712" s="115">
        <v>21.19</v>
      </c>
      <c r="B2712" s="115">
        <v>21.85</v>
      </c>
      <c r="C2712" s="1">
        <v>850</v>
      </c>
      <c r="D2712" s="1" t="s">
        <v>2646</v>
      </c>
      <c r="E2712" s="1">
        <v>21</v>
      </c>
    </row>
    <row r="2713" spans="1:5" hidden="1" x14ac:dyDescent="0.25">
      <c r="A2713" s="115">
        <v>21.190999999999999</v>
      </c>
      <c r="B2713" s="115">
        <v>21.86</v>
      </c>
      <c r="C2713" s="1">
        <v>860</v>
      </c>
      <c r="D2713" s="1" t="s">
        <v>2647</v>
      </c>
      <c r="E2713" s="1">
        <v>21</v>
      </c>
    </row>
    <row r="2714" spans="1:5" hidden="1" x14ac:dyDescent="0.25">
      <c r="A2714" s="115">
        <v>21.192</v>
      </c>
      <c r="B2714" s="115">
        <v>21.87</v>
      </c>
      <c r="C2714" s="1">
        <v>870</v>
      </c>
      <c r="D2714" s="1" t="s">
        <v>2648</v>
      </c>
      <c r="E2714" s="1">
        <v>21</v>
      </c>
    </row>
    <row r="2715" spans="1:5" hidden="1" x14ac:dyDescent="0.25">
      <c r="A2715" s="115">
        <v>21.193000000000001</v>
      </c>
      <c r="B2715" s="115">
        <v>21.88</v>
      </c>
      <c r="C2715" s="1">
        <v>880</v>
      </c>
      <c r="D2715" s="1" t="s">
        <v>2649</v>
      </c>
      <c r="E2715" s="1">
        <v>21</v>
      </c>
    </row>
    <row r="2716" spans="1:5" hidden="1" x14ac:dyDescent="0.25">
      <c r="A2716" s="115">
        <v>21.193999999999999</v>
      </c>
      <c r="B2716" s="115">
        <v>21.89</v>
      </c>
      <c r="C2716" s="1">
        <v>890</v>
      </c>
      <c r="D2716" s="1" t="s">
        <v>2650</v>
      </c>
      <c r="E2716" s="1">
        <v>21</v>
      </c>
    </row>
    <row r="2717" spans="1:5" hidden="1" x14ac:dyDescent="0.25">
      <c r="A2717" s="115">
        <v>21.195</v>
      </c>
      <c r="B2717" s="115">
        <v>21.895</v>
      </c>
      <c r="C2717" s="1">
        <v>895</v>
      </c>
      <c r="D2717" s="1" t="s">
        <v>2651</v>
      </c>
      <c r="E2717" s="1">
        <v>21</v>
      </c>
    </row>
    <row r="2718" spans="1:5" hidden="1" x14ac:dyDescent="0.25">
      <c r="A2718" s="115">
        <v>21.196000000000002</v>
      </c>
      <c r="B2718" s="115">
        <v>21.9</v>
      </c>
      <c r="C2718" s="1">
        <v>900</v>
      </c>
      <c r="D2718" s="1" t="s">
        <v>2652</v>
      </c>
      <c r="E2718" s="1">
        <v>21</v>
      </c>
    </row>
    <row r="2719" spans="1:5" hidden="1" x14ac:dyDescent="0.25">
      <c r="A2719" s="115">
        <v>21.196999999999999</v>
      </c>
      <c r="B2719" s="115">
        <v>21.91</v>
      </c>
      <c r="C2719" s="1">
        <v>910</v>
      </c>
      <c r="D2719" s="1" t="s">
        <v>2653</v>
      </c>
      <c r="E2719" s="1">
        <v>21</v>
      </c>
    </row>
    <row r="2720" spans="1:5" hidden="1" x14ac:dyDescent="0.25">
      <c r="A2720" s="115">
        <v>21.198</v>
      </c>
      <c r="B2720" s="115">
        <v>21.92</v>
      </c>
      <c r="C2720" s="1">
        <v>920</v>
      </c>
      <c r="D2720" s="1" t="s">
        <v>2654</v>
      </c>
      <c r="E2720" s="1">
        <v>21</v>
      </c>
    </row>
    <row r="2721" spans="1:5" hidden="1" x14ac:dyDescent="0.25">
      <c r="A2721" s="115">
        <v>21.199000000000002</v>
      </c>
      <c r="B2721" s="115">
        <v>21.925000000000001</v>
      </c>
      <c r="C2721" s="1">
        <v>925</v>
      </c>
      <c r="D2721" s="1" t="s">
        <v>2655</v>
      </c>
      <c r="E2721" s="1">
        <v>21</v>
      </c>
    </row>
    <row r="2722" spans="1:5" hidden="1" x14ac:dyDescent="0.25">
      <c r="A2722" s="115">
        <v>21.2</v>
      </c>
      <c r="B2722" s="115">
        <v>21.93</v>
      </c>
      <c r="C2722" s="1">
        <v>930</v>
      </c>
      <c r="D2722" s="1" t="s">
        <v>2656</v>
      </c>
      <c r="E2722" s="1">
        <v>21</v>
      </c>
    </row>
    <row r="2723" spans="1:5" hidden="1" x14ac:dyDescent="0.25">
      <c r="A2723" s="115">
        <v>21.201000000000001</v>
      </c>
      <c r="B2723" s="115">
        <v>21.934999999999999</v>
      </c>
      <c r="C2723" s="1">
        <v>935</v>
      </c>
      <c r="D2723" s="1" t="s">
        <v>2657</v>
      </c>
      <c r="E2723" s="1">
        <v>21</v>
      </c>
    </row>
    <row r="2724" spans="1:5" hidden="1" x14ac:dyDescent="0.25">
      <c r="A2724" s="115">
        <v>21.202000000000002</v>
      </c>
      <c r="B2724" s="115">
        <v>21.94</v>
      </c>
      <c r="C2724" s="1">
        <v>940</v>
      </c>
      <c r="D2724" s="1" t="s">
        <v>2658</v>
      </c>
      <c r="E2724" s="1">
        <v>21</v>
      </c>
    </row>
    <row r="2725" spans="1:5" hidden="1" x14ac:dyDescent="0.25">
      <c r="A2725" s="115">
        <v>21.202999999999999</v>
      </c>
      <c r="B2725" s="115">
        <v>21.95</v>
      </c>
      <c r="C2725" s="1">
        <v>950</v>
      </c>
      <c r="D2725" s="1" t="s">
        <v>2659</v>
      </c>
      <c r="E2725" s="1">
        <v>21</v>
      </c>
    </row>
    <row r="2726" spans="1:5" hidden="1" x14ac:dyDescent="0.25">
      <c r="A2726" s="115">
        <v>21.204000000000001</v>
      </c>
      <c r="B2726" s="115">
        <v>21.954999999999998</v>
      </c>
      <c r="C2726" s="1">
        <v>955</v>
      </c>
      <c r="D2726" s="1" t="s">
        <v>2660</v>
      </c>
      <c r="E2726" s="1">
        <v>21</v>
      </c>
    </row>
    <row r="2727" spans="1:5" hidden="1" x14ac:dyDescent="0.25">
      <c r="A2727" s="115">
        <v>21.204999999999998</v>
      </c>
      <c r="B2727" s="115">
        <v>21.96</v>
      </c>
      <c r="C2727" s="1">
        <v>960</v>
      </c>
      <c r="D2727" s="1" t="s">
        <v>2661</v>
      </c>
      <c r="E2727" s="1">
        <v>21</v>
      </c>
    </row>
    <row r="2728" spans="1:5" hidden="1" x14ac:dyDescent="0.25">
      <c r="A2728" s="115">
        <v>21.206</v>
      </c>
      <c r="B2728" s="115">
        <v>21.97</v>
      </c>
      <c r="C2728" s="1">
        <v>970</v>
      </c>
      <c r="D2728" s="1" t="s">
        <v>2662</v>
      </c>
      <c r="E2728" s="1">
        <v>21</v>
      </c>
    </row>
    <row r="2729" spans="1:5" hidden="1" x14ac:dyDescent="0.25">
      <c r="A2729" s="115">
        <v>21.207000000000001</v>
      </c>
      <c r="B2729" s="115">
        <v>21.98</v>
      </c>
      <c r="C2729" s="1">
        <v>980</v>
      </c>
      <c r="D2729" s="1" t="s">
        <v>2663</v>
      </c>
      <c r="E2729" s="1">
        <v>21</v>
      </c>
    </row>
    <row r="2730" spans="1:5" hidden="1" x14ac:dyDescent="0.25">
      <c r="A2730" s="115">
        <v>21.207999999999998</v>
      </c>
      <c r="B2730" s="115">
        <v>21.99</v>
      </c>
      <c r="C2730" s="1">
        <v>990</v>
      </c>
      <c r="D2730" s="1" t="s">
        <v>2664</v>
      </c>
      <c r="E2730" s="1">
        <v>21</v>
      </c>
    </row>
    <row r="2731" spans="1:5" hidden="1" x14ac:dyDescent="0.25">
      <c r="A2731" s="115">
        <v>21.209</v>
      </c>
      <c r="B2731" s="115">
        <v>21.1</v>
      </c>
      <c r="C2731" s="1">
        <v>1000</v>
      </c>
      <c r="D2731" s="1" t="s">
        <v>2665</v>
      </c>
      <c r="E2731" s="1">
        <v>21</v>
      </c>
    </row>
    <row r="2732" spans="1:5" hidden="1" x14ac:dyDescent="0.25">
      <c r="A2732" s="115">
        <v>21.21</v>
      </c>
      <c r="B2732" s="115">
        <v>21.11</v>
      </c>
      <c r="C2732" s="1">
        <v>1100</v>
      </c>
      <c r="D2732" s="1" t="s">
        <v>2666</v>
      </c>
      <c r="E2732" s="1">
        <v>21</v>
      </c>
    </row>
    <row r="2733" spans="1:5" hidden="1" x14ac:dyDescent="0.25">
      <c r="A2733" s="115">
        <v>21.210999999999999</v>
      </c>
      <c r="B2733" s="115">
        <v>21.111000000000001</v>
      </c>
      <c r="C2733" s="1">
        <v>1110</v>
      </c>
      <c r="D2733" s="1" t="s">
        <v>2667</v>
      </c>
      <c r="E2733" s="1">
        <v>21</v>
      </c>
    </row>
    <row r="2734" spans="1:5" hidden="1" x14ac:dyDescent="0.25">
      <c r="A2734" s="115">
        <v>21.212</v>
      </c>
      <c r="B2734" s="115">
        <v>21.111999999999998</v>
      </c>
      <c r="C2734" s="1">
        <v>1120</v>
      </c>
      <c r="D2734" s="1" t="s">
        <v>2668</v>
      </c>
      <c r="E2734" s="1">
        <v>21</v>
      </c>
    </row>
    <row r="2735" spans="1:5" hidden="1" x14ac:dyDescent="0.25">
      <c r="A2735" s="115">
        <v>21.213000000000001</v>
      </c>
      <c r="B2735" s="115">
        <v>21.113</v>
      </c>
      <c r="C2735" s="1">
        <v>1130</v>
      </c>
      <c r="D2735" s="1" t="s">
        <v>2669</v>
      </c>
      <c r="E2735" s="1">
        <v>21</v>
      </c>
    </row>
    <row r="2736" spans="1:5" hidden="1" x14ac:dyDescent="0.25">
      <c r="A2736" s="115">
        <v>21.213999999999999</v>
      </c>
      <c r="B2736" s="115">
        <v>21.114000000000001</v>
      </c>
      <c r="C2736" s="1">
        <v>1140</v>
      </c>
      <c r="D2736" s="1" t="s">
        <v>2670</v>
      </c>
      <c r="E2736" s="1">
        <v>21</v>
      </c>
    </row>
    <row r="2737" spans="1:5" hidden="1" x14ac:dyDescent="0.25">
      <c r="A2737" s="115">
        <v>21.215</v>
      </c>
      <c r="B2737" s="115">
        <v>21.114999999999998</v>
      </c>
      <c r="C2737" s="1">
        <v>1150</v>
      </c>
      <c r="D2737" s="1" t="s">
        <v>2671</v>
      </c>
      <c r="E2737" s="1">
        <v>21</v>
      </c>
    </row>
    <row r="2738" spans="1:5" hidden="1" x14ac:dyDescent="0.25">
      <c r="A2738" s="115">
        <v>21.216000000000001</v>
      </c>
      <c r="B2738" s="115">
        <v>21.116</v>
      </c>
      <c r="C2738" s="1">
        <v>1160</v>
      </c>
      <c r="D2738" s="1" t="s">
        <v>2672</v>
      </c>
      <c r="E2738" s="1">
        <v>21</v>
      </c>
    </row>
    <row r="2739" spans="1:5" hidden="1" x14ac:dyDescent="0.25">
      <c r="A2739" s="115">
        <v>21.216999999999999</v>
      </c>
      <c r="B2739" s="115">
        <v>21.117000000000001</v>
      </c>
      <c r="C2739" s="1">
        <v>1170</v>
      </c>
      <c r="D2739" s="1" t="s">
        <v>2673</v>
      </c>
      <c r="E2739" s="1">
        <v>21</v>
      </c>
    </row>
    <row r="2740" spans="1:5" hidden="1" x14ac:dyDescent="0.25">
      <c r="A2740" s="115">
        <v>21.218</v>
      </c>
      <c r="B2740" s="115">
        <v>21.117999999999999</v>
      </c>
      <c r="C2740" s="1">
        <v>1180</v>
      </c>
      <c r="D2740" s="1" t="s">
        <v>2674</v>
      </c>
      <c r="E2740" s="1">
        <v>21</v>
      </c>
    </row>
    <row r="2741" spans="1:5" hidden="1" x14ac:dyDescent="0.25">
      <c r="A2741" s="115">
        <v>21.219000000000001</v>
      </c>
      <c r="B2741" s="115">
        <v>21.119</v>
      </c>
      <c r="C2741" s="1">
        <v>1190</v>
      </c>
      <c r="D2741" s="1" t="s">
        <v>2675</v>
      </c>
      <c r="E2741" s="1">
        <v>21</v>
      </c>
    </row>
    <row r="2742" spans="1:5" hidden="1" x14ac:dyDescent="0.25">
      <c r="A2742" s="115">
        <v>21.22</v>
      </c>
      <c r="B2742" s="115">
        <v>21.12</v>
      </c>
      <c r="C2742" s="1">
        <v>1200</v>
      </c>
      <c r="D2742" s="1" t="s">
        <v>2676</v>
      </c>
      <c r="E2742" s="1">
        <v>21</v>
      </c>
    </row>
    <row r="2743" spans="1:5" hidden="1" x14ac:dyDescent="0.25">
      <c r="A2743" s="115">
        <v>21.221</v>
      </c>
      <c r="B2743" s="115">
        <v>21.120999999999999</v>
      </c>
      <c r="C2743" s="1">
        <v>1210</v>
      </c>
      <c r="D2743" s="1" t="s">
        <v>2677</v>
      </c>
      <c r="E2743" s="1">
        <v>21</v>
      </c>
    </row>
    <row r="2744" spans="1:5" hidden="1" x14ac:dyDescent="0.25">
      <c r="A2744" s="115">
        <v>21.222000000000001</v>
      </c>
      <c r="B2744" s="115">
        <v>21.122</v>
      </c>
      <c r="C2744" s="1">
        <v>1220</v>
      </c>
      <c r="D2744" s="1" t="s">
        <v>2678</v>
      </c>
      <c r="E2744" s="1">
        <v>21</v>
      </c>
    </row>
    <row r="2745" spans="1:5" hidden="1" x14ac:dyDescent="0.25">
      <c r="A2745" s="115">
        <v>21.222999999999999</v>
      </c>
      <c r="B2745" s="115">
        <v>21.123000000000001</v>
      </c>
      <c r="C2745" s="1">
        <v>1230</v>
      </c>
      <c r="D2745" s="1" t="s">
        <v>2679</v>
      </c>
      <c r="E2745" s="1">
        <v>21</v>
      </c>
    </row>
    <row r="2746" spans="1:5" hidden="1" x14ac:dyDescent="0.25">
      <c r="A2746" s="115">
        <v>21.224</v>
      </c>
      <c r="B2746" s="115">
        <v>21.123999999999999</v>
      </c>
      <c r="C2746" s="1">
        <v>1240</v>
      </c>
      <c r="D2746" s="1" t="s">
        <v>2680</v>
      </c>
      <c r="E2746" s="1">
        <v>21</v>
      </c>
    </row>
    <row r="2747" spans="1:5" hidden="1" x14ac:dyDescent="0.25">
      <c r="A2747" s="115">
        <v>21.225000000000001</v>
      </c>
      <c r="B2747" s="115">
        <v>21.125</v>
      </c>
      <c r="C2747" s="1">
        <v>1250</v>
      </c>
      <c r="D2747" s="1" t="s">
        <v>2681</v>
      </c>
      <c r="E2747" s="1">
        <v>21</v>
      </c>
    </row>
    <row r="2748" spans="1:5" hidden="1" x14ac:dyDescent="0.25">
      <c r="A2748" s="115">
        <v>21.225999999999999</v>
      </c>
      <c r="B2748" s="115">
        <v>21.126000000000001</v>
      </c>
      <c r="C2748" s="1">
        <v>1260</v>
      </c>
      <c r="D2748" s="1" t="s">
        <v>2682</v>
      </c>
      <c r="E2748" s="1">
        <v>21</v>
      </c>
    </row>
    <row r="2749" spans="1:5" hidden="1" x14ac:dyDescent="0.25">
      <c r="A2749" s="115">
        <v>21.227</v>
      </c>
      <c r="B2749" s="115">
        <v>21.126999999999999</v>
      </c>
      <c r="C2749" s="1">
        <v>1270</v>
      </c>
      <c r="D2749" s="1" t="s">
        <v>2683</v>
      </c>
      <c r="E2749" s="1">
        <v>21</v>
      </c>
    </row>
    <row r="2750" spans="1:5" hidden="1" x14ac:dyDescent="0.25">
      <c r="A2750" s="115">
        <v>21.228000000000002</v>
      </c>
      <c r="B2750" s="115">
        <v>21.128</v>
      </c>
      <c r="C2750" s="1">
        <v>1280</v>
      </c>
      <c r="D2750" s="1" t="s">
        <v>2684</v>
      </c>
      <c r="E2750" s="1">
        <v>21</v>
      </c>
    </row>
    <row r="2751" spans="1:5" hidden="1" x14ac:dyDescent="0.25">
      <c r="A2751" s="115">
        <v>21.228999999999999</v>
      </c>
      <c r="B2751" s="115">
        <v>21.13</v>
      </c>
      <c r="C2751" s="1">
        <v>1300</v>
      </c>
      <c r="D2751" s="1" t="s">
        <v>2685</v>
      </c>
      <c r="E2751" s="1">
        <v>21</v>
      </c>
    </row>
    <row r="2752" spans="1:5" hidden="1" x14ac:dyDescent="0.25">
      <c r="A2752" s="115">
        <v>21.23</v>
      </c>
      <c r="B2752" s="115">
        <v>21.131</v>
      </c>
      <c r="C2752" s="1">
        <v>1310</v>
      </c>
      <c r="D2752" s="1" t="s">
        <v>2686</v>
      </c>
      <c r="E2752" s="1">
        <v>21</v>
      </c>
    </row>
    <row r="2753" spans="1:5" hidden="1" x14ac:dyDescent="0.25">
      <c r="A2753" s="115">
        <v>21.231000000000002</v>
      </c>
      <c r="B2753" s="115">
        <v>21.132000000000001</v>
      </c>
      <c r="C2753" s="1">
        <v>1320</v>
      </c>
      <c r="D2753" s="1" t="s">
        <v>2687</v>
      </c>
      <c r="E2753" s="1">
        <v>21</v>
      </c>
    </row>
    <row r="2754" spans="1:5" hidden="1" x14ac:dyDescent="0.25">
      <c r="A2754" s="115">
        <v>22.100999999999999</v>
      </c>
      <c r="B2754" s="115">
        <v>22.1</v>
      </c>
      <c r="C2754" s="1">
        <v>10</v>
      </c>
      <c r="D2754" s="1" t="s">
        <v>2559</v>
      </c>
      <c r="E2754" s="1">
        <v>22</v>
      </c>
    </row>
    <row r="2755" spans="1:5" hidden="1" x14ac:dyDescent="0.25">
      <c r="A2755" s="115">
        <v>22.102</v>
      </c>
      <c r="B2755" s="115">
        <v>22.2</v>
      </c>
      <c r="C2755" s="1">
        <v>20</v>
      </c>
      <c r="D2755" s="1" t="s">
        <v>2560</v>
      </c>
      <c r="E2755" s="1">
        <v>22</v>
      </c>
    </row>
    <row r="2756" spans="1:5" hidden="1" x14ac:dyDescent="0.25">
      <c r="A2756" s="115">
        <v>22.103000000000002</v>
      </c>
      <c r="B2756" s="115">
        <v>22.3</v>
      </c>
      <c r="C2756" s="1">
        <v>30</v>
      </c>
      <c r="D2756" s="1" t="s">
        <v>2561</v>
      </c>
      <c r="E2756" s="1">
        <v>22</v>
      </c>
    </row>
    <row r="2757" spans="1:5" hidden="1" x14ac:dyDescent="0.25">
      <c r="A2757" s="115">
        <v>22.103999999999999</v>
      </c>
      <c r="B2757" s="115">
        <v>22.4</v>
      </c>
      <c r="C2757" s="1">
        <v>40</v>
      </c>
      <c r="D2757" s="1" t="s">
        <v>2562</v>
      </c>
      <c r="E2757" s="1">
        <v>22</v>
      </c>
    </row>
    <row r="2758" spans="1:5" hidden="1" x14ac:dyDescent="0.25">
      <c r="A2758" s="115">
        <v>22.105</v>
      </c>
      <c r="B2758" s="115">
        <v>22.5</v>
      </c>
      <c r="C2758" s="1">
        <v>50</v>
      </c>
      <c r="D2758" s="1" t="s">
        <v>2563</v>
      </c>
      <c r="E2758" s="1">
        <v>22</v>
      </c>
    </row>
    <row r="2759" spans="1:5" hidden="1" x14ac:dyDescent="0.25">
      <c r="A2759" s="115">
        <v>22.106000000000002</v>
      </c>
      <c r="B2759" s="115">
        <v>22.6</v>
      </c>
      <c r="C2759" s="1">
        <v>60</v>
      </c>
      <c r="D2759" s="1" t="s">
        <v>2564</v>
      </c>
      <c r="E2759" s="1">
        <v>22</v>
      </c>
    </row>
    <row r="2760" spans="1:5" hidden="1" x14ac:dyDescent="0.25">
      <c r="A2760" s="115">
        <v>22.106999999999999</v>
      </c>
      <c r="B2760" s="115">
        <v>22.7</v>
      </c>
      <c r="C2760" s="1">
        <v>70</v>
      </c>
      <c r="D2760" s="1" t="s">
        <v>2565</v>
      </c>
      <c r="E2760" s="1">
        <v>22</v>
      </c>
    </row>
    <row r="2761" spans="1:5" hidden="1" x14ac:dyDescent="0.25">
      <c r="A2761" s="115">
        <v>22.108000000000001</v>
      </c>
      <c r="B2761" s="115">
        <v>22.8</v>
      </c>
      <c r="C2761" s="1">
        <v>80</v>
      </c>
      <c r="D2761" s="1" t="s">
        <v>2566</v>
      </c>
      <c r="E2761" s="1">
        <v>22</v>
      </c>
    </row>
    <row r="2762" spans="1:5" hidden="1" x14ac:dyDescent="0.25">
      <c r="A2762" s="115">
        <v>22.109000000000002</v>
      </c>
      <c r="B2762" s="115">
        <v>22.9</v>
      </c>
      <c r="C2762" s="1">
        <v>90</v>
      </c>
      <c r="D2762" s="1" t="s">
        <v>2567</v>
      </c>
      <c r="E2762" s="1">
        <v>22</v>
      </c>
    </row>
    <row r="2763" spans="1:5" hidden="1" x14ac:dyDescent="0.25">
      <c r="A2763" s="115">
        <v>22.11</v>
      </c>
      <c r="B2763" s="115">
        <v>22.1</v>
      </c>
      <c r="C2763" s="1">
        <v>100</v>
      </c>
      <c r="D2763" s="1" t="s">
        <v>2568</v>
      </c>
      <c r="E2763" s="1">
        <v>22</v>
      </c>
    </row>
    <row r="2764" spans="1:5" hidden="1" x14ac:dyDescent="0.25">
      <c r="A2764" s="115">
        <v>22.111000000000001</v>
      </c>
      <c r="B2764" s="115">
        <v>22.11</v>
      </c>
      <c r="C2764" s="1">
        <v>110</v>
      </c>
      <c r="D2764" s="1" t="s">
        <v>2569</v>
      </c>
      <c r="E2764" s="1">
        <v>22</v>
      </c>
    </row>
    <row r="2765" spans="1:5" hidden="1" x14ac:dyDescent="0.25">
      <c r="A2765" s="115">
        <v>22.111999999999998</v>
      </c>
      <c r="B2765" s="115">
        <v>22.12</v>
      </c>
      <c r="C2765" s="1">
        <v>120</v>
      </c>
      <c r="D2765" s="1" t="s">
        <v>2570</v>
      </c>
      <c r="E2765" s="1">
        <v>22</v>
      </c>
    </row>
    <row r="2766" spans="1:5" hidden="1" x14ac:dyDescent="0.25">
      <c r="A2766" s="115">
        <v>22.113</v>
      </c>
      <c r="B2766" s="115">
        <v>22.13</v>
      </c>
      <c r="C2766" s="1">
        <v>130</v>
      </c>
      <c r="D2766" s="1" t="s">
        <v>2571</v>
      </c>
      <c r="E2766" s="1">
        <v>22</v>
      </c>
    </row>
    <row r="2767" spans="1:5" hidden="1" x14ac:dyDescent="0.25">
      <c r="A2767" s="115">
        <v>22.114000000000001</v>
      </c>
      <c r="B2767" s="115">
        <v>22.14</v>
      </c>
      <c r="C2767" s="1">
        <v>140</v>
      </c>
      <c r="D2767" s="1" t="s">
        <v>2572</v>
      </c>
      <c r="E2767" s="1">
        <v>22</v>
      </c>
    </row>
    <row r="2768" spans="1:5" hidden="1" x14ac:dyDescent="0.25">
      <c r="A2768" s="115">
        <v>22.114999999999998</v>
      </c>
      <c r="B2768" s="115">
        <v>22.15</v>
      </c>
      <c r="C2768" s="1">
        <v>150</v>
      </c>
      <c r="D2768" s="1" t="s">
        <v>2573</v>
      </c>
      <c r="E2768" s="1">
        <v>22</v>
      </c>
    </row>
    <row r="2769" spans="1:5" hidden="1" x14ac:dyDescent="0.25">
      <c r="A2769" s="115">
        <v>22.116</v>
      </c>
      <c r="B2769" s="115">
        <v>22.16</v>
      </c>
      <c r="C2769" s="1">
        <v>160</v>
      </c>
      <c r="D2769" s="1" t="s">
        <v>2574</v>
      </c>
      <c r="E2769" s="1">
        <v>22</v>
      </c>
    </row>
    <row r="2770" spans="1:5" hidden="1" x14ac:dyDescent="0.25">
      <c r="A2770" s="115">
        <v>22.117000000000001</v>
      </c>
      <c r="B2770" s="115">
        <v>22.17</v>
      </c>
      <c r="C2770" s="1">
        <v>170</v>
      </c>
      <c r="D2770" s="1" t="s">
        <v>2575</v>
      </c>
      <c r="E2770" s="1">
        <v>22</v>
      </c>
    </row>
    <row r="2771" spans="1:5" hidden="1" x14ac:dyDescent="0.25">
      <c r="A2771" s="115">
        <v>22.117999999999999</v>
      </c>
      <c r="B2771" s="115">
        <v>22.18</v>
      </c>
      <c r="C2771" s="1">
        <v>180</v>
      </c>
      <c r="D2771" s="1" t="s">
        <v>2576</v>
      </c>
      <c r="E2771" s="1">
        <v>22</v>
      </c>
    </row>
    <row r="2772" spans="1:5" hidden="1" x14ac:dyDescent="0.25">
      <c r="A2772" s="115">
        <v>22.119</v>
      </c>
      <c r="B2772" s="115">
        <v>22.19</v>
      </c>
      <c r="C2772" s="1">
        <v>190</v>
      </c>
      <c r="D2772" s="1" t="s">
        <v>2577</v>
      </c>
      <c r="E2772" s="1">
        <v>22</v>
      </c>
    </row>
    <row r="2773" spans="1:5" hidden="1" x14ac:dyDescent="0.25">
      <c r="A2773" s="115">
        <v>22.12</v>
      </c>
      <c r="B2773" s="115">
        <v>22.2</v>
      </c>
      <c r="C2773" s="1">
        <v>200</v>
      </c>
      <c r="D2773" s="1" t="s">
        <v>2578</v>
      </c>
      <c r="E2773" s="1">
        <v>22</v>
      </c>
    </row>
    <row r="2774" spans="1:5" hidden="1" x14ac:dyDescent="0.25">
      <c r="A2774" s="115">
        <v>22.120999999999999</v>
      </c>
      <c r="B2774" s="115">
        <v>22.21</v>
      </c>
      <c r="C2774" s="1">
        <v>210</v>
      </c>
      <c r="D2774" s="1" t="s">
        <v>2579</v>
      </c>
      <c r="E2774" s="1">
        <v>22</v>
      </c>
    </row>
    <row r="2775" spans="1:5" hidden="1" x14ac:dyDescent="0.25">
      <c r="A2775" s="115">
        <v>22.122</v>
      </c>
      <c r="B2775" s="115">
        <v>22.22</v>
      </c>
      <c r="C2775" s="1">
        <v>220</v>
      </c>
      <c r="D2775" s="1" t="s">
        <v>2580</v>
      </c>
      <c r="E2775" s="1">
        <v>22</v>
      </c>
    </row>
    <row r="2776" spans="1:5" hidden="1" x14ac:dyDescent="0.25">
      <c r="A2776" s="115">
        <v>22.123000000000001</v>
      </c>
      <c r="B2776" s="115">
        <v>22.23</v>
      </c>
      <c r="C2776" s="1">
        <v>230</v>
      </c>
      <c r="D2776" s="1" t="s">
        <v>2581</v>
      </c>
      <c r="E2776" s="1">
        <v>22</v>
      </c>
    </row>
    <row r="2777" spans="1:5" hidden="1" x14ac:dyDescent="0.25">
      <c r="A2777" s="115">
        <v>22.123999999999999</v>
      </c>
      <c r="B2777" s="115">
        <v>22.24</v>
      </c>
      <c r="C2777" s="1">
        <v>240</v>
      </c>
      <c r="D2777" s="1" t="s">
        <v>2582</v>
      </c>
      <c r="E2777" s="1">
        <v>22</v>
      </c>
    </row>
    <row r="2778" spans="1:5" hidden="1" x14ac:dyDescent="0.25">
      <c r="A2778" s="115">
        <v>22.125</v>
      </c>
      <c r="B2778" s="115">
        <v>22.25</v>
      </c>
      <c r="C2778" s="1">
        <v>250</v>
      </c>
      <c r="D2778" s="1" t="s">
        <v>2583</v>
      </c>
      <c r="E2778" s="1">
        <v>22</v>
      </c>
    </row>
    <row r="2779" spans="1:5" hidden="1" x14ac:dyDescent="0.25">
      <c r="A2779" s="115">
        <v>22.126000000000001</v>
      </c>
      <c r="B2779" s="115">
        <v>22.26</v>
      </c>
      <c r="C2779" s="1">
        <v>260</v>
      </c>
      <c r="D2779" s="1" t="s">
        <v>2584</v>
      </c>
      <c r="E2779" s="1">
        <v>22</v>
      </c>
    </row>
    <row r="2780" spans="1:5" hidden="1" x14ac:dyDescent="0.25">
      <c r="A2780" s="115">
        <v>22.126999999999999</v>
      </c>
      <c r="B2780" s="115">
        <v>22.27</v>
      </c>
      <c r="C2780" s="1">
        <v>270</v>
      </c>
      <c r="D2780" s="1" t="s">
        <v>2585</v>
      </c>
      <c r="E2780" s="1">
        <v>22</v>
      </c>
    </row>
    <row r="2781" spans="1:5" hidden="1" x14ac:dyDescent="0.25">
      <c r="A2781" s="115">
        <v>22.128</v>
      </c>
      <c r="B2781" s="115">
        <v>22.28</v>
      </c>
      <c r="C2781" s="1">
        <v>280</v>
      </c>
      <c r="D2781" s="1" t="s">
        <v>2586</v>
      </c>
      <c r="E2781" s="1">
        <v>22</v>
      </c>
    </row>
    <row r="2782" spans="1:5" hidden="1" x14ac:dyDescent="0.25">
      <c r="A2782" s="115">
        <v>22.129000000000001</v>
      </c>
      <c r="B2782" s="115">
        <v>22.29</v>
      </c>
      <c r="C2782" s="1">
        <v>290</v>
      </c>
      <c r="D2782" s="1" t="s">
        <v>2587</v>
      </c>
      <c r="E2782" s="1">
        <v>22</v>
      </c>
    </row>
    <row r="2783" spans="1:5" hidden="1" x14ac:dyDescent="0.25">
      <c r="A2783" s="115">
        <v>22.13</v>
      </c>
      <c r="B2783" s="115">
        <v>22.3</v>
      </c>
      <c r="C2783" s="1">
        <v>300</v>
      </c>
      <c r="D2783" s="1" t="s">
        <v>2588</v>
      </c>
      <c r="E2783" s="1">
        <v>22</v>
      </c>
    </row>
    <row r="2784" spans="1:5" hidden="1" x14ac:dyDescent="0.25">
      <c r="A2784" s="115">
        <v>22.131</v>
      </c>
      <c r="B2784" s="115">
        <v>22.31</v>
      </c>
      <c r="C2784" s="1">
        <v>310</v>
      </c>
      <c r="D2784" s="1" t="s">
        <v>2589</v>
      </c>
      <c r="E2784" s="1">
        <v>22</v>
      </c>
    </row>
    <row r="2785" spans="1:5" hidden="1" x14ac:dyDescent="0.25">
      <c r="A2785" s="115">
        <v>22.132000000000001</v>
      </c>
      <c r="B2785" s="115">
        <v>22.32</v>
      </c>
      <c r="C2785" s="1">
        <v>320</v>
      </c>
      <c r="D2785" s="1" t="s">
        <v>2590</v>
      </c>
      <c r="E2785" s="1">
        <v>22</v>
      </c>
    </row>
    <row r="2786" spans="1:5" hidden="1" x14ac:dyDescent="0.25">
      <c r="A2786" s="115">
        <v>22.132999999999999</v>
      </c>
      <c r="B2786" s="115">
        <v>22.33</v>
      </c>
      <c r="C2786" s="1">
        <v>330</v>
      </c>
      <c r="D2786" s="1" t="s">
        <v>2591</v>
      </c>
      <c r="E2786" s="1">
        <v>22</v>
      </c>
    </row>
    <row r="2787" spans="1:5" hidden="1" x14ac:dyDescent="0.25">
      <c r="A2787" s="115">
        <v>22.134</v>
      </c>
      <c r="B2787" s="115">
        <v>22.34</v>
      </c>
      <c r="C2787" s="1">
        <v>340</v>
      </c>
      <c r="D2787" s="1" t="s">
        <v>2592</v>
      </c>
      <c r="E2787" s="1">
        <v>22</v>
      </c>
    </row>
    <row r="2788" spans="1:5" hidden="1" x14ac:dyDescent="0.25">
      <c r="A2788" s="115">
        <v>22.135000000000002</v>
      </c>
      <c r="B2788" s="115">
        <v>22.35</v>
      </c>
      <c r="C2788" s="1">
        <v>350</v>
      </c>
      <c r="D2788" s="1" t="s">
        <v>2593</v>
      </c>
      <c r="E2788" s="1">
        <v>22</v>
      </c>
    </row>
    <row r="2789" spans="1:5" hidden="1" x14ac:dyDescent="0.25">
      <c r="A2789" s="115">
        <v>22.135999999999999</v>
      </c>
      <c r="B2789" s="115">
        <v>22.36</v>
      </c>
      <c r="C2789" s="1">
        <v>360</v>
      </c>
      <c r="D2789" s="1" t="s">
        <v>2594</v>
      </c>
      <c r="E2789" s="1">
        <v>22</v>
      </c>
    </row>
    <row r="2790" spans="1:5" hidden="1" x14ac:dyDescent="0.25">
      <c r="A2790" s="115">
        <v>22.137</v>
      </c>
      <c r="B2790" s="115">
        <v>22.37</v>
      </c>
      <c r="C2790" s="1">
        <v>370</v>
      </c>
      <c r="D2790" s="1" t="s">
        <v>2595</v>
      </c>
      <c r="E2790" s="1">
        <v>22</v>
      </c>
    </row>
    <row r="2791" spans="1:5" hidden="1" x14ac:dyDescent="0.25">
      <c r="A2791" s="115">
        <v>22.138000000000002</v>
      </c>
      <c r="B2791" s="115">
        <v>22.38</v>
      </c>
      <c r="C2791" s="1">
        <v>380</v>
      </c>
      <c r="D2791" s="1" t="s">
        <v>2596</v>
      </c>
      <c r="E2791" s="1">
        <v>22</v>
      </c>
    </row>
    <row r="2792" spans="1:5" hidden="1" x14ac:dyDescent="0.25">
      <c r="A2792" s="115">
        <v>22.138999999999999</v>
      </c>
      <c r="B2792" s="115">
        <v>22.39</v>
      </c>
      <c r="C2792" s="1">
        <v>390</v>
      </c>
      <c r="D2792" s="1" t="s">
        <v>2597</v>
      </c>
      <c r="E2792" s="1">
        <v>22</v>
      </c>
    </row>
    <row r="2793" spans="1:5" hidden="1" x14ac:dyDescent="0.25">
      <c r="A2793" s="115">
        <v>22.14</v>
      </c>
      <c r="B2793" s="115">
        <v>22.4</v>
      </c>
      <c r="C2793" s="1">
        <v>400</v>
      </c>
      <c r="D2793" s="1" t="s">
        <v>2598</v>
      </c>
      <c r="E2793" s="1">
        <v>22</v>
      </c>
    </row>
    <row r="2794" spans="1:5" hidden="1" x14ac:dyDescent="0.25">
      <c r="A2794" s="115">
        <v>22.140999999999998</v>
      </c>
      <c r="B2794" s="115">
        <v>22.41</v>
      </c>
      <c r="C2794" s="1">
        <v>410</v>
      </c>
      <c r="D2794" s="1" t="s">
        <v>2599</v>
      </c>
      <c r="E2794" s="1">
        <v>22</v>
      </c>
    </row>
    <row r="2795" spans="1:5" hidden="1" x14ac:dyDescent="0.25">
      <c r="A2795" s="115">
        <v>22.141999999999999</v>
      </c>
      <c r="B2795" s="115">
        <v>22.42</v>
      </c>
      <c r="C2795" s="1">
        <v>420</v>
      </c>
      <c r="D2795" s="1" t="s">
        <v>2600</v>
      </c>
      <c r="E2795" s="1">
        <v>22</v>
      </c>
    </row>
    <row r="2796" spans="1:5" hidden="1" x14ac:dyDescent="0.25">
      <c r="A2796" s="115">
        <v>22.143000000000001</v>
      </c>
      <c r="B2796" s="115">
        <v>22.43</v>
      </c>
      <c r="C2796" s="1">
        <v>430</v>
      </c>
      <c r="D2796" s="1" t="s">
        <v>2601</v>
      </c>
      <c r="E2796" s="1">
        <v>22</v>
      </c>
    </row>
    <row r="2797" spans="1:5" hidden="1" x14ac:dyDescent="0.25">
      <c r="A2797" s="115">
        <v>22.143999999999998</v>
      </c>
      <c r="B2797" s="115">
        <v>22.44</v>
      </c>
      <c r="C2797" s="1">
        <v>440</v>
      </c>
      <c r="D2797" s="1" t="s">
        <v>2602</v>
      </c>
      <c r="E2797" s="1">
        <v>22</v>
      </c>
    </row>
    <row r="2798" spans="1:5" hidden="1" x14ac:dyDescent="0.25">
      <c r="A2798" s="115">
        <v>22.145</v>
      </c>
      <c r="B2798" s="115">
        <v>22.445</v>
      </c>
      <c r="C2798" s="1">
        <v>445</v>
      </c>
      <c r="D2798" s="1" t="s">
        <v>2603</v>
      </c>
      <c r="E2798" s="1">
        <v>22</v>
      </c>
    </row>
    <row r="2799" spans="1:5" hidden="1" x14ac:dyDescent="0.25">
      <c r="A2799" s="115">
        <v>22.146000000000001</v>
      </c>
      <c r="B2799" s="115">
        <v>22.45</v>
      </c>
      <c r="C2799" s="1">
        <v>450</v>
      </c>
      <c r="D2799" s="1" t="s">
        <v>2604</v>
      </c>
      <c r="E2799" s="1">
        <v>22</v>
      </c>
    </row>
    <row r="2800" spans="1:5" hidden="1" x14ac:dyDescent="0.25">
      <c r="A2800" s="115">
        <v>22.146999999999998</v>
      </c>
      <c r="B2800" s="115">
        <v>22.46</v>
      </c>
      <c r="C2800" s="1">
        <v>460</v>
      </c>
      <c r="D2800" s="1" t="s">
        <v>2605</v>
      </c>
      <c r="E2800" s="1">
        <v>22</v>
      </c>
    </row>
    <row r="2801" spans="1:5" hidden="1" x14ac:dyDescent="0.25">
      <c r="A2801" s="115">
        <v>22.148</v>
      </c>
      <c r="B2801" s="115">
        <v>22.47</v>
      </c>
      <c r="C2801" s="1">
        <v>470</v>
      </c>
      <c r="D2801" s="1" t="s">
        <v>2606</v>
      </c>
      <c r="E2801" s="1">
        <v>22</v>
      </c>
    </row>
    <row r="2802" spans="1:5" hidden="1" x14ac:dyDescent="0.25">
      <c r="A2802" s="115">
        <v>22.149000000000001</v>
      </c>
      <c r="B2802" s="115">
        <v>22.48</v>
      </c>
      <c r="C2802" s="1">
        <v>480</v>
      </c>
      <c r="D2802" s="1" t="s">
        <v>2607</v>
      </c>
      <c r="E2802" s="1">
        <v>22</v>
      </c>
    </row>
    <row r="2803" spans="1:5" hidden="1" x14ac:dyDescent="0.25">
      <c r="A2803" s="115">
        <v>22.15</v>
      </c>
      <c r="B2803" s="115">
        <v>22.49</v>
      </c>
      <c r="C2803" s="1">
        <v>490</v>
      </c>
      <c r="D2803" s="1" t="s">
        <v>2608</v>
      </c>
      <c r="E2803" s="1">
        <v>22</v>
      </c>
    </row>
    <row r="2804" spans="1:5" hidden="1" x14ac:dyDescent="0.25">
      <c r="A2804" s="115">
        <v>22.151</v>
      </c>
      <c r="B2804" s="115">
        <v>22.5</v>
      </c>
      <c r="C2804" s="1">
        <v>500</v>
      </c>
      <c r="D2804" s="1" t="s">
        <v>2609</v>
      </c>
      <c r="E2804" s="1">
        <v>22</v>
      </c>
    </row>
    <row r="2805" spans="1:5" hidden="1" x14ac:dyDescent="0.25">
      <c r="A2805" s="115">
        <v>22.152000000000001</v>
      </c>
      <c r="B2805" s="115">
        <v>22.51</v>
      </c>
      <c r="C2805" s="1">
        <v>510</v>
      </c>
      <c r="D2805" s="1" t="s">
        <v>2610</v>
      </c>
      <c r="E2805" s="1">
        <v>22</v>
      </c>
    </row>
    <row r="2806" spans="1:5" hidden="1" x14ac:dyDescent="0.25">
      <c r="A2806" s="115">
        <v>22.152999999999999</v>
      </c>
      <c r="B2806" s="115">
        <v>22.52</v>
      </c>
      <c r="C2806" s="1">
        <v>520</v>
      </c>
      <c r="D2806" s="1" t="s">
        <v>2611</v>
      </c>
      <c r="E2806" s="1">
        <v>22</v>
      </c>
    </row>
    <row r="2807" spans="1:5" hidden="1" x14ac:dyDescent="0.25">
      <c r="A2807" s="115">
        <v>22.154</v>
      </c>
      <c r="B2807" s="115">
        <v>22.53</v>
      </c>
      <c r="C2807" s="1">
        <v>530</v>
      </c>
      <c r="D2807" s="1" t="s">
        <v>2612</v>
      </c>
      <c r="E2807" s="1">
        <v>22</v>
      </c>
    </row>
    <row r="2808" spans="1:5" hidden="1" x14ac:dyDescent="0.25">
      <c r="A2808" s="115">
        <v>22.155000000000001</v>
      </c>
      <c r="B2808" s="115">
        <v>22.54</v>
      </c>
      <c r="C2808" s="1">
        <v>540</v>
      </c>
      <c r="D2808" s="1" t="s">
        <v>2613</v>
      </c>
      <c r="E2808" s="1">
        <v>22</v>
      </c>
    </row>
    <row r="2809" spans="1:5" hidden="1" x14ac:dyDescent="0.25">
      <c r="A2809" s="115">
        <v>22.155999999999999</v>
      </c>
      <c r="B2809" s="115">
        <v>22.55</v>
      </c>
      <c r="C2809" s="1">
        <v>550</v>
      </c>
      <c r="D2809" s="1" t="s">
        <v>2614</v>
      </c>
      <c r="E2809" s="1">
        <v>22</v>
      </c>
    </row>
    <row r="2810" spans="1:5" hidden="1" x14ac:dyDescent="0.25">
      <c r="A2810" s="115">
        <v>22.157</v>
      </c>
      <c r="B2810" s="115">
        <v>22.56</v>
      </c>
      <c r="C2810" s="1">
        <v>560</v>
      </c>
      <c r="D2810" s="1" t="s">
        <v>2615</v>
      </c>
      <c r="E2810" s="1">
        <v>22</v>
      </c>
    </row>
    <row r="2811" spans="1:5" hidden="1" x14ac:dyDescent="0.25">
      <c r="A2811" s="115">
        <v>22.158000000000001</v>
      </c>
      <c r="B2811" s="115">
        <v>22.57</v>
      </c>
      <c r="C2811" s="1">
        <v>570</v>
      </c>
      <c r="D2811" s="1" t="s">
        <v>2616</v>
      </c>
      <c r="E2811" s="1">
        <v>22</v>
      </c>
    </row>
    <row r="2812" spans="1:5" hidden="1" x14ac:dyDescent="0.25">
      <c r="A2812" s="115">
        <v>22.158999999999999</v>
      </c>
      <c r="B2812" s="115">
        <v>22.574999999999999</v>
      </c>
      <c r="C2812" s="1">
        <v>575</v>
      </c>
      <c r="D2812" s="1" t="s">
        <v>2617</v>
      </c>
      <c r="E2812" s="1">
        <v>22</v>
      </c>
    </row>
    <row r="2813" spans="1:5" hidden="1" x14ac:dyDescent="0.25">
      <c r="A2813" s="115">
        <v>22.16</v>
      </c>
      <c r="B2813" s="115">
        <v>22.576000000000001</v>
      </c>
      <c r="C2813" s="1">
        <v>576</v>
      </c>
      <c r="D2813" s="1" t="s">
        <v>2618</v>
      </c>
      <c r="E2813" s="1">
        <v>22</v>
      </c>
    </row>
    <row r="2814" spans="1:5" hidden="1" x14ac:dyDescent="0.25">
      <c r="A2814" s="115">
        <v>22.161000000000001</v>
      </c>
      <c r="B2814" s="115">
        <v>22.58</v>
      </c>
      <c r="C2814" s="1">
        <v>580</v>
      </c>
      <c r="D2814" s="1" t="s">
        <v>2619</v>
      </c>
      <c r="E2814" s="1">
        <v>22</v>
      </c>
    </row>
    <row r="2815" spans="1:5" hidden="1" x14ac:dyDescent="0.25">
      <c r="A2815" s="115">
        <v>22.161999999999999</v>
      </c>
      <c r="B2815" s="115">
        <v>22.59</v>
      </c>
      <c r="C2815" s="1">
        <v>590</v>
      </c>
      <c r="D2815" s="1" t="s">
        <v>1099</v>
      </c>
      <c r="E2815" s="1">
        <v>22</v>
      </c>
    </row>
    <row r="2816" spans="1:5" hidden="1" x14ac:dyDescent="0.25">
      <c r="A2816" s="115">
        <v>22.163</v>
      </c>
      <c r="B2816" s="115">
        <v>22.6</v>
      </c>
      <c r="C2816" s="1">
        <v>600</v>
      </c>
      <c r="D2816" s="1" t="s">
        <v>2620</v>
      </c>
      <c r="E2816" s="1">
        <v>22</v>
      </c>
    </row>
    <row r="2817" spans="1:5" hidden="1" x14ac:dyDescent="0.25">
      <c r="A2817" s="115">
        <v>22.164000000000001</v>
      </c>
      <c r="B2817" s="115">
        <v>22.61</v>
      </c>
      <c r="C2817" s="1">
        <v>610</v>
      </c>
      <c r="D2817" s="1" t="s">
        <v>2621</v>
      </c>
      <c r="E2817" s="1">
        <v>22</v>
      </c>
    </row>
    <row r="2818" spans="1:5" hidden="1" x14ac:dyDescent="0.25">
      <c r="A2818" s="115">
        <v>22.164999999999999</v>
      </c>
      <c r="B2818" s="115">
        <v>22.62</v>
      </c>
      <c r="C2818" s="1">
        <v>620</v>
      </c>
      <c r="D2818" s="1" t="s">
        <v>2622</v>
      </c>
      <c r="E2818" s="1">
        <v>22</v>
      </c>
    </row>
    <row r="2819" spans="1:5" hidden="1" x14ac:dyDescent="0.25">
      <c r="A2819" s="115">
        <v>22.166</v>
      </c>
      <c r="B2819" s="115">
        <v>22.63</v>
      </c>
      <c r="C2819" s="1">
        <v>630</v>
      </c>
      <c r="D2819" s="1" t="s">
        <v>2623</v>
      </c>
      <c r="E2819" s="1">
        <v>22</v>
      </c>
    </row>
    <row r="2820" spans="1:5" hidden="1" x14ac:dyDescent="0.25">
      <c r="A2820" s="115">
        <v>22.167000000000002</v>
      </c>
      <c r="B2820" s="115">
        <v>22.64</v>
      </c>
      <c r="C2820" s="1">
        <v>640</v>
      </c>
      <c r="D2820" s="1" t="s">
        <v>2624</v>
      </c>
      <c r="E2820" s="1">
        <v>22</v>
      </c>
    </row>
    <row r="2821" spans="1:5" hidden="1" x14ac:dyDescent="0.25">
      <c r="A2821" s="115">
        <v>22.167999999999999</v>
      </c>
      <c r="B2821" s="115">
        <v>22.65</v>
      </c>
      <c r="C2821" s="1">
        <v>650</v>
      </c>
      <c r="D2821" s="1" t="s">
        <v>2625</v>
      </c>
      <c r="E2821" s="1">
        <v>22</v>
      </c>
    </row>
    <row r="2822" spans="1:5" hidden="1" x14ac:dyDescent="0.25">
      <c r="A2822" s="115">
        <v>22.169</v>
      </c>
      <c r="B2822" s="115">
        <v>22.66</v>
      </c>
      <c r="C2822" s="1">
        <v>660</v>
      </c>
      <c r="D2822" s="1" t="s">
        <v>2626</v>
      </c>
      <c r="E2822" s="1">
        <v>22</v>
      </c>
    </row>
    <row r="2823" spans="1:5" hidden="1" x14ac:dyDescent="0.25">
      <c r="A2823" s="115">
        <v>22.17</v>
      </c>
      <c r="B2823" s="115">
        <v>22.67</v>
      </c>
      <c r="C2823" s="1">
        <v>670</v>
      </c>
      <c r="D2823" s="1" t="s">
        <v>2627</v>
      </c>
      <c r="E2823" s="1">
        <v>22</v>
      </c>
    </row>
    <row r="2824" spans="1:5" hidden="1" x14ac:dyDescent="0.25">
      <c r="A2824" s="115">
        <v>22.170999999999999</v>
      </c>
      <c r="B2824" s="115">
        <v>22.68</v>
      </c>
      <c r="C2824" s="1">
        <v>680</v>
      </c>
      <c r="D2824" s="1" t="s">
        <v>2628</v>
      </c>
      <c r="E2824" s="1">
        <v>22</v>
      </c>
    </row>
    <row r="2825" spans="1:5" hidden="1" x14ac:dyDescent="0.25">
      <c r="A2825" s="115">
        <v>22.172000000000001</v>
      </c>
      <c r="B2825" s="115">
        <v>22.69</v>
      </c>
      <c r="C2825" s="1">
        <v>690</v>
      </c>
      <c r="D2825" s="1" t="s">
        <v>2629</v>
      </c>
      <c r="E2825" s="1">
        <v>22</v>
      </c>
    </row>
    <row r="2826" spans="1:5" hidden="1" x14ac:dyDescent="0.25">
      <c r="A2826" s="115">
        <v>22.172999999999998</v>
      </c>
      <c r="B2826" s="115">
        <v>22.7</v>
      </c>
      <c r="C2826" s="1">
        <v>700</v>
      </c>
      <c r="D2826" s="1" t="s">
        <v>2630</v>
      </c>
      <c r="E2826" s="1">
        <v>22</v>
      </c>
    </row>
    <row r="2827" spans="1:5" hidden="1" x14ac:dyDescent="0.25">
      <c r="A2827" s="115">
        <v>22.173999999999999</v>
      </c>
      <c r="B2827" s="115">
        <v>22.71</v>
      </c>
      <c r="C2827" s="1">
        <v>710</v>
      </c>
      <c r="D2827" s="1" t="s">
        <v>2631</v>
      </c>
      <c r="E2827" s="1">
        <v>22</v>
      </c>
    </row>
    <row r="2828" spans="1:5" hidden="1" x14ac:dyDescent="0.25">
      <c r="A2828" s="115">
        <v>22.175000000000001</v>
      </c>
      <c r="B2828" s="115">
        <v>22.72</v>
      </c>
      <c r="C2828" s="1">
        <v>720</v>
      </c>
      <c r="D2828" s="1" t="s">
        <v>2632</v>
      </c>
      <c r="E2828" s="1">
        <v>22</v>
      </c>
    </row>
    <row r="2829" spans="1:5" hidden="1" x14ac:dyDescent="0.25">
      <c r="A2829" s="115">
        <v>22.175999999999998</v>
      </c>
      <c r="B2829" s="115">
        <v>22.73</v>
      </c>
      <c r="C2829" s="1">
        <v>730</v>
      </c>
      <c r="D2829" s="1" t="s">
        <v>2633</v>
      </c>
      <c r="E2829" s="1">
        <v>22</v>
      </c>
    </row>
    <row r="2830" spans="1:5" hidden="1" x14ac:dyDescent="0.25">
      <c r="A2830" s="115">
        <v>22.177</v>
      </c>
      <c r="B2830" s="115">
        <v>22.74</v>
      </c>
      <c r="C2830" s="1">
        <v>740</v>
      </c>
      <c r="D2830" s="1" t="s">
        <v>2634</v>
      </c>
      <c r="E2830" s="1">
        <v>22</v>
      </c>
    </row>
    <row r="2831" spans="1:5" hidden="1" x14ac:dyDescent="0.25">
      <c r="A2831" s="115">
        <v>22.178000000000001</v>
      </c>
      <c r="B2831" s="115">
        <v>22.75</v>
      </c>
      <c r="C2831" s="1">
        <v>750</v>
      </c>
      <c r="D2831" s="1" t="s">
        <v>2635</v>
      </c>
      <c r="E2831" s="1">
        <v>22</v>
      </c>
    </row>
    <row r="2832" spans="1:5" hidden="1" x14ac:dyDescent="0.25">
      <c r="A2832" s="115">
        <v>22.178999999999998</v>
      </c>
      <c r="B2832" s="115">
        <v>22.754999999999999</v>
      </c>
      <c r="C2832" s="1">
        <v>755</v>
      </c>
      <c r="D2832" s="1" t="s">
        <v>1466</v>
      </c>
      <c r="E2832" s="1">
        <v>22</v>
      </c>
    </row>
    <row r="2833" spans="1:5" hidden="1" x14ac:dyDescent="0.25">
      <c r="A2833" s="115">
        <v>22.18</v>
      </c>
      <c r="B2833" s="115">
        <v>22.76</v>
      </c>
      <c r="C2833" s="1">
        <v>760</v>
      </c>
      <c r="D2833" s="1" t="s">
        <v>2636</v>
      </c>
      <c r="E2833" s="1">
        <v>22</v>
      </c>
    </row>
    <row r="2834" spans="1:5" hidden="1" x14ac:dyDescent="0.25">
      <c r="A2834" s="115">
        <v>22.181000000000001</v>
      </c>
      <c r="B2834" s="115">
        <v>22.77</v>
      </c>
      <c r="C2834" s="1">
        <v>770</v>
      </c>
      <c r="D2834" s="1" t="s">
        <v>2637</v>
      </c>
      <c r="E2834" s="1">
        <v>22</v>
      </c>
    </row>
    <row r="2835" spans="1:5" hidden="1" x14ac:dyDescent="0.25">
      <c r="A2835" s="115">
        <v>22.181999999999999</v>
      </c>
      <c r="B2835" s="115">
        <v>22.78</v>
      </c>
      <c r="C2835" s="1">
        <v>780</v>
      </c>
      <c r="D2835" s="1" t="s">
        <v>2638</v>
      </c>
      <c r="E2835" s="1">
        <v>22</v>
      </c>
    </row>
    <row r="2836" spans="1:5" hidden="1" x14ac:dyDescent="0.25">
      <c r="A2836" s="115">
        <v>22.183</v>
      </c>
      <c r="B2836" s="115">
        <v>22.79</v>
      </c>
      <c r="C2836" s="1">
        <v>790</v>
      </c>
      <c r="D2836" s="1" t="s">
        <v>2639</v>
      </c>
      <c r="E2836" s="1">
        <v>22</v>
      </c>
    </row>
    <row r="2837" spans="1:5" hidden="1" x14ac:dyDescent="0.25">
      <c r="A2837" s="115">
        <v>22.184000000000001</v>
      </c>
      <c r="B2837" s="115">
        <v>22.8</v>
      </c>
      <c r="C2837" s="1">
        <v>800</v>
      </c>
      <c r="D2837" s="1" t="s">
        <v>2640</v>
      </c>
      <c r="E2837" s="1">
        <v>22</v>
      </c>
    </row>
    <row r="2838" spans="1:5" hidden="1" x14ac:dyDescent="0.25">
      <c r="A2838" s="115">
        <v>22.184999999999999</v>
      </c>
      <c r="B2838" s="115">
        <v>22.805</v>
      </c>
      <c r="C2838" s="1">
        <v>805</v>
      </c>
      <c r="D2838" s="1" t="s">
        <v>2641</v>
      </c>
      <c r="E2838" s="1">
        <v>22</v>
      </c>
    </row>
    <row r="2839" spans="1:5" hidden="1" x14ac:dyDescent="0.25">
      <c r="A2839" s="115">
        <v>22.186</v>
      </c>
      <c r="B2839" s="115">
        <v>22.81</v>
      </c>
      <c r="C2839" s="1">
        <v>810</v>
      </c>
      <c r="D2839" s="1" t="s">
        <v>2642</v>
      </c>
      <c r="E2839" s="1">
        <v>22</v>
      </c>
    </row>
    <row r="2840" spans="1:5" hidden="1" x14ac:dyDescent="0.25">
      <c r="A2840" s="115">
        <v>22.187000000000001</v>
      </c>
      <c r="B2840" s="115">
        <v>22.82</v>
      </c>
      <c r="C2840" s="1">
        <v>820</v>
      </c>
      <c r="D2840" s="1" t="s">
        <v>2643</v>
      </c>
      <c r="E2840" s="1">
        <v>22</v>
      </c>
    </row>
    <row r="2841" spans="1:5" hidden="1" x14ac:dyDescent="0.25">
      <c r="A2841" s="115">
        <v>22.187999999999999</v>
      </c>
      <c r="B2841" s="115">
        <v>22.83</v>
      </c>
      <c r="C2841" s="1">
        <v>830</v>
      </c>
      <c r="D2841" s="1" t="s">
        <v>2644</v>
      </c>
      <c r="E2841" s="1">
        <v>22</v>
      </c>
    </row>
    <row r="2842" spans="1:5" hidden="1" x14ac:dyDescent="0.25">
      <c r="A2842" s="115">
        <v>22.189</v>
      </c>
      <c r="B2842" s="115">
        <v>22.84</v>
      </c>
      <c r="C2842" s="1">
        <v>840</v>
      </c>
      <c r="D2842" s="1" t="s">
        <v>2645</v>
      </c>
      <c r="E2842" s="1">
        <v>22</v>
      </c>
    </row>
    <row r="2843" spans="1:5" hidden="1" x14ac:dyDescent="0.25">
      <c r="A2843" s="115">
        <v>22.19</v>
      </c>
      <c r="B2843" s="115">
        <v>22.85</v>
      </c>
      <c r="C2843" s="1">
        <v>850</v>
      </c>
      <c r="D2843" s="1" t="s">
        <v>2646</v>
      </c>
      <c r="E2843" s="1">
        <v>22</v>
      </c>
    </row>
    <row r="2844" spans="1:5" hidden="1" x14ac:dyDescent="0.25">
      <c r="A2844" s="115">
        <v>22.190999999999999</v>
      </c>
      <c r="B2844" s="115">
        <v>22.86</v>
      </c>
      <c r="C2844" s="1">
        <v>860</v>
      </c>
      <c r="D2844" s="1" t="s">
        <v>2647</v>
      </c>
      <c r="E2844" s="1">
        <v>22</v>
      </c>
    </row>
    <row r="2845" spans="1:5" hidden="1" x14ac:dyDescent="0.25">
      <c r="A2845" s="115">
        <v>22.192</v>
      </c>
      <c r="B2845" s="115">
        <v>22.87</v>
      </c>
      <c r="C2845" s="1">
        <v>870</v>
      </c>
      <c r="D2845" s="1" t="s">
        <v>2648</v>
      </c>
      <c r="E2845" s="1">
        <v>22</v>
      </c>
    </row>
    <row r="2846" spans="1:5" hidden="1" x14ac:dyDescent="0.25">
      <c r="A2846" s="115">
        <v>22.193000000000001</v>
      </c>
      <c r="B2846" s="115">
        <v>22.88</v>
      </c>
      <c r="C2846" s="1">
        <v>880</v>
      </c>
      <c r="D2846" s="1" t="s">
        <v>2649</v>
      </c>
      <c r="E2846" s="1">
        <v>22</v>
      </c>
    </row>
    <row r="2847" spans="1:5" hidden="1" x14ac:dyDescent="0.25">
      <c r="A2847" s="115">
        <v>22.193999999999999</v>
      </c>
      <c r="B2847" s="115">
        <v>22.89</v>
      </c>
      <c r="C2847" s="1">
        <v>890</v>
      </c>
      <c r="D2847" s="1" t="s">
        <v>2650</v>
      </c>
      <c r="E2847" s="1">
        <v>22</v>
      </c>
    </row>
    <row r="2848" spans="1:5" hidden="1" x14ac:dyDescent="0.25">
      <c r="A2848" s="115">
        <v>22.195</v>
      </c>
      <c r="B2848" s="115">
        <v>22.895</v>
      </c>
      <c r="C2848" s="1">
        <v>895</v>
      </c>
      <c r="D2848" s="1" t="s">
        <v>2651</v>
      </c>
      <c r="E2848" s="1">
        <v>22</v>
      </c>
    </row>
    <row r="2849" spans="1:5" hidden="1" x14ac:dyDescent="0.25">
      <c r="A2849" s="115">
        <v>22.196000000000002</v>
      </c>
      <c r="B2849" s="115">
        <v>22.9</v>
      </c>
      <c r="C2849" s="1">
        <v>900</v>
      </c>
      <c r="D2849" s="1" t="s">
        <v>2652</v>
      </c>
      <c r="E2849" s="1">
        <v>22</v>
      </c>
    </row>
    <row r="2850" spans="1:5" hidden="1" x14ac:dyDescent="0.25">
      <c r="A2850" s="115">
        <v>22.196999999999999</v>
      </c>
      <c r="B2850" s="115">
        <v>22.91</v>
      </c>
      <c r="C2850" s="1">
        <v>910</v>
      </c>
      <c r="D2850" s="1" t="s">
        <v>2653</v>
      </c>
      <c r="E2850" s="1">
        <v>22</v>
      </c>
    </row>
    <row r="2851" spans="1:5" hidden="1" x14ac:dyDescent="0.25">
      <c r="A2851" s="115">
        <v>22.198</v>
      </c>
      <c r="B2851" s="115">
        <v>22.92</v>
      </c>
      <c r="C2851" s="1">
        <v>920</v>
      </c>
      <c r="D2851" s="1" t="s">
        <v>2654</v>
      </c>
      <c r="E2851" s="1">
        <v>22</v>
      </c>
    </row>
    <row r="2852" spans="1:5" hidden="1" x14ac:dyDescent="0.25">
      <c r="A2852" s="115">
        <v>22.199000000000002</v>
      </c>
      <c r="B2852" s="115">
        <v>22.925000000000001</v>
      </c>
      <c r="C2852" s="1">
        <v>925</v>
      </c>
      <c r="D2852" s="1" t="s">
        <v>2655</v>
      </c>
      <c r="E2852" s="1">
        <v>22</v>
      </c>
    </row>
    <row r="2853" spans="1:5" hidden="1" x14ac:dyDescent="0.25">
      <c r="A2853" s="115">
        <v>22.2</v>
      </c>
      <c r="B2853" s="115">
        <v>22.93</v>
      </c>
      <c r="C2853" s="1">
        <v>930</v>
      </c>
      <c r="D2853" s="1" t="s">
        <v>2656</v>
      </c>
      <c r="E2853" s="1">
        <v>22</v>
      </c>
    </row>
    <row r="2854" spans="1:5" hidden="1" x14ac:dyDescent="0.25">
      <c r="A2854" s="115">
        <v>22.201000000000001</v>
      </c>
      <c r="B2854" s="115">
        <v>22.934999999999999</v>
      </c>
      <c r="C2854" s="1">
        <v>935</v>
      </c>
      <c r="D2854" s="1" t="s">
        <v>2657</v>
      </c>
      <c r="E2854" s="1">
        <v>22</v>
      </c>
    </row>
    <row r="2855" spans="1:5" hidden="1" x14ac:dyDescent="0.25">
      <c r="A2855" s="115">
        <v>22.202000000000002</v>
      </c>
      <c r="B2855" s="115">
        <v>22.94</v>
      </c>
      <c r="C2855" s="1">
        <v>940</v>
      </c>
      <c r="D2855" s="1" t="s">
        <v>2658</v>
      </c>
      <c r="E2855" s="1">
        <v>22</v>
      </c>
    </row>
    <row r="2856" spans="1:5" hidden="1" x14ac:dyDescent="0.25">
      <c r="A2856" s="115">
        <v>22.202999999999999</v>
      </c>
      <c r="B2856" s="115">
        <v>22.95</v>
      </c>
      <c r="C2856" s="1">
        <v>950</v>
      </c>
      <c r="D2856" s="1" t="s">
        <v>2659</v>
      </c>
      <c r="E2856" s="1">
        <v>22</v>
      </c>
    </row>
    <row r="2857" spans="1:5" hidden="1" x14ac:dyDescent="0.25">
      <c r="A2857" s="115">
        <v>22.204000000000001</v>
      </c>
      <c r="B2857" s="115">
        <v>22.954999999999998</v>
      </c>
      <c r="C2857" s="1">
        <v>955</v>
      </c>
      <c r="D2857" s="1" t="s">
        <v>2660</v>
      </c>
      <c r="E2857" s="1">
        <v>22</v>
      </c>
    </row>
    <row r="2858" spans="1:5" hidden="1" x14ac:dyDescent="0.25">
      <c r="A2858" s="115">
        <v>22.204999999999998</v>
      </c>
      <c r="B2858" s="115">
        <v>22.96</v>
      </c>
      <c r="C2858" s="1">
        <v>960</v>
      </c>
      <c r="D2858" s="1" t="s">
        <v>2661</v>
      </c>
      <c r="E2858" s="1">
        <v>22</v>
      </c>
    </row>
    <row r="2859" spans="1:5" hidden="1" x14ac:dyDescent="0.25">
      <c r="A2859" s="115">
        <v>22.206</v>
      </c>
      <c r="B2859" s="115">
        <v>22.97</v>
      </c>
      <c r="C2859" s="1">
        <v>970</v>
      </c>
      <c r="D2859" s="1" t="s">
        <v>2662</v>
      </c>
      <c r="E2859" s="1">
        <v>22</v>
      </c>
    </row>
    <row r="2860" spans="1:5" hidden="1" x14ac:dyDescent="0.25">
      <c r="A2860" s="115">
        <v>22.207000000000001</v>
      </c>
      <c r="B2860" s="115">
        <v>22.98</v>
      </c>
      <c r="C2860" s="1">
        <v>980</v>
      </c>
      <c r="D2860" s="1" t="s">
        <v>2663</v>
      </c>
      <c r="E2860" s="1">
        <v>22</v>
      </c>
    </row>
    <row r="2861" spans="1:5" hidden="1" x14ac:dyDescent="0.25">
      <c r="A2861" s="115">
        <v>22.207999999999998</v>
      </c>
      <c r="B2861" s="115">
        <v>22.99</v>
      </c>
      <c r="C2861" s="1">
        <v>990</v>
      </c>
      <c r="D2861" s="1" t="s">
        <v>2664</v>
      </c>
      <c r="E2861" s="1">
        <v>22</v>
      </c>
    </row>
    <row r="2862" spans="1:5" hidden="1" x14ac:dyDescent="0.25">
      <c r="A2862" s="115">
        <v>22.209</v>
      </c>
      <c r="B2862" s="115">
        <v>22.1</v>
      </c>
      <c r="C2862" s="1">
        <v>1000</v>
      </c>
      <c r="D2862" s="1" t="s">
        <v>2665</v>
      </c>
      <c r="E2862" s="1">
        <v>22</v>
      </c>
    </row>
    <row r="2863" spans="1:5" hidden="1" x14ac:dyDescent="0.25">
      <c r="A2863" s="115">
        <v>22.21</v>
      </c>
      <c r="B2863" s="115">
        <v>22.11</v>
      </c>
      <c r="C2863" s="1">
        <v>1100</v>
      </c>
      <c r="D2863" s="1" t="s">
        <v>2666</v>
      </c>
      <c r="E2863" s="1">
        <v>22</v>
      </c>
    </row>
    <row r="2864" spans="1:5" hidden="1" x14ac:dyDescent="0.25">
      <c r="A2864" s="115">
        <v>22.210999999999999</v>
      </c>
      <c r="B2864" s="115">
        <v>22.111000000000001</v>
      </c>
      <c r="C2864" s="1">
        <v>1110</v>
      </c>
      <c r="D2864" s="1" t="s">
        <v>2667</v>
      </c>
      <c r="E2864" s="1">
        <v>22</v>
      </c>
    </row>
    <row r="2865" spans="1:5" hidden="1" x14ac:dyDescent="0.25">
      <c r="A2865" s="115">
        <v>22.212</v>
      </c>
      <c r="B2865" s="115">
        <v>22.111999999999998</v>
      </c>
      <c r="C2865" s="1">
        <v>1120</v>
      </c>
      <c r="D2865" s="1" t="s">
        <v>2668</v>
      </c>
      <c r="E2865" s="1">
        <v>22</v>
      </c>
    </row>
    <row r="2866" spans="1:5" hidden="1" x14ac:dyDescent="0.25">
      <c r="A2866" s="115">
        <v>22.213000000000001</v>
      </c>
      <c r="B2866" s="115">
        <v>22.113</v>
      </c>
      <c r="C2866" s="1">
        <v>1130</v>
      </c>
      <c r="D2866" s="1" t="s">
        <v>2669</v>
      </c>
      <c r="E2866" s="1">
        <v>22</v>
      </c>
    </row>
    <row r="2867" spans="1:5" hidden="1" x14ac:dyDescent="0.25">
      <c r="A2867" s="115">
        <v>22.213999999999999</v>
      </c>
      <c r="B2867" s="115">
        <v>22.114000000000001</v>
      </c>
      <c r="C2867" s="1">
        <v>1140</v>
      </c>
      <c r="D2867" s="1" t="s">
        <v>2670</v>
      </c>
      <c r="E2867" s="1">
        <v>22</v>
      </c>
    </row>
    <row r="2868" spans="1:5" hidden="1" x14ac:dyDescent="0.25">
      <c r="A2868" s="115">
        <v>22.215</v>
      </c>
      <c r="B2868" s="115">
        <v>22.114999999999998</v>
      </c>
      <c r="C2868" s="1">
        <v>1150</v>
      </c>
      <c r="D2868" s="1" t="s">
        <v>2671</v>
      </c>
      <c r="E2868" s="1">
        <v>22</v>
      </c>
    </row>
    <row r="2869" spans="1:5" hidden="1" x14ac:dyDescent="0.25">
      <c r="A2869" s="115">
        <v>22.216000000000001</v>
      </c>
      <c r="B2869" s="115">
        <v>22.116</v>
      </c>
      <c r="C2869" s="1">
        <v>1160</v>
      </c>
      <c r="D2869" s="1" t="s">
        <v>2672</v>
      </c>
      <c r="E2869" s="1">
        <v>22</v>
      </c>
    </row>
    <row r="2870" spans="1:5" hidden="1" x14ac:dyDescent="0.25">
      <c r="A2870" s="115">
        <v>22.216999999999999</v>
      </c>
      <c r="B2870" s="115">
        <v>22.117000000000001</v>
      </c>
      <c r="C2870" s="1">
        <v>1170</v>
      </c>
      <c r="D2870" s="1" t="s">
        <v>2673</v>
      </c>
      <c r="E2870" s="1">
        <v>22</v>
      </c>
    </row>
    <row r="2871" spans="1:5" hidden="1" x14ac:dyDescent="0.25">
      <c r="A2871" s="115">
        <v>22.218</v>
      </c>
      <c r="B2871" s="115">
        <v>22.117999999999999</v>
      </c>
      <c r="C2871" s="1">
        <v>1180</v>
      </c>
      <c r="D2871" s="1" t="s">
        <v>2674</v>
      </c>
      <c r="E2871" s="1">
        <v>22</v>
      </c>
    </row>
    <row r="2872" spans="1:5" hidden="1" x14ac:dyDescent="0.25">
      <c r="A2872" s="115">
        <v>22.219000000000001</v>
      </c>
      <c r="B2872" s="115">
        <v>22.119</v>
      </c>
      <c r="C2872" s="1">
        <v>1190</v>
      </c>
      <c r="D2872" s="1" t="s">
        <v>2675</v>
      </c>
      <c r="E2872" s="1">
        <v>22</v>
      </c>
    </row>
    <row r="2873" spans="1:5" hidden="1" x14ac:dyDescent="0.25">
      <c r="A2873" s="115">
        <v>22.22</v>
      </c>
      <c r="B2873" s="115">
        <v>22.12</v>
      </c>
      <c r="C2873" s="1">
        <v>1200</v>
      </c>
      <c r="D2873" s="1" t="s">
        <v>2676</v>
      </c>
      <c r="E2873" s="1">
        <v>22</v>
      </c>
    </row>
    <row r="2874" spans="1:5" hidden="1" x14ac:dyDescent="0.25">
      <c r="A2874" s="115">
        <v>22.221</v>
      </c>
      <c r="B2874" s="115">
        <v>22.120999999999999</v>
      </c>
      <c r="C2874" s="1">
        <v>1210</v>
      </c>
      <c r="D2874" s="1" t="s">
        <v>2677</v>
      </c>
      <c r="E2874" s="1">
        <v>22</v>
      </c>
    </row>
    <row r="2875" spans="1:5" hidden="1" x14ac:dyDescent="0.25">
      <c r="A2875" s="115">
        <v>22.222000000000001</v>
      </c>
      <c r="B2875" s="115">
        <v>22.122</v>
      </c>
      <c r="C2875" s="1">
        <v>1220</v>
      </c>
      <c r="D2875" s="1" t="s">
        <v>2678</v>
      </c>
      <c r="E2875" s="1">
        <v>22</v>
      </c>
    </row>
    <row r="2876" spans="1:5" hidden="1" x14ac:dyDescent="0.25">
      <c r="A2876" s="115">
        <v>22.222999999999999</v>
      </c>
      <c r="B2876" s="115">
        <v>22.123000000000001</v>
      </c>
      <c r="C2876" s="1">
        <v>1230</v>
      </c>
      <c r="D2876" s="1" t="s">
        <v>2679</v>
      </c>
      <c r="E2876" s="1">
        <v>22</v>
      </c>
    </row>
    <row r="2877" spans="1:5" hidden="1" x14ac:dyDescent="0.25">
      <c r="A2877" s="115">
        <v>22.224</v>
      </c>
      <c r="B2877" s="115">
        <v>22.123999999999999</v>
      </c>
      <c r="C2877" s="1">
        <v>1240</v>
      </c>
      <c r="D2877" s="1" t="s">
        <v>2680</v>
      </c>
      <c r="E2877" s="1">
        <v>22</v>
      </c>
    </row>
    <row r="2878" spans="1:5" hidden="1" x14ac:dyDescent="0.25">
      <c r="A2878" s="115">
        <v>22.225000000000001</v>
      </c>
      <c r="B2878" s="115">
        <v>22.125</v>
      </c>
      <c r="C2878" s="1">
        <v>1250</v>
      </c>
      <c r="D2878" s="1" t="s">
        <v>2681</v>
      </c>
      <c r="E2878" s="1">
        <v>22</v>
      </c>
    </row>
    <row r="2879" spans="1:5" hidden="1" x14ac:dyDescent="0.25">
      <c r="A2879" s="115">
        <v>22.225999999999999</v>
      </c>
      <c r="B2879" s="115">
        <v>22.126000000000001</v>
      </c>
      <c r="C2879" s="1">
        <v>1260</v>
      </c>
      <c r="D2879" s="1" t="s">
        <v>2682</v>
      </c>
      <c r="E2879" s="1">
        <v>22</v>
      </c>
    </row>
    <row r="2880" spans="1:5" hidden="1" x14ac:dyDescent="0.25">
      <c r="A2880" s="115">
        <v>22.227</v>
      </c>
      <c r="B2880" s="115">
        <v>22.126999999999999</v>
      </c>
      <c r="C2880" s="1">
        <v>1270</v>
      </c>
      <c r="D2880" s="1" t="s">
        <v>2683</v>
      </c>
      <c r="E2880" s="1">
        <v>22</v>
      </c>
    </row>
    <row r="2881" spans="1:5" hidden="1" x14ac:dyDescent="0.25">
      <c r="A2881" s="115">
        <v>22.228000000000002</v>
      </c>
      <c r="B2881" s="115">
        <v>22.128</v>
      </c>
      <c r="C2881" s="1">
        <v>1280</v>
      </c>
      <c r="D2881" s="1" t="s">
        <v>2684</v>
      </c>
      <c r="E2881" s="1">
        <v>22</v>
      </c>
    </row>
    <row r="2882" spans="1:5" hidden="1" x14ac:dyDescent="0.25">
      <c r="A2882" s="115">
        <v>22.228999999999999</v>
      </c>
      <c r="B2882" s="115">
        <v>22.13</v>
      </c>
      <c r="C2882" s="1">
        <v>1300</v>
      </c>
      <c r="D2882" s="1" t="s">
        <v>2685</v>
      </c>
      <c r="E2882" s="1">
        <v>22</v>
      </c>
    </row>
    <row r="2883" spans="1:5" hidden="1" x14ac:dyDescent="0.25">
      <c r="A2883" s="115">
        <v>22.23</v>
      </c>
      <c r="B2883" s="115">
        <v>22.131</v>
      </c>
      <c r="C2883" s="1">
        <v>1310</v>
      </c>
      <c r="D2883" s="1" t="s">
        <v>2686</v>
      </c>
      <c r="E2883" s="1">
        <v>22</v>
      </c>
    </row>
    <row r="2884" spans="1:5" hidden="1" x14ac:dyDescent="0.25">
      <c r="A2884" s="115">
        <v>22.231000000000002</v>
      </c>
      <c r="B2884" s="115">
        <v>22.132000000000001</v>
      </c>
      <c r="C2884" s="1">
        <v>1320</v>
      </c>
      <c r="D2884" s="1" t="s">
        <v>2687</v>
      </c>
      <c r="E2884" s="1">
        <v>22</v>
      </c>
    </row>
    <row r="2885" spans="1:5" hidden="1" x14ac:dyDescent="0.25">
      <c r="A2885" s="115">
        <v>23.100999999999999</v>
      </c>
      <c r="B2885" s="115">
        <v>23.1</v>
      </c>
      <c r="C2885" s="1">
        <v>10</v>
      </c>
      <c r="D2885" s="1" t="s">
        <v>2559</v>
      </c>
      <c r="E2885" s="1">
        <v>23</v>
      </c>
    </row>
    <row r="2886" spans="1:5" hidden="1" x14ac:dyDescent="0.25">
      <c r="A2886" s="115">
        <v>23.102</v>
      </c>
      <c r="B2886" s="115">
        <v>23.2</v>
      </c>
      <c r="C2886" s="1">
        <v>20</v>
      </c>
      <c r="D2886" s="1" t="s">
        <v>2560</v>
      </c>
      <c r="E2886" s="1">
        <v>23</v>
      </c>
    </row>
    <row r="2887" spans="1:5" hidden="1" x14ac:dyDescent="0.25">
      <c r="A2887" s="115">
        <v>23.103000000000002</v>
      </c>
      <c r="B2887" s="115">
        <v>23.3</v>
      </c>
      <c r="C2887" s="1">
        <v>30</v>
      </c>
      <c r="D2887" s="1" t="s">
        <v>2561</v>
      </c>
      <c r="E2887" s="1">
        <v>23</v>
      </c>
    </row>
    <row r="2888" spans="1:5" hidden="1" x14ac:dyDescent="0.25">
      <c r="A2888" s="115">
        <v>23.103999999999999</v>
      </c>
      <c r="B2888" s="115">
        <v>23.4</v>
      </c>
      <c r="C2888" s="1">
        <v>40</v>
      </c>
      <c r="D2888" s="1" t="s">
        <v>2562</v>
      </c>
      <c r="E2888" s="1">
        <v>23</v>
      </c>
    </row>
    <row r="2889" spans="1:5" hidden="1" x14ac:dyDescent="0.25">
      <c r="A2889" s="115">
        <v>23.105</v>
      </c>
      <c r="B2889" s="115">
        <v>23.5</v>
      </c>
      <c r="C2889" s="1">
        <v>50</v>
      </c>
      <c r="D2889" s="1" t="s">
        <v>2563</v>
      </c>
      <c r="E2889" s="1">
        <v>23</v>
      </c>
    </row>
    <row r="2890" spans="1:5" hidden="1" x14ac:dyDescent="0.25">
      <c r="A2890" s="115">
        <v>23.106000000000002</v>
      </c>
      <c r="B2890" s="115">
        <v>23.6</v>
      </c>
      <c r="C2890" s="1">
        <v>60</v>
      </c>
      <c r="D2890" s="1" t="s">
        <v>2564</v>
      </c>
      <c r="E2890" s="1">
        <v>23</v>
      </c>
    </row>
    <row r="2891" spans="1:5" hidden="1" x14ac:dyDescent="0.25">
      <c r="A2891" s="115">
        <v>23.106999999999999</v>
      </c>
      <c r="B2891" s="115">
        <v>23.7</v>
      </c>
      <c r="C2891" s="1">
        <v>70</v>
      </c>
      <c r="D2891" s="1" t="s">
        <v>2565</v>
      </c>
      <c r="E2891" s="1">
        <v>23</v>
      </c>
    </row>
    <row r="2892" spans="1:5" hidden="1" x14ac:dyDescent="0.25">
      <c r="A2892" s="115">
        <v>23.108000000000001</v>
      </c>
      <c r="B2892" s="115">
        <v>23.8</v>
      </c>
      <c r="C2892" s="1">
        <v>80</v>
      </c>
      <c r="D2892" s="1" t="s">
        <v>2566</v>
      </c>
      <c r="E2892" s="1">
        <v>23</v>
      </c>
    </row>
    <row r="2893" spans="1:5" hidden="1" x14ac:dyDescent="0.25">
      <c r="A2893" s="115">
        <v>23.109000000000002</v>
      </c>
      <c r="B2893" s="115">
        <v>23.9</v>
      </c>
      <c r="C2893" s="1">
        <v>90</v>
      </c>
      <c r="D2893" s="1" t="s">
        <v>2567</v>
      </c>
      <c r="E2893" s="1">
        <v>23</v>
      </c>
    </row>
    <row r="2894" spans="1:5" hidden="1" x14ac:dyDescent="0.25">
      <c r="A2894" s="115">
        <v>23.11</v>
      </c>
      <c r="B2894" s="115">
        <v>23.1</v>
      </c>
      <c r="C2894" s="1">
        <v>100</v>
      </c>
      <c r="D2894" s="1" t="s">
        <v>2568</v>
      </c>
      <c r="E2894" s="1">
        <v>23</v>
      </c>
    </row>
    <row r="2895" spans="1:5" hidden="1" x14ac:dyDescent="0.25">
      <c r="A2895" s="115">
        <v>23.111000000000001</v>
      </c>
      <c r="B2895" s="115">
        <v>23.11</v>
      </c>
      <c r="C2895" s="1">
        <v>110</v>
      </c>
      <c r="D2895" s="1" t="s">
        <v>2569</v>
      </c>
      <c r="E2895" s="1">
        <v>23</v>
      </c>
    </row>
    <row r="2896" spans="1:5" hidden="1" x14ac:dyDescent="0.25">
      <c r="A2896" s="115">
        <v>23.111999999999998</v>
      </c>
      <c r="B2896" s="115">
        <v>23.12</v>
      </c>
      <c r="C2896" s="1">
        <v>120</v>
      </c>
      <c r="D2896" s="1" t="s">
        <v>2570</v>
      </c>
      <c r="E2896" s="1">
        <v>23</v>
      </c>
    </row>
    <row r="2897" spans="1:5" hidden="1" x14ac:dyDescent="0.25">
      <c r="A2897" s="115">
        <v>23.113</v>
      </c>
      <c r="B2897" s="115">
        <v>23.13</v>
      </c>
      <c r="C2897" s="1">
        <v>130</v>
      </c>
      <c r="D2897" s="1" t="s">
        <v>2571</v>
      </c>
      <c r="E2897" s="1">
        <v>23</v>
      </c>
    </row>
    <row r="2898" spans="1:5" hidden="1" x14ac:dyDescent="0.25">
      <c r="A2898" s="115">
        <v>23.114000000000001</v>
      </c>
      <c r="B2898" s="115">
        <v>23.14</v>
      </c>
      <c r="C2898" s="1">
        <v>140</v>
      </c>
      <c r="D2898" s="1" t="s">
        <v>2572</v>
      </c>
      <c r="E2898" s="1">
        <v>23</v>
      </c>
    </row>
    <row r="2899" spans="1:5" hidden="1" x14ac:dyDescent="0.25">
      <c r="A2899" s="115">
        <v>23.114999999999998</v>
      </c>
      <c r="B2899" s="115">
        <v>23.15</v>
      </c>
      <c r="C2899" s="1">
        <v>150</v>
      </c>
      <c r="D2899" s="1" t="s">
        <v>2573</v>
      </c>
      <c r="E2899" s="1">
        <v>23</v>
      </c>
    </row>
    <row r="2900" spans="1:5" hidden="1" x14ac:dyDescent="0.25">
      <c r="A2900" s="115">
        <v>23.116</v>
      </c>
      <c r="B2900" s="115">
        <v>23.16</v>
      </c>
      <c r="C2900" s="1">
        <v>160</v>
      </c>
      <c r="D2900" s="1" t="s">
        <v>2574</v>
      </c>
      <c r="E2900" s="1">
        <v>23</v>
      </c>
    </row>
    <row r="2901" spans="1:5" hidden="1" x14ac:dyDescent="0.25">
      <c r="A2901" s="115">
        <v>23.117000000000001</v>
      </c>
      <c r="B2901" s="115">
        <v>23.17</v>
      </c>
      <c r="C2901" s="1">
        <v>170</v>
      </c>
      <c r="D2901" s="1" t="s">
        <v>2575</v>
      </c>
      <c r="E2901" s="1">
        <v>23</v>
      </c>
    </row>
    <row r="2902" spans="1:5" hidden="1" x14ac:dyDescent="0.25">
      <c r="A2902" s="115">
        <v>23.117999999999999</v>
      </c>
      <c r="B2902" s="115">
        <v>23.18</v>
      </c>
      <c r="C2902" s="1">
        <v>180</v>
      </c>
      <c r="D2902" s="1" t="s">
        <v>2576</v>
      </c>
      <c r="E2902" s="1">
        <v>23</v>
      </c>
    </row>
    <row r="2903" spans="1:5" hidden="1" x14ac:dyDescent="0.25">
      <c r="A2903" s="115">
        <v>23.119</v>
      </c>
      <c r="B2903" s="115">
        <v>23.19</v>
      </c>
      <c r="C2903" s="1">
        <v>190</v>
      </c>
      <c r="D2903" s="1" t="s">
        <v>2577</v>
      </c>
      <c r="E2903" s="1">
        <v>23</v>
      </c>
    </row>
    <row r="2904" spans="1:5" hidden="1" x14ac:dyDescent="0.25">
      <c r="A2904" s="115">
        <v>23.12</v>
      </c>
      <c r="B2904" s="115">
        <v>23.2</v>
      </c>
      <c r="C2904" s="1">
        <v>200</v>
      </c>
      <c r="D2904" s="1" t="s">
        <v>2578</v>
      </c>
      <c r="E2904" s="1">
        <v>23</v>
      </c>
    </row>
    <row r="2905" spans="1:5" hidden="1" x14ac:dyDescent="0.25">
      <c r="A2905" s="115">
        <v>23.120999999999999</v>
      </c>
      <c r="B2905" s="115">
        <v>23.21</v>
      </c>
      <c r="C2905" s="1">
        <v>210</v>
      </c>
      <c r="D2905" s="1" t="s">
        <v>2579</v>
      </c>
      <c r="E2905" s="1">
        <v>23</v>
      </c>
    </row>
    <row r="2906" spans="1:5" hidden="1" x14ac:dyDescent="0.25">
      <c r="A2906" s="115">
        <v>23.122</v>
      </c>
      <c r="B2906" s="115">
        <v>23.22</v>
      </c>
      <c r="C2906" s="1">
        <v>220</v>
      </c>
      <c r="D2906" s="1" t="s">
        <v>2580</v>
      </c>
      <c r="E2906" s="1">
        <v>23</v>
      </c>
    </row>
    <row r="2907" spans="1:5" hidden="1" x14ac:dyDescent="0.25">
      <c r="A2907" s="115">
        <v>23.123000000000001</v>
      </c>
      <c r="B2907" s="115">
        <v>23.23</v>
      </c>
      <c r="C2907" s="1">
        <v>230</v>
      </c>
      <c r="D2907" s="1" t="s">
        <v>2581</v>
      </c>
      <c r="E2907" s="1">
        <v>23</v>
      </c>
    </row>
    <row r="2908" spans="1:5" hidden="1" x14ac:dyDescent="0.25">
      <c r="A2908" s="115">
        <v>23.123999999999999</v>
      </c>
      <c r="B2908" s="115">
        <v>23.24</v>
      </c>
      <c r="C2908" s="1">
        <v>240</v>
      </c>
      <c r="D2908" s="1" t="s">
        <v>2582</v>
      </c>
      <c r="E2908" s="1">
        <v>23</v>
      </c>
    </row>
    <row r="2909" spans="1:5" hidden="1" x14ac:dyDescent="0.25">
      <c r="A2909" s="115">
        <v>23.125</v>
      </c>
      <c r="B2909" s="115">
        <v>23.25</v>
      </c>
      <c r="C2909" s="1">
        <v>250</v>
      </c>
      <c r="D2909" s="1" t="s">
        <v>2583</v>
      </c>
      <c r="E2909" s="1">
        <v>23</v>
      </c>
    </row>
    <row r="2910" spans="1:5" hidden="1" x14ac:dyDescent="0.25">
      <c r="A2910" s="115">
        <v>23.126000000000001</v>
      </c>
      <c r="B2910" s="115">
        <v>23.26</v>
      </c>
      <c r="C2910" s="1">
        <v>260</v>
      </c>
      <c r="D2910" s="1" t="s">
        <v>2584</v>
      </c>
      <c r="E2910" s="1">
        <v>23</v>
      </c>
    </row>
    <row r="2911" spans="1:5" hidden="1" x14ac:dyDescent="0.25">
      <c r="A2911" s="115">
        <v>23.126999999999999</v>
      </c>
      <c r="B2911" s="115">
        <v>23.27</v>
      </c>
      <c r="C2911" s="1">
        <v>270</v>
      </c>
      <c r="D2911" s="1" t="s">
        <v>2585</v>
      </c>
      <c r="E2911" s="1">
        <v>23</v>
      </c>
    </row>
    <row r="2912" spans="1:5" hidden="1" x14ac:dyDescent="0.25">
      <c r="A2912" s="115">
        <v>23.128</v>
      </c>
      <c r="B2912" s="115">
        <v>23.28</v>
      </c>
      <c r="C2912" s="1">
        <v>280</v>
      </c>
      <c r="D2912" s="1" t="s">
        <v>2586</v>
      </c>
      <c r="E2912" s="1">
        <v>23</v>
      </c>
    </row>
    <row r="2913" spans="1:5" hidden="1" x14ac:dyDescent="0.25">
      <c r="A2913" s="115">
        <v>23.129000000000001</v>
      </c>
      <c r="B2913" s="115">
        <v>23.29</v>
      </c>
      <c r="C2913" s="1">
        <v>290</v>
      </c>
      <c r="D2913" s="1" t="s">
        <v>2587</v>
      </c>
      <c r="E2913" s="1">
        <v>23</v>
      </c>
    </row>
    <row r="2914" spans="1:5" hidden="1" x14ac:dyDescent="0.25">
      <c r="A2914" s="115">
        <v>23.13</v>
      </c>
      <c r="B2914" s="115">
        <v>23.3</v>
      </c>
      <c r="C2914" s="1">
        <v>300</v>
      </c>
      <c r="D2914" s="1" t="s">
        <v>2588</v>
      </c>
      <c r="E2914" s="1">
        <v>23</v>
      </c>
    </row>
    <row r="2915" spans="1:5" hidden="1" x14ac:dyDescent="0.25">
      <c r="A2915" s="115">
        <v>23.131</v>
      </c>
      <c r="B2915" s="115">
        <v>23.31</v>
      </c>
      <c r="C2915" s="1">
        <v>310</v>
      </c>
      <c r="D2915" s="1" t="s">
        <v>2589</v>
      </c>
      <c r="E2915" s="1">
        <v>23</v>
      </c>
    </row>
    <row r="2916" spans="1:5" hidden="1" x14ac:dyDescent="0.25">
      <c r="A2916" s="115">
        <v>23.132000000000001</v>
      </c>
      <c r="B2916" s="115">
        <v>23.32</v>
      </c>
      <c r="C2916" s="1">
        <v>320</v>
      </c>
      <c r="D2916" s="1" t="s">
        <v>2590</v>
      </c>
      <c r="E2916" s="1">
        <v>23</v>
      </c>
    </row>
    <row r="2917" spans="1:5" hidden="1" x14ac:dyDescent="0.25">
      <c r="A2917" s="115">
        <v>23.132999999999999</v>
      </c>
      <c r="B2917" s="115">
        <v>23.33</v>
      </c>
      <c r="C2917" s="1">
        <v>330</v>
      </c>
      <c r="D2917" s="1" t="s">
        <v>2591</v>
      </c>
      <c r="E2917" s="1">
        <v>23</v>
      </c>
    </row>
    <row r="2918" spans="1:5" hidden="1" x14ac:dyDescent="0.25">
      <c r="A2918" s="115">
        <v>23.134</v>
      </c>
      <c r="B2918" s="115">
        <v>23.34</v>
      </c>
      <c r="C2918" s="1">
        <v>340</v>
      </c>
      <c r="D2918" s="1" t="s">
        <v>2592</v>
      </c>
      <c r="E2918" s="1">
        <v>23</v>
      </c>
    </row>
    <row r="2919" spans="1:5" hidden="1" x14ac:dyDescent="0.25">
      <c r="A2919" s="115">
        <v>23.135000000000002</v>
      </c>
      <c r="B2919" s="115">
        <v>23.35</v>
      </c>
      <c r="C2919" s="1">
        <v>350</v>
      </c>
      <c r="D2919" s="1" t="s">
        <v>2593</v>
      </c>
      <c r="E2919" s="1">
        <v>23</v>
      </c>
    </row>
    <row r="2920" spans="1:5" hidden="1" x14ac:dyDescent="0.25">
      <c r="A2920" s="115">
        <v>23.135999999999999</v>
      </c>
      <c r="B2920" s="115">
        <v>23.36</v>
      </c>
      <c r="C2920" s="1">
        <v>360</v>
      </c>
      <c r="D2920" s="1" t="s">
        <v>2594</v>
      </c>
      <c r="E2920" s="1">
        <v>23</v>
      </c>
    </row>
    <row r="2921" spans="1:5" hidden="1" x14ac:dyDescent="0.25">
      <c r="A2921" s="115">
        <v>23.137</v>
      </c>
      <c r="B2921" s="115">
        <v>23.37</v>
      </c>
      <c r="C2921" s="1">
        <v>370</v>
      </c>
      <c r="D2921" s="1" t="s">
        <v>2595</v>
      </c>
      <c r="E2921" s="1">
        <v>23</v>
      </c>
    </row>
    <row r="2922" spans="1:5" hidden="1" x14ac:dyDescent="0.25">
      <c r="A2922" s="115">
        <v>23.138000000000002</v>
      </c>
      <c r="B2922" s="115">
        <v>23.38</v>
      </c>
      <c r="C2922" s="1">
        <v>380</v>
      </c>
      <c r="D2922" s="1" t="s">
        <v>2596</v>
      </c>
      <c r="E2922" s="1">
        <v>23</v>
      </c>
    </row>
    <row r="2923" spans="1:5" hidden="1" x14ac:dyDescent="0.25">
      <c r="A2923" s="115">
        <v>23.138999999999999</v>
      </c>
      <c r="B2923" s="115">
        <v>23.39</v>
      </c>
      <c r="C2923" s="1">
        <v>390</v>
      </c>
      <c r="D2923" s="1" t="s">
        <v>2597</v>
      </c>
      <c r="E2923" s="1">
        <v>23</v>
      </c>
    </row>
    <row r="2924" spans="1:5" hidden="1" x14ac:dyDescent="0.25">
      <c r="A2924" s="115">
        <v>23.14</v>
      </c>
      <c r="B2924" s="115">
        <v>23.4</v>
      </c>
      <c r="C2924" s="1">
        <v>400</v>
      </c>
      <c r="D2924" s="1" t="s">
        <v>2598</v>
      </c>
      <c r="E2924" s="1">
        <v>23</v>
      </c>
    </row>
    <row r="2925" spans="1:5" hidden="1" x14ac:dyDescent="0.25">
      <c r="A2925" s="115">
        <v>23.140999999999998</v>
      </c>
      <c r="B2925" s="115">
        <v>23.41</v>
      </c>
      <c r="C2925" s="1">
        <v>410</v>
      </c>
      <c r="D2925" s="1" t="s">
        <v>2599</v>
      </c>
      <c r="E2925" s="1">
        <v>23</v>
      </c>
    </row>
    <row r="2926" spans="1:5" hidden="1" x14ac:dyDescent="0.25">
      <c r="A2926" s="115">
        <v>23.141999999999999</v>
      </c>
      <c r="B2926" s="115">
        <v>23.42</v>
      </c>
      <c r="C2926" s="1">
        <v>420</v>
      </c>
      <c r="D2926" s="1" t="s">
        <v>2600</v>
      </c>
      <c r="E2926" s="1">
        <v>23</v>
      </c>
    </row>
    <row r="2927" spans="1:5" hidden="1" x14ac:dyDescent="0.25">
      <c r="A2927" s="115">
        <v>23.143000000000001</v>
      </c>
      <c r="B2927" s="115">
        <v>23.43</v>
      </c>
      <c r="C2927" s="1">
        <v>430</v>
      </c>
      <c r="D2927" s="1" t="s">
        <v>2601</v>
      </c>
      <c r="E2927" s="1">
        <v>23</v>
      </c>
    </row>
    <row r="2928" spans="1:5" hidden="1" x14ac:dyDescent="0.25">
      <c r="A2928" s="115">
        <v>23.143999999999998</v>
      </c>
      <c r="B2928" s="115">
        <v>23.44</v>
      </c>
      <c r="C2928" s="1">
        <v>440</v>
      </c>
      <c r="D2928" s="1" t="s">
        <v>2602</v>
      </c>
      <c r="E2928" s="1">
        <v>23</v>
      </c>
    </row>
    <row r="2929" spans="1:5" hidden="1" x14ac:dyDescent="0.25">
      <c r="A2929" s="115">
        <v>23.145</v>
      </c>
      <c r="B2929" s="115">
        <v>23.445</v>
      </c>
      <c r="C2929" s="1">
        <v>445</v>
      </c>
      <c r="D2929" s="1" t="s">
        <v>2603</v>
      </c>
      <c r="E2929" s="1">
        <v>23</v>
      </c>
    </row>
    <row r="2930" spans="1:5" hidden="1" x14ac:dyDescent="0.25">
      <c r="A2930" s="115">
        <v>23.146000000000001</v>
      </c>
      <c r="B2930" s="115">
        <v>23.45</v>
      </c>
      <c r="C2930" s="1">
        <v>450</v>
      </c>
      <c r="D2930" s="1" t="s">
        <v>2604</v>
      </c>
      <c r="E2930" s="1">
        <v>23</v>
      </c>
    </row>
    <row r="2931" spans="1:5" hidden="1" x14ac:dyDescent="0.25">
      <c r="A2931" s="115">
        <v>23.146999999999998</v>
      </c>
      <c r="B2931" s="115">
        <v>23.46</v>
      </c>
      <c r="C2931" s="1">
        <v>460</v>
      </c>
      <c r="D2931" s="1" t="s">
        <v>2605</v>
      </c>
      <c r="E2931" s="1">
        <v>23</v>
      </c>
    </row>
    <row r="2932" spans="1:5" hidden="1" x14ac:dyDescent="0.25">
      <c r="A2932" s="115">
        <v>23.148</v>
      </c>
      <c r="B2932" s="115">
        <v>23.47</v>
      </c>
      <c r="C2932" s="1">
        <v>470</v>
      </c>
      <c r="D2932" s="1" t="s">
        <v>2606</v>
      </c>
      <c r="E2932" s="1">
        <v>23</v>
      </c>
    </row>
    <row r="2933" spans="1:5" hidden="1" x14ac:dyDescent="0.25">
      <c r="A2933" s="115">
        <v>23.149000000000001</v>
      </c>
      <c r="B2933" s="115">
        <v>23.48</v>
      </c>
      <c r="C2933" s="1">
        <v>480</v>
      </c>
      <c r="D2933" s="1" t="s">
        <v>2607</v>
      </c>
      <c r="E2933" s="1">
        <v>23</v>
      </c>
    </row>
    <row r="2934" spans="1:5" hidden="1" x14ac:dyDescent="0.25">
      <c r="A2934" s="115">
        <v>23.15</v>
      </c>
      <c r="B2934" s="115">
        <v>23.49</v>
      </c>
      <c r="C2934" s="1">
        <v>490</v>
      </c>
      <c r="D2934" s="1" t="s">
        <v>2608</v>
      </c>
      <c r="E2934" s="1">
        <v>23</v>
      </c>
    </row>
    <row r="2935" spans="1:5" hidden="1" x14ac:dyDescent="0.25">
      <c r="A2935" s="115">
        <v>23.151</v>
      </c>
      <c r="B2935" s="115">
        <v>23.5</v>
      </c>
      <c r="C2935" s="1">
        <v>500</v>
      </c>
      <c r="D2935" s="1" t="s">
        <v>2609</v>
      </c>
      <c r="E2935" s="1">
        <v>23</v>
      </c>
    </row>
    <row r="2936" spans="1:5" hidden="1" x14ac:dyDescent="0.25">
      <c r="A2936" s="115">
        <v>23.152000000000001</v>
      </c>
      <c r="B2936" s="115">
        <v>23.51</v>
      </c>
      <c r="C2936" s="1">
        <v>510</v>
      </c>
      <c r="D2936" s="1" t="s">
        <v>2610</v>
      </c>
      <c r="E2936" s="1">
        <v>23</v>
      </c>
    </row>
    <row r="2937" spans="1:5" hidden="1" x14ac:dyDescent="0.25">
      <c r="A2937" s="115">
        <v>23.152999999999999</v>
      </c>
      <c r="B2937" s="115">
        <v>23.52</v>
      </c>
      <c r="C2937" s="1">
        <v>520</v>
      </c>
      <c r="D2937" s="1" t="s">
        <v>2611</v>
      </c>
      <c r="E2937" s="1">
        <v>23</v>
      </c>
    </row>
    <row r="2938" spans="1:5" hidden="1" x14ac:dyDescent="0.25">
      <c r="A2938" s="115">
        <v>23.154</v>
      </c>
      <c r="B2938" s="115">
        <v>23.53</v>
      </c>
      <c r="C2938" s="1">
        <v>530</v>
      </c>
      <c r="D2938" s="1" t="s">
        <v>2612</v>
      </c>
      <c r="E2938" s="1">
        <v>23</v>
      </c>
    </row>
    <row r="2939" spans="1:5" hidden="1" x14ac:dyDescent="0.25">
      <c r="A2939" s="115">
        <v>23.155000000000001</v>
      </c>
      <c r="B2939" s="115">
        <v>23.54</v>
      </c>
      <c r="C2939" s="1">
        <v>540</v>
      </c>
      <c r="D2939" s="1" t="s">
        <v>2613</v>
      </c>
      <c r="E2939" s="1">
        <v>23</v>
      </c>
    </row>
    <row r="2940" spans="1:5" hidden="1" x14ac:dyDescent="0.25">
      <c r="A2940" s="115">
        <v>23.155999999999999</v>
      </c>
      <c r="B2940" s="115">
        <v>23.55</v>
      </c>
      <c r="C2940" s="1">
        <v>550</v>
      </c>
      <c r="D2940" s="1" t="s">
        <v>2614</v>
      </c>
      <c r="E2940" s="1">
        <v>23</v>
      </c>
    </row>
    <row r="2941" spans="1:5" hidden="1" x14ac:dyDescent="0.25">
      <c r="A2941" s="115">
        <v>23.157</v>
      </c>
      <c r="B2941" s="115">
        <v>23.56</v>
      </c>
      <c r="C2941" s="1">
        <v>560</v>
      </c>
      <c r="D2941" s="1" t="s">
        <v>2615</v>
      </c>
      <c r="E2941" s="1">
        <v>23</v>
      </c>
    </row>
    <row r="2942" spans="1:5" hidden="1" x14ac:dyDescent="0.25">
      <c r="A2942" s="115">
        <v>23.158000000000001</v>
      </c>
      <c r="B2942" s="115">
        <v>23.57</v>
      </c>
      <c r="C2942" s="1">
        <v>570</v>
      </c>
      <c r="D2942" s="1" t="s">
        <v>2616</v>
      </c>
      <c r="E2942" s="1">
        <v>23</v>
      </c>
    </row>
    <row r="2943" spans="1:5" hidden="1" x14ac:dyDescent="0.25">
      <c r="A2943" s="115">
        <v>23.158999999999999</v>
      </c>
      <c r="B2943" s="115">
        <v>23.574999999999999</v>
      </c>
      <c r="C2943" s="1">
        <v>575</v>
      </c>
      <c r="D2943" s="1" t="s">
        <v>2617</v>
      </c>
      <c r="E2943" s="1">
        <v>23</v>
      </c>
    </row>
    <row r="2944" spans="1:5" hidden="1" x14ac:dyDescent="0.25">
      <c r="A2944" s="115">
        <v>23.16</v>
      </c>
      <c r="B2944" s="115">
        <v>23.576000000000001</v>
      </c>
      <c r="C2944" s="1">
        <v>576</v>
      </c>
      <c r="D2944" s="1" t="s">
        <v>2618</v>
      </c>
      <c r="E2944" s="1">
        <v>23</v>
      </c>
    </row>
    <row r="2945" spans="1:5" hidden="1" x14ac:dyDescent="0.25">
      <c r="A2945" s="115">
        <v>23.161000000000001</v>
      </c>
      <c r="B2945" s="115">
        <v>23.58</v>
      </c>
      <c r="C2945" s="1">
        <v>580</v>
      </c>
      <c r="D2945" s="1" t="s">
        <v>2619</v>
      </c>
      <c r="E2945" s="1">
        <v>23</v>
      </c>
    </row>
    <row r="2946" spans="1:5" hidden="1" x14ac:dyDescent="0.25">
      <c r="A2946" s="115">
        <v>23.161999999999999</v>
      </c>
      <c r="B2946" s="115">
        <v>23.59</v>
      </c>
      <c r="C2946" s="1">
        <v>590</v>
      </c>
      <c r="D2946" s="1" t="s">
        <v>1099</v>
      </c>
      <c r="E2946" s="1">
        <v>23</v>
      </c>
    </row>
    <row r="2947" spans="1:5" hidden="1" x14ac:dyDescent="0.25">
      <c r="A2947" s="115">
        <v>23.163</v>
      </c>
      <c r="B2947" s="115">
        <v>23.6</v>
      </c>
      <c r="C2947" s="1">
        <v>600</v>
      </c>
      <c r="D2947" s="1" t="s">
        <v>2620</v>
      </c>
      <c r="E2947" s="1">
        <v>23</v>
      </c>
    </row>
    <row r="2948" spans="1:5" hidden="1" x14ac:dyDescent="0.25">
      <c r="A2948" s="115">
        <v>23.164000000000001</v>
      </c>
      <c r="B2948" s="115">
        <v>23.61</v>
      </c>
      <c r="C2948" s="1">
        <v>610</v>
      </c>
      <c r="D2948" s="1" t="s">
        <v>2621</v>
      </c>
      <c r="E2948" s="1">
        <v>23</v>
      </c>
    </row>
    <row r="2949" spans="1:5" hidden="1" x14ac:dyDescent="0.25">
      <c r="A2949" s="115">
        <v>23.164999999999999</v>
      </c>
      <c r="B2949" s="115">
        <v>23.62</v>
      </c>
      <c r="C2949" s="1">
        <v>620</v>
      </c>
      <c r="D2949" s="1" t="s">
        <v>2622</v>
      </c>
      <c r="E2949" s="1">
        <v>23</v>
      </c>
    </row>
    <row r="2950" spans="1:5" hidden="1" x14ac:dyDescent="0.25">
      <c r="A2950" s="115">
        <v>23.166</v>
      </c>
      <c r="B2950" s="115">
        <v>23.63</v>
      </c>
      <c r="C2950" s="1">
        <v>630</v>
      </c>
      <c r="D2950" s="1" t="s">
        <v>2623</v>
      </c>
      <c r="E2950" s="1">
        <v>23</v>
      </c>
    </row>
    <row r="2951" spans="1:5" hidden="1" x14ac:dyDescent="0.25">
      <c r="A2951" s="115">
        <v>23.167000000000002</v>
      </c>
      <c r="B2951" s="115">
        <v>23.64</v>
      </c>
      <c r="C2951" s="1">
        <v>640</v>
      </c>
      <c r="D2951" s="1" t="s">
        <v>2624</v>
      </c>
      <c r="E2951" s="1">
        <v>23</v>
      </c>
    </row>
    <row r="2952" spans="1:5" hidden="1" x14ac:dyDescent="0.25">
      <c r="A2952" s="115">
        <v>23.167999999999999</v>
      </c>
      <c r="B2952" s="115">
        <v>23.65</v>
      </c>
      <c r="C2952" s="1">
        <v>650</v>
      </c>
      <c r="D2952" s="1" t="s">
        <v>2625</v>
      </c>
      <c r="E2952" s="1">
        <v>23</v>
      </c>
    </row>
    <row r="2953" spans="1:5" hidden="1" x14ac:dyDescent="0.25">
      <c r="A2953" s="115">
        <v>23.169</v>
      </c>
      <c r="B2953" s="115">
        <v>23.66</v>
      </c>
      <c r="C2953" s="1">
        <v>660</v>
      </c>
      <c r="D2953" s="1" t="s">
        <v>2626</v>
      </c>
      <c r="E2953" s="1">
        <v>23</v>
      </c>
    </row>
    <row r="2954" spans="1:5" hidden="1" x14ac:dyDescent="0.25">
      <c r="A2954" s="115">
        <v>23.17</v>
      </c>
      <c r="B2954" s="115">
        <v>23.67</v>
      </c>
      <c r="C2954" s="1">
        <v>670</v>
      </c>
      <c r="D2954" s="1" t="s">
        <v>2627</v>
      </c>
      <c r="E2954" s="1">
        <v>23</v>
      </c>
    </row>
    <row r="2955" spans="1:5" hidden="1" x14ac:dyDescent="0.25">
      <c r="A2955" s="115">
        <v>23.170999999999999</v>
      </c>
      <c r="B2955" s="115">
        <v>23.68</v>
      </c>
      <c r="C2955" s="1">
        <v>680</v>
      </c>
      <c r="D2955" s="1" t="s">
        <v>2628</v>
      </c>
      <c r="E2955" s="1">
        <v>23</v>
      </c>
    </row>
    <row r="2956" spans="1:5" hidden="1" x14ac:dyDescent="0.25">
      <c r="A2956" s="115">
        <v>23.172000000000001</v>
      </c>
      <c r="B2956" s="115">
        <v>23.69</v>
      </c>
      <c r="C2956" s="1">
        <v>690</v>
      </c>
      <c r="D2956" s="1" t="s">
        <v>2629</v>
      </c>
      <c r="E2956" s="1">
        <v>23</v>
      </c>
    </row>
    <row r="2957" spans="1:5" hidden="1" x14ac:dyDescent="0.25">
      <c r="A2957" s="115">
        <v>23.172999999999998</v>
      </c>
      <c r="B2957" s="115">
        <v>23.7</v>
      </c>
      <c r="C2957" s="1">
        <v>700</v>
      </c>
      <c r="D2957" s="1" t="s">
        <v>2630</v>
      </c>
      <c r="E2957" s="1">
        <v>23</v>
      </c>
    </row>
    <row r="2958" spans="1:5" hidden="1" x14ac:dyDescent="0.25">
      <c r="A2958" s="115">
        <v>23.173999999999999</v>
      </c>
      <c r="B2958" s="115">
        <v>23.71</v>
      </c>
      <c r="C2958" s="1">
        <v>710</v>
      </c>
      <c r="D2958" s="1" t="s">
        <v>2631</v>
      </c>
      <c r="E2958" s="1">
        <v>23</v>
      </c>
    </row>
    <row r="2959" spans="1:5" hidden="1" x14ac:dyDescent="0.25">
      <c r="A2959" s="115">
        <v>23.175000000000001</v>
      </c>
      <c r="B2959" s="115">
        <v>23.72</v>
      </c>
      <c r="C2959" s="1">
        <v>720</v>
      </c>
      <c r="D2959" s="1" t="s">
        <v>2632</v>
      </c>
      <c r="E2959" s="1">
        <v>23</v>
      </c>
    </row>
    <row r="2960" spans="1:5" hidden="1" x14ac:dyDescent="0.25">
      <c r="A2960" s="115">
        <v>23.175999999999998</v>
      </c>
      <c r="B2960" s="115">
        <v>23.73</v>
      </c>
      <c r="C2960" s="1">
        <v>730</v>
      </c>
      <c r="D2960" s="1" t="s">
        <v>2633</v>
      </c>
      <c r="E2960" s="1">
        <v>23</v>
      </c>
    </row>
    <row r="2961" spans="1:5" hidden="1" x14ac:dyDescent="0.25">
      <c r="A2961" s="115">
        <v>23.177</v>
      </c>
      <c r="B2961" s="115">
        <v>23.74</v>
      </c>
      <c r="C2961" s="1">
        <v>740</v>
      </c>
      <c r="D2961" s="1" t="s">
        <v>2634</v>
      </c>
      <c r="E2961" s="1">
        <v>23</v>
      </c>
    </row>
    <row r="2962" spans="1:5" hidden="1" x14ac:dyDescent="0.25">
      <c r="A2962" s="115">
        <v>23.178000000000001</v>
      </c>
      <c r="B2962" s="115">
        <v>23.75</v>
      </c>
      <c r="C2962" s="1">
        <v>750</v>
      </c>
      <c r="D2962" s="1" t="s">
        <v>2635</v>
      </c>
      <c r="E2962" s="1">
        <v>23</v>
      </c>
    </row>
    <row r="2963" spans="1:5" hidden="1" x14ac:dyDescent="0.25">
      <c r="A2963" s="115">
        <v>23.178999999999998</v>
      </c>
      <c r="B2963" s="115">
        <v>23.754999999999999</v>
      </c>
      <c r="C2963" s="1">
        <v>755</v>
      </c>
      <c r="D2963" s="1" t="s">
        <v>1466</v>
      </c>
      <c r="E2963" s="1">
        <v>23</v>
      </c>
    </row>
    <row r="2964" spans="1:5" hidden="1" x14ac:dyDescent="0.25">
      <c r="A2964" s="115">
        <v>23.18</v>
      </c>
      <c r="B2964" s="115">
        <v>23.76</v>
      </c>
      <c r="C2964" s="1">
        <v>760</v>
      </c>
      <c r="D2964" s="1" t="s">
        <v>2636</v>
      </c>
      <c r="E2964" s="1">
        <v>23</v>
      </c>
    </row>
    <row r="2965" spans="1:5" hidden="1" x14ac:dyDescent="0.25">
      <c r="A2965" s="115">
        <v>23.181000000000001</v>
      </c>
      <c r="B2965" s="115">
        <v>23.77</v>
      </c>
      <c r="C2965" s="1">
        <v>770</v>
      </c>
      <c r="D2965" s="1" t="s">
        <v>2637</v>
      </c>
      <c r="E2965" s="1">
        <v>23</v>
      </c>
    </row>
    <row r="2966" spans="1:5" hidden="1" x14ac:dyDescent="0.25">
      <c r="A2966" s="115">
        <v>23.181999999999999</v>
      </c>
      <c r="B2966" s="115">
        <v>23.78</v>
      </c>
      <c r="C2966" s="1">
        <v>780</v>
      </c>
      <c r="D2966" s="1" t="s">
        <v>2638</v>
      </c>
      <c r="E2966" s="1">
        <v>23</v>
      </c>
    </row>
    <row r="2967" spans="1:5" hidden="1" x14ac:dyDescent="0.25">
      <c r="A2967" s="115">
        <v>23.183</v>
      </c>
      <c r="B2967" s="115">
        <v>23.79</v>
      </c>
      <c r="C2967" s="1">
        <v>790</v>
      </c>
      <c r="D2967" s="1" t="s">
        <v>2639</v>
      </c>
      <c r="E2967" s="1">
        <v>23</v>
      </c>
    </row>
    <row r="2968" spans="1:5" hidden="1" x14ac:dyDescent="0.25">
      <c r="A2968" s="115">
        <v>23.184000000000001</v>
      </c>
      <c r="B2968" s="115">
        <v>23.8</v>
      </c>
      <c r="C2968" s="1">
        <v>800</v>
      </c>
      <c r="D2968" s="1" t="s">
        <v>2640</v>
      </c>
      <c r="E2968" s="1">
        <v>23</v>
      </c>
    </row>
    <row r="2969" spans="1:5" hidden="1" x14ac:dyDescent="0.25">
      <c r="A2969" s="115">
        <v>23.184999999999999</v>
      </c>
      <c r="B2969" s="115">
        <v>23.805</v>
      </c>
      <c r="C2969" s="1">
        <v>805</v>
      </c>
      <c r="D2969" s="1" t="s">
        <v>2641</v>
      </c>
      <c r="E2969" s="1">
        <v>23</v>
      </c>
    </row>
    <row r="2970" spans="1:5" hidden="1" x14ac:dyDescent="0.25">
      <c r="A2970" s="115">
        <v>23.186</v>
      </c>
      <c r="B2970" s="115">
        <v>23.81</v>
      </c>
      <c r="C2970" s="1">
        <v>810</v>
      </c>
      <c r="D2970" s="1" t="s">
        <v>2642</v>
      </c>
      <c r="E2970" s="1">
        <v>23</v>
      </c>
    </row>
    <row r="2971" spans="1:5" hidden="1" x14ac:dyDescent="0.25">
      <c r="A2971" s="115">
        <v>23.187000000000001</v>
      </c>
      <c r="B2971" s="115">
        <v>23.82</v>
      </c>
      <c r="C2971" s="1">
        <v>820</v>
      </c>
      <c r="D2971" s="1" t="s">
        <v>2643</v>
      </c>
      <c r="E2971" s="1">
        <v>23</v>
      </c>
    </row>
    <row r="2972" spans="1:5" hidden="1" x14ac:dyDescent="0.25">
      <c r="A2972" s="115">
        <v>23.187999999999999</v>
      </c>
      <c r="B2972" s="115">
        <v>23.83</v>
      </c>
      <c r="C2972" s="1">
        <v>830</v>
      </c>
      <c r="D2972" s="1" t="s">
        <v>2644</v>
      </c>
      <c r="E2972" s="1">
        <v>23</v>
      </c>
    </row>
    <row r="2973" spans="1:5" hidden="1" x14ac:dyDescent="0.25">
      <c r="A2973" s="115">
        <v>23.189</v>
      </c>
      <c r="B2973" s="115">
        <v>23.84</v>
      </c>
      <c r="C2973" s="1">
        <v>840</v>
      </c>
      <c r="D2973" s="1" t="s">
        <v>2645</v>
      </c>
      <c r="E2973" s="1">
        <v>23</v>
      </c>
    </row>
    <row r="2974" spans="1:5" hidden="1" x14ac:dyDescent="0.25">
      <c r="A2974" s="115">
        <v>23.19</v>
      </c>
      <c r="B2974" s="115">
        <v>23.85</v>
      </c>
      <c r="C2974" s="1">
        <v>850</v>
      </c>
      <c r="D2974" s="1" t="s">
        <v>2646</v>
      </c>
      <c r="E2974" s="1">
        <v>23</v>
      </c>
    </row>
    <row r="2975" spans="1:5" hidden="1" x14ac:dyDescent="0.25">
      <c r="A2975" s="115">
        <v>23.190999999999999</v>
      </c>
      <c r="B2975" s="115">
        <v>23.86</v>
      </c>
      <c r="C2975" s="1">
        <v>860</v>
      </c>
      <c r="D2975" s="1" t="s">
        <v>2647</v>
      </c>
      <c r="E2975" s="1">
        <v>23</v>
      </c>
    </row>
    <row r="2976" spans="1:5" hidden="1" x14ac:dyDescent="0.25">
      <c r="A2976" s="115">
        <v>23.192</v>
      </c>
      <c r="B2976" s="115">
        <v>23.87</v>
      </c>
      <c r="C2976" s="1">
        <v>870</v>
      </c>
      <c r="D2976" s="1" t="s">
        <v>2648</v>
      </c>
      <c r="E2976" s="1">
        <v>23</v>
      </c>
    </row>
    <row r="2977" spans="1:5" hidden="1" x14ac:dyDescent="0.25">
      <c r="A2977" s="115">
        <v>23.193000000000001</v>
      </c>
      <c r="B2977" s="115">
        <v>23.88</v>
      </c>
      <c r="C2977" s="1">
        <v>880</v>
      </c>
      <c r="D2977" s="1" t="s">
        <v>2649</v>
      </c>
      <c r="E2977" s="1">
        <v>23</v>
      </c>
    </row>
    <row r="2978" spans="1:5" hidden="1" x14ac:dyDescent="0.25">
      <c r="A2978" s="115">
        <v>23.193999999999999</v>
      </c>
      <c r="B2978" s="115">
        <v>23.89</v>
      </c>
      <c r="C2978" s="1">
        <v>890</v>
      </c>
      <c r="D2978" s="1" t="s">
        <v>2650</v>
      </c>
      <c r="E2978" s="1">
        <v>23</v>
      </c>
    </row>
    <row r="2979" spans="1:5" hidden="1" x14ac:dyDescent="0.25">
      <c r="A2979" s="115">
        <v>23.195</v>
      </c>
      <c r="B2979" s="115">
        <v>23.895</v>
      </c>
      <c r="C2979" s="1">
        <v>895</v>
      </c>
      <c r="D2979" s="1" t="s">
        <v>2651</v>
      </c>
      <c r="E2979" s="1">
        <v>23</v>
      </c>
    </row>
    <row r="2980" spans="1:5" hidden="1" x14ac:dyDescent="0.25">
      <c r="A2980" s="115">
        <v>23.196000000000002</v>
      </c>
      <c r="B2980" s="115">
        <v>23.9</v>
      </c>
      <c r="C2980" s="1">
        <v>900</v>
      </c>
      <c r="D2980" s="1" t="s">
        <v>2652</v>
      </c>
      <c r="E2980" s="1">
        <v>23</v>
      </c>
    </row>
    <row r="2981" spans="1:5" hidden="1" x14ac:dyDescent="0.25">
      <c r="A2981" s="115">
        <v>23.196999999999999</v>
      </c>
      <c r="B2981" s="115">
        <v>23.91</v>
      </c>
      <c r="C2981" s="1">
        <v>910</v>
      </c>
      <c r="D2981" s="1" t="s">
        <v>2653</v>
      </c>
      <c r="E2981" s="1">
        <v>23</v>
      </c>
    </row>
    <row r="2982" spans="1:5" hidden="1" x14ac:dyDescent="0.25">
      <c r="A2982" s="115">
        <v>23.198</v>
      </c>
      <c r="B2982" s="115">
        <v>23.92</v>
      </c>
      <c r="C2982" s="1">
        <v>920</v>
      </c>
      <c r="D2982" s="1" t="s">
        <v>2654</v>
      </c>
      <c r="E2982" s="1">
        <v>23</v>
      </c>
    </row>
    <row r="2983" spans="1:5" hidden="1" x14ac:dyDescent="0.25">
      <c r="A2983" s="115">
        <v>23.199000000000002</v>
      </c>
      <c r="B2983" s="115">
        <v>23.925000000000001</v>
      </c>
      <c r="C2983" s="1">
        <v>925</v>
      </c>
      <c r="D2983" s="1" t="s">
        <v>2655</v>
      </c>
      <c r="E2983" s="1">
        <v>23</v>
      </c>
    </row>
    <row r="2984" spans="1:5" hidden="1" x14ac:dyDescent="0.25">
      <c r="A2984" s="115">
        <v>23.2</v>
      </c>
      <c r="B2984" s="115">
        <v>23.93</v>
      </c>
      <c r="C2984" s="1">
        <v>930</v>
      </c>
      <c r="D2984" s="1" t="s">
        <v>2656</v>
      </c>
      <c r="E2984" s="1">
        <v>23</v>
      </c>
    </row>
    <row r="2985" spans="1:5" hidden="1" x14ac:dyDescent="0.25">
      <c r="A2985" s="115">
        <v>23.201000000000001</v>
      </c>
      <c r="B2985" s="115">
        <v>23.934999999999999</v>
      </c>
      <c r="C2985" s="1">
        <v>935</v>
      </c>
      <c r="D2985" s="1" t="s">
        <v>2657</v>
      </c>
      <c r="E2985" s="1">
        <v>23</v>
      </c>
    </row>
    <row r="2986" spans="1:5" hidden="1" x14ac:dyDescent="0.25">
      <c r="A2986" s="115">
        <v>23.202000000000002</v>
      </c>
      <c r="B2986" s="115">
        <v>23.94</v>
      </c>
      <c r="C2986" s="1">
        <v>940</v>
      </c>
      <c r="D2986" s="1" t="s">
        <v>2658</v>
      </c>
      <c r="E2986" s="1">
        <v>23</v>
      </c>
    </row>
    <row r="2987" spans="1:5" hidden="1" x14ac:dyDescent="0.25">
      <c r="A2987" s="115">
        <v>23.202999999999999</v>
      </c>
      <c r="B2987" s="115">
        <v>23.95</v>
      </c>
      <c r="C2987" s="1">
        <v>950</v>
      </c>
      <c r="D2987" s="1" t="s">
        <v>2659</v>
      </c>
      <c r="E2987" s="1">
        <v>23</v>
      </c>
    </row>
    <row r="2988" spans="1:5" hidden="1" x14ac:dyDescent="0.25">
      <c r="A2988" s="115">
        <v>23.204000000000001</v>
      </c>
      <c r="B2988" s="115">
        <v>23.954999999999998</v>
      </c>
      <c r="C2988" s="1">
        <v>955</v>
      </c>
      <c r="D2988" s="1" t="s">
        <v>2660</v>
      </c>
      <c r="E2988" s="1">
        <v>23</v>
      </c>
    </row>
    <row r="2989" spans="1:5" hidden="1" x14ac:dyDescent="0.25">
      <c r="A2989" s="115">
        <v>23.204999999999998</v>
      </c>
      <c r="B2989" s="115">
        <v>23.96</v>
      </c>
      <c r="C2989" s="1">
        <v>960</v>
      </c>
      <c r="D2989" s="1" t="s">
        <v>2661</v>
      </c>
      <c r="E2989" s="1">
        <v>23</v>
      </c>
    </row>
    <row r="2990" spans="1:5" hidden="1" x14ac:dyDescent="0.25">
      <c r="A2990" s="115">
        <v>23.206</v>
      </c>
      <c r="B2990" s="115">
        <v>23.97</v>
      </c>
      <c r="C2990" s="1">
        <v>970</v>
      </c>
      <c r="D2990" s="1" t="s">
        <v>2662</v>
      </c>
      <c r="E2990" s="1">
        <v>23</v>
      </c>
    </row>
    <row r="2991" spans="1:5" hidden="1" x14ac:dyDescent="0.25">
      <c r="A2991" s="115">
        <v>23.207000000000001</v>
      </c>
      <c r="B2991" s="115">
        <v>23.98</v>
      </c>
      <c r="C2991" s="1">
        <v>980</v>
      </c>
      <c r="D2991" s="1" t="s">
        <v>2663</v>
      </c>
      <c r="E2991" s="1">
        <v>23</v>
      </c>
    </row>
    <row r="2992" spans="1:5" hidden="1" x14ac:dyDescent="0.25">
      <c r="A2992" s="115">
        <v>23.207999999999998</v>
      </c>
      <c r="B2992" s="115">
        <v>23.99</v>
      </c>
      <c r="C2992" s="1">
        <v>990</v>
      </c>
      <c r="D2992" s="1" t="s">
        <v>2664</v>
      </c>
      <c r="E2992" s="1">
        <v>23</v>
      </c>
    </row>
    <row r="2993" spans="1:5" hidden="1" x14ac:dyDescent="0.25">
      <c r="A2993" s="115">
        <v>23.209</v>
      </c>
      <c r="B2993" s="115">
        <v>23.1</v>
      </c>
      <c r="C2993" s="1">
        <v>1000</v>
      </c>
      <c r="D2993" s="1" t="s">
        <v>2665</v>
      </c>
      <c r="E2993" s="1">
        <v>23</v>
      </c>
    </row>
    <row r="2994" spans="1:5" hidden="1" x14ac:dyDescent="0.25">
      <c r="A2994" s="115">
        <v>23.21</v>
      </c>
      <c r="B2994" s="115">
        <v>23.11</v>
      </c>
      <c r="C2994" s="1">
        <v>1100</v>
      </c>
      <c r="D2994" s="1" t="s">
        <v>2666</v>
      </c>
      <c r="E2994" s="1">
        <v>23</v>
      </c>
    </row>
    <row r="2995" spans="1:5" hidden="1" x14ac:dyDescent="0.25">
      <c r="A2995" s="115">
        <v>23.210999999999999</v>
      </c>
      <c r="B2995" s="115">
        <v>23.111000000000001</v>
      </c>
      <c r="C2995" s="1">
        <v>1110</v>
      </c>
      <c r="D2995" s="1" t="s">
        <v>2667</v>
      </c>
      <c r="E2995" s="1">
        <v>23</v>
      </c>
    </row>
    <row r="2996" spans="1:5" hidden="1" x14ac:dyDescent="0.25">
      <c r="A2996" s="115">
        <v>23.212</v>
      </c>
      <c r="B2996" s="115">
        <v>23.111999999999998</v>
      </c>
      <c r="C2996" s="1">
        <v>1120</v>
      </c>
      <c r="D2996" s="1" t="s">
        <v>2668</v>
      </c>
      <c r="E2996" s="1">
        <v>23</v>
      </c>
    </row>
    <row r="2997" spans="1:5" hidden="1" x14ac:dyDescent="0.25">
      <c r="A2997" s="115">
        <v>23.213000000000001</v>
      </c>
      <c r="B2997" s="115">
        <v>23.113</v>
      </c>
      <c r="C2997" s="1">
        <v>1130</v>
      </c>
      <c r="D2997" s="1" t="s">
        <v>2669</v>
      </c>
      <c r="E2997" s="1">
        <v>23</v>
      </c>
    </row>
    <row r="2998" spans="1:5" hidden="1" x14ac:dyDescent="0.25">
      <c r="A2998" s="115">
        <v>23.213999999999999</v>
      </c>
      <c r="B2998" s="115">
        <v>23.114000000000001</v>
      </c>
      <c r="C2998" s="1">
        <v>1140</v>
      </c>
      <c r="D2998" s="1" t="s">
        <v>2670</v>
      </c>
      <c r="E2998" s="1">
        <v>23</v>
      </c>
    </row>
    <row r="2999" spans="1:5" hidden="1" x14ac:dyDescent="0.25">
      <c r="A2999" s="115">
        <v>23.215</v>
      </c>
      <c r="B2999" s="115">
        <v>23.114999999999998</v>
      </c>
      <c r="C2999" s="1">
        <v>1150</v>
      </c>
      <c r="D2999" s="1" t="s">
        <v>2671</v>
      </c>
      <c r="E2999" s="1">
        <v>23</v>
      </c>
    </row>
    <row r="3000" spans="1:5" hidden="1" x14ac:dyDescent="0.25">
      <c r="A3000" s="115">
        <v>23.216000000000001</v>
      </c>
      <c r="B3000" s="115">
        <v>23.116</v>
      </c>
      <c r="C3000" s="1">
        <v>1160</v>
      </c>
      <c r="D3000" s="1" t="s">
        <v>2672</v>
      </c>
      <c r="E3000" s="1">
        <v>23</v>
      </c>
    </row>
    <row r="3001" spans="1:5" hidden="1" x14ac:dyDescent="0.25">
      <c r="A3001" s="115">
        <v>23.216999999999999</v>
      </c>
      <c r="B3001" s="115">
        <v>23.117000000000001</v>
      </c>
      <c r="C3001" s="1">
        <v>1170</v>
      </c>
      <c r="D3001" s="1" t="s">
        <v>2673</v>
      </c>
      <c r="E3001" s="1">
        <v>23</v>
      </c>
    </row>
    <row r="3002" spans="1:5" hidden="1" x14ac:dyDescent="0.25">
      <c r="A3002" s="115">
        <v>23.218</v>
      </c>
      <c r="B3002" s="115">
        <v>23.117999999999999</v>
      </c>
      <c r="C3002" s="1">
        <v>1180</v>
      </c>
      <c r="D3002" s="1" t="s">
        <v>2674</v>
      </c>
      <c r="E3002" s="1">
        <v>23</v>
      </c>
    </row>
    <row r="3003" spans="1:5" hidden="1" x14ac:dyDescent="0.25">
      <c r="A3003" s="115">
        <v>23.219000000000001</v>
      </c>
      <c r="B3003" s="115">
        <v>23.119</v>
      </c>
      <c r="C3003" s="1">
        <v>1190</v>
      </c>
      <c r="D3003" s="1" t="s">
        <v>2675</v>
      </c>
      <c r="E3003" s="1">
        <v>23</v>
      </c>
    </row>
    <row r="3004" spans="1:5" hidden="1" x14ac:dyDescent="0.25">
      <c r="A3004" s="115">
        <v>23.22</v>
      </c>
      <c r="B3004" s="115">
        <v>23.12</v>
      </c>
      <c r="C3004" s="1">
        <v>1200</v>
      </c>
      <c r="D3004" s="1" t="s">
        <v>2676</v>
      </c>
      <c r="E3004" s="1">
        <v>23</v>
      </c>
    </row>
    <row r="3005" spans="1:5" hidden="1" x14ac:dyDescent="0.25">
      <c r="A3005" s="115">
        <v>23.221</v>
      </c>
      <c r="B3005" s="115">
        <v>23.120999999999999</v>
      </c>
      <c r="C3005" s="1">
        <v>1210</v>
      </c>
      <c r="D3005" s="1" t="s">
        <v>2677</v>
      </c>
      <c r="E3005" s="1">
        <v>23</v>
      </c>
    </row>
    <row r="3006" spans="1:5" hidden="1" x14ac:dyDescent="0.25">
      <c r="A3006" s="115">
        <v>23.222000000000001</v>
      </c>
      <c r="B3006" s="115">
        <v>23.122</v>
      </c>
      <c r="C3006" s="1">
        <v>1220</v>
      </c>
      <c r="D3006" s="1" t="s">
        <v>2678</v>
      </c>
      <c r="E3006" s="1">
        <v>23</v>
      </c>
    </row>
    <row r="3007" spans="1:5" hidden="1" x14ac:dyDescent="0.25">
      <c r="A3007" s="115">
        <v>23.222999999999999</v>
      </c>
      <c r="B3007" s="115">
        <v>23.123000000000001</v>
      </c>
      <c r="C3007" s="1">
        <v>1230</v>
      </c>
      <c r="D3007" s="1" t="s">
        <v>2679</v>
      </c>
      <c r="E3007" s="1">
        <v>23</v>
      </c>
    </row>
    <row r="3008" spans="1:5" hidden="1" x14ac:dyDescent="0.25">
      <c r="A3008" s="115">
        <v>23.224</v>
      </c>
      <c r="B3008" s="115">
        <v>23.123999999999999</v>
      </c>
      <c r="C3008" s="1">
        <v>1240</v>
      </c>
      <c r="D3008" s="1" t="s">
        <v>2680</v>
      </c>
      <c r="E3008" s="1">
        <v>23</v>
      </c>
    </row>
    <row r="3009" spans="1:5" hidden="1" x14ac:dyDescent="0.25">
      <c r="A3009" s="115">
        <v>23.225000000000001</v>
      </c>
      <c r="B3009" s="115">
        <v>23.125</v>
      </c>
      <c r="C3009" s="1">
        <v>1250</v>
      </c>
      <c r="D3009" s="1" t="s">
        <v>2681</v>
      </c>
      <c r="E3009" s="1">
        <v>23</v>
      </c>
    </row>
    <row r="3010" spans="1:5" hidden="1" x14ac:dyDescent="0.25">
      <c r="A3010" s="115">
        <v>23.225999999999999</v>
      </c>
      <c r="B3010" s="115">
        <v>23.126000000000001</v>
      </c>
      <c r="C3010" s="1">
        <v>1260</v>
      </c>
      <c r="D3010" s="1" t="s">
        <v>2682</v>
      </c>
      <c r="E3010" s="1">
        <v>23</v>
      </c>
    </row>
    <row r="3011" spans="1:5" hidden="1" x14ac:dyDescent="0.25">
      <c r="A3011" s="115">
        <v>23.227</v>
      </c>
      <c r="B3011" s="115">
        <v>23.126999999999999</v>
      </c>
      <c r="C3011" s="1">
        <v>1270</v>
      </c>
      <c r="D3011" s="1" t="s">
        <v>2683</v>
      </c>
      <c r="E3011" s="1">
        <v>23</v>
      </c>
    </row>
    <row r="3012" spans="1:5" hidden="1" x14ac:dyDescent="0.25">
      <c r="A3012" s="115">
        <v>23.228000000000002</v>
      </c>
      <c r="B3012" s="115">
        <v>23.128</v>
      </c>
      <c r="C3012" s="1">
        <v>1280</v>
      </c>
      <c r="D3012" s="1" t="s">
        <v>2684</v>
      </c>
      <c r="E3012" s="1">
        <v>23</v>
      </c>
    </row>
    <row r="3013" spans="1:5" hidden="1" x14ac:dyDescent="0.25">
      <c r="A3013" s="115">
        <v>23.228999999999999</v>
      </c>
      <c r="B3013" s="115">
        <v>23.13</v>
      </c>
      <c r="C3013" s="1">
        <v>1300</v>
      </c>
      <c r="D3013" s="1" t="s">
        <v>2685</v>
      </c>
      <c r="E3013" s="1">
        <v>23</v>
      </c>
    </row>
    <row r="3014" spans="1:5" hidden="1" x14ac:dyDescent="0.25">
      <c r="A3014" s="115">
        <v>23.23</v>
      </c>
      <c r="B3014" s="115">
        <v>23.131</v>
      </c>
      <c r="C3014" s="1">
        <v>1310</v>
      </c>
      <c r="D3014" s="1" t="s">
        <v>2686</v>
      </c>
      <c r="E3014" s="1">
        <v>23</v>
      </c>
    </row>
    <row r="3015" spans="1:5" hidden="1" x14ac:dyDescent="0.25">
      <c r="A3015" s="115">
        <v>23.231000000000002</v>
      </c>
      <c r="B3015" s="115">
        <v>23.132000000000001</v>
      </c>
      <c r="C3015" s="1">
        <v>1320</v>
      </c>
      <c r="D3015" s="1" t="s">
        <v>2687</v>
      </c>
      <c r="E3015" s="1">
        <v>23</v>
      </c>
    </row>
    <row r="3016" spans="1:5" hidden="1" x14ac:dyDescent="0.25">
      <c r="A3016" s="115">
        <v>24.100999999999999</v>
      </c>
      <c r="B3016" s="115">
        <v>24.1</v>
      </c>
      <c r="C3016" s="1">
        <v>10</v>
      </c>
      <c r="D3016" s="1" t="s">
        <v>2559</v>
      </c>
      <c r="E3016" s="1">
        <v>24</v>
      </c>
    </row>
    <row r="3017" spans="1:5" hidden="1" x14ac:dyDescent="0.25">
      <c r="A3017" s="115">
        <v>24.102</v>
      </c>
      <c r="B3017" s="115">
        <v>24.2</v>
      </c>
      <c r="C3017" s="1">
        <v>20</v>
      </c>
      <c r="D3017" s="1" t="s">
        <v>2560</v>
      </c>
      <c r="E3017" s="1">
        <v>24</v>
      </c>
    </row>
    <row r="3018" spans="1:5" hidden="1" x14ac:dyDescent="0.25">
      <c r="A3018" s="115">
        <v>24.103000000000002</v>
      </c>
      <c r="B3018" s="115">
        <v>24.3</v>
      </c>
      <c r="C3018" s="1">
        <v>30</v>
      </c>
      <c r="D3018" s="1" t="s">
        <v>2561</v>
      </c>
      <c r="E3018" s="1">
        <v>24</v>
      </c>
    </row>
    <row r="3019" spans="1:5" hidden="1" x14ac:dyDescent="0.25">
      <c r="A3019" s="115">
        <v>24.103999999999999</v>
      </c>
      <c r="B3019" s="115">
        <v>24.4</v>
      </c>
      <c r="C3019" s="1">
        <v>40</v>
      </c>
      <c r="D3019" s="1" t="s">
        <v>2562</v>
      </c>
      <c r="E3019" s="1">
        <v>24</v>
      </c>
    </row>
    <row r="3020" spans="1:5" hidden="1" x14ac:dyDescent="0.25">
      <c r="A3020" s="115">
        <v>24.105</v>
      </c>
      <c r="B3020" s="115">
        <v>24.5</v>
      </c>
      <c r="C3020" s="1">
        <v>50</v>
      </c>
      <c r="D3020" s="1" t="s">
        <v>2563</v>
      </c>
      <c r="E3020" s="1">
        <v>24</v>
      </c>
    </row>
    <row r="3021" spans="1:5" hidden="1" x14ac:dyDescent="0.25">
      <c r="A3021" s="115">
        <v>24.106000000000002</v>
      </c>
      <c r="B3021" s="115">
        <v>24.6</v>
      </c>
      <c r="C3021" s="1">
        <v>60</v>
      </c>
      <c r="D3021" s="1" t="s">
        <v>2564</v>
      </c>
      <c r="E3021" s="1">
        <v>24</v>
      </c>
    </row>
    <row r="3022" spans="1:5" hidden="1" x14ac:dyDescent="0.25">
      <c r="A3022" s="115">
        <v>24.106999999999999</v>
      </c>
      <c r="B3022" s="115">
        <v>24.7</v>
      </c>
      <c r="C3022" s="1">
        <v>70</v>
      </c>
      <c r="D3022" s="1" t="s">
        <v>2565</v>
      </c>
      <c r="E3022" s="1">
        <v>24</v>
      </c>
    </row>
    <row r="3023" spans="1:5" hidden="1" x14ac:dyDescent="0.25">
      <c r="A3023" s="115">
        <v>24.108000000000001</v>
      </c>
      <c r="B3023" s="115">
        <v>24.8</v>
      </c>
      <c r="C3023" s="1">
        <v>80</v>
      </c>
      <c r="D3023" s="1" t="s">
        <v>2566</v>
      </c>
      <c r="E3023" s="1">
        <v>24</v>
      </c>
    </row>
    <row r="3024" spans="1:5" hidden="1" x14ac:dyDescent="0.25">
      <c r="A3024" s="115">
        <v>24.109000000000002</v>
      </c>
      <c r="B3024" s="115">
        <v>24.9</v>
      </c>
      <c r="C3024" s="1">
        <v>90</v>
      </c>
      <c r="D3024" s="1" t="s">
        <v>2567</v>
      </c>
      <c r="E3024" s="1">
        <v>24</v>
      </c>
    </row>
    <row r="3025" spans="1:5" hidden="1" x14ac:dyDescent="0.25">
      <c r="A3025" s="115">
        <v>24.11</v>
      </c>
      <c r="B3025" s="115">
        <v>24.1</v>
      </c>
      <c r="C3025" s="1">
        <v>100</v>
      </c>
      <c r="D3025" s="1" t="s">
        <v>2568</v>
      </c>
      <c r="E3025" s="1">
        <v>24</v>
      </c>
    </row>
    <row r="3026" spans="1:5" hidden="1" x14ac:dyDescent="0.25">
      <c r="A3026" s="115">
        <v>24.111000000000001</v>
      </c>
      <c r="B3026" s="115">
        <v>24.11</v>
      </c>
      <c r="C3026" s="1">
        <v>110</v>
      </c>
      <c r="D3026" s="1" t="s">
        <v>2569</v>
      </c>
      <c r="E3026" s="1">
        <v>24</v>
      </c>
    </row>
    <row r="3027" spans="1:5" hidden="1" x14ac:dyDescent="0.25">
      <c r="A3027" s="115">
        <v>24.111999999999998</v>
      </c>
      <c r="B3027" s="115">
        <v>24.12</v>
      </c>
      <c r="C3027" s="1">
        <v>120</v>
      </c>
      <c r="D3027" s="1" t="s">
        <v>2570</v>
      </c>
      <c r="E3027" s="1">
        <v>24</v>
      </c>
    </row>
    <row r="3028" spans="1:5" hidden="1" x14ac:dyDescent="0.25">
      <c r="A3028" s="115">
        <v>24.113</v>
      </c>
      <c r="B3028" s="115">
        <v>24.13</v>
      </c>
      <c r="C3028" s="1">
        <v>130</v>
      </c>
      <c r="D3028" s="1" t="s">
        <v>2571</v>
      </c>
      <c r="E3028" s="1">
        <v>24</v>
      </c>
    </row>
    <row r="3029" spans="1:5" hidden="1" x14ac:dyDescent="0.25">
      <c r="A3029" s="115">
        <v>24.114000000000001</v>
      </c>
      <c r="B3029" s="115">
        <v>24.14</v>
      </c>
      <c r="C3029" s="1">
        <v>140</v>
      </c>
      <c r="D3029" s="1" t="s">
        <v>2572</v>
      </c>
      <c r="E3029" s="1">
        <v>24</v>
      </c>
    </row>
    <row r="3030" spans="1:5" hidden="1" x14ac:dyDescent="0.25">
      <c r="A3030" s="115">
        <v>24.114999999999998</v>
      </c>
      <c r="B3030" s="115">
        <v>24.15</v>
      </c>
      <c r="C3030" s="1">
        <v>150</v>
      </c>
      <c r="D3030" s="1" t="s">
        <v>2573</v>
      </c>
      <c r="E3030" s="1">
        <v>24</v>
      </c>
    </row>
    <row r="3031" spans="1:5" hidden="1" x14ac:dyDescent="0.25">
      <c r="A3031" s="115">
        <v>24.116</v>
      </c>
      <c r="B3031" s="115">
        <v>24.16</v>
      </c>
      <c r="C3031" s="1">
        <v>160</v>
      </c>
      <c r="D3031" s="1" t="s">
        <v>2574</v>
      </c>
      <c r="E3031" s="1">
        <v>24</v>
      </c>
    </row>
    <row r="3032" spans="1:5" hidden="1" x14ac:dyDescent="0.25">
      <c r="A3032" s="115">
        <v>24.117000000000001</v>
      </c>
      <c r="B3032" s="115">
        <v>24.17</v>
      </c>
      <c r="C3032" s="1">
        <v>170</v>
      </c>
      <c r="D3032" s="1" t="s">
        <v>2575</v>
      </c>
      <c r="E3032" s="1">
        <v>24</v>
      </c>
    </row>
    <row r="3033" spans="1:5" hidden="1" x14ac:dyDescent="0.25">
      <c r="A3033" s="115">
        <v>24.117999999999999</v>
      </c>
      <c r="B3033" s="115">
        <v>24.18</v>
      </c>
      <c r="C3033" s="1">
        <v>180</v>
      </c>
      <c r="D3033" s="1" t="s">
        <v>2576</v>
      </c>
      <c r="E3033" s="1">
        <v>24</v>
      </c>
    </row>
    <row r="3034" spans="1:5" hidden="1" x14ac:dyDescent="0.25">
      <c r="A3034" s="115">
        <v>24.119</v>
      </c>
      <c r="B3034" s="115">
        <v>24.19</v>
      </c>
      <c r="C3034" s="1">
        <v>190</v>
      </c>
      <c r="D3034" s="1" t="s">
        <v>2577</v>
      </c>
      <c r="E3034" s="1">
        <v>24</v>
      </c>
    </row>
    <row r="3035" spans="1:5" hidden="1" x14ac:dyDescent="0.25">
      <c r="A3035" s="115">
        <v>24.12</v>
      </c>
      <c r="B3035" s="115">
        <v>24.2</v>
      </c>
      <c r="C3035" s="1">
        <v>200</v>
      </c>
      <c r="D3035" s="1" t="s">
        <v>2578</v>
      </c>
      <c r="E3035" s="1">
        <v>24</v>
      </c>
    </row>
    <row r="3036" spans="1:5" hidden="1" x14ac:dyDescent="0.25">
      <c r="A3036" s="115">
        <v>24.120999999999999</v>
      </c>
      <c r="B3036" s="115">
        <v>24.21</v>
      </c>
      <c r="C3036" s="1">
        <v>210</v>
      </c>
      <c r="D3036" s="1" t="s">
        <v>2579</v>
      </c>
      <c r="E3036" s="1">
        <v>24</v>
      </c>
    </row>
    <row r="3037" spans="1:5" hidden="1" x14ac:dyDescent="0.25">
      <c r="A3037" s="115">
        <v>24.122</v>
      </c>
      <c r="B3037" s="115">
        <v>24.22</v>
      </c>
      <c r="C3037" s="1">
        <v>220</v>
      </c>
      <c r="D3037" s="1" t="s">
        <v>2580</v>
      </c>
      <c r="E3037" s="1">
        <v>24</v>
      </c>
    </row>
    <row r="3038" spans="1:5" hidden="1" x14ac:dyDescent="0.25">
      <c r="A3038" s="115">
        <v>24.123000000000001</v>
      </c>
      <c r="B3038" s="115">
        <v>24.23</v>
      </c>
      <c r="C3038" s="1">
        <v>230</v>
      </c>
      <c r="D3038" s="1" t="s">
        <v>2581</v>
      </c>
      <c r="E3038" s="1">
        <v>24</v>
      </c>
    </row>
    <row r="3039" spans="1:5" hidden="1" x14ac:dyDescent="0.25">
      <c r="A3039" s="115">
        <v>24.123999999999999</v>
      </c>
      <c r="B3039" s="115">
        <v>24.24</v>
      </c>
      <c r="C3039" s="1">
        <v>240</v>
      </c>
      <c r="D3039" s="1" t="s">
        <v>2582</v>
      </c>
      <c r="E3039" s="1">
        <v>24</v>
      </c>
    </row>
    <row r="3040" spans="1:5" hidden="1" x14ac:dyDescent="0.25">
      <c r="A3040" s="115">
        <v>24.125</v>
      </c>
      <c r="B3040" s="115">
        <v>24.25</v>
      </c>
      <c r="C3040" s="1">
        <v>250</v>
      </c>
      <c r="D3040" s="1" t="s">
        <v>2583</v>
      </c>
      <c r="E3040" s="1">
        <v>24</v>
      </c>
    </row>
    <row r="3041" spans="1:5" hidden="1" x14ac:dyDescent="0.25">
      <c r="A3041" s="115">
        <v>24.126000000000001</v>
      </c>
      <c r="B3041" s="115">
        <v>24.26</v>
      </c>
      <c r="C3041" s="1">
        <v>260</v>
      </c>
      <c r="D3041" s="1" t="s">
        <v>2584</v>
      </c>
      <c r="E3041" s="1">
        <v>24</v>
      </c>
    </row>
    <row r="3042" spans="1:5" hidden="1" x14ac:dyDescent="0.25">
      <c r="A3042" s="115">
        <v>24.126999999999999</v>
      </c>
      <c r="B3042" s="115">
        <v>24.27</v>
      </c>
      <c r="C3042" s="1">
        <v>270</v>
      </c>
      <c r="D3042" s="1" t="s">
        <v>2585</v>
      </c>
      <c r="E3042" s="1">
        <v>24</v>
      </c>
    </row>
    <row r="3043" spans="1:5" hidden="1" x14ac:dyDescent="0.25">
      <c r="A3043" s="115">
        <v>24.128</v>
      </c>
      <c r="B3043" s="115">
        <v>24.28</v>
      </c>
      <c r="C3043" s="1">
        <v>280</v>
      </c>
      <c r="D3043" s="1" t="s">
        <v>2586</v>
      </c>
      <c r="E3043" s="1">
        <v>24</v>
      </c>
    </row>
    <row r="3044" spans="1:5" hidden="1" x14ac:dyDescent="0.25">
      <c r="A3044" s="115">
        <v>24.129000000000001</v>
      </c>
      <c r="B3044" s="115">
        <v>24.29</v>
      </c>
      <c r="C3044" s="1">
        <v>290</v>
      </c>
      <c r="D3044" s="1" t="s">
        <v>2587</v>
      </c>
      <c r="E3044" s="1">
        <v>24</v>
      </c>
    </row>
    <row r="3045" spans="1:5" hidden="1" x14ac:dyDescent="0.25">
      <c r="A3045" s="115">
        <v>24.13</v>
      </c>
      <c r="B3045" s="115">
        <v>24.3</v>
      </c>
      <c r="C3045" s="1">
        <v>300</v>
      </c>
      <c r="D3045" s="1" t="s">
        <v>2588</v>
      </c>
      <c r="E3045" s="1">
        <v>24</v>
      </c>
    </row>
    <row r="3046" spans="1:5" hidden="1" x14ac:dyDescent="0.25">
      <c r="A3046" s="115">
        <v>24.131</v>
      </c>
      <c r="B3046" s="115">
        <v>24.31</v>
      </c>
      <c r="C3046" s="1">
        <v>310</v>
      </c>
      <c r="D3046" s="1" t="s">
        <v>2589</v>
      </c>
      <c r="E3046" s="1">
        <v>24</v>
      </c>
    </row>
    <row r="3047" spans="1:5" hidden="1" x14ac:dyDescent="0.25">
      <c r="A3047" s="115">
        <v>24.132000000000001</v>
      </c>
      <c r="B3047" s="115">
        <v>24.32</v>
      </c>
      <c r="C3047" s="1">
        <v>320</v>
      </c>
      <c r="D3047" s="1" t="s">
        <v>2590</v>
      </c>
      <c r="E3047" s="1">
        <v>24</v>
      </c>
    </row>
    <row r="3048" spans="1:5" hidden="1" x14ac:dyDescent="0.25">
      <c r="A3048" s="115">
        <v>24.132999999999999</v>
      </c>
      <c r="B3048" s="115">
        <v>24.33</v>
      </c>
      <c r="C3048" s="1">
        <v>330</v>
      </c>
      <c r="D3048" s="1" t="s">
        <v>2591</v>
      </c>
      <c r="E3048" s="1">
        <v>24</v>
      </c>
    </row>
    <row r="3049" spans="1:5" hidden="1" x14ac:dyDescent="0.25">
      <c r="A3049" s="115">
        <v>24.134</v>
      </c>
      <c r="B3049" s="115">
        <v>24.34</v>
      </c>
      <c r="C3049" s="1">
        <v>340</v>
      </c>
      <c r="D3049" s="1" t="s">
        <v>2592</v>
      </c>
      <c r="E3049" s="1">
        <v>24</v>
      </c>
    </row>
    <row r="3050" spans="1:5" hidden="1" x14ac:dyDescent="0.25">
      <c r="A3050" s="115">
        <v>24.135000000000002</v>
      </c>
      <c r="B3050" s="115">
        <v>24.35</v>
      </c>
      <c r="C3050" s="1">
        <v>350</v>
      </c>
      <c r="D3050" s="1" t="s">
        <v>2593</v>
      </c>
      <c r="E3050" s="1">
        <v>24</v>
      </c>
    </row>
    <row r="3051" spans="1:5" hidden="1" x14ac:dyDescent="0.25">
      <c r="A3051" s="115">
        <v>24.135999999999999</v>
      </c>
      <c r="B3051" s="115">
        <v>24.36</v>
      </c>
      <c r="C3051" s="1">
        <v>360</v>
      </c>
      <c r="D3051" s="1" t="s">
        <v>2594</v>
      </c>
      <c r="E3051" s="1">
        <v>24</v>
      </c>
    </row>
    <row r="3052" spans="1:5" hidden="1" x14ac:dyDescent="0.25">
      <c r="A3052" s="115">
        <v>24.137</v>
      </c>
      <c r="B3052" s="115">
        <v>24.37</v>
      </c>
      <c r="C3052" s="1">
        <v>370</v>
      </c>
      <c r="D3052" s="1" t="s">
        <v>2595</v>
      </c>
      <c r="E3052" s="1">
        <v>24</v>
      </c>
    </row>
    <row r="3053" spans="1:5" hidden="1" x14ac:dyDescent="0.25">
      <c r="A3053" s="115">
        <v>24.138000000000002</v>
      </c>
      <c r="B3053" s="115">
        <v>24.38</v>
      </c>
      <c r="C3053" s="1">
        <v>380</v>
      </c>
      <c r="D3053" s="1" t="s">
        <v>2596</v>
      </c>
      <c r="E3053" s="1">
        <v>24</v>
      </c>
    </row>
    <row r="3054" spans="1:5" hidden="1" x14ac:dyDescent="0.25">
      <c r="A3054" s="115">
        <v>24.138999999999999</v>
      </c>
      <c r="B3054" s="115">
        <v>24.39</v>
      </c>
      <c r="C3054" s="1">
        <v>390</v>
      </c>
      <c r="D3054" s="1" t="s">
        <v>2597</v>
      </c>
      <c r="E3054" s="1">
        <v>24</v>
      </c>
    </row>
    <row r="3055" spans="1:5" hidden="1" x14ac:dyDescent="0.25">
      <c r="A3055" s="115">
        <v>24.14</v>
      </c>
      <c r="B3055" s="115">
        <v>24.4</v>
      </c>
      <c r="C3055" s="1">
        <v>400</v>
      </c>
      <c r="D3055" s="1" t="s">
        <v>2598</v>
      </c>
      <c r="E3055" s="1">
        <v>24</v>
      </c>
    </row>
    <row r="3056" spans="1:5" hidden="1" x14ac:dyDescent="0.25">
      <c r="A3056" s="115">
        <v>24.140999999999998</v>
      </c>
      <c r="B3056" s="115">
        <v>24.41</v>
      </c>
      <c r="C3056" s="1">
        <v>410</v>
      </c>
      <c r="D3056" s="1" t="s">
        <v>2599</v>
      </c>
      <c r="E3056" s="1">
        <v>24</v>
      </c>
    </row>
    <row r="3057" spans="1:5" hidden="1" x14ac:dyDescent="0.25">
      <c r="A3057" s="115">
        <v>24.141999999999999</v>
      </c>
      <c r="B3057" s="115">
        <v>24.42</v>
      </c>
      <c r="C3057" s="1">
        <v>420</v>
      </c>
      <c r="D3057" s="1" t="s">
        <v>2600</v>
      </c>
      <c r="E3057" s="1">
        <v>24</v>
      </c>
    </row>
    <row r="3058" spans="1:5" hidden="1" x14ac:dyDescent="0.25">
      <c r="A3058" s="115">
        <v>24.143000000000001</v>
      </c>
      <c r="B3058" s="115">
        <v>24.43</v>
      </c>
      <c r="C3058" s="1">
        <v>430</v>
      </c>
      <c r="D3058" s="1" t="s">
        <v>2601</v>
      </c>
      <c r="E3058" s="1">
        <v>24</v>
      </c>
    </row>
    <row r="3059" spans="1:5" hidden="1" x14ac:dyDescent="0.25">
      <c r="A3059" s="115">
        <v>24.143999999999998</v>
      </c>
      <c r="B3059" s="115">
        <v>24.44</v>
      </c>
      <c r="C3059" s="1">
        <v>440</v>
      </c>
      <c r="D3059" s="1" t="s">
        <v>2602</v>
      </c>
      <c r="E3059" s="1">
        <v>24</v>
      </c>
    </row>
    <row r="3060" spans="1:5" hidden="1" x14ac:dyDescent="0.25">
      <c r="A3060" s="115">
        <v>24.145</v>
      </c>
      <c r="B3060" s="115">
        <v>24.445</v>
      </c>
      <c r="C3060" s="1">
        <v>445</v>
      </c>
      <c r="D3060" s="1" t="s">
        <v>2603</v>
      </c>
      <c r="E3060" s="1">
        <v>24</v>
      </c>
    </row>
    <row r="3061" spans="1:5" hidden="1" x14ac:dyDescent="0.25">
      <c r="A3061" s="115">
        <v>24.146000000000001</v>
      </c>
      <c r="B3061" s="115">
        <v>24.45</v>
      </c>
      <c r="C3061" s="1">
        <v>450</v>
      </c>
      <c r="D3061" s="1" t="s">
        <v>2604</v>
      </c>
      <c r="E3061" s="1">
        <v>24</v>
      </c>
    </row>
    <row r="3062" spans="1:5" hidden="1" x14ac:dyDescent="0.25">
      <c r="A3062" s="115">
        <v>24.146999999999998</v>
      </c>
      <c r="B3062" s="115">
        <v>24.46</v>
      </c>
      <c r="C3062" s="1">
        <v>460</v>
      </c>
      <c r="D3062" s="1" t="s">
        <v>2605</v>
      </c>
      <c r="E3062" s="1">
        <v>24</v>
      </c>
    </row>
    <row r="3063" spans="1:5" hidden="1" x14ac:dyDescent="0.25">
      <c r="A3063" s="115">
        <v>24.148</v>
      </c>
      <c r="B3063" s="115">
        <v>24.47</v>
      </c>
      <c r="C3063" s="1">
        <v>470</v>
      </c>
      <c r="D3063" s="1" t="s">
        <v>2606</v>
      </c>
      <c r="E3063" s="1">
        <v>24</v>
      </c>
    </row>
    <row r="3064" spans="1:5" hidden="1" x14ac:dyDescent="0.25">
      <c r="A3064" s="115">
        <v>24.149000000000001</v>
      </c>
      <c r="B3064" s="115">
        <v>24.48</v>
      </c>
      <c r="C3064" s="1">
        <v>480</v>
      </c>
      <c r="D3064" s="1" t="s">
        <v>2607</v>
      </c>
      <c r="E3064" s="1">
        <v>24</v>
      </c>
    </row>
    <row r="3065" spans="1:5" hidden="1" x14ac:dyDescent="0.25">
      <c r="A3065" s="115">
        <v>24.15</v>
      </c>
      <c r="B3065" s="115">
        <v>24.49</v>
      </c>
      <c r="C3065" s="1">
        <v>490</v>
      </c>
      <c r="D3065" s="1" t="s">
        <v>2608</v>
      </c>
      <c r="E3065" s="1">
        <v>24</v>
      </c>
    </row>
    <row r="3066" spans="1:5" hidden="1" x14ac:dyDescent="0.25">
      <c r="A3066" s="115">
        <v>24.151</v>
      </c>
      <c r="B3066" s="115">
        <v>24.5</v>
      </c>
      <c r="C3066" s="1">
        <v>500</v>
      </c>
      <c r="D3066" s="1" t="s">
        <v>2609</v>
      </c>
      <c r="E3066" s="1">
        <v>24</v>
      </c>
    </row>
    <row r="3067" spans="1:5" hidden="1" x14ac:dyDescent="0.25">
      <c r="A3067" s="115">
        <v>24.152000000000001</v>
      </c>
      <c r="B3067" s="115">
        <v>24.51</v>
      </c>
      <c r="C3067" s="1">
        <v>510</v>
      </c>
      <c r="D3067" s="1" t="s">
        <v>2610</v>
      </c>
      <c r="E3067" s="1">
        <v>24</v>
      </c>
    </row>
    <row r="3068" spans="1:5" hidden="1" x14ac:dyDescent="0.25">
      <c r="A3068" s="115">
        <v>24.152999999999999</v>
      </c>
      <c r="B3068" s="115">
        <v>24.52</v>
      </c>
      <c r="C3068" s="1">
        <v>520</v>
      </c>
      <c r="D3068" s="1" t="s">
        <v>2611</v>
      </c>
      <c r="E3068" s="1">
        <v>24</v>
      </c>
    </row>
    <row r="3069" spans="1:5" hidden="1" x14ac:dyDescent="0.25">
      <c r="A3069" s="115">
        <v>24.154</v>
      </c>
      <c r="B3069" s="115">
        <v>24.53</v>
      </c>
      <c r="C3069" s="1">
        <v>530</v>
      </c>
      <c r="D3069" s="1" t="s">
        <v>2612</v>
      </c>
      <c r="E3069" s="1">
        <v>24</v>
      </c>
    </row>
    <row r="3070" spans="1:5" hidden="1" x14ac:dyDescent="0.25">
      <c r="A3070" s="115">
        <v>24.155000000000001</v>
      </c>
      <c r="B3070" s="115">
        <v>24.54</v>
      </c>
      <c r="C3070" s="1">
        <v>540</v>
      </c>
      <c r="D3070" s="1" t="s">
        <v>2613</v>
      </c>
      <c r="E3070" s="1">
        <v>24</v>
      </c>
    </row>
    <row r="3071" spans="1:5" hidden="1" x14ac:dyDescent="0.25">
      <c r="A3071" s="115">
        <v>24.155999999999999</v>
      </c>
      <c r="B3071" s="115">
        <v>24.55</v>
      </c>
      <c r="C3071" s="1">
        <v>550</v>
      </c>
      <c r="D3071" s="1" t="s">
        <v>2614</v>
      </c>
      <c r="E3071" s="1">
        <v>24</v>
      </c>
    </row>
    <row r="3072" spans="1:5" hidden="1" x14ac:dyDescent="0.25">
      <c r="A3072" s="115">
        <v>24.157</v>
      </c>
      <c r="B3072" s="115">
        <v>24.56</v>
      </c>
      <c r="C3072" s="1">
        <v>560</v>
      </c>
      <c r="D3072" s="1" t="s">
        <v>2615</v>
      </c>
      <c r="E3072" s="1">
        <v>24</v>
      </c>
    </row>
    <row r="3073" spans="1:5" hidden="1" x14ac:dyDescent="0.25">
      <c r="A3073" s="115">
        <v>24.158000000000001</v>
      </c>
      <c r="B3073" s="115">
        <v>24.57</v>
      </c>
      <c r="C3073" s="1">
        <v>570</v>
      </c>
      <c r="D3073" s="1" t="s">
        <v>2616</v>
      </c>
      <c r="E3073" s="1">
        <v>24</v>
      </c>
    </row>
    <row r="3074" spans="1:5" hidden="1" x14ac:dyDescent="0.25">
      <c r="A3074" s="115">
        <v>24.158999999999999</v>
      </c>
      <c r="B3074" s="115">
        <v>24.574999999999999</v>
      </c>
      <c r="C3074" s="1">
        <v>575</v>
      </c>
      <c r="D3074" s="1" t="s">
        <v>2617</v>
      </c>
      <c r="E3074" s="1">
        <v>24</v>
      </c>
    </row>
    <row r="3075" spans="1:5" hidden="1" x14ac:dyDescent="0.25">
      <c r="A3075" s="115">
        <v>24.16</v>
      </c>
      <c r="B3075" s="115">
        <v>24.576000000000001</v>
      </c>
      <c r="C3075" s="1">
        <v>576</v>
      </c>
      <c r="D3075" s="1" t="s">
        <v>2618</v>
      </c>
      <c r="E3075" s="1">
        <v>24</v>
      </c>
    </row>
    <row r="3076" spans="1:5" hidden="1" x14ac:dyDescent="0.25">
      <c r="A3076" s="115">
        <v>24.161000000000001</v>
      </c>
      <c r="B3076" s="115">
        <v>24.58</v>
      </c>
      <c r="C3076" s="1">
        <v>580</v>
      </c>
      <c r="D3076" s="1" t="s">
        <v>2619</v>
      </c>
      <c r="E3076" s="1">
        <v>24</v>
      </c>
    </row>
    <row r="3077" spans="1:5" hidden="1" x14ac:dyDescent="0.25">
      <c r="A3077" s="115">
        <v>24.161999999999999</v>
      </c>
      <c r="B3077" s="115">
        <v>24.59</v>
      </c>
      <c r="C3077" s="1">
        <v>590</v>
      </c>
      <c r="D3077" s="1" t="s">
        <v>1099</v>
      </c>
      <c r="E3077" s="1">
        <v>24</v>
      </c>
    </row>
    <row r="3078" spans="1:5" hidden="1" x14ac:dyDescent="0.25">
      <c r="A3078" s="115">
        <v>24.163</v>
      </c>
      <c r="B3078" s="115">
        <v>24.6</v>
      </c>
      <c r="C3078" s="1">
        <v>600</v>
      </c>
      <c r="D3078" s="1" t="s">
        <v>2620</v>
      </c>
      <c r="E3078" s="1">
        <v>24</v>
      </c>
    </row>
    <row r="3079" spans="1:5" hidden="1" x14ac:dyDescent="0.25">
      <c r="A3079" s="115">
        <v>24.164000000000001</v>
      </c>
      <c r="B3079" s="115">
        <v>24.61</v>
      </c>
      <c r="C3079" s="1">
        <v>610</v>
      </c>
      <c r="D3079" s="1" t="s">
        <v>2621</v>
      </c>
      <c r="E3079" s="1">
        <v>24</v>
      </c>
    </row>
    <row r="3080" spans="1:5" hidden="1" x14ac:dyDescent="0.25">
      <c r="A3080" s="115">
        <v>24.164999999999999</v>
      </c>
      <c r="B3080" s="115">
        <v>24.62</v>
      </c>
      <c r="C3080" s="1">
        <v>620</v>
      </c>
      <c r="D3080" s="1" t="s">
        <v>2622</v>
      </c>
      <c r="E3080" s="1">
        <v>24</v>
      </c>
    </row>
    <row r="3081" spans="1:5" hidden="1" x14ac:dyDescent="0.25">
      <c r="A3081" s="115">
        <v>24.166</v>
      </c>
      <c r="B3081" s="115">
        <v>24.63</v>
      </c>
      <c r="C3081" s="1">
        <v>630</v>
      </c>
      <c r="D3081" s="1" t="s">
        <v>2623</v>
      </c>
      <c r="E3081" s="1">
        <v>24</v>
      </c>
    </row>
    <row r="3082" spans="1:5" hidden="1" x14ac:dyDescent="0.25">
      <c r="A3082" s="115">
        <v>24.167000000000002</v>
      </c>
      <c r="B3082" s="115">
        <v>24.64</v>
      </c>
      <c r="C3082" s="1">
        <v>640</v>
      </c>
      <c r="D3082" s="1" t="s">
        <v>2624</v>
      </c>
      <c r="E3082" s="1">
        <v>24</v>
      </c>
    </row>
    <row r="3083" spans="1:5" hidden="1" x14ac:dyDescent="0.25">
      <c r="A3083" s="115">
        <v>24.167999999999999</v>
      </c>
      <c r="B3083" s="115">
        <v>24.65</v>
      </c>
      <c r="C3083" s="1">
        <v>650</v>
      </c>
      <c r="D3083" s="1" t="s">
        <v>2625</v>
      </c>
      <c r="E3083" s="1">
        <v>24</v>
      </c>
    </row>
    <row r="3084" spans="1:5" hidden="1" x14ac:dyDescent="0.25">
      <c r="A3084" s="115">
        <v>24.169</v>
      </c>
      <c r="B3084" s="115">
        <v>24.66</v>
      </c>
      <c r="C3084" s="1">
        <v>660</v>
      </c>
      <c r="D3084" s="1" t="s">
        <v>2626</v>
      </c>
      <c r="E3084" s="1">
        <v>24</v>
      </c>
    </row>
    <row r="3085" spans="1:5" hidden="1" x14ac:dyDescent="0.25">
      <c r="A3085" s="115">
        <v>24.17</v>
      </c>
      <c r="B3085" s="115">
        <v>24.67</v>
      </c>
      <c r="C3085" s="1">
        <v>670</v>
      </c>
      <c r="D3085" s="1" t="s">
        <v>2627</v>
      </c>
      <c r="E3085" s="1">
        <v>24</v>
      </c>
    </row>
    <row r="3086" spans="1:5" hidden="1" x14ac:dyDescent="0.25">
      <c r="A3086" s="115">
        <v>24.170999999999999</v>
      </c>
      <c r="B3086" s="115">
        <v>24.68</v>
      </c>
      <c r="C3086" s="1">
        <v>680</v>
      </c>
      <c r="D3086" s="1" t="s">
        <v>2628</v>
      </c>
      <c r="E3086" s="1">
        <v>24</v>
      </c>
    </row>
    <row r="3087" spans="1:5" hidden="1" x14ac:dyDescent="0.25">
      <c r="A3087" s="115">
        <v>24.172000000000001</v>
      </c>
      <c r="B3087" s="115">
        <v>24.69</v>
      </c>
      <c r="C3087" s="1">
        <v>690</v>
      </c>
      <c r="D3087" s="1" t="s">
        <v>2629</v>
      </c>
      <c r="E3087" s="1">
        <v>24</v>
      </c>
    </row>
    <row r="3088" spans="1:5" hidden="1" x14ac:dyDescent="0.25">
      <c r="A3088" s="115">
        <v>24.172999999999998</v>
      </c>
      <c r="B3088" s="115">
        <v>24.7</v>
      </c>
      <c r="C3088" s="1">
        <v>700</v>
      </c>
      <c r="D3088" s="1" t="s">
        <v>2630</v>
      </c>
      <c r="E3088" s="1">
        <v>24</v>
      </c>
    </row>
    <row r="3089" spans="1:5" hidden="1" x14ac:dyDescent="0.25">
      <c r="A3089" s="115">
        <v>24.173999999999999</v>
      </c>
      <c r="B3089" s="115">
        <v>24.71</v>
      </c>
      <c r="C3089" s="1">
        <v>710</v>
      </c>
      <c r="D3089" s="1" t="s">
        <v>2631</v>
      </c>
      <c r="E3089" s="1">
        <v>24</v>
      </c>
    </row>
    <row r="3090" spans="1:5" hidden="1" x14ac:dyDescent="0.25">
      <c r="A3090" s="115">
        <v>24.175000000000001</v>
      </c>
      <c r="B3090" s="115">
        <v>24.72</v>
      </c>
      <c r="C3090" s="1">
        <v>720</v>
      </c>
      <c r="D3090" s="1" t="s">
        <v>2632</v>
      </c>
      <c r="E3090" s="1">
        <v>24</v>
      </c>
    </row>
    <row r="3091" spans="1:5" hidden="1" x14ac:dyDescent="0.25">
      <c r="A3091" s="115">
        <v>24.175999999999998</v>
      </c>
      <c r="B3091" s="115">
        <v>24.73</v>
      </c>
      <c r="C3091" s="1">
        <v>730</v>
      </c>
      <c r="D3091" s="1" t="s">
        <v>2633</v>
      </c>
      <c r="E3091" s="1">
        <v>24</v>
      </c>
    </row>
    <row r="3092" spans="1:5" hidden="1" x14ac:dyDescent="0.25">
      <c r="A3092" s="115">
        <v>24.177</v>
      </c>
      <c r="B3092" s="115">
        <v>24.74</v>
      </c>
      <c r="C3092" s="1">
        <v>740</v>
      </c>
      <c r="D3092" s="1" t="s">
        <v>2634</v>
      </c>
      <c r="E3092" s="1">
        <v>24</v>
      </c>
    </row>
    <row r="3093" spans="1:5" hidden="1" x14ac:dyDescent="0.25">
      <c r="A3093" s="115">
        <v>24.178000000000001</v>
      </c>
      <c r="B3093" s="115">
        <v>24.75</v>
      </c>
      <c r="C3093" s="1">
        <v>750</v>
      </c>
      <c r="D3093" s="1" t="s">
        <v>2635</v>
      </c>
      <c r="E3093" s="1">
        <v>24</v>
      </c>
    </row>
    <row r="3094" spans="1:5" hidden="1" x14ac:dyDescent="0.25">
      <c r="A3094" s="115">
        <v>24.178999999999998</v>
      </c>
      <c r="B3094" s="115">
        <v>24.754999999999999</v>
      </c>
      <c r="C3094" s="1">
        <v>755</v>
      </c>
      <c r="D3094" s="1" t="s">
        <v>1466</v>
      </c>
      <c r="E3094" s="1">
        <v>24</v>
      </c>
    </row>
    <row r="3095" spans="1:5" hidden="1" x14ac:dyDescent="0.25">
      <c r="A3095" s="115">
        <v>24.18</v>
      </c>
      <c r="B3095" s="115">
        <v>24.76</v>
      </c>
      <c r="C3095" s="1">
        <v>760</v>
      </c>
      <c r="D3095" s="1" t="s">
        <v>2636</v>
      </c>
      <c r="E3095" s="1">
        <v>24</v>
      </c>
    </row>
    <row r="3096" spans="1:5" hidden="1" x14ac:dyDescent="0.25">
      <c r="A3096" s="115">
        <v>24.181000000000001</v>
      </c>
      <c r="B3096" s="115">
        <v>24.77</v>
      </c>
      <c r="C3096" s="1">
        <v>770</v>
      </c>
      <c r="D3096" s="1" t="s">
        <v>2637</v>
      </c>
      <c r="E3096" s="1">
        <v>24</v>
      </c>
    </row>
    <row r="3097" spans="1:5" hidden="1" x14ac:dyDescent="0.25">
      <c r="A3097" s="115">
        <v>24.181999999999999</v>
      </c>
      <c r="B3097" s="115">
        <v>24.78</v>
      </c>
      <c r="C3097" s="1">
        <v>780</v>
      </c>
      <c r="D3097" s="1" t="s">
        <v>2638</v>
      </c>
      <c r="E3097" s="1">
        <v>24</v>
      </c>
    </row>
    <row r="3098" spans="1:5" hidden="1" x14ac:dyDescent="0.25">
      <c r="A3098" s="115">
        <v>24.183</v>
      </c>
      <c r="B3098" s="115">
        <v>24.79</v>
      </c>
      <c r="C3098" s="1">
        <v>790</v>
      </c>
      <c r="D3098" s="1" t="s">
        <v>2639</v>
      </c>
      <c r="E3098" s="1">
        <v>24</v>
      </c>
    </row>
    <row r="3099" spans="1:5" hidden="1" x14ac:dyDescent="0.25">
      <c r="A3099" s="115">
        <v>24.184000000000001</v>
      </c>
      <c r="B3099" s="115">
        <v>24.8</v>
      </c>
      <c r="C3099" s="1">
        <v>800</v>
      </c>
      <c r="D3099" s="1" t="s">
        <v>2640</v>
      </c>
      <c r="E3099" s="1">
        <v>24</v>
      </c>
    </row>
    <row r="3100" spans="1:5" hidden="1" x14ac:dyDescent="0.25">
      <c r="A3100" s="115">
        <v>24.184999999999999</v>
      </c>
      <c r="B3100" s="115">
        <v>24.805</v>
      </c>
      <c r="C3100" s="1">
        <v>805</v>
      </c>
      <c r="D3100" s="1" t="s">
        <v>2641</v>
      </c>
      <c r="E3100" s="1">
        <v>24</v>
      </c>
    </row>
    <row r="3101" spans="1:5" hidden="1" x14ac:dyDescent="0.25">
      <c r="A3101" s="115">
        <v>24.186</v>
      </c>
      <c r="B3101" s="115">
        <v>24.81</v>
      </c>
      <c r="C3101" s="1">
        <v>810</v>
      </c>
      <c r="D3101" s="1" t="s">
        <v>2642</v>
      </c>
      <c r="E3101" s="1">
        <v>24</v>
      </c>
    </row>
    <row r="3102" spans="1:5" hidden="1" x14ac:dyDescent="0.25">
      <c r="A3102" s="115">
        <v>24.187000000000001</v>
      </c>
      <c r="B3102" s="115">
        <v>24.82</v>
      </c>
      <c r="C3102" s="1">
        <v>820</v>
      </c>
      <c r="D3102" s="1" t="s">
        <v>2643</v>
      </c>
      <c r="E3102" s="1">
        <v>24</v>
      </c>
    </row>
    <row r="3103" spans="1:5" hidden="1" x14ac:dyDescent="0.25">
      <c r="A3103" s="115">
        <v>24.187999999999999</v>
      </c>
      <c r="B3103" s="115">
        <v>24.83</v>
      </c>
      <c r="C3103" s="1">
        <v>830</v>
      </c>
      <c r="D3103" s="1" t="s">
        <v>2644</v>
      </c>
      <c r="E3103" s="1">
        <v>24</v>
      </c>
    </row>
    <row r="3104" spans="1:5" hidden="1" x14ac:dyDescent="0.25">
      <c r="A3104" s="115">
        <v>24.189</v>
      </c>
      <c r="B3104" s="115">
        <v>24.84</v>
      </c>
      <c r="C3104" s="1">
        <v>840</v>
      </c>
      <c r="D3104" s="1" t="s">
        <v>2645</v>
      </c>
      <c r="E3104" s="1">
        <v>24</v>
      </c>
    </row>
    <row r="3105" spans="1:5" hidden="1" x14ac:dyDescent="0.25">
      <c r="A3105" s="115">
        <v>24.19</v>
      </c>
      <c r="B3105" s="115">
        <v>24.85</v>
      </c>
      <c r="C3105" s="1">
        <v>850</v>
      </c>
      <c r="D3105" s="1" t="s">
        <v>2646</v>
      </c>
      <c r="E3105" s="1">
        <v>24</v>
      </c>
    </row>
    <row r="3106" spans="1:5" hidden="1" x14ac:dyDescent="0.25">
      <c r="A3106" s="115">
        <v>24.190999999999999</v>
      </c>
      <c r="B3106" s="115">
        <v>24.86</v>
      </c>
      <c r="C3106" s="1">
        <v>860</v>
      </c>
      <c r="D3106" s="1" t="s">
        <v>2647</v>
      </c>
      <c r="E3106" s="1">
        <v>24</v>
      </c>
    </row>
    <row r="3107" spans="1:5" hidden="1" x14ac:dyDescent="0.25">
      <c r="A3107" s="115">
        <v>24.192</v>
      </c>
      <c r="B3107" s="115">
        <v>24.87</v>
      </c>
      <c r="C3107" s="1">
        <v>870</v>
      </c>
      <c r="D3107" s="1" t="s">
        <v>2648</v>
      </c>
      <c r="E3107" s="1">
        <v>24</v>
      </c>
    </row>
    <row r="3108" spans="1:5" hidden="1" x14ac:dyDescent="0.25">
      <c r="A3108" s="115">
        <v>24.193000000000001</v>
      </c>
      <c r="B3108" s="115">
        <v>24.88</v>
      </c>
      <c r="C3108" s="1">
        <v>880</v>
      </c>
      <c r="D3108" s="1" t="s">
        <v>2649</v>
      </c>
      <c r="E3108" s="1">
        <v>24</v>
      </c>
    </row>
    <row r="3109" spans="1:5" hidden="1" x14ac:dyDescent="0.25">
      <c r="A3109" s="115">
        <v>24.193999999999999</v>
      </c>
      <c r="B3109" s="115">
        <v>24.89</v>
      </c>
      <c r="C3109" s="1">
        <v>890</v>
      </c>
      <c r="D3109" s="1" t="s">
        <v>2650</v>
      </c>
      <c r="E3109" s="1">
        <v>24</v>
      </c>
    </row>
    <row r="3110" spans="1:5" hidden="1" x14ac:dyDescent="0.25">
      <c r="A3110" s="115">
        <v>24.195</v>
      </c>
      <c r="B3110" s="115">
        <v>24.895</v>
      </c>
      <c r="C3110" s="1">
        <v>895</v>
      </c>
      <c r="D3110" s="1" t="s">
        <v>2651</v>
      </c>
      <c r="E3110" s="1">
        <v>24</v>
      </c>
    </row>
    <row r="3111" spans="1:5" hidden="1" x14ac:dyDescent="0.25">
      <c r="A3111" s="115">
        <v>24.196000000000002</v>
      </c>
      <c r="B3111" s="115">
        <v>24.9</v>
      </c>
      <c r="C3111" s="1">
        <v>900</v>
      </c>
      <c r="D3111" s="1" t="s">
        <v>2652</v>
      </c>
      <c r="E3111" s="1">
        <v>24</v>
      </c>
    </row>
    <row r="3112" spans="1:5" hidden="1" x14ac:dyDescent="0.25">
      <c r="A3112" s="115">
        <v>24.196999999999999</v>
      </c>
      <c r="B3112" s="115">
        <v>24.91</v>
      </c>
      <c r="C3112" s="1">
        <v>910</v>
      </c>
      <c r="D3112" s="1" t="s">
        <v>2653</v>
      </c>
      <c r="E3112" s="1">
        <v>24</v>
      </c>
    </row>
    <row r="3113" spans="1:5" hidden="1" x14ac:dyDescent="0.25">
      <c r="A3113" s="115">
        <v>24.198</v>
      </c>
      <c r="B3113" s="115">
        <v>24.92</v>
      </c>
      <c r="C3113" s="1">
        <v>920</v>
      </c>
      <c r="D3113" s="1" t="s">
        <v>2654</v>
      </c>
      <c r="E3113" s="1">
        <v>24</v>
      </c>
    </row>
    <row r="3114" spans="1:5" hidden="1" x14ac:dyDescent="0.25">
      <c r="A3114" s="115">
        <v>24.199000000000002</v>
      </c>
      <c r="B3114" s="115">
        <v>24.925000000000001</v>
      </c>
      <c r="C3114" s="1">
        <v>925</v>
      </c>
      <c r="D3114" s="1" t="s">
        <v>2655</v>
      </c>
      <c r="E3114" s="1">
        <v>24</v>
      </c>
    </row>
    <row r="3115" spans="1:5" hidden="1" x14ac:dyDescent="0.25">
      <c r="A3115" s="115">
        <v>24.2</v>
      </c>
      <c r="B3115" s="115">
        <v>24.93</v>
      </c>
      <c r="C3115" s="1">
        <v>930</v>
      </c>
      <c r="D3115" s="1" t="s">
        <v>2656</v>
      </c>
      <c r="E3115" s="1">
        <v>24</v>
      </c>
    </row>
    <row r="3116" spans="1:5" hidden="1" x14ac:dyDescent="0.25">
      <c r="A3116" s="115">
        <v>24.201000000000001</v>
      </c>
      <c r="B3116" s="115">
        <v>24.934999999999999</v>
      </c>
      <c r="C3116" s="1">
        <v>935</v>
      </c>
      <c r="D3116" s="1" t="s">
        <v>2657</v>
      </c>
      <c r="E3116" s="1">
        <v>24</v>
      </c>
    </row>
    <row r="3117" spans="1:5" hidden="1" x14ac:dyDescent="0.25">
      <c r="A3117" s="115">
        <v>24.202000000000002</v>
      </c>
      <c r="B3117" s="115">
        <v>24.94</v>
      </c>
      <c r="C3117" s="1">
        <v>940</v>
      </c>
      <c r="D3117" s="1" t="s">
        <v>2658</v>
      </c>
      <c r="E3117" s="1">
        <v>24</v>
      </c>
    </row>
    <row r="3118" spans="1:5" hidden="1" x14ac:dyDescent="0.25">
      <c r="A3118" s="115">
        <v>24.202999999999999</v>
      </c>
      <c r="B3118" s="115">
        <v>24.95</v>
      </c>
      <c r="C3118" s="1">
        <v>950</v>
      </c>
      <c r="D3118" s="1" t="s">
        <v>2659</v>
      </c>
      <c r="E3118" s="1">
        <v>24</v>
      </c>
    </row>
    <row r="3119" spans="1:5" hidden="1" x14ac:dyDescent="0.25">
      <c r="A3119" s="115">
        <v>24.204000000000001</v>
      </c>
      <c r="B3119" s="115">
        <v>24.954999999999998</v>
      </c>
      <c r="C3119" s="1">
        <v>955</v>
      </c>
      <c r="D3119" s="1" t="s">
        <v>2660</v>
      </c>
      <c r="E3119" s="1">
        <v>24</v>
      </c>
    </row>
    <row r="3120" spans="1:5" hidden="1" x14ac:dyDescent="0.25">
      <c r="A3120" s="115">
        <v>24.204999999999998</v>
      </c>
      <c r="B3120" s="115">
        <v>24.96</v>
      </c>
      <c r="C3120" s="1">
        <v>960</v>
      </c>
      <c r="D3120" s="1" t="s">
        <v>2661</v>
      </c>
      <c r="E3120" s="1">
        <v>24</v>
      </c>
    </row>
    <row r="3121" spans="1:5" hidden="1" x14ac:dyDescent="0.25">
      <c r="A3121" s="115">
        <v>24.206</v>
      </c>
      <c r="B3121" s="115">
        <v>24.97</v>
      </c>
      <c r="C3121" s="1">
        <v>970</v>
      </c>
      <c r="D3121" s="1" t="s">
        <v>2662</v>
      </c>
      <c r="E3121" s="1">
        <v>24</v>
      </c>
    </row>
    <row r="3122" spans="1:5" hidden="1" x14ac:dyDescent="0.25">
      <c r="A3122" s="115">
        <v>24.207000000000001</v>
      </c>
      <c r="B3122" s="115">
        <v>24.98</v>
      </c>
      <c r="C3122" s="1">
        <v>980</v>
      </c>
      <c r="D3122" s="1" t="s">
        <v>2663</v>
      </c>
      <c r="E3122" s="1">
        <v>24</v>
      </c>
    </row>
    <row r="3123" spans="1:5" hidden="1" x14ac:dyDescent="0.25">
      <c r="A3123" s="115">
        <v>24.207999999999998</v>
      </c>
      <c r="B3123" s="115">
        <v>24.99</v>
      </c>
      <c r="C3123" s="1">
        <v>990</v>
      </c>
      <c r="D3123" s="1" t="s">
        <v>2664</v>
      </c>
      <c r="E3123" s="1">
        <v>24</v>
      </c>
    </row>
    <row r="3124" spans="1:5" hidden="1" x14ac:dyDescent="0.25">
      <c r="A3124" s="115">
        <v>24.209</v>
      </c>
      <c r="B3124" s="115">
        <v>24.1</v>
      </c>
      <c r="C3124" s="1">
        <v>1000</v>
      </c>
      <c r="D3124" s="1" t="s">
        <v>2665</v>
      </c>
      <c r="E3124" s="1">
        <v>24</v>
      </c>
    </row>
    <row r="3125" spans="1:5" hidden="1" x14ac:dyDescent="0.25">
      <c r="A3125" s="115">
        <v>24.21</v>
      </c>
      <c r="B3125" s="115">
        <v>24.11</v>
      </c>
      <c r="C3125" s="1">
        <v>1100</v>
      </c>
      <c r="D3125" s="1" t="s">
        <v>2666</v>
      </c>
      <c r="E3125" s="1">
        <v>24</v>
      </c>
    </row>
    <row r="3126" spans="1:5" hidden="1" x14ac:dyDescent="0.25">
      <c r="A3126" s="115">
        <v>24.210999999999999</v>
      </c>
      <c r="B3126" s="115">
        <v>24.111000000000001</v>
      </c>
      <c r="C3126" s="1">
        <v>1110</v>
      </c>
      <c r="D3126" s="1" t="s">
        <v>2667</v>
      </c>
      <c r="E3126" s="1">
        <v>24</v>
      </c>
    </row>
    <row r="3127" spans="1:5" hidden="1" x14ac:dyDescent="0.25">
      <c r="A3127" s="115">
        <v>24.212</v>
      </c>
      <c r="B3127" s="115">
        <v>24.111999999999998</v>
      </c>
      <c r="C3127" s="1">
        <v>1120</v>
      </c>
      <c r="D3127" s="1" t="s">
        <v>2668</v>
      </c>
      <c r="E3127" s="1">
        <v>24</v>
      </c>
    </row>
    <row r="3128" spans="1:5" hidden="1" x14ac:dyDescent="0.25">
      <c r="A3128" s="115">
        <v>24.213000000000001</v>
      </c>
      <c r="B3128" s="115">
        <v>24.113</v>
      </c>
      <c r="C3128" s="1">
        <v>1130</v>
      </c>
      <c r="D3128" s="1" t="s">
        <v>2669</v>
      </c>
      <c r="E3128" s="1">
        <v>24</v>
      </c>
    </row>
    <row r="3129" spans="1:5" hidden="1" x14ac:dyDescent="0.25">
      <c r="A3129" s="115">
        <v>24.213999999999999</v>
      </c>
      <c r="B3129" s="115">
        <v>24.114000000000001</v>
      </c>
      <c r="C3129" s="1">
        <v>1140</v>
      </c>
      <c r="D3129" s="1" t="s">
        <v>2670</v>
      </c>
      <c r="E3129" s="1">
        <v>24</v>
      </c>
    </row>
    <row r="3130" spans="1:5" hidden="1" x14ac:dyDescent="0.25">
      <c r="A3130" s="115">
        <v>24.215</v>
      </c>
      <c r="B3130" s="115">
        <v>24.114999999999998</v>
      </c>
      <c r="C3130" s="1">
        <v>1150</v>
      </c>
      <c r="D3130" s="1" t="s">
        <v>2671</v>
      </c>
      <c r="E3130" s="1">
        <v>24</v>
      </c>
    </row>
    <row r="3131" spans="1:5" hidden="1" x14ac:dyDescent="0.25">
      <c r="A3131" s="115">
        <v>24.216000000000001</v>
      </c>
      <c r="B3131" s="115">
        <v>24.116</v>
      </c>
      <c r="C3131" s="1">
        <v>1160</v>
      </c>
      <c r="D3131" s="1" t="s">
        <v>2672</v>
      </c>
      <c r="E3131" s="1">
        <v>24</v>
      </c>
    </row>
    <row r="3132" spans="1:5" hidden="1" x14ac:dyDescent="0.25">
      <c r="A3132" s="115">
        <v>24.216999999999999</v>
      </c>
      <c r="B3132" s="115">
        <v>24.117000000000001</v>
      </c>
      <c r="C3132" s="1">
        <v>1170</v>
      </c>
      <c r="D3132" s="1" t="s">
        <v>2673</v>
      </c>
      <c r="E3132" s="1">
        <v>24</v>
      </c>
    </row>
    <row r="3133" spans="1:5" hidden="1" x14ac:dyDescent="0.25">
      <c r="A3133" s="115">
        <v>24.218</v>
      </c>
      <c r="B3133" s="115">
        <v>24.117999999999999</v>
      </c>
      <c r="C3133" s="1">
        <v>1180</v>
      </c>
      <c r="D3133" s="1" t="s">
        <v>2674</v>
      </c>
      <c r="E3133" s="1">
        <v>24</v>
      </c>
    </row>
    <row r="3134" spans="1:5" hidden="1" x14ac:dyDescent="0.25">
      <c r="A3134" s="115">
        <v>24.219000000000001</v>
      </c>
      <c r="B3134" s="115">
        <v>24.119</v>
      </c>
      <c r="C3134" s="1">
        <v>1190</v>
      </c>
      <c r="D3134" s="1" t="s">
        <v>2675</v>
      </c>
      <c r="E3134" s="1">
        <v>24</v>
      </c>
    </row>
    <row r="3135" spans="1:5" hidden="1" x14ac:dyDescent="0.25">
      <c r="A3135" s="115">
        <v>24.22</v>
      </c>
      <c r="B3135" s="115">
        <v>24.12</v>
      </c>
      <c r="C3135" s="1">
        <v>1200</v>
      </c>
      <c r="D3135" s="1" t="s">
        <v>2676</v>
      </c>
      <c r="E3135" s="1">
        <v>24</v>
      </c>
    </row>
    <row r="3136" spans="1:5" hidden="1" x14ac:dyDescent="0.25">
      <c r="A3136" s="115">
        <v>24.221</v>
      </c>
      <c r="B3136" s="115">
        <v>24.120999999999999</v>
      </c>
      <c r="C3136" s="1">
        <v>1210</v>
      </c>
      <c r="D3136" s="1" t="s">
        <v>2677</v>
      </c>
      <c r="E3136" s="1">
        <v>24</v>
      </c>
    </row>
    <row r="3137" spans="1:5" hidden="1" x14ac:dyDescent="0.25">
      <c r="A3137" s="115">
        <v>24.222000000000001</v>
      </c>
      <c r="B3137" s="115">
        <v>24.122</v>
      </c>
      <c r="C3137" s="1">
        <v>1220</v>
      </c>
      <c r="D3137" s="1" t="s">
        <v>2678</v>
      </c>
      <c r="E3137" s="1">
        <v>24</v>
      </c>
    </row>
    <row r="3138" spans="1:5" hidden="1" x14ac:dyDescent="0.25">
      <c r="A3138" s="115">
        <v>24.222999999999999</v>
      </c>
      <c r="B3138" s="115">
        <v>24.123000000000001</v>
      </c>
      <c r="C3138" s="1">
        <v>1230</v>
      </c>
      <c r="D3138" s="1" t="s">
        <v>2679</v>
      </c>
      <c r="E3138" s="1">
        <v>24</v>
      </c>
    </row>
    <row r="3139" spans="1:5" hidden="1" x14ac:dyDescent="0.25">
      <c r="A3139" s="115">
        <v>24.224</v>
      </c>
      <c r="B3139" s="115">
        <v>24.123999999999999</v>
      </c>
      <c r="C3139" s="1">
        <v>1240</v>
      </c>
      <c r="D3139" s="1" t="s">
        <v>2680</v>
      </c>
      <c r="E3139" s="1">
        <v>24</v>
      </c>
    </row>
    <row r="3140" spans="1:5" hidden="1" x14ac:dyDescent="0.25">
      <c r="A3140" s="115">
        <v>24.225000000000001</v>
      </c>
      <c r="B3140" s="115">
        <v>24.125</v>
      </c>
      <c r="C3140" s="1">
        <v>1250</v>
      </c>
      <c r="D3140" s="1" t="s">
        <v>2681</v>
      </c>
      <c r="E3140" s="1">
        <v>24</v>
      </c>
    </row>
    <row r="3141" spans="1:5" hidden="1" x14ac:dyDescent="0.25">
      <c r="A3141" s="115">
        <v>24.225999999999999</v>
      </c>
      <c r="B3141" s="115">
        <v>24.126000000000001</v>
      </c>
      <c r="C3141" s="1">
        <v>1260</v>
      </c>
      <c r="D3141" s="1" t="s">
        <v>2682</v>
      </c>
      <c r="E3141" s="1">
        <v>24</v>
      </c>
    </row>
    <row r="3142" spans="1:5" hidden="1" x14ac:dyDescent="0.25">
      <c r="A3142" s="115">
        <v>24.227</v>
      </c>
      <c r="B3142" s="115">
        <v>24.126999999999999</v>
      </c>
      <c r="C3142" s="1">
        <v>1270</v>
      </c>
      <c r="D3142" s="1" t="s">
        <v>2683</v>
      </c>
      <c r="E3142" s="1">
        <v>24</v>
      </c>
    </row>
    <row r="3143" spans="1:5" hidden="1" x14ac:dyDescent="0.25">
      <c r="A3143" s="115">
        <v>24.228000000000002</v>
      </c>
      <c r="B3143" s="115">
        <v>24.128</v>
      </c>
      <c r="C3143" s="1">
        <v>1280</v>
      </c>
      <c r="D3143" s="1" t="s">
        <v>2684</v>
      </c>
      <c r="E3143" s="1">
        <v>24</v>
      </c>
    </row>
    <row r="3144" spans="1:5" hidden="1" x14ac:dyDescent="0.25">
      <c r="A3144" s="115">
        <v>24.228999999999999</v>
      </c>
      <c r="B3144" s="115">
        <v>24.13</v>
      </c>
      <c r="C3144" s="1">
        <v>1300</v>
      </c>
      <c r="D3144" s="1" t="s">
        <v>2685</v>
      </c>
      <c r="E3144" s="1">
        <v>24</v>
      </c>
    </row>
    <row r="3145" spans="1:5" hidden="1" x14ac:dyDescent="0.25">
      <c r="A3145" s="115">
        <v>24.23</v>
      </c>
      <c r="B3145" s="115">
        <v>24.131</v>
      </c>
      <c r="C3145" s="1">
        <v>1310</v>
      </c>
      <c r="D3145" s="1" t="s">
        <v>2686</v>
      </c>
      <c r="E3145" s="1">
        <v>24</v>
      </c>
    </row>
    <row r="3146" spans="1:5" hidden="1" x14ac:dyDescent="0.25">
      <c r="A3146" s="115">
        <v>24.231000000000002</v>
      </c>
      <c r="B3146" s="115">
        <v>24.132000000000001</v>
      </c>
      <c r="C3146" s="1">
        <v>1320</v>
      </c>
      <c r="D3146" s="1" t="s">
        <v>2687</v>
      </c>
      <c r="E3146" s="1">
        <v>24</v>
      </c>
    </row>
    <row r="3147" spans="1:5" hidden="1" x14ac:dyDescent="0.25">
      <c r="A3147" s="115">
        <v>25.100999999999999</v>
      </c>
      <c r="B3147" s="115">
        <v>25.1</v>
      </c>
      <c r="C3147" s="1">
        <v>10</v>
      </c>
      <c r="D3147" s="1" t="s">
        <v>2559</v>
      </c>
      <c r="E3147" s="1">
        <v>25</v>
      </c>
    </row>
    <row r="3148" spans="1:5" hidden="1" x14ac:dyDescent="0.25">
      <c r="A3148" s="115">
        <v>25.102</v>
      </c>
      <c r="B3148" s="115">
        <v>25.2</v>
      </c>
      <c r="C3148" s="1">
        <v>20</v>
      </c>
      <c r="D3148" s="1" t="s">
        <v>2560</v>
      </c>
      <c r="E3148" s="1">
        <v>25</v>
      </c>
    </row>
    <row r="3149" spans="1:5" hidden="1" x14ac:dyDescent="0.25">
      <c r="A3149" s="115">
        <v>25.103000000000002</v>
      </c>
      <c r="B3149" s="115">
        <v>25.3</v>
      </c>
      <c r="C3149" s="1">
        <v>30</v>
      </c>
      <c r="D3149" s="1" t="s">
        <v>2561</v>
      </c>
      <c r="E3149" s="1">
        <v>25</v>
      </c>
    </row>
    <row r="3150" spans="1:5" hidden="1" x14ac:dyDescent="0.25">
      <c r="A3150" s="115">
        <v>25.103999999999999</v>
      </c>
      <c r="B3150" s="115">
        <v>25.4</v>
      </c>
      <c r="C3150" s="1">
        <v>40</v>
      </c>
      <c r="D3150" s="1" t="s">
        <v>2562</v>
      </c>
      <c r="E3150" s="1">
        <v>25</v>
      </c>
    </row>
    <row r="3151" spans="1:5" hidden="1" x14ac:dyDescent="0.25">
      <c r="A3151" s="115">
        <v>25.105</v>
      </c>
      <c r="B3151" s="115">
        <v>25.5</v>
      </c>
      <c r="C3151" s="1">
        <v>50</v>
      </c>
      <c r="D3151" s="1" t="s">
        <v>2563</v>
      </c>
      <c r="E3151" s="1">
        <v>25</v>
      </c>
    </row>
    <row r="3152" spans="1:5" hidden="1" x14ac:dyDescent="0.25">
      <c r="A3152" s="115">
        <v>25.106000000000002</v>
      </c>
      <c r="B3152" s="115">
        <v>25.6</v>
      </c>
      <c r="C3152" s="1">
        <v>60</v>
      </c>
      <c r="D3152" s="1" t="s">
        <v>2564</v>
      </c>
      <c r="E3152" s="1">
        <v>25</v>
      </c>
    </row>
    <row r="3153" spans="1:5" hidden="1" x14ac:dyDescent="0.25">
      <c r="A3153" s="115">
        <v>25.106999999999999</v>
      </c>
      <c r="B3153" s="115">
        <v>25.7</v>
      </c>
      <c r="C3153" s="1">
        <v>70</v>
      </c>
      <c r="D3153" s="1" t="s">
        <v>2565</v>
      </c>
      <c r="E3153" s="1">
        <v>25</v>
      </c>
    </row>
    <row r="3154" spans="1:5" hidden="1" x14ac:dyDescent="0.25">
      <c r="A3154" s="115">
        <v>25.108000000000001</v>
      </c>
      <c r="B3154" s="115">
        <v>25.8</v>
      </c>
      <c r="C3154" s="1">
        <v>80</v>
      </c>
      <c r="D3154" s="1" t="s">
        <v>2566</v>
      </c>
      <c r="E3154" s="1">
        <v>25</v>
      </c>
    </row>
    <row r="3155" spans="1:5" hidden="1" x14ac:dyDescent="0.25">
      <c r="A3155" s="115">
        <v>25.109000000000002</v>
      </c>
      <c r="B3155" s="115">
        <v>25.9</v>
      </c>
      <c r="C3155" s="1">
        <v>90</v>
      </c>
      <c r="D3155" s="1" t="s">
        <v>2567</v>
      </c>
      <c r="E3155" s="1">
        <v>25</v>
      </c>
    </row>
    <row r="3156" spans="1:5" hidden="1" x14ac:dyDescent="0.25">
      <c r="A3156" s="115">
        <v>25.11</v>
      </c>
      <c r="B3156" s="115">
        <v>25.1</v>
      </c>
      <c r="C3156" s="1">
        <v>100</v>
      </c>
      <c r="D3156" s="1" t="s">
        <v>2568</v>
      </c>
      <c r="E3156" s="1">
        <v>25</v>
      </c>
    </row>
    <row r="3157" spans="1:5" hidden="1" x14ac:dyDescent="0.25">
      <c r="A3157" s="115">
        <v>25.111000000000001</v>
      </c>
      <c r="B3157" s="115">
        <v>25.11</v>
      </c>
      <c r="C3157" s="1">
        <v>110</v>
      </c>
      <c r="D3157" s="1" t="s">
        <v>2569</v>
      </c>
      <c r="E3157" s="1">
        <v>25</v>
      </c>
    </row>
    <row r="3158" spans="1:5" hidden="1" x14ac:dyDescent="0.25">
      <c r="A3158" s="115">
        <v>25.111999999999998</v>
      </c>
      <c r="B3158" s="115">
        <v>25.12</v>
      </c>
      <c r="C3158" s="1">
        <v>120</v>
      </c>
      <c r="D3158" s="1" t="s">
        <v>2570</v>
      </c>
      <c r="E3158" s="1">
        <v>25</v>
      </c>
    </row>
    <row r="3159" spans="1:5" hidden="1" x14ac:dyDescent="0.25">
      <c r="A3159" s="115">
        <v>25.113</v>
      </c>
      <c r="B3159" s="115">
        <v>25.13</v>
      </c>
      <c r="C3159" s="1">
        <v>130</v>
      </c>
      <c r="D3159" s="1" t="s">
        <v>2571</v>
      </c>
      <c r="E3159" s="1">
        <v>25</v>
      </c>
    </row>
    <row r="3160" spans="1:5" hidden="1" x14ac:dyDescent="0.25">
      <c r="A3160" s="115">
        <v>25.114000000000001</v>
      </c>
      <c r="B3160" s="115">
        <v>25.14</v>
      </c>
      <c r="C3160" s="1">
        <v>140</v>
      </c>
      <c r="D3160" s="1" t="s">
        <v>2572</v>
      </c>
      <c r="E3160" s="1">
        <v>25</v>
      </c>
    </row>
    <row r="3161" spans="1:5" hidden="1" x14ac:dyDescent="0.25">
      <c r="A3161" s="115">
        <v>25.114999999999998</v>
      </c>
      <c r="B3161" s="115">
        <v>25.15</v>
      </c>
      <c r="C3161" s="1">
        <v>150</v>
      </c>
      <c r="D3161" s="1" t="s">
        <v>2573</v>
      </c>
      <c r="E3161" s="1">
        <v>25</v>
      </c>
    </row>
    <row r="3162" spans="1:5" hidden="1" x14ac:dyDescent="0.25">
      <c r="A3162" s="115">
        <v>25.116</v>
      </c>
      <c r="B3162" s="115">
        <v>25.16</v>
      </c>
      <c r="C3162" s="1">
        <v>160</v>
      </c>
      <c r="D3162" s="1" t="s">
        <v>2574</v>
      </c>
      <c r="E3162" s="1">
        <v>25</v>
      </c>
    </row>
    <row r="3163" spans="1:5" hidden="1" x14ac:dyDescent="0.25">
      <c r="A3163" s="115">
        <v>25.117000000000001</v>
      </c>
      <c r="B3163" s="115">
        <v>25.17</v>
      </c>
      <c r="C3163" s="1">
        <v>170</v>
      </c>
      <c r="D3163" s="1" t="s">
        <v>2575</v>
      </c>
      <c r="E3163" s="1">
        <v>25</v>
      </c>
    </row>
    <row r="3164" spans="1:5" hidden="1" x14ac:dyDescent="0.25">
      <c r="A3164" s="115">
        <v>25.117999999999999</v>
      </c>
      <c r="B3164" s="115">
        <v>25.18</v>
      </c>
      <c r="C3164" s="1">
        <v>180</v>
      </c>
      <c r="D3164" s="1" t="s">
        <v>2576</v>
      </c>
      <c r="E3164" s="1">
        <v>25</v>
      </c>
    </row>
    <row r="3165" spans="1:5" hidden="1" x14ac:dyDescent="0.25">
      <c r="A3165" s="115">
        <v>25.119</v>
      </c>
      <c r="B3165" s="115">
        <v>25.19</v>
      </c>
      <c r="C3165" s="1">
        <v>190</v>
      </c>
      <c r="D3165" s="1" t="s">
        <v>2577</v>
      </c>
      <c r="E3165" s="1">
        <v>25</v>
      </c>
    </row>
    <row r="3166" spans="1:5" hidden="1" x14ac:dyDescent="0.25">
      <c r="A3166" s="115">
        <v>25.12</v>
      </c>
      <c r="B3166" s="115">
        <v>25.2</v>
      </c>
      <c r="C3166" s="1">
        <v>200</v>
      </c>
      <c r="D3166" s="1" t="s">
        <v>2578</v>
      </c>
      <c r="E3166" s="1">
        <v>25</v>
      </c>
    </row>
    <row r="3167" spans="1:5" hidden="1" x14ac:dyDescent="0.25">
      <c r="A3167" s="115">
        <v>25.120999999999999</v>
      </c>
      <c r="B3167" s="115">
        <v>25.21</v>
      </c>
      <c r="C3167" s="1">
        <v>210</v>
      </c>
      <c r="D3167" s="1" t="s">
        <v>2579</v>
      </c>
      <c r="E3167" s="1">
        <v>25</v>
      </c>
    </row>
    <row r="3168" spans="1:5" hidden="1" x14ac:dyDescent="0.25">
      <c r="A3168" s="115">
        <v>25.122</v>
      </c>
      <c r="B3168" s="115">
        <v>25.22</v>
      </c>
      <c r="C3168" s="1">
        <v>220</v>
      </c>
      <c r="D3168" s="1" t="s">
        <v>2580</v>
      </c>
      <c r="E3168" s="1">
        <v>25</v>
      </c>
    </row>
    <row r="3169" spans="1:5" hidden="1" x14ac:dyDescent="0.25">
      <c r="A3169" s="115">
        <v>25.123000000000001</v>
      </c>
      <c r="B3169" s="115">
        <v>25.23</v>
      </c>
      <c r="C3169" s="1">
        <v>230</v>
      </c>
      <c r="D3169" s="1" t="s">
        <v>2581</v>
      </c>
      <c r="E3169" s="1">
        <v>25</v>
      </c>
    </row>
    <row r="3170" spans="1:5" hidden="1" x14ac:dyDescent="0.25">
      <c r="A3170" s="115">
        <v>25.123999999999999</v>
      </c>
      <c r="B3170" s="115">
        <v>25.24</v>
      </c>
      <c r="C3170" s="1">
        <v>240</v>
      </c>
      <c r="D3170" s="1" t="s">
        <v>2582</v>
      </c>
      <c r="E3170" s="1">
        <v>25</v>
      </c>
    </row>
    <row r="3171" spans="1:5" hidden="1" x14ac:dyDescent="0.25">
      <c r="A3171" s="115">
        <v>25.125</v>
      </c>
      <c r="B3171" s="115">
        <v>25.25</v>
      </c>
      <c r="C3171" s="1">
        <v>250</v>
      </c>
      <c r="D3171" s="1" t="s">
        <v>2583</v>
      </c>
      <c r="E3171" s="1">
        <v>25</v>
      </c>
    </row>
    <row r="3172" spans="1:5" hidden="1" x14ac:dyDescent="0.25">
      <c r="A3172" s="115">
        <v>25.126000000000001</v>
      </c>
      <c r="B3172" s="115">
        <v>25.26</v>
      </c>
      <c r="C3172" s="1">
        <v>260</v>
      </c>
      <c r="D3172" s="1" t="s">
        <v>2584</v>
      </c>
      <c r="E3172" s="1">
        <v>25</v>
      </c>
    </row>
    <row r="3173" spans="1:5" hidden="1" x14ac:dyDescent="0.25">
      <c r="A3173" s="115">
        <v>25.126999999999999</v>
      </c>
      <c r="B3173" s="115">
        <v>25.27</v>
      </c>
      <c r="C3173" s="1">
        <v>270</v>
      </c>
      <c r="D3173" s="1" t="s">
        <v>2585</v>
      </c>
      <c r="E3173" s="1">
        <v>25</v>
      </c>
    </row>
    <row r="3174" spans="1:5" hidden="1" x14ac:dyDescent="0.25">
      <c r="A3174" s="115">
        <v>25.128</v>
      </c>
      <c r="B3174" s="115">
        <v>25.28</v>
      </c>
      <c r="C3174" s="1">
        <v>280</v>
      </c>
      <c r="D3174" s="1" t="s">
        <v>2586</v>
      </c>
      <c r="E3174" s="1">
        <v>25</v>
      </c>
    </row>
    <row r="3175" spans="1:5" hidden="1" x14ac:dyDescent="0.25">
      <c r="A3175" s="115">
        <v>25.129000000000001</v>
      </c>
      <c r="B3175" s="115">
        <v>25.29</v>
      </c>
      <c r="C3175" s="1">
        <v>290</v>
      </c>
      <c r="D3175" s="1" t="s">
        <v>2587</v>
      </c>
      <c r="E3175" s="1">
        <v>25</v>
      </c>
    </row>
    <row r="3176" spans="1:5" hidden="1" x14ac:dyDescent="0.25">
      <c r="A3176" s="115">
        <v>25.13</v>
      </c>
      <c r="B3176" s="115">
        <v>25.3</v>
      </c>
      <c r="C3176" s="1">
        <v>300</v>
      </c>
      <c r="D3176" s="1" t="s">
        <v>2588</v>
      </c>
      <c r="E3176" s="1">
        <v>25</v>
      </c>
    </row>
    <row r="3177" spans="1:5" hidden="1" x14ac:dyDescent="0.25">
      <c r="A3177" s="115">
        <v>25.131</v>
      </c>
      <c r="B3177" s="115">
        <v>25.31</v>
      </c>
      <c r="C3177" s="1">
        <v>310</v>
      </c>
      <c r="D3177" s="1" t="s">
        <v>2589</v>
      </c>
      <c r="E3177" s="1">
        <v>25</v>
      </c>
    </row>
    <row r="3178" spans="1:5" hidden="1" x14ac:dyDescent="0.25">
      <c r="A3178" s="115">
        <v>25.132000000000001</v>
      </c>
      <c r="B3178" s="115">
        <v>25.32</v>
      </c>
      <c r="C3178" s="1">
        <v>320</v>
      </c>
      <c r="D3178" s="1" t="s">
        <v>2590</v>
      </c>
      <c r="E3178" s="1">
        <v>25</v>
      </c>
    </row>
    <row r="3179" spans="1:5" hidden="1" x14ac:dyDescent="0.25">
      <c r="A3179" s="115">
        <v>25.132999999999999</v>
      </c>
      <c r="B3179" s="115">
        <v>25.33</v>
      </c>
      <c r="C3179" s="1">
        <v>330</v>
      </c>
      <c r="D3179" s="1" t="s">
        <v>2591</v>
      </c>
      <c r="E3179" s="1">
        <v>25</v>
      </c>
    </row>
    <row r="3180" spans="1:5" hidden="1" x14ac:dyDescent="0.25">
      <c r="A3180" s="115">
        <v>25.134</v>
      </c>
      <c r="B3180" s="115">
        <v>25.34</v>
      </c>
      <c r="C3180" s="1">
        <v>340</v>
      </c>
      <c r="D3180" s="1" t="s">
        <v>2592</v>
      </c>
      <c r="E3180" s="1">
        <v>25</v>
      </c>
    </row>
    <row r="3181" spans="1:5" hidden="1" x14ac:dyDescent="0.25">
      <c r="A3181" s="115">
        <v>25.135000000000002</v>
      </c>
      <c r="B3181" s="115">
        <v>25.35</v>
      </c>
      <c r="C3181" s="1">
        <v>350</v>
      </c>
      <c r="D3181" s="1" t="s">
        <v>2593</v>
      </c>
      <c r="E3181" s="1">
        <v>25</v>
      </c>
    </row>
    <row r="3182" spans="1:5" hidden="1" x14ac:dyDescent="0.25">
      <c r="A3182" s="115">
        <v>25.135999999999999</v>
      </c>
      <c r="B3182" s="115">
        <v>25.36</v>
      </c>
      <c r="C3182" s="1">
        <v>360</v>
      </c>
      <c r="D3182" s="1" t="s">
        <v>2594</v>
      </c>
      <c r="E3182" s="1">
        <v>25</v>
      </c>
    </row>
    <row r="3183" spans="1:5" hidden="1" x14ac:dyDescent="0.25">
      <c r="A3183" s="115">
        <v>25.137</v>
      </c>
      <c r="B3183" s="115">
        <v>25.37</v>
      </c>
      <c r="C3183" s="1">
        <v>370</v>
      </c>
      <c r="D3183" s="1" t="s">
        <v>2595</v>
      </c>
      <c r="E3183" s="1">
        <v>25</v>
      </c>
    </row>
    <row r="3184" spans="1:5" hidden="1" x14ac:dyDescent="0.25">
      <c r="A3184" s="115">
        <v>25.138000000000002</v>
      </c>
      <c r="B3184" s="115">
        <v>25.38</v>
      </c>
      <c r="C3184" s="1">
        <v>380</v>
      </c>
      <c r="D3184" s="1" t="s">
        <v>2596</v>
      </c>
      <c r="E3184" s="1">
        <v>25</v>
      </c>
    </row>
    <row r="3185" spans="1:5" hidden="1" x14ac:dyDescent="0.25">
      <c r="A3185" s="115">
        <v>25.138999999999999</v>
      </c>
      <c r="B3185" s="115">
        <v>25.39</v>
      </c>
      <c r="C3185" s="1">
        <v>390</v>
      </c>
      <c r="D3185" s="1" t="s">
        <v>2597</v>
      </c>
      <c r="E3185" s="1">
        <v>25</v>
      </c>
    </row>
    <row r="3186" spans="1:5" hidden="1" x14ac:dyDescent="0.25">
      <c r="A3186" s="115">
        <v>25.14</v>
      </c>
      <c r="B3186" s="115">
        <v>25.4</v>
      </c>
      <c r="C3186" s="1">
        <v>400</v>
      </c>
      <c r="D3186" s="1" t="s">
        <v>2598</v>
      </c>
      <c r="E3186" s="1">
        <v>25</v>
      </c>
    </row>
    <row r="3187" spans="1:5" hidden="1" x14ac:dyDescent="0.25">
      <c r="A3187" s="115">
        <v>25.140999999999998</v>
      </c>
      <c r="B3187" s="115">
        <v>25.41</v>
      </c>
      <c r="C3187" s="1">
        <v>410</v>
      </c>
      <c r="D3187" s="1" t="s">
        <v>2599</v>
      </c>
      <c r="E3187" s="1">
        <v>25</v>
      </c>
    </row>
    <row r="3188" spans="1:5" hidden="1" x14ac:dyDescent="0.25">
      <c r="A3188" s="115">
        <v>25.141999999999999</v>
      </c>
      <c r="B3188" s="115">
        <v>25.42</v>
      </c>
      <c r="C3188" s="1">
        <v>420</v>
      </c>
      <c r="D3188" s="1" t="s">
        <v>2600</v>
      </c>
      <c r="E3188" s="1">
        <v>25</v>
      </c>
    </row>
    <row r="3189" spans="1:5" hidden="1" x14ac:dyDescent="0.25">
      <c r="A3189" s="115">
        <v>25.143000000000001</v>
      </c>
      <c r="B3189" s="115">
        <v>25.43</v>
      </c>
      <c r="C3189" s="1">
        <v>430</v>
      </c>
      <c r="D3189" s="1" t="s">
        <v>2601</v>
      </c>
      <c r="E3189" s="1">
        <v>25</v>
      </c>
    </row>
    <row r="3190" spans="1:5" hidden="1" x14ac:dyDescent="0.25">
      <c r="A3190" s="115">
        <v>25.143999999999998</v>
      </c>
      <c r="B3190" s="115">
        <v>25.44</v>
      </c>
      <c r="C3190" s="1">
        <v>440</v>
      </c>
      <c r="D3190" s="1" t="s">
        <v>2602</v>
      </c>
      <c r="E3190" s="1">
        <v>25</v>
      </c>
    </row>
    <row r="3191" spans="1:5" hidden="1" x14ac:dyDescent="0.25">
      <c r="A3191" s="115">
        <v>25.145</v>
      </c>
      <c r="B3191" s="115">
        <v>25.445</v>
      </c>
      <c r="C3191" s="1">
        <v>445</v>
      </c>
      <c r="D3191" s="1" t="s">
        <v>2603</v>
      </c>
      <c r="E3191" s="1">
        <v>25</v>
      </c>
    </row>
    <row r="3192" spans="1:5" hidden="1" x14ac:dyDescent="0.25">
      <c r="A3192" s="115">
        <v>25.146000000000001</v>
      </c>
      <c r="B3192" s="115">
        <v>25.45</v>
      </c>
      <c r="C3192" s="1">
        <v>450</v>
      </c>
      <c r="D3192" s="1" t="s">
        <v>2604</v>
      </c>
      <c r="E3192" s="1">
        <v>25</v>
      </c>
    </row>
    <row r="3193" spans="1:5" hidden="1" x14ac:dyDescent="0.25">
      <c r="A3193" s="115">
        <v>25.146999999999998</v>
      </c>
      <c r="B3193" s="115">
        <v>25.46</v>
      </c>
      <c r="C3193" s="1">
        <v>460</v>
      </c>
      <c r="D3193" s="1" t="s">
        <v>2605</v>
      </c>
      <c r="E3193" s="1">
        <v>25</v>
      </c>
    </row>
    <row r="3194" spans="1:5" hidden="1" x14ac:dyDescent="0.25">
      <c r="A3194" s="115">
        <v>25.148</v>
      </c>
      <c r="B3194" s="115">
        <v>25.47</v>
      </c>
      <c r="C3194" s="1">
        <v>470</v>
      </c>
      <c r="D3194" s="1" t="s">
        <v>2606</v>
      </c>
      <c r="E3194" s="1">
        <v>25</v>
      </c>
    </row>
    <row r="3195" spans="1:5" hidden="1" x14ac:dyDescent="0.25">
      <c r="A3195" s="115">
        <v>25.149000000000001</v>
      </c>
      <c r="B3195" s="115">
        <v>25.48</v>
      </c>
      <c r="C3195" s="1">
        <v>480</v>
      </c>
      <c r="D3195" s="1" t="s">
        <v>2607</v>
      </c>
      <c r="E3195" s="1">
        <v>25</v>
      </c>
    </row>
    <row r="3196" spans="1:5" hidden="1" x14ac:dyDescent="0.25">
      <c r="A3196" s="115">
        <v>25.15</v>
      </c>
      <c r="B3196" s="115">
        <v>25.49</v>
      </c>
      <c r="C3196" s="1">
        <v>490</v>
      </c>
      <c r="D3196" s="1" t="s">
        <v>2608</v>
      </c>
      <c r="E3196" s="1">
        <v>25</v>
      </c>
    </row>
    <row r="3197" spans="1:5" hidden="1" x14ac:dyDescent="0.25">
      <c r="A3197" s="115">
        <v>25.151</v>
      </c>
      <c r="B3197" s="115">
        <v>25.5</v>
      </c>
      <c r="C3197" s="1">
        <v>500</v>
      </c>
      <c r="D3197" s="1" t="s">
        <v>2609</v>
      </c>
      <c r="E3197" s="1">
        <v>25</v>
      </c>
    </row>
    <row r="3198" spans="1:5" hidden="1" x14ac:dyDescent="0.25">
      <c r="A3198" s="115">
        <v>25.152000000000001</v>
      </c>
      <c r="B3198" s="115">
        <v>25.51</v>
      </c>
      <c r="C3198" s="1">
        <v>510</v>
      </c>
      <c r="D3198" s="1" t="s">
        <v>2610</v>
      </c>
      <c r="E3198" s="1">
        <v>25</v>
      </c>
    </row>
    <row r="3199" spans="1:5" hidden="1" x14ac:dyDescent="0.25">
      <c r="A3199" s="115">
        <v>25.152999999999999</v>
      </c>
      <c r="B3199" s="115">
        <v>25.52</v>
      </c>
      <c r="C3199" s="1">
        <v>520</v>
      </c>
      <c r="D3199" s="1" t="s">
        <v>2611</v>
      </c>
      <c r="E3199" s="1">
        <v>25</v>
      </c>
    </row>
    <row r="3200" spans="1:5" hidden="1" x14ac:dyDescent="0.25">
      <c r="A3200" s="115">
        <v>25.154</v>
      </c>
      <c r="B3200" s="115">
        <v>25.53</v>
      </c>
      <c r="C3200" s="1">
        <v>530</v>
      </c>
      <c r="D3200" s="1" t="s">
        <v>2612</v>
      </c>
      <c r="E3200" s="1">
        <v>25</v>
      </c>
    </row>
    <row r="3201" spans="1:5" hidden="1" x14ac:dyDescent="0.25">
      <c r="A3201" s="115">
        <v>25.155000000000001</v>
      </c>
      <c r="B3201" s="115">
        <v>25.54</v>
      </c>
      <c r="C3201" s="1">
        <v>540</v>
      </c>
      <c r="D3201" s="1" t="s">
        <v>2613</v>
      </c>
      <c r="E3201" s="1">
        <v>25</v>
      </c>
    </row>
    <row r="3202" spans="1:5" hidden="1" x14ac:dyDescent="0.25">
      <c r="A3202" s="115">
        <v>25.155999999999999</v>
      </c>
      <c r="B3202" s="115">
        <v>25.55</v>
      </c>
      <c r="C3202" s="1">
        <v>550</v>
      </c>
      <c r="D3202" s="1" t="s">
        <v>2614</v>
      </c>
      <c r="E3202" s="1">
        <v>25</v>
      </c>
    </row>
    <row r="3203" spans="1:5" hidden="1" x14ac:dyDescent="0.25">
      <c r="A3203" s="115">
        <v>25.157</v>
      </c>
      <c r="B3203" s="115">
        <v>25.56</v>
      </c>
      <c r="C3203" s="1">
        <v>560</v>
      </c>
      <c r="D3203" s="1" t="s">
        <v>2615</v>
      </c>
      <c r="E3203" s="1">
        <v>25</v>
      </c>
    </row>
    <row r="3204" spans="1:5" hidden="1" x14ac:dyDescent="0.25">
      <c r="A3204" s="115">
        <v>25.158000000000001</v>
      </c>
      <c r="B3204" s="115">
        <v>25.57</v>
      </c>
      <c r="C3204" s="1">
        <v>570</v>
      </c>
      <c r="D3204" s="1" t="s">
        <v>2616</v>
      </c>
      <c r="E3204" s="1">
        <v>25</v>
      </c>
    </row>
    <row r="3205" spans="1:5" hidden="1" x14ac:dyDescent="0.25">
      <c r="A3205" s="115">
        <v>25.158999999999999</v>
      </c>
      <c r="B3205" s="115">
        <v>25.574999999999999</v>
      </c>
      <c r="C3205" s="1">
        <v>575</v>
      </c>
      <c r="D3205" s="1" t="s">
        <v>2617</v>
      </c>
      <c r="E3205" s="1">
        <v>25</v>
      </c>
    </row>
    <row r="3206" spans="1:5" hidden="1" x14ac:dyDescent="0.25">
      <c r="A3206" s="115">
        <v>25.16</v>
      </c>
      <c r="B3206" s="115">
        <v>25.576000000000001</v>
      </c>
      <c r="C3206" s="1">
        <v>576</v>
      </c>
      <c r="D3206" s="1" t="s">
        <v>2618</v>
      </c>
      <c r="E3206" s="1">
        <v>25</v>
      </c>
    </row>
    <row r="3207" spans="1:5" hidden="1" x14ac:dyDescent="0.25">
      <c r="A3207" s="115">
        <v>25.161000000000001</v>
      </c>
      <c r="B3207" s="115">
        <v>25.58</v>
      </c>
      <c r="C3207" s="1">
        <v>580</v>
      </c>
      <c r="D3207" s="1" t="s">
        <v>2619</v>
      </c>
      <c r="E3207" s="1">
        <v>25</v>
      </c>
    </row>
    <row r="3208" spans="1:5" hidden="1" x14ac:dyDescent="0.25">
      <c r="A3208" s="115">
        <v>25.161999999999999</v>
      </c>
      <c r="B3208" s="115">
        <v>25.59</v>
      </c>
      <c r="C3208" s="1">
        <v>590</v>
      </c>
      <c r="D3208" s="1" t="s">
        <v>1099</v>
      </c>
      <c r="E3208" s="1">
        <v>25</v>
      </c>
    </row>
    <row r="3209" spans="1:5" hidden="1" x14ac:dyDescent="0.25">
      <c r="A3209" s="115">
        <v>25.163</v>
      </c>
      <c r="B3209" s="115">
        <v>25.6</v>
      </c>
      <c r="C3209" s="1">
        <v>600</v>
      </c>
      <c r="D3209" s="1" t="s">
        <v>2620</v>
      </c>
      <c r="E3209" s="1">
        <v>25</v>
      </c>
    </row>
    <row r="3210" spans="1:5" hidden="1" x14ac:dyDescent="0.25">
      <c r="A3210" s="115">
        <v>25.164000000000001</v>
      </c>
      <c r="B3210" s="115">
        <v>25.61</v>
      </c>
      <c r="C3210" s="1">
        <v>610</v>
      </c>
      <c r="D3210" s="1" t="s">
        <v>2621</v>
      </c>
      <c r="E3210" s="1">
        <v>25</v>
      </c>
    </row>
    <row r="3211" spans="1:5" hidden="1" x14ac:dyDescent="0.25">
      <c r="A3211" s="115">
        <v>25.164999999999999</v>
      </c>
      <c r="B3211" s="115">
        <v>25.62</v>
      </c>
      <c r="C3211" s="1">
        <v>620</v>
      </c>
      <c r="D3211" s="1" t="s">
        <v>2622</v>
      </c>
      <c r="E3211" s="1">
        <v>25</v>
      </c>
    </row>
    <row r="3212" spans="1:5" hidden="1" x14ac:dyDescent="0.25">
      <c r="A3212" s="115">
        <v>25.166</v>
      </c>
      <c r="B3212" s="115">
        <v>25.63</v>
      </c>
      <c r="C3212" s="1">
        <v>630</v>
      </c>
      <c r="D3212" s="1" t="s">
        <v>2623</v>
      </c>
      <c r="E3212" s="1">
        <v>25</v>
      </c>
    </row>
    <row r="3213" spans="1:5" hidden="1" x14ac:dyDescent="0.25">
      <c r="A3213" s="115">
        <v>25.167000000000002</v>
      </c>
      <c r="B3213" s="115">
        <v>25.64</v>
      </c>
      <c r="C3213" s="1">
        <v>640</v>
      </c>
      <c r="D3213" s="1" t="s">
        <v>2624</v>
      </c>
      <c r="E3213" s="1">
        <v>25</v>
      </c>
    </row>
    <row r="3214" spans="1:5" hidden="1" x14ac:dyDescent="0.25">
      <c r="A3214" s="115">
        <v>25.167999999999999</v>
      </c>
      <c r="B3214" s="115">
        <v>25.65</v>
      </c>
      <c r="C3214" s="1">
        <v>650</v>
      </c>
      <c r="D3214" s="1" t="s">
        <v>2625</v>
      </c>
      <c r="E3214" s="1">
        <v>25</v>
      </c>
    </row>
    <row r="3215" spans="1:5" hidden="1" x14ac:dyDescent="0.25">
      <c r="A3215" s="115">
        <v>25.169</v>
      </c>
      <c r="B3215" s="115">
        <v>25.66</v>
      </c>
      <c r="C3215" s="1">
        <v>660</v>
      </c>
      <c r="D3215" s="1" t="s">
        <v>2626</v>
      </c>
      <c r="E3215" s="1">
        <v>25</v>
      </c>
    </row>
    <row r="3216" spans="1:5" hidden="1" x14ac:dyDescent="0.25">
      <c r="A3216" s="115">
        <v>25.17</v>
      </c>
      <c r="B3216" s="115">
        <v>25.67</v>
      </c>
      <c r="C3216" s="1">
        <v>670</v>
      </c>
      <c r="D3216" s="1" t="s">
        <v>2627</v>
      </c>
      <c r="E3216" s="1">
        <v>25</v>
      </c>
    </row>
    <row r="3217" spans="1:5" hidden="1" x14ac:dyDescent="0.25">
      <c r="A3217" s="115">
        <v>25.170999999999999</v>
      </c>
      <c r="B3217" s="115">
        <v>25.68</v>
      </c>
      <c r="C3217" s="1">
        <v>680</v>
      </c>
      <c r="D3217" s="1" t="s">
        <v>2628</v>
      </c>
      <c r="E3217" s="1">
        <v>25</v>
      </c>
    </row>
    <row r="3218" spans="1:5" hidden="1" x14ac:dyDescent="0.25">
      <c r="A3218" s="115">
        <v>25.172000000000001</v>
      </c>
      <c r="B3218" s="115">
        <v>25.69</v>
      </c>
      <c r="C3218" s="1">
        <v>690</v>
      </c>
      <c r="D3218" s="1" t="s">
        <v>2629</v>
      </c>
      <c r="E3218" s="1">
        <v>25</v>
      </c>
    </row>
    <row r="3219" spans="1:5" hidden="1" x14ac:dyDescent="0.25">
      <c r="A3219" s="115">
        <v>25.172999999999998</v>
      </c>
      <c r="B3219" s="115">
        <v>25.7</v>
      </c>
      <c r="C3219" s="1">
        <v>700</v>
      </c>
      <c r="D3219" s="1" t="s">
        <v>2630</v>
      </c>
      <c r="E3219" s="1">
        <v>25</v>
      </c>
    </row>
    <row r="3220" spans="1:5" hidden="1" x14ac:dyDescent="0.25">
      <c r="A3220" s="115">
        <v>25.173999999999999</v>
      </c>
      <c r="B3220" s="115">
        <v>25.71</v>
      </c>
      <c r="C3220" s="1">
        <v>710</v>
      </c>
      <c r="D3220" s="1" t="s">
        <v>2631</v>
      </c>
      <c r="E3220" s="1">
        <v>25</v>
      </c>
    </row>
    <row r="3221" spans="1:5" hidden="1" x14ac:dyDescent="0.25">
      <c r="A3221" s="115">
        <v>25.175000000000001</v>
      </c>
      <c r="B3221" s="115">
        <v>25.72</v>
      </c>
      <c r="C3221" s="1">
        <v>720</v>
      </c>
      <c r="D3221" s="1" t="s">
        <v>2632</v>
      </c>
      <c r="E3221" s="1">
        <v>25</v>
      </c>
    </row>
    <row r="3222" spans="1:5" hidden="1" x14ac:dyDescent="0.25">
      <c r="A3222" s="115">
        <v>25.175999999999998</v>
      </c>
      <c r="B3222" s="115">
        <v>25.73</v>
      </c>
      <c r="C3222" s="1">
        <v>730</v>
      </c>
      <c r="D3222" s="1" t="s">
        <v>2633</v>
      </c>
      <c r="E3222" s="1">
        <v>25</v>
      </c>
    </row>
    <row r="3223" spans="1:5" hidden="1" x14ac:dyDescent="0.25">
      <c r="A3223" s="115">
        <v>25.177</v>
      </c>
      <c r="B3223" s="115">
        <v>25.74</v>
      </c>
      <c r="C3223" s="1">
        <v>740</v>
      </c>
      <c r="D3223" s="1" t="s">
        <v>2634</v>
      </c>
      <c r="E3223" s="1">
        <v>25</v>
      </c>
    </row>
    <row r="3224" spans="1:5" hidden="1" x14ac:dyDescent="0.25">
      <c r="A3224" s="115">
        <v>25.178000000000001</v>
      </c>
      <c r="B3224" s="115">
        <v>25.75</v>
      </c>
      <c r="C3224" s="1">
        <v>750</v>
      </c>
      <c r="D3224" s="1" t="s">
        <v>2635</v>
      </c>
      <c r="E3224" s="1">
        <v>25</v>
      </c>
    </row>
    <row r="3225" spans="1:5" hidden="1" x14ac:dyDescent="0.25">
      <c r="A3225" s="115">
        <v>25.178999999999998</v>
      </c>
      <c r="B3225" s="115">
        <v>25.754999999999999</v>
      </c>
      <c r="C3225" s="1">
        <v>755</v>
      </c>
      <c r="D3225" s="1" t="s">
        <v>1466</v>
      </c>
      <c r="E3225" s="1">
        <v>25</v>
      </c>
    </row>
    <row r="3226" spans="1:5" hidden="1" x14ac:dyDescent="0.25">
      <c r="A3226" s="115">
        <v>25.18</v>
      </c>
      <c r="B3226" s="115">
        <v>25.76</v>
      </c>
      <c r="C3226" s="1">
        <v>760</v>
      </c>
      <c r="D3226" s="1" t="s">
        <v>2636</v>
      </c>
      <c r="E3226" s="1">
        <v>25</v>
      </c>
    </row>
    <row r="3227" spans="1:5" hidden="1" x14ac:dyDescent="0.25">
      <c r="A3227" s="115">
        <v>25.181000000000001</v>
      </c>
      <c r="B3227" s="115">
        <v>25.77</v>
      </c>
      <c r="C3227" s="1">
        <v>770</v>
      </c>
      <c r="D3227" s="1" t="s">
        <v>2637</v>
      </c>
      <c r="E3227" s="1">
        <v>25</v>
      </c>
    </row>
    <row r="3228" spans="1:5" hidden="1" x14ac:dyDescent="0.25">
      <c r="A3228" s="115">
        <v>25.181999999999999</v>
      </c>
      <c r="B3228" s="115">
        <v>25.78</v>
      </c>
      <c r="C3228" s="1">
        <v>780</v>
      </c>
      <c r="D3228" s="1" t="s">
        <v>2638</v>
      </c>
      <c r="E3228" s="1">
        <v>25</v>
      </c>
    </row>
    <row r="3229" spans="1:5" hidden="1" x14ac:dyDescent="0.25">
      <c r="A3229" s="115">
        <v>25.183</v>
      </c>
      <c r="B3229" s="115">
        <v>25.79</v>
      </c>
      <c r="C3229" s="1">
        <v>790</v>
      </c>
      <c r="D3229" s="1" t="s">
        <v>2639</v>
      </c>
      <c r="E3229" s="1">
        <v>25</v>
      </c>
    </row>
    <row r="3230" spans="1:5" hidden="1" x14ac:dyDescent="0.25">
      <c r="A3230" s="115">
        <v>25.184000000000001</v>
      </c>
      <c r="B3230" s="115">
        <v>25.8</v>
      </c>
      <c r="C3230" s="1">
        <v>800</v>
      </c>
      <c r="D3230" s="1" t="s">
        <v>2640</v>
      </c>
      <c r="E3230" s="1">
        <v>25</v>
      </c>
    </row>
    <row r="3231" spans="1:5" hidden="1" x14ac:dyDescent="0.25">
      <c r="A3231" s="115">
        <v>25.184999999999999</v>
      </c>
      <c r="B3231" s="115">
        <v>25.805</v>
      </c>
      <c r="C3231" s="1">
        <v>805</v>
      </c>
      <c r="D3231" s="1" t="s">
        <v>2641</v>
      </c>
      <c r="E3231" s="1">
        <v>25</v>
      </c>
    </row>
    <row r="3232" spans="1:5" hidden="1" x14ac:dyDescent="0.25">
      <c r="A3232" s="115">
        <v>25.186</v>
      </c>
      <c r="B3232" s="115">
        <v>25.81</v>
      </c>
      <c r="C3232" s="1">
        <v>810</v>
      </c>
      <c r="D3232" s="1" t="s">
        <v>2642</v>
      </c>
      <c r="E3232" s="1">
        <v>25</v>
      </c>
    </row>
    <row r="3233" spans="1:5" hidden="1" x14ac:dyDescent="0.25">
      <c r="A3233" s="115">
        <v>25.187000000000001</v>
      </c>
      <c r="B3233" s="115">
        <v>25.82</v>
      </c>
      <c r="C3233" s="1">
        <v>820</v>
      </c>
      <c r="D3233" s="1" t="s">
        <v>2643</v>
      </c>
      <c r="E3233" s="1">
        <v>25</v>
      </c>
    </row>
    <row r="3234" spans="1:5" hidden="1" x14ac:dyDescent="0.25">
      <c r="A3234" s="115">
        <v>25.187999999999999</v>
      </c>
      <c r="B3234" s="115">
        <v>25.83</v>
      </c>
      <c r="C3234" s="1">
        <v>830</v>
      </c>
      <c r="D3234" s="1" t="s">
        <v>2644</v>
      </c>
      <c r="E3234" s="1">
        <v>25</v>
      </c>
    </row>
    <row r="3235" spans="1:5" hidden="1" x14ac:dyDescent="0.25">
      <c r="A3235" s="115">
        <v>25.189</v>
      </c>
      <c r="B3235" s="115">
        <v>25.84</v>
      </c>
      <c r="C3235" s="1">
        <v>840</v>
      </c>
      <c r="D3235" s="1" t="s">
        <v>2645</v>
      </c>
      <c r="E3235" s="1">
        <v>25</v>
      </c>
    </row>
    <row r="3236" spans="1:5" hidden="1" x14ac:dyDescent="0.25">
      <c r="A3236" s="115">
        <v>25.19</v>
      </c>
      <c r="B3236" s="115">
        <v>25.85</v>
      </c>
      <c r="C3236" s="1">
        <v>850</v>
      </c>
      <c r="D3236" s="1" t="s">
        <v>2646</v>
      </c>
      <c r="E3236" s="1">
        <v>25</v>
      </c>
    </row>
    <row r="3237" spans="1:5" hidden="1" x14ac:dyDescent="0.25">
      <c r="A3237" s="115">
        <v>25.190999999999999</v>
      </c>
      <c r="B3237" s="115">
        <v>25.86</v>
      </c>
      <c r="C3237" s="1">
        <v>860</v>
      </c>
      <c r="D3237" s="1" t="s">
        <v>2647</v>
      </c>
      <c r="E3237" s="1">
        <v>25</v>
      </c>
    </row>
    <row r="3238" spans="1:5" hidden="1" x14ac:dyDescent="0.25">
      <c r="A3238" s="115">
        <v>25.192</v>
      </c>
      <c r="B3238" s="115">
        <v>25.87</v>
      </c>
      <c r="C3238" s="1">
        <v>870</v>
      </c>
      <c r="D3238" s="1" t="s">
        <v>2648</v>
      </c>
      <c r="E3238" s="1">
        <v>25</v>
      </c>
    </row>
    <row r="3239" spans="1:5" hidden="1" x14ac:dyDescent="0.25">
      <c r="A3239" s="115">
        <v>25.193000000000001</v>
      </c>
      <c r="B3239" s="115">
        <v>25.88</v>
      </c>
      <c r="C3239" s="1">
        <v>880</v>
      </c>
      <c r="D3239" s="1" t="s">
        <v>2649</v>
      </c>
      <c r="E3239" s="1">
        <v>25</v>
      </c>
    </row>
    <row r="3240" spans="1:5" hidden="1" x14ac:dyDescent="0.25">
      <c r="A3240" s="115">
        <v>25.193999999999999</v>
      </c>
      <c r="B3240" s="115">
        <v>25.89</v>
      </c>
      <c r="C3240" s="1">
        <v>890</v>
      </c>
      <c r="D3240" s="1" t="s">
        <v>2650</v>
      </c>
      <c r="E3240" s="1">
        <v>25</v>
      </c>
    </row>
    <row r="3241" spans="1:5" hidden="1" x14ac:dyDescent="0.25">
      <c r="A3241" s="115">
        <v>25.195</v>
      </c>
      <c r="B3241" s="115">
        <v>25.895</v>
      </c>
      <c r="C3241" s="1">
        <v>895</v>
      </c>
      <c r="D3241" s="1" t="s">
        <v>2651</v>
      </c>
      <c r="E3241" s="1">
        <v>25</v>
      </c>
    </row>
    <row r="3242" spans="1:5" hidden="1" x14ac:dyDescent="0.25">
      <c r="A3242" s="115">
        <v>25.196000000000002</v>
      </c>
      <c r="B3242" s="115">
        <v>25.9</v>
      </c>
      <c r="C3242" s="1">
        <v>900</v>
      </c>
      <c r="D3242" s="1" t="s">
        <v>2652</v>
      </c>
      <c r="E3242" s="1">
        <v>25</v>
      </c>
    </row>
    <row r="3243" spans="1:5" hidden="1" x14ac:dyDescent="0.25">
      <c r="A3243" s="115">
        <v>25.196999999999999</v>
      </c>
      <c r="B3243" s="115">
        <v>25.91</v>
      </c>
      <c r="C3243" s="1">
        <v>910</v>
      </c>
      <c r="D3243" s="1" t="s">
        <v>2653</v>
      </c>
      <c r="E3243" s="1">
        <v>25</v>
      </c>
    </row>
    <row r="3244" spans="1:5" hidden="1" x14ac:dyDescent="0.25">
      <c r="A3244" s="115">
        <v>25.198</v>
      </c>
      <c r="B3244" s="115">
        <v>25.92</v>
      </c>
      <c r="C3244" s="1">
        <v>920</v>
      </c>
      <c r="D3244" s="1" t="s">
        <v>2654</v>
      </c>
      <c r="E3244" s="1">
        <v>25</v>
      </c>
    </row>
    <row r="3245" spans="1:5" hidden="1" x14ac:dyDescent="0.25">
      <c r="A3245" s="115">
        <v>25.199000000000002</v>
      </c>
      <c r="B3245" s="115">
        <v>25.925000000000001</v>
      </c>
      <c r="C3245" s="1">
        <v>925</v>
      </c>
      <c r="D3245" s="1" t="s">
        <v>2655</v>
      </c>
      <c r="E3245" s="1">
        <v>25</v>
      </c>
    </row>
    <row r="3246" spans="1:5" hidden="1" x14ac:dyDescent="0.25">
      <c r="A3246" s="115">
        <v>25.2</v>
      </c>
      <c r="B3246" s="115">
        <v>25.93</v>
      </c>
      <c r="C3246" s="1">
        <v>930</v>
      </c>
      <c r="D3246" s="1" t="s">
        <v>2656</v>
      </c>
      <c r="E3246" s="1">
        <v>25</v>
      </c>
    </row>
    <row r="3247" spans="1:5" hidden="1" x14ac:dyDescent="0.25">
      <c r="A3247" s="115">
        <v>25.201000000000001</v>
      </c>
      <c r="B3247" s="115">
        <v>25.934999999999999</v>
      </c>
      <c r="C3247" s="1">
        <v>935</v>
      </c>
      <c r="D3247" s="1" t="s">
        <v>2657</v>
      </c>
      <c r="E3247" s="1">
        <v>25</v>
      </c>
    </row>
    <row r="3248" spans="1:5" hidden="1" x14ac:dyDescent="0.25">
      <c r="A3248" s="115">
        <v>25.202000000000002</v>
      </c>
      <c r="B3248" s="115">
        <v>25.94</v>
      </c>
      <c r="C3248" s="1">
        <v>940</v>
      </c>
      <c r="D3248" s="1" t="s">
        <v>2658</v>
      </c>
      <c r="E3248" s="1">
        <v>25</v>
      </c>
    </row>
    <row r="3249" spans="1:5" hidden="1" x14ac:dyDescent="0.25">
      <c r="A3249" s="115">
        <v>25.202999999999999</v>
      </c>
      <c r="B3249" s="115">
        <v>25.95</v>
      </c>
      <c r="C3249" s="1">
        <v>950</v>
      </c>
      <c r="D3249" s="1" t="s">
        <v>2659</v>
      </c>
      <c r="E3249" s="1">
        <v>25</v>
      </c>
    </row>
    <row r="3250" spans="1:5" hidden="1" x14ac:dyDescent="0.25">
      <c r="A3250" s="115">
        <v>25.204000000000001</v>
      </c>
      <c r="B3250" s="115">
        <v>25.954999999999998</v>
      </c>
      <c r="C3250" s="1">
        <v>955</v>
      </c>
      <c r="D3250" s="1" t="s">
        <v>2660</v>
      </c>
      <c r="E3250" s="1">
        <v>25</v>
      </c>
    </row>
    <row r="3251" spans="1:5" hidden="1" x14ac:dyDescent="0.25">
      <c r="A3251" s="115">
        <v>25.204999999999998</v>
      </c>
      <c r="B3251" s="115">
        <v>25.96</v>
      </c>
      <c r="C3251" s="1">
        <v>960</v>
      </c>
      <c r="D3251" s="1" t="s">
        <v>2661</v>
      </c>
      <c r="E3251" s="1">
        <v>25</v>
      </c>
    </row>
    <row r="3252" spans="1:5" hidden="1" x14ac:dyDescent="0.25">
      <c r="A3252" s="115">
        <v>25.206</v>
      </c>
      <c r="B3252" s="115">
        <v>25.97</v>
      </c>
      <c r="C3252" s="1">
        <v>970</v>
      </c>
      <c r="D3252" s="1" t="s">
        <v>2662</v>
      </c>
      <c r="E3252" s="1">
        <v>25</v>
      </c>
    </row>
    <row r="3253" spans="1:5" hidden="1" x14ac:dyDescent="0.25">
      <c r="A3253" s="115">
        <v>25.207000000000001</v>
      </c>
      <c r="B3253" s="115">
        <v>25.98</v>
      </c>
      <c r="C3253" s="1">
        <v>980</v>
      </c>
      <c r="D3253" s="1" t="s">
        <v>2663</v>
      </c>
      <c r="E3253" s="1">
        <v>25</v>
      </c>
    </row>
    <row r="3254" spans="1:5" hidden="1" x14ac:dyDescent="0.25">
      <c r="A3254" s="115">
        <v>25.207999999999998</v>
      </c>
      <c r="B3254" s="115">
        <v>25.99</v>
      </c>
      <c r="C3254" s="1">
        <v>990</v>
      </c>
      <c r="D3254" s="1" t="s">
        <v>2664</v>
      </c>
      <c r="E3254" s="1">
        <v>25</v>
      </c>
    </row>
    <row r="3255" spans="1:5" hidden="1" x14ac:dyDescent="0.25">
      <c r="A3255" s="115">
        <v>25.209</v>
      </c>
      <c r="B3255" s="115">
        <v>25.1</v>
      </c>
      <c r="C3255" s="1">
        <v>1000</v>
      </c>
      <c r="D3255" s="1" t="s">
        <v>2665</v>
      </c>
      <c r="E3255" s="1">
        <v>25</v>
      </c>
    </row>
    <row r="3256" spans="1:5" hidden="1" x14ac:dyDescent="0.25">
      <c r="A3256" s="115">
        <v>25.21</v>
      </c>
      <c r="B3256" s="115">
        <v>25.11</v>
      </c>
      <c r="C3256" s="1">
        <v>1100</v>
      </c>
      <c r="D3256" s="1" t="s">
        <v>2666</v>
      </c>
      <c r="E3256" s="1">
        <v>25</v>
      </c>
    </row>
    <row r="3257" spans="1:5" hidden="1" x14ac:dyDescent="0.25">
      <c r="A3257" s="115">
        <v>25.210999999999999</v>
      </c>
      <c r="B3257" s="115">
        <v>25.111000000000001</v>
      </c>
      <c r="C3257" s="1">
        <v>1110</v>
      </c>
      <c r="D3257" s="1" t="s">
        <v>2667</v>
      </c>
      <c r="E3257" s="1">
        <v>25</v>
      </c>
    </row>
    <row r="3258" spans="1:5" hidden="1" x14ac:dyDescent="0.25">
      <c r="A3258" s="115">
        <v>25.212</v>
      </c>
      <c r="B3258" s="115">
        <v>25.111999999999998</v>
      </c>
      <c r="C3258" s="1">
        <v>1120</v>
      </c>
      <c r="D3258" s="1" t="s">
        <v>2668</v>
      </c>
      <c r="E3258" s="1">
        <v>25</v>
      </c>
    </row>
    <row r="3259" spans="1:5" hidden="1" x14ac:dyDescent="0.25">
      <c r="A3259" s="115">
        <v>25.213000000000001</v>
      </c>
      <c r="B3259" s="115">
        <v>25.113</v>
      </c>
      <c r="C3259" s="1">
        <v>1130</v>
      </c>
      <c r="D3259" s="1" t="s">
        <v>2669</v>
      </c>
      <c r="E3259" s="1">
        <v>25</v>
      </c>
    </row>
    <row r="3260" spans="1:5" hidden="1" x14ac:dyDescent="0.25">
      <c r="A3260" s="115">
        <v>25.213999999999999</v>
      </c>
      <c r="B3260" s="115">
        <v>25.114000000000001</v>
      </c>
      <c r="C3260" s="1">
        <v>1140</v>
      </c>
      <c r="D3260" s="1" t="s">
        <v>2670</v>
      </c>
      <c r="E3260" s="1">
        <v>25</v>
      </c>
    </row>
    <row r="3261" spans="1:5" hidden="1" x14ac:dyDescent="0.25">
      <c r="A3261" s="115">
        <v>25.215</v>
      </c>
      <c r="B3261" s="115">
        <v>25.114999999999998</v>
      </c>
      <c r="C3261" s="1">
        <v>1150</v>
      </c>
      <c r="D3261" s="1" t="s">
        <v>2671</v>
      </c>
      <c r="E3261" s="1">
        <v>25</v>
      </c>
    </row>
    <row r="3262" spans="1:5" hidden="1" x14ac:dyDescent="0.25">
      <c r="A3262" s="115">
        <v>25.216000000000001</v>
      </c>
      <c r="B3262" s="115">
        <v>25.116</v>
      </c>
      <c r="C3262" s="1">
        <v>1160</v>
      </c>
      <c r="D3262" s="1" t="s">
        <v>2672</v>
      </c>
      <c r="E3262" s="1">
        <v>25</v>
      </c>
    </row>
    <row r="3263" spans="1:5" hidden="1" x14ac:dyDescent="0.25">
      <c r="A3263" s="115">
        <v>25.216999999999999</v>
      </c>
      <c r="B3263" s="115">
        <v>25.117000000000001</v>
      </c>
      <c r="C3263" s="1">
        <v>1170</v>
      </c>
      <c r="D3263" s="1" t="s">
        <v>2673</v>
      </c>
      <c r="E3263" s="1">
        <v>25</v>
      </c>
    </row>
    <row r="3264" spans="1:5" hidden="1" x14ac:dyDescent="0.25">
      <c r="A3264" s="115">
        <v>25.218</v>
      </c>
      <c r="B3264" s="115">
        <v>25.117999999999999</v>
      </c>
      <c r="C3264" s="1">
        <v>1180</v>
      </c>
      <c r="D3264" s="1" t="s">
        <v>2674</v>
      </c>
      <c r="E3264" s="1">
        <v>25</v>
      </c>
    </row>
    <row r="3265" spans="1:5" hidden="1" x14ac:dyDescent="0.25">
      <c r="A3265" s="115">
        <v>25.219000000000001</v>
      </c>
      <c r="B3265" s="115">
        <v>25.119</v>
      </c>
      <c r="C3265" s="1">
        <v>1190</v>
      </c>
      <c r="D3265" s="1" t="s">
        <v>2675</v>
      </c>
      <c r="E3265" s="1">
        <v>25</v>
      </c>
    </row>
    <row r="3266" spans="1:5" hidden="1" x14ac:dyDescent="0.25">
      <c r="A3266" s="115">
        <v>25.22</v>
      </c>
      <c r="B3266" s="115">
        <v>25.12</v>
      </c>
      <c r="C3266" s="1">
        <v>1200</v>
      </c>
      <c r="D3266" s="1" t="s">
        <v>2676</v>
      </c>
      <c r="E3266" s="1">
        <v>25</v>
      </c>
    </row>
    <row r="3267" spans="1:5" hidden="1" x14ac:dyDescent="0.25">
      <c r="A3267" s="115">
        <v>25.221</v>
      </c>
      <c r="B3267" s="115">
        <v>25.120999999999999</v>
      </c>
      <c r="C3267" s="1">
        <v>1210</v>
      </c>
      <c r="D3267" s="1" t="s">
        <v>2677</v>
      </c>
      <c r="E3267" s="1">
        <v>25</v>
      </c>
    </row>
    <row r="3268" spans="1:5" hidden="1" x14ac:dyDescent="0.25">
      <c r="A3268" s="115">
        <v>25.222000000000001</v>
      </c>
      <c r="B3268" s="115">
        <v>25.122</v>
      </c>
      <c r="C3268" s="1">
        <v>1220</v>
      </c>
      <c r="D3268" s="1" t="s">
        <v>2678</v>
      </c>
      <c r="E3268" s="1">
        <v>25</v>
      </c>
    </row>
    <row r="3269" spans="1:5" hidden="1" x14ac:dyDescent="0.25">
      <c r="A3269" s="115">
        <v>25.222999999999999</v>
      </c>
      <c r="B3269" s="115">
        <v>25.123000000000001</v>
      </c>
      <c r="C3269" s="1">
        <v>1230</v>
      </c>
      <c r="D3269" s="1" t="s">
        <v>2679</v>
      </c>
      <c r="E3269" s="1">
        <v>25</v>
      </c>
    </row>
    <row r="3270" spans="1:5" hidden="1" x14ac:dyDescent="0.25">
      <c r="A3270" s="115">
        <v>25.224</v>
      </c>
      <c r="B3270" s="115">
        <v>25.123999999999999</v>
      </c>
      <c r="C3270" s="1">
        <v>1240</v>
      </c>
      <c r="D3270" s="1" t="s">
        <v>2680</v>
      </c>
      <c r="E3270" s="1">
        <v>25</v>
      </c>
    </row>
    <row r="3271" spans="1:5" hidden="1" x14ac:dyDescent="0.25">
      <c r="A3271" s="115">
        <v>25.225000000000001</v>
      </c>
      <c r="B3271" s="115">
        <v>25.125</v>
      </c>
      <c r="C3271" s="1">
        <v>1250</v>
      </c>
      <c r="D3271" s="1" t="s">
        <v>2681</v>
      </c>
      <c r="E3271" s="1">
        <v>25</v>
      </c>
    </row>
    <row r="3272" spans="1:5" hidden="1" x14ac:dyDescent="0.25">
      <c r="A3272" s="115">
        <v>25.225999999999999</v>
      </c>
      <c r="B3272" s="115">
        <v>25.126000000000001</v>
      </c>
      <c r="C3272" s="1">
        <v>1260</v>
      </c>
      <c r="D3272" s="1" t="s">
        <v>2682</v>
      </c>
      <c r="E3272" s="1">
        <v>25</v>
      </c>
    </row>
    <row r="3273" spans="1:5" hidden="1" x14ac:dyDescent="0.25">
      <c r="A3273" s="115">
        <v>25.227</v>
      </c>
      <c r="B3273" s="115">
        <v>25.126999999999999</v>
      </c>
      <c r="C3273" s="1">
        <v>1270</v>
      </c>
      <c r="D3273" s="1" t="s">
        <v>2683</v>
      </c>
      <c r="E3273" s="1">
        <v>25</v>
      </c>
    </row>
    <row r="3274" spans="1:5" hidden="1" x14ac:dyDescent="0.25">
      <c r="A3274" s="115">
        <v>25.228000000000002</v>
      </c>
      <c r="B3274" s="115">
        <v>25.128</v>
      </c>
      <c r="C3274" s="1">
        <v>1280</v>
      </c>
      <c r="D3274" s="1" t="s">
        <v>2684</v>
      </c>
      <c r="E3274" s="1">
        <v>25</v>
      </c>
    </row>
    <row r="3275" spans="1:5" hidden="1" x14ac:dyDescent="0.25">
      <c r="A3275" s="115">
        <v>25.228999999999999</v>
      </c>
      <c r="B3275" s="115">
        <v>25.13</v>
      </c>
      <c r="C3275" s="1">
        <v>1300</v>
      </c>
      <c r="D3275" s="1" t="s">
        <v>2685</v>
      </c>
      <c r="E3275" s="1">
        <v>25</v>
      </c>
    </row>
    <row r="3276" spans="1:5" hidden="1" x14ac:dyDescent="0.25">
      <c r="A3276" s="115">
        <v>25.23</v>
      </c>
      <c r="B3276" s="115">
        <v>25.131</v>
      </c>
      <c r="C3276" s="1">
        <v>1310</v>
      </c>
      <c r="D3276" s="1" t="s">
        <v>2686</v>
      </c>
      <c r="E3276" s="1">
        <v>25</v>
      </c>
    </row>
    <row r="3277" spans="1:5" hidden="1" x14ac:dyDescent="0.25">
      <c r="A3277" s="115">
        <v>25.231000000000002</v>
      </c>
      <c r="B3277" s="115">
        <v>25.132000000000001</v>
      </c>
      <c r="C3277" s="1">
        <v>1320</v>
      </c>
      <c r="D3277" s="1" t="s">
        <v>2687</v>
      </c>
      <c r="E3277" s="1">
        <v>25</v>
      </c>
    </row>
    <row r="3278" spans="1:5" hidden="1" x14ac:dyDescent="0.25">
      <c r="A3278" s="115">
        <v>26.100999999999999</v>
      </c>
      <c r="B3278" s="115">
        <v>26.1</v>
      </c>
      <c r="C3278" s="1">
        <v>10</v>
      </c>
      <c r="D3278" s="1" t="s">
        <v>2559</v>
      </c>
      <c r="E3278" s="1">
        <v>26</v>
      </c>
    </row>
    <row r="3279" spans="1:5" hidden="1" x14ac:dyDescent="0.25">
      <c r="A3279" s="115">
        <v>26.102</v>
      </c>
      <c r="B3279" s="115">
        <v>26.2</v>
      </c>
      <c r="C3279" s="1">
        <v>20</v>
      </c>
      <c r="D3279" s="1" t="s">
        <v>2560</v>
      </c>
      <c r="E3279" s="1">
        <v>26</v>
      </c>
    </row>
    <row r="3280" spans="1:5" hidden="1" x14ac:dyDescent="0.25">
      <c r="A3280" s="115">
        <v>26.103000000000002</v>
      </c>
      <c r="B3280" s="115">
        <v>26.3</v>
      </c>
      <c r="C3280" s="1">
        <v>30</v>
      </c>
      <c r="D3280" s="1" t="s">
        <v>2561</v>
      </c>
      <c r="E3280" s="1">
        <v>26</v>
      </c>
    </row>
    <row r="3281" spans="1:5" hidden="1" x14ac:dyDescent="0.25">
      <c r="A3281" s="115">
        <v>26.103999999999999</v>
      </c>
      <c r="B3281" s="115">
        <v>26.4</v>
      </c>
      <c r="C3281" s="1">
        <v>40</v>
      </c>
      <c r="D3281" s="1" t="s">
        <v>2562</v>
      </c>
      <c r="E3281" s="1">
        <v>26</v>
      </c>
    </row>
    <row r="3282" spans="1:5" hidden="1" x14ac:dyDescent="0.25">
      <c r="A3282" s="115">
        <v>26.105</v>
      </c>
      <c r="B3282" s="115">
        <v>26.5</v>
      </c>
      <c r="C3282" s="1">
        <v>50</v>
      </c>
      <c r="D3282" s="1" t="s">
        <v>2563</v>
      </c>
      <c r="E3282" s="1">
        <v>26</v>
      </c>
    </row>
    <row r="3283" spans="1:5" hidden="1" x14ac:dyDescent="0.25">
      <c r="A3283" s="115">
        <v>26.106000000000002</v>
      </c>
      <c r="B3283" s="115">
        <v>26.6</v>
      </c>
      <c r="C3283" s="1">
        <v>60</v>
      </c>
      <c r="D3283" s="1" t="s">
        <v>2564</v>
      </c>
      <c r="E3283" s="1">
        <v>26</v>
      </c>
    </row>
    <row r="3284" spans="1:5" hidden="1" x14ac:dyDescent="0.25">
      <c r="A3284" s="115">
        <v>26.106999999999999</v>
      </c>
      <c r="B3284" s="115">
        <v>26.7</v>
      </c>
      <c r="C3284" s="1">
        <v>70</v>
      </c>
      <c r="D3284" s="1" t="s">
        <v>2565</v>
      </c>
      <c r="E3284" s="1">
        <v>26</v>
      </c>
    </row>
    <row r="3285" spans="1:5" hidden="1" x14ac:dyDescent="0.25">
      <c r="A3285" s="115">
        <v>26.108000000000001</v>
      </c>
      <c r="B3285" s="115">
        <v>26.8</v>
      </c>
      <c r="C3285" s="1">
        <v>80</v>
      </c>
      <c r="D3285" s="1" t="s">
        <v>2566</v>
      </c>
      <c r="E3285" s="1">
        <v>26</v>
      </c>
    </row>
    <row r="3286" spans="1:5" hidden="1" x14ac:dyDescent="0.25">
      <c r="A3286" s="115">
        <v>26.109000000000002</v>
      </c>
      <c r="B3286" s="115">
        <v>26.9</v>
      </c>
      <c r="C3286" s="1">
        <v>90</v>
      </c>
      <c r="D3286" s="1" t="s">
        <v>2567</v>
      </c>
      <c r="E3286" s="1">
        <v>26</v>
      </c>
    </row>
    <row r="3287" spans="1:5" hidden="1" x14ac:dyDescent="0.25">
      <c r="A3287" s="115">
        <v>26.11</v>
      </c>
      <c r="B3287" s="115">
        <v>26.1</v>
      </c>
      <c r="C3287" s="1">
        <v>100</v>
      </c>
      <c r="D3287" s="1" t="s">
        <v>2568</v>
      </c>
      <c r="E3287" s="1">
        <v>26</v>
      </c>
    </row>
    <row r="3288" spans="1:5" hidden="1" x14ac:dyDescent="0.25">
      <c r="A3288" s="115">
        <v>26.111000000000001</v>
      </c>
      <c r="B3288" s="115">
        <v>26.11</v>
      </c>
      <c r="C3288" s="1">
        <v>110</v>
      </c>
      <c r="D3288" s="1" t="s">
        <v>2569</v>
      </c>
      <c r="E3288" s="1">
        <v>26</v>
      </c>
    </row>
    <row r="3289" spans="1:5" hidden="1" x14ac:dyDescent="0.25">
      <c r="A3289" s="115">
        <v>26.111999999999998</v>
      </c>
      <c r="B3289" s="115">
        <v>26.12</v>
      </c>
      <c r="C3289" s="1">
        <v>120</v>
      </c>
      <c r="D3289" s="1" t="s">
        <v>2570</v>
      </c>
      <c r="E3289" s="1">
        <v>26</v>
      </c>
    </row>
    <row r="3290" spans="1:5" hidden="1" x14ac:dyDescent="0.25">
      <c r="A3290" s="115">
        <v>26.113</v>
      </c>
      <c r="B3290" s="115">
        <v>26.13</v>
      </c>
      <c r="C3290" s="1">
        <v>130</v>
      </c>
      <c r="D3290" s="1" t="s">
        <v>2571</v>
      </c>
      <c r="E3290" s="1">
        <v>26</v>
      </c>
    </row>
    <row r="3291" spans="1:5" hidden="1" x14ac:dyDescent="0.25">
      <c r="A3291" s="115">
        <v>26.114000000000001</v>
      </c>
      <c r="B3291" s="115">
        <v>26.14</v>
      </c>
      <c r="C3291" s="1">
        <v>140</v>
      </c>
      <c r="D3291" s="1" t="s">
        <v>2572</v>
      </c>
      <c r="E3291" s="1">
        <v>26</v>
      </c>
    </row>
    <row r="3292" spans="1:5" hidden="1" x14ac:dyDescent="0.25">
      <c r="A3292" s="115">
        <v>26.114999999999998</v>
      </c>
      <c r="B3292" s="115">
        <v>26.15</v>
      </c>
      <c r="C3292" s="1">
        <v>150</v>
      </c>
      <c r="D3292" s="1" t="s">
        <v>2573</v>
      </c>
      <c r="E3292" s="1">
        <v>26</v>
      </c>
    </row>
    <row r="3293" spans="1:5" hidden="1" x14ac:dyDescent="0.25">
      <c r="A3293" s="115">
        <v>26.116</v>
      </c>
      <c r="B3293" s="115">
        <v>26.16</v>
      </c>
      <c r="C3293" s="1">
        <v>160</v>
      </c>
      <c r="D3293" s="1" t="s">
        <v>2574</v>
      </c>
      <c r="E3293" s="1">
        <v>26</v>
      </c>
    </row>
    <row r="3294" spans="1:5" hidden="1" x14ac:dyDescent="0.25">
      <c r="A3294" s="115">
        <v>26.117000000000001</v>
      </c>
      <c r="B3294" s="115">
        <v>26.17</v>
      </c>
      <c r="C3294" s="1">
        <v>170</v>
      </c>
      <c r="D3294" s="1" t="s">
        <v>2575</v>
      </c>
      <c r="E3294" s="1">
        <v>26</v>
      </c>
    </row>
    <row r="3295" spans="1:5" hidden="1" x14ac:dyDescent="0.25">
      <c r="A3295" s="115">
        <v>26.117999999999999</v>
      </c>
      <c r="B3295" s="115">
        <v>26.18</v>
      </c>
      <c r="C3295" s="1">
        <v>180</v>
      </c>
      <c r="D3295" s="1" t="s">
        <v>2576</v>
      </c>
      <c r="E3295" s="1">
        <v>26</v>
      </c>
    </row>
    <row r="3296" spans="1:5" hidden="1" x14ac:dyDescent="0.25">
      <c r="A3296" s="115">
        <v>26.119</v>
      </c>
      <c r="B3296" s="115">
        <v>26.19</v>
      </c>
      <c r="C3296" s="1">
        <v>190</v>
      </c>
      <c r="D3296" s="1" t="s">
        <v>2577</v>
      </c>
      <c r="E3296" s="1">
        <v>26</v>
      </c>
    </row>
    <row r="3297" spans="1:5" hidden="1" x14ac:dyDescent="0.25">
      <c r="A3297" s="115">
        <v>26.12</v>
      </c>
      <c r="B3297" s="115">
        <v>26.2</v>
      </c>
      <c r="C3297" s="1">
        <v>200</v>
      </c>
      <c r="D3297" s="1" t="s">
        <v>2578</v>
      </c>
      <c r="E3297" s="1">
        <v>26</v>
      </c>
    </row>
    <row r="3298" spans="1:5" hidden="1" x14ac:dyDescent="0.25">
      <c r="A3298" s="115">
        <v>26.120999999999999</v>
      </c>
      <c r="B3298" s="115">
        <v>26.21</v>
      </c>
      <c r="C3298" s="1">
        <v>210</v>
      </c>
      <c r="D3298" s="1" t="s">
        <v>2579</v>
      </c>
      <c r="E3298" s="1">
        <v>26</v>
      </c>
    </row>
    <row r="3299" spans="1:5" hidden="1" x14ac:dyDescent="0.25">
      <c r="A3299" s="115">
        <v>26.122</v>
      </c>
      <c r="B3299" s="115">
        <v>26.22</v>
      </c>
      <c r="C3299" s="1">
        <v>220</v>
      </c>
      <c r="D3299" s="1" t="s">
        <v>2580</v>
      </c>
      <c r="E3299" s="1">
        <v>26</v>
      </c>
    </row>
    <row r="3300" spans="1:5" hidden="1" x14ac:dyDescent="0.25">
      <c r="A3300" s="115">
        <v>26.123000000000001</v>
      </c>
      <c r="B3300" s="115">
        <v>26.23</v>
      </c>
      <c r="C3300" s="1">
        <v>230</v>
      </c>
      <c r="D3300" s="1" t="s">
        <v>2581</v>
      </c>
      <c r="E3300" s="1">
        <v>26</v>
      </c>
    </row>
    <row r="3301" spans="1:5" hidden="1" x14ac:dyDescent="0.25">
      <c r="A3301" s="115">
        <v>26.123999999999999</v>
      </c>
      <c r="B3301" s="115">
        <v>26.24</v>
      </c>
      <c r="C3301" s="1">
        <v>240</v>
      </c>
      <c r="D3301" s="1" t="s">
        <v>2582</v>
      </c>
      <c r="E3301" s="1">
        <v>26</v>
      </c>
    </row>
    <row r="3302" spans="1:5" hidden="1" x14ac:dyDescent="0.25">
      <c r="A3302" s="115">
        <v>26.125</v>
      </c>
      <c r="B3302" s="115">
        <v>26.25</v>
      </c>
      <c r="C3302" s="1">
        <v>250</v>
      </c>
      <c r="D3302" s="1" t="s">
        <v>2583</v>
      </c>
      <c r="E3302" s="1">
        <v>26</v>
      </c>
    </row>
    <row r="3303" spans="1:5" hidden="1" x14ac:dyDescent="0.25">
      <c r="A3303" s="115">
        <v>26.126000000000001</v>
      </c>
      <c r="B3303" s="115">
        <v>26.26</v>
      </c>
      <c r="C3303" s="1">
        <v>260</v>
      </c>
      <c r="D3303" s="1" t="s">
        <v>2584</v>
      </c>
      <c r="E3303" s="1">
        <v>26</v>
      </c>
    </row>
    <row r="3304" spans="1:5" hidden="1" x14ac:dyDescent="0.25">
      <c r="A3304" s="115">
        <v>26.126999999999999</v>
      </c>
      <c r="B3304" s="115">
        <v>26.27</v>
      </c>
      <c r="C3304" s="1">
        <v>270</v>
      </c>
      <c r="D3304" s="1" t="s">
        <v>2585</v>
      </c>
      <c r="E3304" s="1">
        <v>26</v>
      </c>
    </row>
    <row r="3305" spans="1:5" hidden="1" x14ac:dyDescent="0.25">
      <c r="A3305" s="115">
        <v>26.128</v>
      </c>
      <c r="B3305" s="115">
        <v>26.28</v>
      </c>
      <c r="C3305" s="1">
        <v>280</v>
      </c>
      <c r="D3305" s="1" t="s">
        <v>2586</v>
      </c>
      <c r="E3305" s="1">
        <v>26</v>
      </c>
    </row>
    <row r="3306" spans="1:5" hidden="1" x14ac:dyDescent="0.25">
      <c r="A3306" s="115">
        <v>26.129000000000001</v>
      </c>
      <c r="B3306" s="115">
        <v>26.29</v>
      </c>
      <c r="C3306" s="1">
        <v>290</v>
      </c>
      <c r="D3306" s="1" t="s">
        <v>2587</v>
      </c>
      <c r="E3306" s="1">
        <v>26</v>
      </c>
    </row>
    <row r="3307" spans="1:5" hidden="1" x14ac:dyDescent="0.25">
      <c r="A3307" s="115">
        <v>26.13</v>
      </c>
      <c r="B3307" s="115">
        <v>26.3</v>
      </c>
      <c r="C3307" s="1">
        <v>300</v>
      </c>
      <c r="D3307" s="1" t="s">
        <v>2588</v>
      </c>
      <c r="E3307" s="1">
        <v>26</v>
      </c>
    </row>
    <row r="3308" spans="1:5" hidden="1" x14ac:dyDescent="0.25">
      <c r="A3308" s="115">
        <v>26.131</v>
      </c>
      <c r="B3308" s="115">
        <v>26.31</v>
      </c>
      <c r="C3308" s="1">
        <v>310</v>
      </c>
      <c r="D3308" s="1" t="s">
        <v>2589</v>
      </c>
      <c r="E3308" s="1">
        <v>26</v>
      </c>
    </row>
    <row r="3309" spans="1:5" hidden="1" x14ac:dyDescent="0.25">
      <c r="A3309" s="115">
        <v>26.132000000000001</v>
      </c>
      <c r="B3309" s="115">
        <v>26.32</v>
      </c>
      <c r="C3309" s="1">
        <v>320</v>
      </c>
      <c r="D3309" s="1" t="s">
        <v>2590</v>
      </c>
      <c r="E3309" s="1">
        <v>26</v>
      </c>
    </row>
    <row r="3310" spans="1:5" hidden="1" x14ac:dyDescent="0.25">
      <c r="A3310" s="115">
        <v>26.132999999999999</v>
      </c>
      <c r="B3310" s="115">
        <v>26.33</v>
      </c>
      <c r="C3310" s="1">
        <v>330</v>
      </c>
      <c r="D3310" s="1" t="s">
        <v>2591</v>
      </c>
      <c r="E3310" s="1">
        <v>26</v>
      </c>
    </row>
    <row r="3311" spans="1:5" hidden="1" x14ac:dyDescent="0.25">
      <c r="A3311" s="115">
        <v>26.134</v>
      </c>
      <c r="B3311" s="115">
        <v>26.34</v>
      </c>
      <c r="C3311" s="1">
        <v>340</v>
      </c>
      <c r="D3311" s="1" t="s">
        <v>2592</v>
      </c>
      <c r="E3311" s="1">
        <v>26</v>
      </c>
    </row>
    <row r="3312" spans="1:5" hidden="1" x14ac:dyDescent="0.25">
      <c r="A3312" s="115">
        <v>26.135000000000002</v>
      </c>
      <c r="B3312" s="115">
        <v>26.35</v>
      </c>
      <c r="C3312" s="1">
        <v>350</v>
      </c>
      <c r="D3312" s="1" t="s">
        <v>2593</v>
      </c>
      <c r="E3312" s="1">
        <v>26</v>
      </c>
    </row>
    <row r="3313" spans="1:5" hidden="1" x14ac:dyDescent="0.25">
      <c r="A3313" s="115">
        <v>26.135999999999999</v>
      </c>
      <c r="B3313" s="115">
        <v>26.36</v>
      </c>
      <c r="C3313" s="1">
        <v>360</v>
      </c>
      <c r="D3313" s="1" t="s">
        <v>2594</v>
      </c>
      <c r="E3313" s="1">
        <v>26</v>
      </c>
    </row>
    <row r="3314" spans="1:5" hidden="1" x14ac:dyDescent="0.25">
      <c r="A3314" s="115">
        <v>26.137</v>
      </c>
      <c r="B3314" s="115">
        <v>26.37</v>
      </c>
      <c r="C3314" s="1">
        <v>370</v>
      </c>
      <c r="D3314" s="1" t="s">
        <v>2595</v>
      </c>
      <c r="E3314" s="1">
        <v>26</v>
      </c>
    </row>
    <row r="3315" spans="1:5" hidden="1" x14ac:dyDescent="0.25">
      <c r="A3315" s="115">
        <v>26.138000000000002</v>
      </c>
      <c r="B3315" s="115">
        <v>26.38</v>
      </c>
      <c r="C3315" s="1">
        <v>380</v>
      </c>
      <c r="D3315" s="1" t="s">
        <v>2596</v>
      </c>
      <c r="E3315" s="1">
        <v>26</v>
      </c>
    </row>
    <row r="3316" spans="1:5" hidden="1" x14ac:dyDescent="0.25">
      <c r="A3316" s="115">
        <v>26.138999999999999</v>
      </c>
      <c r="B3316" s="115">
        <v>26.39</v>
      </c>
      <c r="C3316" s="1">
        <v>390</v>
      </c>
      <c r="D3316" s="1" t="s">
        <v>2597</v>
      </c>
      <c r="E3316" s="1">
        <v>26</v>
      </c>
    </row>
    <row r="3317" spans="1:5" hidden="1" x14ac:dyDescent="0.25">
      <c r="A3317" s="115">
        <v>26.14</v>
      </c>
      <c r="B3317" s="115">
        <v>26.4</v>
      </c>
      <c r="C3317" s="1">
        <v>400</v>
      </c>
      <c r="D3317" s="1" t="s">
        <v>2598</v>
      </c>
      <c r="E3317" s="1">
        <v>26</v>
      </c>
    </row>
    <row r="3318" spans="1:5" hidden="1" x14ac:dyDescent="0.25">
      <c r="A3318" s="115">
        <v>26.140999999999998</v>
      </c>
      <c r="B3318" s="115">
        <v>26.41</v>
      </c>
      <c r="C3318" s="1">
        <v>410</v>
      </c>
      <c r="D3318" s="1" t="s">
        <v>2599</v>
      </c>
      <c r="E3318" s="1">
        <v>26</v>
      </c>
    </row>
    <row r="3319" spans="1:5" hidden="1" x14ac:dyDescent="0.25">
      <c r="A3319" s="115">
        <v>26.141999999999999</v>
      </c>
      <c r="B3319" s="115">
        <v>26.42</v>
      </c>
      <c r="C3319" s="1">
        <v>420</v>
      </c>
      <c r="D3319" s="1" t="s">
        <v>2600</v>
      </c>
      <c r="E3319" s="1">
        <v>26</v>
      </c>
    </row>
    <row r="3320" spans="1:5" hidden="1" x14ac:dyDescent="0.25">
      <c r="A3320" s="115">
        <v>26.143000000000001</v>
      </c>
      <c r="B3320" s="115">
        <v>26.43</v>
      </c>
      <c r="C3320" s="1">
        <v>430</v>
      </c>
      <c r="D3320" s="1" t="s">
        <v>2601</v>
      </c>
      <c r="E3320" s="1">
        <v>26</v>
      </c>
    </row>
    <row r="3321" spans="1:5" hidden="1" x14ac:dyDescent="0.25">
      <c r="A3321" s="115">
        <v>26.143999999999998</v>
      </c>
      <c r="B3321" s="115">
        <v>26.44</v>
      </c>
      <c r="C3321" s="1">
        <v>440</v>
      </c>
      <c r="D3321" s="1" t="s">
        <v>2602</v>
      </c>
      <c r="E3321" s="1">
        <v>26</v>
      </c>
    </row>
    <row r="3322" spans="1:5" hidden="1" x14ac:dyDescent="0.25">
      <c r="A3322" s="115">
        <v>26.145</v>
      </c>
      <c r="B3322" s="115">
        <v>26.445</v>
      </c>
      <c r="C3322" s="1">
        <v>445</v>
      </c>
      <c r="D3322" s="1" t="s">
        <v>2603</v>
      </c>
      <c r="E3322" s="1">
        <v>26</v>
      </c>
    </row>
    <row r="3323" spans="1:5" hidden="1" x14ac:dyDescent="0.25">
      <c r="A3323" s="115">
        <v>26.146000000000001</v>
      </c>
      <c r="B3323" s="115">
        <v>26.45</v>
      </c>
      <c r="C3323" s="1">
        <v>450</v>
      </c>
      <c r="D3323" s="1" t="s">
        <v>2604</v>
      </c>
      <c r="E3323" s="1">
        <v>26</v>
      </c>
    </row>
    <row r="3324" spans="1:5" hidden="1" x14ac:dyDescent="0.25">
      <c r="A3324" s="115">
        <v>26.146999999999998</v>
      </c>
      <c r="B3324" s="115">
        <v>26.46</v>
      </c>
      <c r="C3324" s="1">
        <v>460</v>
      </c>
      <c r="D3324" s="1" t="s">
        <v>2605</v>
      </c>
      <c r="E3324" s="1">
        <v>26</v>
      </c>
    </row>
    <row r="3325" spans="1:5" hidden="1" x14ac:dyDescent="0.25">
      <c r="A3325" s="115">
        <v>26.148</v>
      </c>
      <c r="B3325" s="115">
        <v>26.47</v>
      </c>
      <c r="C3325" s="1">
        <v>470</v>
      </c>
      <c r="D3325" s="1" t="s">
        <v>2606</v>
      </c>
      <c r="E3325" s="1">
        <v>26</v>
      </c>
    </row>
    <row r="3326" spans="1:5" hidden="1" x14ac:dyDescent="0.25">
      <c r="A3326" s="115">
        <v>26.149000000000001</v>
      </c>
      <c r="B3326" s="115">
        <v>26.48</v>
      </c>
      <c r="C3326" s="1">
        <v>480</v>
      </c>
      <c r="D3326" s="1" t="s">
        <v>2607</v>
      </c>
      <c r="E3326" s="1">
        <v>26</v>
      </c>
    </row>
    <row r="3327" spans="1:5" hidden="1" x14ac:dyDescent="0.25">
      <c r="A3327" s="115">
        <v>26.15</v>
      </c>
      <c r="B3327" s="115">
        <v>26.49</v>
      </c>
      <c r="C3327" s="1">
        <v>490</v>
      </c>
      <c r="D3327" s="1" t="s">
        <v>2608</v>
      </c>
      <c r="E3327" s="1">
        <v>26</v>
      </c>
    </row>
    <row r="3328" spans="1:5" hidden="1" x14ac:dyDescent="0.25">
      <c r="A3328" s="115">
        <v>26.151</v>
      </c>
      <c r="B3328" s="115">
        <v>26.5</v>
      </c>
      <c r="C3328" s="1">
        <v>500</v>
      </c>
      <c r="D3328" s="1" t="s">
        <v>2609</v>
      </c>
      <c r="E3328" s="1">
        <v>26</v>
      </c>
    </row>
    <row r="3329" spans="1:5" hidden="1" x14ac:dyDescent="0.25">
      <c r="A3329" s="115">
        <v>26.152000000000001</v>
      </c>
      <c r="B3329" s="115">
        <v>26.51</v>
      </c>
      <c r="C3329" s="1">
        <v>510</v>
      </c>
      <c r="D3329" s="1" t="s">
        <v>2610</v>
      </c>
      <c r="E3329" s="1">
        <v>26</v>
      </c>
    </row>
    <row r="3330" spans="1:5" hidden="1" x14ac:dyDescent="0.25">
      <c r="A3330" s="115">
        <v>26.152999999999999</v>
      </c>
      <c r="B3330" s="115">
        <v>26.52</v>
      </c>
      <c r="C3330" s="1">
        <v>520</v>
      </c>
      <c r="D3330" s="1" t="s">
        <v>2611</v>
      </c>
      <c r="E3330" s="1">
        <v>26</v>
      </c>
    </row>
    <row r="3331" spans="1:5" hidden="1" x14ac:dyDescent="0.25">
      <c r="A3331" s="115">
        <v>26.154</v>
      </c>
      <c r="B3331" s="115">
        <v>26.53</v>
      </c>
      <c r="C3331" s="1">
        <v>530</v>
      </c>
      <c r="D3331" s="1" t="s">
        <v>2612</v>
      </c>
      <c r="E3331" s="1">
        <v>26</v>
      </c>
    </row>
    <row r="3332" spans="1:5" hidden="1" x14ac:dyDescent="0.25">
      <c r="A3332" s="115">
        <v>26.155000000000001</v>
      </c>
      <c r="B3332" s="115">
        <v>26.54</v>
      </c>
      <c r="C3332" s="1">
        <v>540</v>
      </c>
      <c r="D3332" s="1" t="s">
        <v>2613</v>
      </c>
      <c r="E3332" s="1">
        <v>26</v>
      </c>
    </row>
    <row r="3333" spans="1:5" hidden="1" x14ac:dyDescent="0.25">
      <c r="A3333" s="115">
        <v>26.155999999999999</v>
      </c>
      <c r="B3333" s="115">
        <v>26.55</v>
      </c>
      <c r="C3333" s="1">
        <v>550</v>
      </c>
      <c r="D3333" s="1" t="s">
        <v>2614</v>
      </c>
      <c r="E3333" s="1">
        <v>26</v>
      </c>
    </row>
    <row r="3334" spans="1:5" hidden="1" x14ac:dyDescent="0.25">
      <c r="A3334" s="115">
        <v>26.157</v>
      </c>
      <c r="B3334" s="115">
        <v>26.56</v>
      </c>
      <c r="C3334" s="1">
        <v>560</v>
      </c>
      <c r="D3334" s="1" t="s">
        <v>2615</v>
      </c>
      <c r="E3334" s="1">
        <v>26</v>
      </c>
    </row>
    <row r="3335" spans="1:5" hidden="1" x14ac:dyDescent="0.25">
      <c r="A3335" s="115">
        <v>26.158000000000001</v>
      </c>
      <c r="B3335" s="115">
        <v>26.57</v>
      </c>
      <c r="C3335" s="1">
        <v>570</v>
      </c>
      <c r="D3335" s="1" t="s">
        <v>2616</v>
      </c>
      <c r="E3335" s="1">
        <v>26</v>
      </c>
    </row>
    <row r="3336" spans="1:5" hidden="1" x14ac:dyDescent="0.25">
      <c r="A3336" s="115">
        <v>26.158999999999999</v>
      </c>
      <c r="B3336" s="115">
        <v>26.574999999999999</v>
      </c>
      <c r="C3336" s="1">
        <v>575</v>
      </c>
      <c r="D3336" s="1" t="s">
        <v>2617</v>
      </c>
      <c r="E3336" s="1">
        <v>26</v>
      </c>
    </row>
    <row r="3337" spans="1:5" hidden="1" x14ac:dyDescent="0.25">
      <c r="A3337" s="115">
        <v>26.16</v>
      </c>
      <c r="B3337" s="115">
        <v>26.576000000000001</v>
      </c>
      <c r="C3337" s="1">
        <v>576</v>
      </c>
      <c r="D3337" s="1" t="s">
        <v>2618</v>
      </c>
      <c r="E3337" s="1">
        <v>26</v>
      </c>
    </row>
    <row r="3338" spans="1:5" hidden="1" x14ac:dyDescent="0.25">
      <c r="A3338" s="115">
        <v>26.161000000000001</v>
      </c>
      <c r="B3338" s="115">
        <v>26.58</v>
      </c>
      <c r="C3338" s="1">
        <v>580</v>
      </c>
      <c r="D3338" s="1" t="s">
        <v>2619</v>
      </c>
      <c r="E3338" s="1">
        <v>26</v>
      </c>
    </row>
    <row r="3339" spans="1:5" hidden="1" x14ac:dyDescent="0.25">
      <c r="A3339" s="115">
        <v>26.161999999999999</v>
      </c>
      <c r="B3339" s="115">
        <v>26.59</v>
      </c>
      <c r="C3339" s="1">
        <v>590</v>
      </c>
      <c r="D3339" s="1" t="s">
        <v>1099</v>
      </c>
      <c r="E3339" s="1">
        <v>26</v>
      </c>
    </row>
    <row r="3340" spans="1:5" hidden="1" x14ac:dyDescent="0.25">
      <c r="A3340" s="115">
        <v>26.163</v>
      </c>
      <c r="B3340" s="115">
        <v>26.6</v>
      </c>
      <c r="C3340" s="1">
        <v>600</v>
      </c>
      <c r="D3340" s="1" t="s">
        <v>2620</v>
      </c>
      <c r="E3340" s="1">
        <v>26</v>
      </c>
    </row>
    <row r="3341" spans="1:5" hidden="1" x14ac:dyDescent="0.25">
      <c r="A3341" s="115">
        <v>26.164000000000001</v>
      </c>
      <c r="B3341" s="115">
        <v>26.61</v>
      </c>
      <c r="C3341" s="1">
        <v>610</v>
      </c>
      <c r="D3341" s="1" t="s">
        <v>2621</v>
      </c>
      <c r="E3341" s="1">
        <v>26</v>
      </c>
    </row>
    <row r="3342" spans="1:5" hidden="1" x14ac:dyDescent="0.25">
      <c r="A3342" s="115">
        <v>26.164999999999999</v>
      </c>
      <c r="B3342" s="115">
        <v>26.62</v>
      </c>
      <c r="C3342" s="1">
        <v>620</v>
      </c>
      <c r="D3342" s="1" t="s">
        <v>2622</v>
      </c>
      <c r="E3342" s="1">
        <v>26</v>
      </c>
    </row>
    <row r="3343" spans="1:5" hidden="1" x14ac:dyDescent="0.25">
      <c r="A3343" s="115">
        <v>26.166</v>
      </c>
      <c r="B3343" s="115">
        <v>26.63</v>
      </c>
      <c r="C3343" s="1">
        <v>630</v>
      </c>
      <c r="D3343" s="1" t="s">
        <v>2623</v>
      </c>
      <c r="E3343" s="1">
        <v>26</v>
      </c>
    </row>
    <row r="3344" spans="1:5" hidden="1" x14ac:dyDescent="0.25">
      <c r="A3344" s="115">
        <v>26.167000000000002</v>
      </c>
      <c r="B3344" s="115">
        <v>26.64</v>
      </c>
      <c r="C3344" s="1">
        <v>640</v>
      </c>
      <c r="D3344" s="1" t="s">
        <v>2624</v>
      </c>
      <c r="E3344" s="1">
        <v>26</v>
      </c>
    </row>
    <row r="3345" spans="1:5" hidden="1" x14ac:dyDescent="0.25">
      <c r="A3345" s="115">
        <v>26.167999999999999</v>
      </c>
      <c r="B3345" s="115">
        <v>26.65</v>
      </c>
      <c r="C3345" s="1">
        <v>650</v>
      </c>
      <c r="D3345" s="1" t="s">
        <v>2625</v>
      </c>
      <c r="E3345" s="1">
        <v>26</v>
      </c>
    </row>
    <row r="3346" spans="1:5" hidden="1" x14ac:dyDescent="0.25">
      <c r="A3346" s="115">
        <v>26.169</v>
      </c>
      <c r="B3346" s="115">
        <v>26.66</v>
      </c>
      <c r="C3346" s="1">
        <v>660</v>
      </c>
      <c r="D3346" s="1" t="s">
        <v>2626</v>
      </c>
      <c r="E3346" s="1">
        <v>26</v>
      </c>
    </row>
    <row r="3347" spans="1:5" hidden="1" x14ac:dyDescent="0.25">
      <c r="A3347" s="115">
        <v>26.17</v>
      </c>
      <c r="B3347" s="115">
        <v>26.67</v>
      </c>
      <c r="C3347" s="1">
        <v>670</v>
      </c>
      <c r="D3347" s="1" t="s">
        <v>2627</v>
      </c>
      <c r="E3347" s="1">
        <v>26</v>
      </c>
    </row>
    <row r="3348" spans="1:5" hidden="1" x14ac:dyDescent="0.25">
      <c r="A3348" s="115">
        <v>26.170999999999999</v>
      </c>
      <c r="B3348" s="115">
        <v>26.68</v>
      </c>
      <c r="C3348" s="1">
        <v>680</v>
      </c>
      <c r="D3348" s="1" t="s">
        <v>2628</v>
      </c>
      <c r="E3348" s="1">
        <v>26</v>
      </c>
    </row>
    <row r="3349" spans="1:5" hidden="1" x14ac:dyDescent="0.25">
      <c r="A3349" s="115">
        <v>26.172000000000001</v>
      </c>
      <c r="B3349" s="115">
        <v>26.69</v>
      </c>
      <c r="C3349" s="1">
        <v>690</v>
      </c>
      <c r="D3349" s="1" t="s">
        <v>2629</v>
      </c>
      <c r="E3349" s="1">
        <v>26</v>
      </c>
    </row>
    <row r="3350" spans="1:5" hidden="1" x14ac:dyDescent="0.25">
      <c r="A3350" s="115">
        <v>26.172999999999998</v>
      </c>
      <c r="B3350" s="115">
        <v>26.7</v>
      </c>
      <c r="C3350" s="1">
        <v>700</v>
      </c>
      <c r="D3350" s="1" t="s">
        <v>2630</v>
      </c>
      <c r="E3350" s="1">
        <v>26</v>
      </c>
    </row>
    <row r="3351" spans="1:5" hidden="1" x14ac:dyDescent="0.25">
      <c r="A3351" s="115">
        <v>26.173999999999999</v>
      </c>
      <c r="B3351" s="115">
        <v>26.71</v>
      </c>
      <c r="C3351" s="1">
        <v>710</v>
      </c>
      <c r="D3351" s="1" t="s">
        <v>2631</v>
      </c>
      <c r="E3351" s="1">
        <v>26</v>
      </c>
    </row>
    <row r="3352" spans="1:5" hidden="1" x14ac:dyDescent="0.25">
      <c r="A3352" s="115">
        <v>26.175000000000001</v>
      </c>
      <c r="B3352" s="115">
        <v>26.72</v>
      </c>
      <c r="C3352" s="1">
        <v>720</v>
      </c>
      <c r="D3352" s="1" t="s">
        <v>2632</v>
      </c>
      <c r="E3352" s="1">
        <v>26</v>
      </c>
    </row>
    <row r="3353" spans="1:5" hidden="1" x14ac:dyDescent="0.25">
      <c r="A3353" s="115">
        <v>26.175999999999998</v>
      </c>
      <c r="B3353" s="115">
        <v>26.73</v>
      </c>
      <c r="C3353" s="1">
        <v>730</v>
      </c>
      <c r="D3353" s="1" t="s">
        <v>2633</v>
      </c>
      <c r="E3353" s="1">
        <v>26</v>
      </c>
    </row>
    <row r="3354" spans="1:5" hidden="1" x14ac:dyDescent="0.25">
      <c r="A3354" s="115">
        <v>26.177</v>
      </c>
      <c r="B3354" s="115">
        <v>26.74</v>
      </c>
      <c r="C3354" s="1">
        <v>740</v>
      </c>
      <c r="D3354" s="1" t="s">
        <v>2634</v>
      </c>
      <c r="E3354" s="1">
        <v>26</v>
      </c>
    </row>
    <row r="3355" spans="1:5" hidden="1" x14ac:dyDescent="0.25">
      <c r="A3355" s="115">
        <v>26.178000000000001</v>
      </c>
      <c r="B3355" s="115">
        <v>26.75</v>
      </c>
      <c r="C3355" s="1">
        <v>750</v>
      </c>
      <c r="D3355" s="1" t="s">
        <v>2635</v>
      </c>
      <c r="E3355" s="1">
        <v>26</v>
      </c>
    </row>
    <row r="3356" spans="1:5" hidden="1" x14ac:dyDescent="0.25">
      <c r="A3356" s="115">
        <v>26.178999999999998</v>
      </c>
      <c r="B3356" s="115">
        <v>26.754999999999999</v>
      </c>
      <c r="C3356" s="1">
        <v>755</v>
      </c>
      <c r="D3356" s="1" t="s">
        <v>1466</v>
      </c>
      <c r="E3356" s="1">
        <v>26</v>
      </c>
    </row>
    <row r="3357" spans="1:5" hidden="1" x14ac:dyDescent="0.25">
      <c r="A3357" s="115">
        <v>26.18</v>
      </c>
      <c r="B3357" s="115">
        <v>26.76</v>
      </c>
      <c r="C3357" s="1">
        <v>760</v>
      </c>
      <c r="D3357" s="1" t="s">
        <v>2636</v>
      </c>
      <c r="E3357" s="1">
        <v>26</v>
      </c>
    </row>
    <row r="3358" spans="1:5" hidden="1" x14ac:dyDescent="0.25">
      <c r="A3358" s="115">
        <v>26.181000000000001</v>
      </c>
      <c r="B3358" s="115">
        <v>26.77</v>
      </c>
      <c r="C3358" s="1">
        <v>770</v>
      </c>
      <c r="D3358" s="1" t="s">
        <v>2637</v>
      </c>
      <c r="E3358" s="1">
        <v>26</v>
      </c>
    </row>
    <row r="3359" spans="1:5" hidden="1" x14ac:dyDescent="0.25">
      <c r="A3359" s="115">
        <v>26.181999999999999</v>
      </c>
      <c r="B3359" s="115">
        <v>26.78</v>
      </c>
      <c r="C3359" s="1">
        <v>780</v>
      </c>
      <c r="D3359" s="1" t="s">
        <v>2638</v>
      </c>
      <c r="E3359" s="1">
        <v>26</v>
      </c>
    </row>
    <row r="3360" spans="1:5" hidden="1" x14ac:dyDescent="0.25">
      <c r="A3360" s="115">
        <v>26.183</v>
      </c>
      <c r="B3360" s="115">
        <v>26.79</v>
      </c>
      <c r="C3360" s="1">
        <v>790</v>
      </c>
      <c r="D3360" s="1" t="s">
        <v>2639</v>
      </c>
      <c r="E3360" s="1">
        <v>26</v>
      </c>
    </row>
    <row r="3361" spans="1:5" hidden="1" x14ac:dyDescent="0.25">
      <c r="A3361" s="115">
        <v>26.184000000000001</v>
      </c>
      <c r="B3361" s="115">
        <v>26.8</v>
      </c>
      <c r="C3361" s="1">
        <v>800</v>
      </c>
      <c r="D3361" s="1" t="s">
        <v>2640</v>
      </c>
      <c r="E3361" s="1">
        <v>26</v>
      </c>
    </row>
    <row r="3362" spans="1:5" hidden="1" x14ac:dyDescent="0.25">
      <c r="A3362" s="115">
        <v>26.184999999999999</v>
      </c>
      <c r="B3362" s="115">
        <v>26.805</v>
      </c>
      <c r="C3362" s="1">
        <v>805</v>
      </c>
      <c r="D3362" s="1" t="s">
        <v>2641</v>
      </c>
      <c r="E3362" s="1">
        <v>26</v>
      </c>
    </row>
    <row r="3363" spans="1:5" hidden="1" x14ac:dyDescent="0.25">
      <c r="A3363" s="115">
        <v>26.186</v>
      </c>
      <c r="B3363" s="115">
        <v>26.81</v>
      </c>
      <c r="C3363" s="1">
        <v>810</v>
      </c>
      <c r="D3363" s="1" t="s">
        <v>2642</v>
      </c>
      <c r="E3363" s="1">
        <v>26</v>
      </c>
    </row>
    <row r="3364" spans="1:5" hidden="1" x14ac:dyDescent="0.25">
      <c r="A3364" s="115">
        <v>26.187000000000001</v>
      </c>
      <c r="B3364" s="115">
        <v>26.82</v>
      </c>
      <c r="C3364" s="1">
        <v>820</v>
      </c>
      <c r="D3364" s="1" t="s">
        <v>2643</v>
      </c>
      <c r="E3364" s="1">
        <v>26</v>
      </c>
    </row>
    <row r="3365" spans="1:5" hidden="1" x14ac:dyDescent="0.25">
      <c r="A3365" s="115">
        <v>26.187999999999999</v>
      </c>
      <c r="B3365" s="115">
        <v>26.83</v>
      </c>
      <c r="C3365" s="1">
        <v>830</v>
      </c>
      <c r="D3365" s="1" t="s">
        <v>2644</v>
      </c>
      <c r="E3365" s="1">
        <v>26</v>
      </c>
    </row>
    <row r="3366" spans="1:5" hidden="1" x14ac:dyDescent="0.25">
      <c r="A3366" s="115">
        <v>26.189</v>
      </c>
      <c r="B3366" s="115">
        <v>26.84</v>
      </c>
      <c r="C3366" s="1">
        <v>840</v>
      </c>
      <c r="D3366" s="1" t="s">
        <v>2645</v>
      </c>
      <c r="E3366" s="1">
        <v>26</v>
      </c>
    </row>
    <row r="3367" spans="1:5" hidden="1" x14ac:dyDescent="0.25">
      <c r="A3367" s="115">
        <v>26.19</v>
      </c>
      <c r="B3367" s="115">
        <v>26.85</v>
      </c>
      <c r="C3367" s="1">
        <v>850</v>
      </c>
      <c r="D3367" s="1" t="s">
        <v>2646</v>
      </c>
      <c r="E3367" s="1">
        <v>26</v>
      </c>
    </row>
    <row r="3368" spans="1:5" hidden="1" x14ac:dyDescent="0.25">
      <c r="A3368" s="115">
        <v>26.190999999999999</v>
      </c>
      <c r="B3368" s="115">
        <v>26.86</v>
      </c>
      <c r="C3368" s="1">
        <v>860</v>
      </c>
      <c r="D3368" s="1" t="s">
        <v>2647</v>
      </c>
      <c r="E3368" s="1">
        <v>26</v>
      </c>
    </row>
    <row r="3369" spans="1:5" hidden="1" x14ac:dyDescent="0.25">
      <c r="A3369" s="115">
        <v>26.192</v>
      </c>
      <c r="B3369" s="115">
        <v>26.87</v>
      </c>
      <c r="C3369" s="1">
        <v>870</v>
      </c>
      <c r="D3369" s="1" t="s">
        <v>2648</v>
      </c>
      <c r="E3369" s="1">
        <v>26</v>
      </c>
    </row>
    <row r="3370" spans="1:5" hidden="1" x14ac:dyDescent="0.25">
      <c r="A3370" s="115">
        <v>26.193000000000001</v>
      </c>
      <c r="B3370" s="115">
        <v>26.88</v>
      </c>
      <c r="C3370" s="1">
        <v>880</v>
      </c>
      <c r="D3370" s="1" t="s">
        <v>2649</v>
      </c>
      <c r="E3370" s="1">
        <v>26</v>
      </c>
    </row>
    <row r="3371" spans="1:5" hidden="1" x14ac:dyDescent="0.25">
      <c r="A3371" s="115">
        <v>26.193999999999999</v>
      </c>
      <c r="B3371" s="115">
        <v>26.89</v>
      </c>
      <c r="C3371" s="1">
        <v>890</v>
      </c>
      <c r="D3371" s="1" t="s">
        <v>2650</v>
      </c>
      <c r="E3371" s="1">
        <v>26</v>
      </c>
    </row>
    <row r="3372" spans="1:5" hidden="1" x14ac:dyDescent="0.25">
      <c r="A3372" s="115">
        <v>26.195</v>
      </c>
      <c r="B3372" s="115">
        <v>26.895</v>
      </c>
      <c r="C3372" s="1">
        <v>895</v>
      </c>
      <c r="D3372" s="1" t="s">
        <v>2651</v>
      </c>
      <c r="E3372" s="1">
        <v>26</v>
      </c>
    </row>
    <row r="3373" spans="1:5" hidden="1" x14ac:dyDescent="0.25">
      <c r="A3373" s="115">
        <v>26.196000000000002</v>
      </c>
      <c r="B3373" s="115">
        <v>26.9</v>
      </c>
      <c r="C3373" s="1">
        <v>900</v>
      </c>
      <c r="D3373" s="1" t="s">
        <v>2652</v>
      </c>
      <c r="E3373" s="1">
        <v>26</v>
      </c>
    </row>
    <row r="3374" spans="1:5" hidden="1" x14ac:dyDescent="0.25">
      <c r="A3374" s="115">
        <v>26.196999999999999</v>
      </c>
      <c r="B3374" s="115">
        <v>26.91</v>
      </c>
      <c r="C3374" s="1">
        <v>910</v>
      </c>
      <c r="D3374" s="1" t="s">
        <v>2653</v>
      </c>
      <c r="E3374" s="1">
        <v>26</v>
      </c>
    </row>
    <row r="3375" spans="1:5" hidden="1" x14ac:dyDescent="0.25">
      <c r="A3375" s="115">
        <v>26.198</v>
      </c>
      <c r="B3375" s="115">
        <v>26.92</v>
      </c>
      <c r="C3375" s="1">
        <v>920</v>
      </c>
      <c r="D3375" s="1" t="s">
        <v>2654</v>
      </c>
      <c r="E3375" s="1">
        <v>26</v>
      </c>
    </row>
    <row r="3376" spans="1:5" hidden="1" x14ac:dyDescent="0.25">
      <c r="A3376" s="115">
        <v>26.199000000000002</v>
      </c>
      <c r="B3376" s="115">
        <v>26.925000000000001</v>
      </c>
      <c r="C3376" s="1">
        <v>925</v>
      </c>
      <c r="D3376" s="1" t="s">
        <v>2655</v>
      </c>
      <c r="E3376" s="1">
        <v>26</v>
      </c>
    </row>
    <row r="3377" spans="1:5" hidden="1" x14ac:dyDescent="0.25">
      <c r="A3377" s="115">
        <v>26.2</v>
      </c>
      <c r="B3377" s="115">
        <v>26.93</v>
      </c>
      <c r="C3377" s="1">
        <v>930</v>
      </c>
      <c r="D3377" s="1" t="s">
        <v>2656</v>
      </c>
      <c r="E3377" s="1">
        <v>26</v>
      </c>
    </row>
    <row r="3378" spans="1:5" hidden="1" x14ac:dyDescent="0.25">
      <c r="A3378" s="115">
        <v>26.201000000000001</v>
      </c>
      <c r="B3378" s="115">
        <v>26.934999999999999</v>
      </c>
      <c r="C3378" s="1">
        <v>935</v>
      </c>
      <c r="D3378" s="1" t="s">
        <v>2657</v>
      </c>
      <c r="E3378" s="1">
        <v>26</v>
      </c>
    </row>
    <row r="3379" spans="1:5" hidden="1" x14ac:dyDescent="0.25">
      <c r="A3379" s="115">
        <v>26.202000000000002</v>
      </c>
      <c r="B3379" s="115">
        <v>26.94</v>
      </c>
      <c r="C3379" s="1">
        <v>940</v>
      </c>
      <c r="D3379" s="1" t="s">
        <v>2658</v>
      </c>
      <c r="E3379" s="1">
        <v>26</v>
      </c>
    </row>
    <row r="3380" spans="1:5" hidden="1" x14ac:dyDescent="0.25">
      <c r="A3380" s="115">
        <v>26.202999999999999</v>
      </c>
      <c r="B3380" s="115">
        <v>26.95</v>
      </c>
      <c r="C3380" s="1">
        <v>950</v>
      </c>
      <c r="D3380" s="1" t="s">
        <v>2659</v>
      </c>
      <c r="E3380" s="1">
        <v>26</v>
      </c>
    </row>
    <row r="3381" spans="1:5" hidden="1" x14ac:dyDescent="0.25">
      <c r="A3381" s="115">
        <v>26.204000000000001</v>
      </c>
      <c r="B3381" s="115">
        <v>26.954999999999998</v>
      </c>
      <c r="C3381" s="1">
        <v>955</v>
      </c>
      <c r="D3381" s="1" t="s">
        <v>2660</v>
      </c>
      <c r="E3381" s="1">
        <v>26</v>
      </c>
    </row>
    <row r="3382" spans="1:5" hidden="1" x14ac:dyDescent="0.25">
      <c r="A3382" s="115">
        <v>26.204999999999998</v>
      </c>
      <c r="B3382" s="115">
        <v>26.96</v>
      </c>
      <c r="C3382" s="1">
        <v>960</v>
      </c>
      <c r="D3382" s="1" t="s">
        <v>2661</v>
      </c>
      <c r="E3382" s="1">
        <v>26</v>
      </c>
    </row>
    <row r="3383" spans="1:5" hidden="1" x14ac:dyDescent="0.25">
      <c r="A3383" s="115">
        <v>26.206</v>
      </c>
      <c r="B3383" s="115">
        <v>26.97</v>
      </c>
      <c r="C3383" s="1">
        <v>970</v>
      </c>
      <c r="D3383" s="1" t="s">
        <v>2662</v>
      </c>
      <c r="E3383" s="1">
        <v>26</v>
      </c>
    </row>
    <row r="3384" spans="1:5" hidden="1" x14ac:dyDescent="0.25">
      <c r="A3384" s="115">
        <v>26.207000000000001</v>
      </c>
      <c r="B3384" s="115">
        <v>26.98</v>
      </c>
      <c r="C3384" s="1">
        <v>980</v>
      </c>
      <c r="D3384" s="1" t="s">
        <v>2663</v>
      </c>
      <c r="E3384" s="1">
        <v>26</v>
      </c>
    </row>
    <row r="3385" spans="1:5" hidden="1" x14ac:dyDescent="0.25">
      <c r="A3385" s="115">
        <v>26.207999999999998</v>
      </c>
      <c r="B3385" s="115">
        <v>26.99</v>
      </c>
      <c r="C3385" s="1">
        <v>990</v>
      </c>
      <c r="D3385" s="1" t="s">
        <v>2664</v>
      </c>
      <c r="E3385" s="1">
        <v>26</v>
      </c>
    </row>
    <row r="3386" spans="1:5" hidden="1" x14ac:dyDescent="0.25">
      <c r="A3386" s="115">
        <v>26.209</v>
      </c>
      <c r="B3386" s="115">
        <v>26.1</v>
      </c>
      <c r="C3386" s="1">
        <v>1000</v>
      </c>
      <c r="D3386" s="1" t="s">
        <v>2665</v>
      </c>
      <c r="E3386" s="1">
        <v>26</v>
      </c>
    </row>
    <row r="3387" spans="1:5" hidden="1" x14ac:dyDescent="0.25">
      <c r="A3387" s="115">
        <v>26.21</v>
      </c>
      <c r="B3387" s="115">
        <v>26.11</v>
      </c>
      <c r="C3387" s="1">
        <v>1100</v>
      </c>
      <c r="D3387" s="1" t="s">
        <v>2666</v>
      </c>
      <c r="E3387" s="1">
        <v>26</v>
      </c>
    </row>
    <row r="3388" spans="1:5" hidden="1" x14ac:dyDescent="0.25">
      <c r="A3388" s="115">
        <v>26.210999999999999</v>
      </c>
      <c r="B3388" s="115">
        <v>26.111000000000001</v>
      </c>
      <c r="C3388" s="1">
        <v>1110</v>
      </c>
      <c r="D3388" s="1" t="s">
        <v>2667</v>
      </c>
      <c r="E3388" s="1">
        <v>26</v>
      </c>
    </row>
    <row r="3389" spans="1:5" hidden="1" x14ac:dyDescent="0.25">
      <c r="A3389" s="115">
        <v>26.212</v>
      </c>
      <c r="B3389" s="115">
        <v>26.111999999999998</v>
      </c>
      <c r="C3389" s="1">
        <v>1120</v>
      </c>
      <c r="D3389" s="1" t="s">
        <v>2668</v>
      </c>
      <c r="E3389" s="1">
        <v>26</v>
      </c>
    </row>
    <row r="3390" spans="1:5" hidden="1" x14ac:dyDescent="0.25">
      <c r="A3390" s="115">
        <v>26.213000000000001</v>
      </c>
      <c r="B3390" s="115">
        <v>26.113</v>
      </c>
      <c r="C3390" s="1">
        <v>1130</v>
      </c>
      <c r="D3390" s="1" t="s">
        <v>2669</v>
      </c>
      <c r="E3390" s="1">
        <v>26</v>
      </c>
    </row>
    <row r="3391" spans="1:5" hidden="1" x14ac:dyDescent="0.25">
      <c r="A3391" s="115">
        <v>26.213999999999999</v>
      </c>
      <c r="B3391" s="115">
        <v>26.114000000000001</v>
      </c>
      <c r="C3391" s="1">
        <v>1140</v>
      </c>
      <c r="D3391" s="1" t="s">
        <v>2670</v>
      </c>
      <c r="E3391" s="1">
        <v>26</v>
      </c>
    </row>
    <row r="3392" spans="1:5" hidden="1" x14ac:dyDescent="0.25">
      <c r="A3392" s="115">
        <v>26.215</v>
      </c>
      <c r="B3392" s="115">
        <v>26.114999999999998</v>
      </c>
      <c r="C3392" s="1">
        <v>1150</v>
      </c>
      <c r="D3392" s="1" t="s">
        <v>2671</v>
      </c>
      <c r="E3392" s="1">
        <v>26</v>
      </c>
    </row>
    <row r="3393" spans="1:5" hidden="1" x14ac:dyDescent="0.25">
      <c r="A3393" s="115">
        <v>26.216000000000001</v>
      </c>
      <c r="B3393" s="115">
        <v>26.116</v>
      </c>
      <c r="C3393" s="1">
        <v>1160</v>
      </c>
      <c r="D3393" s="1" t="s">
        <v>2672</v>
      </c>
      <c r="E3393" s="1">
        <v>26</v>
      </c>
    </row>
    <row r="3394" spans="1:5" hidden="1" x14ac:dyDescent="0.25">
      <c r="A3394" s="115">
        <v>26.216999999999999</v>
      </c>
      <c r="B3394" s="115">
        <v>26.117000000000001</v>
      </c>
      <c r="C3394" s="1">
        <v>1170</v>
      </c>
      <c r="D3394" s="1" t="s">
        <v>2673</v>
      </c>
      <c r="E3394" s="1">
        <v>26</v>
      </c>
    </row>
    <row r="3395" spans="1:5" hidden="1" x14ac:dyDescent="0.25">
      <c r="A3395" s="115">
        <v>26.218</v>
      </c>
      <c r="B3395" s="115">
        <v>26.117999999999999</v>
      </c>
      <c r="C3395" s="1">
        <v>1180</v>
      </c>
      <c r="D3395" s="1" t="s">
        <v>2674</v>
      </c>
      <c r="E3395" s="1">
        <v>26</v>
      </c>
    </row>
    <row r="3396" spans="1:5" hidden="1" x14ac:dyDescent="0.25">
      <c r="A3396" s="115">
        <v>26.219000000000001</v>
      </c>
      <c r="B3396" s="115">
        <v>26.119</v>
      </c>
      <c r="C3396" s="1">
        <v>1190</v>
      </c>
      <c r="D3396" s="1" t="s">
        <v>2675</v>
      </c>
      <c r="E3396" s="1">
        <v>26</v>
      </c>
    </row>
    <row r="3397" spans="1:5" hidden="1" x14ac:dyDescent="0.25">
      <c r="A3397" s="115">
        <v>26.22</v>
      </c>
      <c r="B3397" s="115">
        <v>26.12</v>
      </c>
      <c r="C3397" s="1">
        <v>1200</v>
      </c>
      <c r="D3397" s="1" t="s">
        <v>2676</v>
      </c>
      <c r="E3397" s="1">
        <v>26</v>
      </c>
    </row>
    <row r="3398" spans="1:5" hidden="1" x14ac:dyDescent="0.25">
      <c r="A3398" s="115">
        <v>26.221</v>
      </c>
      <c r="B3398" s="115">
        <v>26.120999999999999</v>
      </c>
      <c r="C3398" s="1">
        <v>1210</v>
      </c>
      <c r="D3398" s="1" t="s">
        <v>2677</v>
      </c>
      <c r="E3398" s="1">
        <v>26</v>
      </c>
    </row>
    <row r="3399" spans="1:5" hidden="1" x14ac:dyDescent="0.25">
      <c r="A3399" s="115">
        <v>26.222000000000001</v>
      </c>
      <c r="B3399" s="115">
        <v>26.122</v>
      </c>
      <c r="C3399" s="1">
        <v>1220</v>
      </c>
      <c r="D3399" s="1" t="s">
        <v>2678</v>
      </c>
      <c r="E3399" s="1">
        <v>26</v>
      </c>
    </row>
    <row r="3400" spans="1:5" hidden="1" x14ac:dyDescent="0.25">
      <c r="A3400" s="115">
        <v>26.222999999999999</v>
      </c>
      <c r="B3400" s="115">
        <v>26.123000000000001</v>
      </c>
      <c r="C3400" s="1">
        <v>1230</v>
      </c>
      <c r="D3400" s="1" t="s">
        <v>2679</v>
      </c>
      <c r="E3400" s="1">
        <v>26</v>
      </c>
    </row>
    <row r="3401" spans="1:5" hidden="1" x14ac:dyDescent="0.25">
      <c r="A3401" s="115">
        <v>26.224</v>
      </c>
      <c r="B3401" s="115">
        <v>26.123999999999999</v>
      </c>
      <c r="C3401" s="1">
        <v>1240</v>
      </c>
      <c r="D3401" s="1" t="s">
        <v>2680</v>
      </c>
      <c r="E3401" s="1">
        <v>26</v>
      </c>
    </row>
    <row r="3402" spans="1:5" hidden="1" x14ac:dyDescent="0.25">
      <c r="A3402" s="115">
        <v>26.225000000000001</v>
      </c>
      <c r="B3402" s="115">
        <v>26.125</v>
      </c>
      <c r="C3402" s="1">
        <v>1250</v>
      </c>
      <c r="D3402" s="1" t="s">
        <v>2681</v>
      </c>
      <c r="E3402" s="1">
        <v>26</v>
      </c>
    </row>
    <row r="3403" spans="1:5" hidden="1" x14ac:dyDescent="0.25">
      <c r="A3403" s="115">
        <v>26.225999999999999</v>
      </c>
      <c r="B3403" s="115">
        <v>26.126000000000001</v>
      </c>
      <c r="C3403" s="1">
        <v>1260</v>
      </c>
      <c r="D3403" s="1" t="s">
        <v>2682</v>
      </c>
      <c r="E3403" s="1">
        <v>26</v>
      </c>
    </row>
    <row r="3404" spans="1:5" hidden="1" x14ac:dyDescent="0.25">
      <c r="A3404" s="115">
        <v>26.227</v>
      </c>
      <c r="B3404" s="115">
        <v>26.126999999999999</v>
      </c>
      <c r="C3404" s="1">
        <v>1270</v>
      </c>
      <c r="D3404" s="1" t="s">
        <v>2683</v>
      </c>
      <c r="E3404" s="1">
        <v>26</v>
      </c>
    </row>
    <row r="3405" spans="1:5" hidden="1" x14ac:dyDescent="0.25">
      <c r="A3405" s="115">
        <v>26.228000000000002</v>
      </c>
      <c r="B3405" s="115">
        <v>26.128</v>
      </c>
      <c r="C3405" s="1">
        <v>1280</v>
      </c>
      <c r="D3405" s="1" t="s">
        <v>2684</v>
      </c>
      <c r="E3405" s="1">
        <v>26</v>
      </c>
    </row>
    <row r="3406" spans="1:5" hidden="1" x14ac:dyDescent="0.25">
      <c r="A3406" s="115">
        <v>26.228999999999999</v>
      </c>
      <c r="B3406" s="115">
        <v>26.13</v>
      </c>
      <c r="C3406" s="1">
        <v>1300</v>
      </c>
      <c r="D3406" s="1" t="s">
        <v>2685</v>
      </c>
      <c r="E3406" s="1">
        <v>26</v>
      </c>
    </row>
    <row r="3407" spans="1:5" hidden="1" x14ac:dyDescent="0.25">
      <c r="A3407" s="115">
        <v>26.23</v>
      </c>
      <c r="B3407" s="115">
        <v>26.131</v>
      </c>
      <c r="C3407" s="1">
        <v>1310</v>
      </c>
      <c r="D3407" s="1" t="s">
        <v>2686</v>
      </c>
      <c r="E3407" s="1">
        <v>26</v>
      </c>
    </row>
    <row r="3408" spans="1:5" hidden="1" x14ac:dyDescent="0.25">
      <c r="A3408" s="115">
        <v>26.231000000000002</v>
      </c>
      <c r="B3408" s="115">
        <v>26.132000000000001</v>
      </c>
      <c r="C3408" s="1">
        <v>1320</v>
      </c>
      <c r="D3408" s="1" t="s">
        <v>2687</v>
      </c>
      <c r="E3408" s="1">
        <v>26</v>
      </c>
    </row>
    <row r="3409" spans="1:5" hidden="1" x14ac:dyDescent="0.25">
      <c r="A3409" s="115">
        <v>27.100999999999999</v>
      </c>
      <c r="B3409" s="115">
        <v>27.1</v>
      </c>
      <c r="C3409" s="1">
        <v>10</v>
      </c>
      <c r="D3409" s="1" t="s">
        <v>2559</v>
      </c>
      <c r="E3409" s="1">
        <v>27</v>
      </c>
    </row>
    <row r="3410" spans="1:5" hidden="1" x14ac:dyDescent="0.25">
      <c r="A3410" s="115">
        <v>27.102</v>
      </c>
      <c r="B3410" s="115">
        <v>27.2</v>
      </c>
      <c r="C3410" s="1">
        <v>20</v>
      </c>
      <c r="D3410" s="1" t="s">
        <v>2560</v>
      </c>
      <c r="E3410" s="1">
        <v>27</v>
      </c>
    </row>
    <row r="3411" spans="1:5" hidden="1" x14ac:dyDescent="0.25">
      <c r="A3411" s="115">
        <v>27.103000000000002</v>
      </c>
      <c r="B3411" s="115">
        <v>27.3</v>
      </c>
      <c r="C3411" s="1">
        <v>30</v>
      </c>
      <c r="D3411" s="1" t="s">
        <v>2561</v>
      </c>
      <c r="E3411" s="1">
        <v>27</v>
      </c>
    </row>
    <row r="3412" spans="1:5" hidden="1" x14ac:dyDescent="0.25">
      <c r="A3412" s="115">
        <v>27.103999999999999</v>
      </c>
      <c r="B3412" s="115">
        <v>27.4</v>
      </c>
      <c r="C3412" s="1">
        <v>40</v>
      </c>
      <c r="D3412" s="1" t="s">
        <v>2562</v>
      </c>
      <c r="E3412" s="1">
        <v>27</v>
      </c>
    </row>
    <row r="3413" spans="1:5" hidden="1" x14ac:dyDescent="0.25">
      <c r="A3413" s="115">
        <v>27.105</v>
      </c>
      <c r="B3413" s="115">
        <v>27.5</v>
      </c>
      <c r="C3413" s="1">
        <v>50</v>
      </c>
      <c r="D3413" s="1" t="s">
        <v>2563</v>
      </c>
      <c r="E3413" s="1">
        <v>27</v>
      </c>
    </row>
    <row r="3414" spans="1:5" hidden="1" x14ac:dyDescent="0.25">
      <c r="A3414" s="115">
        <v>27.106000000000002</v>
      </c>
      <c r="B3414" s="115">
        <v>27.6</v>
      </c>
      <c r="C3414" s="1">
        <v>60</v>
      </c>
      <c r="D3414" s="1" t="s">
        <v>2564</v>
      </c>
      <c r="E3414" s="1">
        <v>27</v>
      </c>
    </row>
    <row r="3415" spans="1:5" hidden="1" x14ac:dyDescent="0.25">
      <c r="A3415" s="115">
        <v>27.106999999999999</v>
      </c>
      <c r="B3415" s="115">
        <v>27.7</v>
      </c>
      <c r="C3415" s="1">
        <v>70</v>
      </c>
      <c r="D3415" s="1" t="s">
        <v>2565</v>
      </c>
      <c r="E3415" s="1">
        <v>27</v>
      </c>
    </row>
    <row r="3416" spans="1:5" hidden="1" x14ac:dyDescent="0.25">
      <c r="A3416" s="115">
        <v>27.108000000000001</v>
      </c>
      <c r="B3416" s="115">
        <v>27.8</v>
      </c>
      <c r="C3416" s="1">
        <v>80</v>
      </c>
      <c r="D3416" s="1" t="s">
        <v>2566</v>
      </c>
      <c r="E3416" s="1">
        <v>27</v>
      </c>
    </row>
    <row r="3417" spans="1:5" hidden="1" x14ac:dyDescent="0.25">
      <c r="A3417" s="115">
        <v>27.109000000000002</v>
      </c>
      <c r="B3417" s="115">
        <v>27.9</v>
      </c>
      <c r="C3417" s="1">
        <v>90</v>
      </c>
      <c r="D3417" s="1" t="s">
        <v>2567</v>
      </c>
      <c r="E3417" s="1">
        <v>27</v>
      </c>
    </row>
    <row r="3418" spans="1:5" hidden="1" x14ac:dyDescent="0.25">
      <c r="A3418" s="115">
        <v>27.11</v>
      </c>
      <c r="B3418" s="115">
        <v>27.1</v>
      </c>
      <c r="C3418" s="1">
        <v>100</v>
      </c>
      <c r="D3418" s="1" t="s">
        <v>2568</v>
      </c>
      <c r="E3418" s="1">
        <v>27</v>
      </c>
    </row>
    <row r="3419" spans="1:5" hidden="1" x14ac:dyDescent="0.25">
      <c r="A3419" s="115">
        <v>27.111000000000001</v>
      </c>
      <c r="B3419" s="115">
        <v>27.11</v>
      </c>
      <c r="C3419" s="1">
        <v>110</v>
      </c>
      <c r="D3419" s="1" t="s">
        <v>2569</v>
      </c>
      <c r="E3419" s="1">
        <v>27</v>
      </c>
    </row>
    <row r="3420" spans="1:5" hidden="1" x14ac:dyDescent="0.25">
      <c r="A3420" s="115">
        <v>27.111999999999998</v>
      </c>
      <c r="B3420" s="115">
        <v>27.12</v>
      </c>
      <c r="C3420" s="1">
        <v>120</v>
      </c>
      <c r="D3420" s="1" t="s">
        <v>2570</v>
      </c>
      <c r="E3420" s="1">
        <v>27</v>
      </c>
    </row>
    <row r="3421" spans="1:5" hidden="1" x14ac:dyDescent="0.25">
      <c r="A3421" s="115">
        <v>27.113</v>
      </c>
      <c r="B3421" s="115">
        <v>27.13</v>
      </c>
      <c r="C3421" s="1">
        <v>130</v>
      </c>
      <c r="D3421" s="1" t="s">
        <v>2571</v>
      </c>
      <c r="E3421" s="1">
        <v>27</v>
      </c>
    </row>
    <row r="3422" spans="1:5" hidden="1" x14ac:dyDescent="0.25">
      <c r="A3422" s="115">
        <v>27.114000000000001</v>
      </c>
      <c r="B3422" s="115">
        <v>27.14</v>
      </c>
      <c r="C3422" s="1">
        <v>140</v>
      </c>
      <c r="D3422" s="1" t="s">
        <v>2572</v>
      </c>
      <c r="E3422" s="1">
        <v>27</v>
      </c>
    </row>
    <row r="3423" spans="1:5" hidden="1" x14ac:dyDescent="0.25">
      <c r="A3423" s="115">
        <v>27.114999999999998</v>
      </c>
      <c r="B3423" s="115">
        <v>27.15</v>
      </c>
      <c r="C3423" s="1">
        <v>150</v>
      </c>
      <c r="D3423" s="1" t="s">
        <v>2573</v>
      </c>
      <c r="E3423" s="1">
        <v>27</v>
      </c>
    </row>
    <row r="3424" spans="1:5" hidden="1" x14ac:dyDescent="0.25">
      <c r="A3424" s="115">
        <v>27.116</v>
      </c>
      <c r="B3424" s="115">
        <v>27.16</v>
      </c>
      <c r="C3424" s="1">
        <v>160</v>
      </c>
      <c r="D3424" s="1" t="s">
        <v>2574</v>
      </c>
      <c r="E3424" s="1">
        <v>27</v>
      </c>
    </row>
    <row r="3425" spans="1:5" hidden="1" x14ac:dyDescent="0.25">
      <c r="A3425" s="115">
        <v>27.117000000000001</v>
      </c>
      <c r="B3425" s="115">
        <v>27.17</v>
      </c>
      <c r="C3425" s="1">
        <v>170</v>
      </c>
      <c r="D3425" s="1" t="s">
        <v>2575</v>
      </c>
      <c r="E3425" s="1">
        <v>27</v>
      </c>
    </row>
    <row r="3426" spans="1:5" hidden="1" x14ac:dyDescent="0.25">
      <c r="A3426" s="115">
        <v>27.117999999999999</v>
      </c>
      <c r="B3426" s="115">
        <v>27.18</v>
      </c>
      <c r="C3426" s="1">
        <v>180</v>
      </c>
      <c r="D3426" s="1" t="s">
        <v>2576</v>
      </c>
      <c r="E3426" s="1">
        <v>27</v>
      </c>
    </row>
    <row r="3427" spans="1:5" hidden="1" x14ac:dyDescent="0.25">
      <c r="A3427" s="115">
        <v>27.119</v>
      </c>
      <c r="B3427" s="115">
        <v>27.19</v>
      </c>
      <c r="C3427" s="1">
        <v>190</v>
      </c>
      <c r="D3427" s="1" t="s">
        <v>2577</v>
      </c>
      <c r="E3427" s="1">
        <v>27</v>
      </c>
    </row>
    <row r="3428" spans="1:5" hidden="1" x14ac:dyDescent="0.25">
      <c r="A3428" s="115">
        <v>27.12</v>
      </c>
      <c r="B3428" s="115">
        <v>27.2</v>
      </c>
      <c r="C3428" s="1">
        <v>200</v>
      </c>
      <c r="D3428" s="1" t="s">
        <v>2578</v>
      </c>
      <c r="E3428" s="1">
        <v>27</v>
      </c>
    </row>
    <row r="3429" spans="1:5" hidden="1" x14ac:dyDescent="0.25">
      <c r="A3429" s="115">
        <v>27.120999999999999</v>
      </c>
      <c r="B3429" s="115">
        <v>27.21</v>
      </c>
      <c r="C3429" s="1">
        <v>210</v>
      </c>
      <c r="D3429" s="1" t="s">
        <v>2579</v>
      </c>
      <c r="E3429" s="1">
        <v>27</v>
      </c>
    </row>
    <row r="3430" spans="1:5" hidden="1" x14ac:dyDescent="0.25">
      <c r="A3430" s="115">
        <v>27.122</v>
      </c>
      <c r="B3430" s="115">
        <v>27.22</v>
      </c>
      <c r="C3430" s="1">
        <v>220</v>
      </c>
      <c r="D3430" s="1" t="s">
        <v>2580</v>
      </c>
      <c r="E3430" s="1">
        <v>27</v>
      </c>
    </row>
    <row r="3431" spans="1:5" hidden="1" x14ac:dyDescent="0.25">
      <c r="A3431" s="115">
        <v>27.123000000000001</v>
      </c>
      <c r="B3431" s="115">
        <v>27.23</v>
      </c>
      <c r="C3431" s="1">
        <v>230</v>
      </c>
      <c r="D3431" s="1" t="s">
        <v>2581</v>
      </c>
      <c r="E3431" s="1">
        <v>27</v>
      </c>
    </row>
    <row r="3432" spans="1:5" hidden="1" x14ac:dyDescent="0.25">
      <c r="A3432" s="115">
        <v>27.123999999999999</v>
      </c>
      <c r="B3432" s="115">
        <v>27.24</v>
      </c>
      <c r="C3432" s="1">
        <v>240</v>
      </c>
      <c r="D3432" s="1" t="s">
        <v>2582</v>
      </c>
      <c r="E3432" s="1">
        <v>27</v>
      </c>
    </row>
    <row r="3433" spans="1:5" hidden="1" x14ac:dyDescent="0.25">
      <c r="A3433" s="115">
        <v>27.125</v>
      </c>
      <c r="B3433" s="115">
        <v>27.25</v>
      </c>
      <c r="C3433" s="1">
        <v>250</v>
      </c>
      <c r="D3433" s="1" t="s">
        <v>2583</v>
      </c>
      <c r="E3433" s="1">
        <v>27</v>
      </c>
    </row>
    <row r="3434" spans="1:5" hidden="1" x14ac:dyDescent="0.25">
      <c r="A3434" s="115">
        <v>27.126000000000001</v>
      </c>
      <c r="B3434" s="115">
        <v>27.26</v>
      </c>
      <c r="C3434" s="1">
        <v>260</v>
      </c>
      <c r="D3434" s="1" t="s">
        <v>2584</v>
      </c>
      <c r="E3434" s="1">
        <v>27</v>
      </c>
    </row>
    <row r="3435" spans="1:5" hidden="1" x14ac:dyDescent="0.25">
      <c r="A3435" s="115">
        <v>27.126999999999999</v>
      </c>
      <c r="B3435" s="115">
        <v>27.27</v>
      </c>
      <c r="C3435" s="1">
        <v>270</v>
      </c>
      <c r="D3435" s="1" t="s">
        <v>2585</v>
      </c>
      <c r="E3435" s="1">
        <v>27</v>
      </c>
    </row>
    <row r="3436" spans="1:5" hidden="1" x14ac:dyDescent="0.25">
      <c r="A3436" s="115">
        <v>27.128</v>
      </c>
      <c r="B3436" s="115">
        <v>27.28</v>
      </c>
      <c r="C3436" s="1">
        <v>280</v>
      </c>
      <c r="D3436" s="1" t="s">
        <v>2586</v>
      </c>
      <c r="E3436" s="1">
        <v>27</v>
      </c>
    </row>
    <row r="3437" spans="1:5" hidden="1" x14ac:dyDescent="0.25">
      <c r="A3437" s="115">
        <v>27.129000000000001</v>
      </c>
      <c r="B3437" s="115">
        <v>27.29</v>
      </c>
      <c r="C3437" s="1">
        <v>290</v>
      </c>
      <c r="D3437" s="1" t="s">
        <v>2587</v>
      </c>
      <c r="E3437" s="1">
        <v>27</v>
      </c>
    </row>
    <row r="3438" spans="1:5" hidden="1" x14ac:dyDescent="0.25">
      <c r="A3438" s="115">
        <v>27.13</v>
      </c>
      <c r="B3438" s="115">
        <v>27.3</v>
      </c>
      <c r="C3438" s="1">
        <v>300</v>
      </c>
      <c r="D3438" s="1" t="s">
        <v>2588</v>
      </c>
      <c r="E3438" s="1">
        <v>27</v>
      </c>
    </row>
    <row r="3439" spans="1:5" hidden="1" x14ac:dyDescent="0.25">
      <c r="A3439" s="115">
        <v>27.131</v>
      </c>
      <c r="B3439" s="115">
        <v>27.31</v>
      </c>
      <c r="C3439" s="1">
        <v>310</v>
      </c>
      <c r="D3439" s="1" t="s">
        <v>2589</v>
      </c>
      <c r="E3439" s="1">
        <v>27</v>
      </c>
    </row>
    <row r="3440" spans="1:5" hidden="1" x14ac:dyDescent="0.25">
      <c r="A3440" s="115">
        <v>27.132000000000001</v>
      </c>
      <c r="B3440" s="115">
        <v>27.32</v>
      </c>
      <c r="C3440" s="1">
        <v>320</v>
      </c>
      <c r="D3440" s="1" t="s">
        <v>2590</v>
      </c>
      <c r="E3440" s="1">
        <v>27</v>
      </c>
    </row>
    <row r="3441" spans="1:5" hidden="1" x14ac:dyDescent="0.25">
      <c r="A3441" s="115">
        <v>27.132999999999999</v>
      </c>
      <c r="B3441" s="115">
        <v>27.33</v>
      </c>
      <c r="C3441" s="1">
        <v>330</v>
      </c>
      <c r="D3441" s="1" t="s">
        <v>2591</v>
      </c>
      <c r="E3441" s="1">
        <v>27</v>
      </c>
    </row>
    <row r="3442" spans="1:5" hidden="1" x14ac:dyDescent="0.25">
      <c r="A3442" s="115">
        <v>27.134</v>
      </c>
      <c r="B3442" s="115">
        <v>27.34</v>
      </c>
      <c r="C3442" s="1">
        <v>340</v>
      </c>
      <c r="D3442" s="1" t="s">
        <v>2592</v>
      </c>
      <c r="E3442" s="1">
        <v>27</v>
      </c>
    </row>
    <row r="3443" spans="1:5" hidden="1" x14ac:dyDescent="0.25">
      <c r="A3443" s="115">
        <v>27.135000000000002</v>
      </c>
      <c r="B3443" s="115">
        <v>27.35</v>
      </c>
      <c r="C3443" s="1">
        <v>350</v>
      </c>
      <c r="D3443" s="1" t="s">
        <v>2593</v>
      </c>
      <c r="E3443" s="1">
        <v>27</v>
      </c>
    </row>
    <row r="3444" spans="1:5" hidden="1" x14ac:dyDescent="0.25">
      <c r="A3444" s="115">
        <v>27.135999999999999</v>
      </c>
      <c r="B3444" s="115">
        <v>27.36</v>
      </c>
      <c r="C3444" s="1">
        <v>360</v>
      </c>
      <c r="D3444" s="1" t="s">
        <v>2594</v>
      </c>
      <c r="E3444" s="1">
        <v>27</v>
      </c>
    </row>
    <row r="3445" spans="1:5" hidden="1" x14ac:dyDescent="0.25">
      <c r="A3445" s="115">
        <v>27.137</v>
      </c>
      <c r="B3445" s="115">
        <v>27.37</v>
      </c>
      <c r="C3445" s="1">
        <v>370</v>
      </c>
      <c r="D3445" s="1" t="s">
        <v>2595</v>
      </c>
      <c r="E3445" s="1">
        <v>27</v>
      </c>
    </row>
    <row r="3446" spans="1:5" hidden="1" x14ac:dyDescent="0.25">
      <c r="A3446" s="115">
        <v>27.138000000000002</v>
      </c>
      <c r="B3446" s="115">
        <v>27.38</v>
      </c>
      <c r="C3446" s="1">
        <v>380</v>
      </c>
      <c r="D3446" s="1" t="s">
        <v>2596</v>
      </c>
      <c r="E3446" s="1">
        <v>27</v>
      </c>
    </row>
    <row r="3447" spans="1:5" hidden="1" x14ac:dyDescent="0.25">
      <c r="A3447" s="115">
        <v>27.138999999999999</v>
      </c>
      <c r="B3447" s="115">
        <v>27.39</v>
      </c>
      <c r="C3447" s="1">
        <v>390</v>
      </c>
      <c r="D3447" s="1" t="s">
        <v>2597</v>
      </c>
      <c r="E3447" s="1">
        <v>27</v>
      </c>
    </row>
    <row r="3448" spans="1:5" hidden="1" x14ac:dyDescent="0.25">
      <c r="A3448" s="115">
        <v>27.14</v>
      </c>
      <c r="B3448" s="115">
        <v>27.4</v>
      </c>
      <c r="C3448" s="1">
        <v>400</v>
      </c>
      <c r="D3448" s="1" t="s">
        <v>2598</v>
      </c>
      <c r="E3448" s="1">
        <v>27</v>
      </c>
    </row>
    <row r="3449" spans="1:5" hidden="1" x14ac:dyDescent="0.25">
      <c r="A3449" s="115">
        <v>27.140999999999998</v>
      </c>
      <c r="B3449" s="115">
        <v>27.41</v>
      </c>
      <c r="C3449" s="1">
        <v>410</v>
      </c>
      <c r="D3449" s="1" t="s">
        <v>2599</v>
      </c>
      <c r="E3449" s="1">
        <v>27</v>
      </c>
    </row>
    <row r="3450" spans="1:5" hidden="1" x14ac:dyDescent="0.25">
      <c r="A3450" s="115">
        <v>27.141999999999999</v>
      </c>
      <c r="B3450" s="115">
        <v>27.42</v>
      </c>
      <c r="C3450" s="1">
        <v>420</v>
      </c>
      <c r="D3450" s="1" t="s">
        <v>2600</v>
      </c>
      <c r="E3450" s="1">
        <v>27</v>
      </c>
    </row>
    <row r="3451" spans="1:5" hidden="1" x14ac:dyDescent="0.25">
      <c r="A3451" s="115">
        <v>27.143000000000001</v>
      </c>
      <c r="B3451" s="115">
        <v>27.43</v>
      </c>
      <c r="C3451" s="1">
        <v>430</v>
      </c>
      <c r="D3451" s="1" t="s">
        <v>2601</v>
      </c>
      <c r="E3451" s="1">
        <v>27</v>
      </c>
    </row>
    <row r="3452" spans="1:5" hidden="1" x14ac:dyDescent="0.25">
      <c r="A3452" s="115">
        <v>27.143999999999998</v>
      </c>
      <c r="B3452" s="115">
        <v>27.44</v>
      </c>
      <c r="C3452" s="1">
        <v>440</v>
      </c>
      <c r="D3452" s="1" t="s">
        <v>2602</v>
      </c>
      <c r="E3452" s="1">
        <v>27</v>
      </c>
    </row>
    <row r="3453" spans="1:5" hidden="1" x14ac:dyDescent="0.25">
      <c r="A3453" s="115">
        <v>27.145</v>
      </c>
      <c r="B3453" s="115">
        <v>27.445</v>
      </c>
      <c r="C3453" s="1">
        <v>445</v>
      </c>
      <c r="D3453" s="1" t="s">
        <v>2603</v>
      </c>
      <c r="E3453" s="1">
        <v>27</v>
      </c>
    </row>
    <row r="3454" spans="1:5" hidden="1" x14ac:dyDescent="0.25">
      <c r="A3454" s="115">
        <v>27.146000000000001</v>
      </c>
      <c r="B3454" s="115">
        <v>27.45</v>
      </c>
      <c r="C3454" s="1">
        <v>450</v>
      </c>
      <c r="D3454" s="1" t="s">
        <v>2604</v>
      </c>
      <c r="E3454" s="1">
        <v>27</v>
      </c>
    </row>
    <row r="3455" spans="1:5" hidden="1" x14ac:dyDescent="0.25">
      <c r="A3455" s="115">
        <v>27.146999999999998</v>
      </c>
      <c r="B3455" s="115">
        <v>27.46</v>
      </c>
      <c r="C3455" s="1">
        <v>460</v>
      </c>
      <c r="D3455" s="1" t="s">
        <v>2605</v>
      </c>
      <c r="E3455" s="1">
        <v>27</v>
      </c>
    </row>
    <row r="3456" spans="1:5" hidden="1" x14ac:dyDescent="0.25">
      <c r="A3456" s="115">
        <v>27.148</v>
      </c>
      <c r="B3456" s="115">
        <v>27.47</v>
      </c>
      <c r="C3456" s="1">
        <v>470</v>
      </c>
      <c r="D3456" s="1" t="s">
        <v>2606</v>
      </c>
      <c r="E3456" s="1">
        <v>27</v>
      </c>
    </row>
    <row r="3457" spans="1:5" hidden="1" x14ac:dyDescent="0.25">
      <c r="A3457" s="115">
        <v>27.149000000000001</v>
      </c>
      <c r="B3457" s="115">
        <v>27.48</v>
      </c>
      <c r="C3457" s="1">
        <v>480</v>
      </c>
      <c r="D3457" s="1" t="s">
        <v>2607</v>
      </c>
      <c r="E3457" s="1">
        <v>27</v>
      </c>
    </row>
    <row r="3458" spans="1:5" hidden="1" x14ac:dyDescent="0.25">
      <c r="A3458" s="115">
        <v>27.15</v>
      </c>
      <c r="B3458" s="115">
        <v>27.49</v>
      </c>
      <c r="C3458" s="1">
        <v>490</v>
      </c>
      <c r="D3458" s="1" t="s">
        <v>2608</v>
      </c>
      <c r="E3458" s="1">
        <v>27</v>
      </c>
    </row>
    <row r="3459" spans="1:5" hidden="1" x14ac:dyDescent="0.25">
      <c r="A3459" s="115">
        <v>27.151</v>
      </c>
      <c r="B3459" s="115">
        <v>27.5</v>
      </c>
      <c r="C3459" s="1">
        <v>500</v>
      </c>
      <c r="D3459" s="1" t="s">
        <v>2609</v>
      </c>
      <c r="E3459" s="1">
        <v>27</v>
      </c>
    </row>
    <row r="3460" spans="1:5" hidden="1" x14ac:dyDescent="0.25">
      <c r="A3460" s="115">
        <v>27.152000000000001</v>
      </c>
      <c r="B3460" s="115">
        <v>27.51</v>
      </c>
      <c r="C3460" s="1">
        <v>510</v>
      </c>
      <c r="D3460" s="1" t="s">
        <v>2610</v>
      </c>
      <c r="E3460" s="1">
        <v>27</v>
      </c>
    </row>
    <row r="3461" spans="1:5" hidden="1" x14ac:dyDescent="0.25">
      <c r="A3461" s="115">
        <v>27.152999999999999</v>
      </c>
      <c r="B3461" s="115">
        <v>27.52</v>
      </c>
      <c r="C3461" s="1">
        <v>520</v>
      </c>
      <c r="D3461" s="1" t="s">
        <v>2611</v>
      </c>
      <c r="E3461" s="1">
        <v>27</v>
      </c>
    </row>
    <row r="3462" spans="1:5" hidden="1" x14ac:dyDescent="0.25">
      <c r="A3462" s="115">
        <v>27.154</v>
      </c>
      <c r="B3462" s="115">
        <v>27.53</v>
      </c>
      <c r="C3462" s="1">
        <v>530</v>
      </c>
      <c r="D3462" s="1" t="s">
        <v>2612</v>
      </c>
      <c r="E3462" s="1">
        <v>27</v>
      </c>
    </row>
    <row r="3463" spans="1:5" hidden="1" x14ac:dyDescent="0.25">
      <c r="A3463" s="115">
        <v>27.155000000000001</v>
      </c>
      <c r="B3463" s="115">
        <v>27.54</v>
      </c>
      <c r="C3463" s="1">
        <v>540</v>
      </c>
      <c r="D3463" s="1" t="s">
        <v>2613</v>
      </c>
      <c r="E3463" s="1">
        <v>27</v>
      </c>
    </row>
    <row r="3464" spans="1:5" hidden="1" x14ac:dyDescent="0.25">
      <c r="A3464" s="115">
        <v>27.155999999999999</v>
      </c>
      <c r="B3464" s="115">
        <v>27.55</v>
      </c>
      <c r="C3464" s="1">
        <v>550</v>
      </c>
      <c r="D3464" s="1" t="s">
        <v>2614</v>
      </c>
      <c r="E3464" s="1">
        <v>27</v>
      </c>
    </row>
    <row r="3465" spans="1:5" hidden="1" x14ac:dyDescent="0.25">
      <c r="A3465" s="115">
        <v>27.157</v>
      </c>
      <c r="B3465" s="115">
        <v>27.56</v>
      </c>
      <c r="C3465" s="1">
        <v>560</v>
      </c>
      <c r="D3465" s="1" t="s">
        <v>2615</v>
      </c>
      <c r="E3465" s="1">
        <v>27</v>
      </c>
    </row>
    <row r="3466" spans="1:5" hidden="1" x14ac:dyDescent="0.25">
      <c r="A3466" s="115">
        <v>27.158000000000001</v>
      </c>
      <c r="B3466" s="115">
        <v>27.57</v>
      </c>
      <c r="C3466" s="1">
        <v>570</v>
      </c>
      <c r="D3466" s="1" t="s">
        <v>2616</v>
      </c>
      <c r="E3466" s="1">
        <v>27</v>
      </c>
    </row>
    <row r="3467" spans="1:5" hidden="1" x14ac:dyDescent="0.25">
      <c r="A3467" s="115">
        <v>27.158999999999999</v>
      </c>
      <c r="B3467" s="115">
        <v>27.574999999999999</v>
      </c>
      <c r="C3467" s="1">
        <v>575</v>
      </c>
      <c r="D3467" s="1" t="s">
        <v>2617</v>
      </c>
      <c r="E3467" s="1">
        <v>27</v>
      </c>
    </row>
    <row r="3468" spans="1:5" hidden="1" x14ac:dyDescent="0.25">
      <c r="A3468" s="115">
        <v>27.16</v>
      </c>
      <c r="B3468" s="115">
        <v>27.576000000000001</v>
      </c>
      <c r="C3468" s="1">
        <v>576</v>
      </c>
      <c r="D3468" s="1" t="s">
        <v>2618</v>
      </c>
      <c r="E3468" s="1">
        <v>27</v>
      </c>
    </row>
    <row r="3469" spans="1:5" hidden="1" x14ac:dyDescent="0.25">
      <c r="A3469" s="115">
        <v>27.161000000000001</v>
      </c>
      <c r="B3469" s="115">
        <v>27.58</v>
      </c>
      <c r="C3469" s="1">
        <v>580</v>
      </c>
      <c r="D3469" s="1" t="s">
        <v>2619</v>
      </c>
      <c r="E3469" s="1">
        <v>27</v>
      </c>
    </row>
    <row r="3470" spans="1:5" hidden="1" x14ac:dyDescent="0.25">
      <c r="A3470" s="115">
        <v>27.161999999999999</v>
      </c>
      <c r="B3470" s="115">
        <v>27.59</v>
      </c>
      <c r="C3470" s="1">
        <v>590</v>
      </c>
      <c r="D3470" s="1" t="s">
        <v>1099</v>
      </c>
      <c r="E3470" s="1">
        <v>27</v>
      </c>
    </row>
    <row r="3471" spans="1:5" hidden="1" x14ac:dyDescent="0.25">
      <c r="A3471" s="115">
        <v>27.163</v>
      </c>
      <c r="B3471" s="115">
        <v>27.6</v>
      </c>
      <c r="C3471" s="1">
        <v>600</v>
      </c>
      <c r="D3471" s="1" t="s">
        <v>2620</v>
      </c>
      <c r="E3471" s="1">
        <v>27</v>
      </c>
    </row>
    <row r="3472" spans="1:5" hidden="1" x14ac:dyDescent="0.25">
      <c r="A3472" s="115">
        <v>27.164000000000001</v>
      </c>
      <c r="B3472" s="115">
        <v>27.61</v>
      </c>
      <c r="C3472" s="1">
        <v>610</v>
      </c>
      <c r="D3472" s="1" t="s">
        <v>2621</v>
      </c>
      <c r="E3472" s="1">
        <v>27</v>
      </c>
    </row>
    <row r="3473" spans="1:5" hidden="1" x14ac:dyDescent="0.25">
      <c r="A3473" s="115">
        <v>27.164999999999999</v>
      </c>
      <c r="B3473" s="115">
        <v>27.62</v>
      </c>
      <c r="C3473" s="1">
        <v>620</v>
      </c>
      <c r="D3473" s="1" t="s">
        <v>2622</v>
      </c>
      <c r="E3473" s="1">
        <v>27</v>
      </c>
    </row>
    <row r="3474" spans="1:5" hidden="1" x14ac:dyDescent="0.25">
      <c r="A3474" s="115">
        <v>27.166</v>
      </c>
      <c r="B3474" s="115">
        <v>27.63</v>
      </c>
      <c r="C3474" s="1">
        <v>630</v>
      </c>
      <c r="D3474" s="1" t="s">
        <v>2623</v>
      </c>
      <c r="E3474" s="1">
        <v>27</v>
      </c>
    </row>
    <row r="3475" spans="1:5" hidden="1" x14ac:dyDescent="0.25">
      <c r="A3475" s="115">
        <v>27.167000000000002</v>
      </c>
      <c r="B3475" s="115">
        <v>27.64</v>
      </c>
      <c r="C3475" s="1">
        <v>640</v>
      </c>
      <c r="D3475" s="1" t="s">
        <v>2624</v>
      </c>
      <c r="E3475" s="1">
        <v>27</v>
      </c>
    </row>
    <row r="3476" spans="1:5" hidden="1" x14ac:dyDescent="0.25">
      <c r="A3476" s="115">
        <v>27.167999999999999</v>
      </c>
      <c r="B3476" s="115">
        <v>27.65</v>
      </c>
      <c r="C3476" s="1">
        <v>650</v>
      </c>
      <c r="D3476" s="1" t="s">
        <v>2625</v>
      </c>
      <c r="E3476" s="1">
        <v>27</v>
      </c>
    </row>
    <row r="3477" spans="1:5" hidden="1" x14ac:dyDescent="0.25">
      <c r="A3477" s="115">
        <v>27.169</v>
      </c>
      <c r="B3477" s="115">
        <v>27.66</v>
      </c>
      <c r="C3477" s="1">
        <v>660</v>
      </c>
      <c r="D3477" s="1" t="s">
        <v>2626</v>
      </c>
      <c r="E3477" s="1">
        <v>27</v>
      </c>
    </row>
    <row r="3478" spans="1:5" hidden="1" x14ac:dyDescent="0.25">
      <c r="A3478" s="115">
        <v>27.17</v>
      </c>
      <c r="B3478" s="115">
        <v>27.67</v>
      </c>
      <c r="C3478" s="1">
        <v>670</v>
      </c>
      <c r="D3478" s="1" t="s">
        <v>2627</v>
      </c>
      <c r="E3478" s="1">
        <v>27</v>
      </c>
    </row>
    <row r="3479" spans="1:5" hidden="1" x14ac:dyDescent="0.25">
      <c r="A3479" s="115">
        <v>27.170999999999999</v>
      </c>
      <c r="B3479" s="115">
        <v>27.68</v>
      </c>
      <c r="C3479" s="1">
        <v>680</v>
      </c>
      <c r="D3479" s="1" t="s">
        <v>2628</v>
      </c>
      <c r="E3479" s="1">
        <v>27</v>
      </c>
    </row>
    <row r="3480" spans="1:5" hidden="1" x14ac:dyDescent="0.25">
      <c r="A3480" s="115">
        <v>27.172000000000001</v>
      </c>
      <c r="B3480" s="115">
        <v>27.69</v>
      </c>
      <c r="C3480" s="1">
        <v>690</v>
      </c>
      <c r="D3480" s="1" t="s">
        <v>2629</v>
      </c>
      <c r="E3480" s="1">
        <v>27</v>
      </c>
    </row>
    <row r="3481" spans="1:5" hidden="1" x14ac:dyDescent="0.25">
      <c r="A3481" s="115">
        <v>27.172999999999998</v>
      </c>
      <c r="B3481" s="115">
        <v>27.7</v>
      </c>
      <c r="C3481" s="1">
        <v>700</v>
      </c>
      <c r="D3481" s="1" t="s">
        <v>2630</v>
      </c>
      <c r="E3481" s="1">
        <v>27</v>
      </c>
    </row>
    <row r="3482" spans="1:5" hidden="1" x14ac:dyDescent="0.25">
      <c r="A3482" s="115">
        <v>27.173999999999999</v>
      </c>
      <c r="B3482" s="115">
        <v>27.71</v>
      </c>
      <c r="C3482" s="1">
        <v>710</v>
      </c>
      <c r="D3482" s="1" t="s">
        <v>2631</v>
      </c>
      <c r="E3482" s="1">
        <v>27</v>
      </c>
    </row>
    <row r="3483" spans="1:5" hidden="1" x14ac:dyDescent="0.25">
      <c r="A3483" s="115">
        <v>27.175000000000001</v>
      </c>
      <c r="B3483" s="115">
        <v>27.72</v>
      </c>
      <c r="C3483" s="1">
        <v>720</v>
      </c>
      <c r="D3483" s="1" t="s">
        <v>2632</v>
      </c>
      <c r="E3483" s="1">
        <v>27</v>
      </c>
    </row>
    <row r="3484" spans="1:5" hidden="1" x14ac:dyDescent="0.25">
      <c r="A3484" s="115">
        <v>27.175999999999998</v>
      </c>
      <c r="B3484" s="115">
        <v>27.73</v>
      </c>
      <c r="C3484" s="1">
        <v>730</v>
      </c>
      <c r="D3484" s="1" t="s">
        <v>2633</v>
      </c>
      <c r="E3484" s="1">
        <v>27</v>
      </c>
    </row>
    <row r="3485" spans="1:5" hidden="1" x14ac:dyDescent="0.25">
      <c r="A3485" s="115">
        <v>27.177</v>
      </c>
      <c r="B3485" s="115">
        <v>27.74</v>
      </c>
      <c r="C3485" s="1">
        <v>740</v>
      </c>
      <c r="D3485" s="1" t="s">
        <v>2634</v>
      </c>
      <c r="E3485" s="1">
        <v>27</v>
      </c>
    </row>
    <row r="3486" spans="1:5" hidden="1" x14ac:dyDescent="0.25">
      <c r="A3486" s="115">
        <v>27.178000000000001</v>
      </c>
      <c r="B3486" s="115">
        <v>27.75</v>
      </c>
      <c r="C3486" s="1">
        <v>750</v>
      </c>
      <c r="D3486" s="1" t="s">
        <v>2635</v>
      </c>
      <c r="E3486" s="1">
        <v>27</v>
      </c>
    </row>
    <row r="3487" spans="1:5" hidden="1" x14ac:dyDescent="0.25">
      <c r="A3487" s="115">
        <v>27.178999999999998</v>
      </c>
      <c r="B3487" s="115">
        <v>27.754999999999999</v>
      </c>
      <c r="C3487" s="1">
        <v>755</v>
      </c>
      <c r="D3487" s="1" t="s">
        <v>1466</v>
      </c>
      <c r="E3487" s="1">
        <v>27</v>
      </c>
    </row>
    <row r="3488" spans="1:5" hidden="1" x14ac:dyDescent="0.25">
      <c r="A3488" s="115">
        <v>27.18</v>
      </c>
      <c r="B3488" s="115">
        <v>27.76</v>
      </c>
      <c r="C3488" s="1">
        <v>760</v>
      </c>
      <c r="D3488" s="1" t="s">
        <v>2636</v>
      </c>
      <c r="E3488" s="1">
        <v>27</v>
      </c>
    </row>
    <row r="3489" spans="1:5" hidden="1" x14ac:dyDescent="0.25">
      <c r="A3489" s="115">
        <v>27.181000000000001</v>
      </c>
      <c r="B3489" s="115">
        <v>27.77</v>
      </c>
      <c r="C3489" s="1">
        <v>770</v>
      </c>
      <c r="D3489" s="1" t="s">
        <v>2637</v>
      </c>
      <c r="E3489" s="1">
        <v>27</v>
      </c>
    </row>
    <row r="3490" spans="1:5" hidden="1" x14ac:dyDescent="0.25">
      <c r="A3490" s="115">
        <v>27.181999999999999</v>
      </c>
      <c r="B3490" s="115">
        <v>27.78</v>
      </c>
      <c r="C3490" s="1">
        <v>780</v>
      </c>
      <c r="D3490" s="1" t="s">
        <v>2638</v>
      </c>
      <c r="E3490" s="1">
        <v>27</v>
      </c>
    </row>
    <row r="3491" spans="1:5" hidden="1" x14ac:dyDescent="0.25">
      <c r="A3491" s="115">
        <v>27.183</v>
      </c>
      <c r="B3491" s="115">
        <v>27.79</v>
      </c>
      <c r="C3491" s="1">
        <v>790</v>
      </c>
      <c r="D3491" s="1" t="s">
        <v>2639</v>
      </c>
      <c r="E3491" s="1">
        <v>27</v>
      </c>
    </row>
    <row r="3492" spans="1:5" hidden="1" x14ac:dyDescent="0.25">
      <c r="A3492" s="115">
        <v>27.184000000000001</v>
      </c>
      <c r="B3492" s="115">
        <v>27.8</v>
      </c>
      <c r="C3492" s="1">
        <v>800</v>
      </c>
      <c r="D3492" s="1" t="s">
        <v>2640</v>
      </c>
      <c r="E3492" s="1">
        <v>27</v>
      </c>
    </row>
    <row r="3493" spans="1:5" hidden="1" x14ac:dyDescent="0.25">
      <c r="A3493" s="115">
        <v>27.184999999999999</v>
      </c>
      <c r="B3493" s="115">
        <v>27.805</v>
      </c>
      <c r="C3493" s="1">
        <v>805</v>
      </c>
      <c r="D3493" s="1" t="s">
        <v>2641</v>
      </c>
      <c r="E3493" s="1">
        <v>27</v>
      </c>
    </row>
    <row r="3494" spans="1:5" hidden="1" x14ac:dyDescent="0.25">
      <c r="A3494" s="115">
        <v>27.186</v>
      </c>
      <c r="B3494" s="115">
        <v>27.81</v>
      </c>
      <c r="C3494" s="1">
        <v>810</v>
      </c>
      <c r="D3494" s="1" t="s">
        <v>2642</v>
      </c>
      <c r="E3494" s="1">
        <v>27</v>
      </c>
    </row>
    <row r="3495" spans="1:5" hidden="1" x14ac:dyDescent="0.25">
      <c r="A3495" s="115">
        <v>27.187000000000001</v>
      </c>
      <c r="B3495" s="115">
        <v>27.82</v>
      </c>
      <c r="C3495" s="1">
        <v>820</v>
      </c>
      <c r="D3495" s="1" t="s">
        <v>2643</v>
      </c>
      <c r="E3495" s="1">
        <v>27</v>
      </c>
    </row>
    <row r="3496" spans="1:5" hidden="1" x14ac:dyDescent="0.25">
      <c r="A3496" s="115">
        <v>27.187999999999999</v>
      </c>
      <c r="B3496" s="115">
        <v>27.83</v>
      </c>
      <c r="C3496" s="1">
        <v>830</v>
      </c>
      <c r="D3496" s="1" t="s">
        <v>2644</v>
      </c>
      <c r="E3496" s="1">
        <v>27</v>
      </c>
    </row>
    <row r="3497" spans="1:5" hidden="1" x14ac:dyDescent="0.25">
      <c r="A3497" s="115">
        <v>27.189</v>
      </c>
      <c r="B3497" s="115">
        <v>27.84</v>
      </c>
      <c r="C3497" s="1">
        <v>840</v>
      </c>
      <c r="D3497" s="1" t="s">
        <v>2645</v>
      </c>
      <c r="E3497" s="1">
        <v>27</v>
      </c>
    </row>
    <row r="3498" spans="1:5" hidden="1" x14ac:dyDescent="0.25">
      <c r="A3498" s="115">
        <v>27.19</v>
      </c>
      <c r="B3498" s="115">
        <v>27.85</v>
      </c>
      <c r="C3498" s="1">
        <v>850</v>
      </c>
      <c r="D3498" s="1" t="s">
        <v>2646</v>
      </c>
      <c r="E3498" s="1">
        <v>27</v>
      </c>
    </row>
    <row r="3499" spans="1:5" hidden="1" x14ac:dyDescent="0.25">
      <c r="A3499" s="115">
        <v>27.190999999999999</v>
      </c>
      <c r="B3499" s="115">
        <v>27.86</v>
      </c>
      <c r="C3499" s="1">
        <v>860</v>
      </c>
      <c r="D3499" s="1" t="s">
        <v>2647</v>
      </c>
      <c r="E3499" s="1">
        <v>27</v>
      </c>
    </row>
    <row r="3500" spans="1:5" hidden="1" x14ac:dyDescent="0.25">
      <c r="A3500" s="115">
        <v>27.192</v>
      </c>
      <c r="B3500" s="115">
        <v>27.87</v>
      </c>
      <c r="C3500" s="1">
        <v>870</v>
      </c>
      <c r="D3500" s="1" t="s">
        <v>2648</v>
      </c>
      <c r="E3500" s="1">
        <v>27</v>
      </c>
    </row>
    <row r="3501" spans="1:5" hidden="1" x14ac:dyDescent="0.25">
      <c r="A3501" s="115">
        <v>27.193000000000001</v>
      </c>
      <c r="B3501" s="115">
        <v>27.88</v>
      </c>
      <c r="C3501" s="1">
        <v>880</v>
      </c>
      <c r="D3501" s="1" t="s">
        <v>2649</v>
      </c>
      <c r="E3501" s="1">
        <v>27</v>
      </c>
    </row>
    <row r="3502" spans="1:5" hidden="1" x14ac:dyDescent="0.25">
      <c r="A3502" s="115">
        <v>27.193999999999999</v>
      </c>
      <c r="B3502" s="115">
        <v>27.89</v>
      </c>
      <c r="C3502" s="1">
        <v>890</v>
      </c>
      <c r="D3502" s="1" t="s">
        <v>2650</v>
      </c>
      <c r="E3502" s="1">
        <v>27</v>
      </c>
    </row>
    <row r="3503" spans="1:5" hidden="1" x14ac:dyDescent="0.25">
      <c r="A3503" s="115">
        <v>27.195</v>
      </c>
      <c r="B3503" s="115">
        <v>27.895</v>
      </c>
      <c r="C3503" s="1">
        <v>895</v>
      </c>
      <c r="D3503" s="1" t="s">
        <v>2651</v>
      </c>
      <c r="E3503" s="1">
        <v>27</v>
      </c>
    </row>
    <row r="3504" spans="1:5" hidden="1" x14ac:dyDescent="0.25">
      <c r="A3504" s="115">
        <v>27.196000000000002</v>
      </c>
      <c r="B3504" s="115">
        <v>27.9</v>
      </c>
      <c r="C3504" s="1">
        <v>900</v>
      </c>
      <c r="D3504" s="1" t="s">
        <v>2652</v>
      </c>
      <c r="E3504" s="1">
        <v>27</v>
      </c>
    </row>
    <row r="3505" spans="1:5" hidden="1" x14ac:dyDescent="0.25">
      <c r="A3505" s="115">
        <v>27.196999999999999</v>
      </c>
      <c r="B3505" s="115">
        <v>27.91</v>
      </c>
      <c r="C3505" s="1">
        <v>910</v>
      </c>
      <c r="D3505" s="1" t="s">
        <v>2653</v>
      </c>
      <c r="E3505" s="1">
        <v>27</v>
      </c>
    </row>
    <row r="3506" spans="1:5" hidden="1" x14ac:dyDescent="0.25">
      <c r="A3506" s="115">
        <v>27.198</v>
      </c>
      <c r="B3506" s="115">
        <v>27.92</v>
      </c>
      <c r="C3506" s="1">
        <v>920</v>
      </c>
      <c r="D3506" s="1" t="s">
        <v>2654</v>
      </c>
      <c r="E3506" s="1">
        <v>27</v>
      </c>
    </row>
    <row r="3507" spans="1:5" hidden="1" x14ac:dyDescent="0.25">
      <c r="A3507" s="115">
        <v>27.199000000000002</v>
      </c>
      <c r="B3507" s="115">
        <v>27.925000000000001</v>
      </c>
      <c r="C3507" s="1">
        <v>925</v>
      </c>
      <c r="D3507" s="1" t="s">
        <v>2655</v>
      </c>
      <c r="E3507" s="1">
        <v>27</v>
      </c>
    </row>
    <row r="3508" spans="1:5" hidden="1" x14ac:dyDescent="0.25">
      <c r="A3508" s="115">
        <v>27.2</v>
      </c>
      <c r="B3508" s="115">
        <v>27.93</v>
      </c>
      <c r="C3508" s="1">
        <v>930</v>
      </c>
      <c r="D3508" s="1" t="s">
        <v>2656</v>
      </c>
      <c r="E3508" s="1">
        <v>27</v>
      </c>
    </row>
    <row r="3509" spans="1:5" hidden="1" x14ac:dyDescent="0.25">
      <c r="A3509" s="115">
        <v>27.201000000000001</v>
      </c>
      <c r="B3509" s="115">
        <v>27.934999999999999</v>
      </c>
      <c r="C3509" s="1">
        <v>935</v>
      </c>
      <c r="D3509" s="1" t="s">
        <v>2657</v>
      </c>
      <c r="E3509" s="1">
        <v>27</v>
      </c>
    </row>
    <row r="3510" spans="1:5" hidden="1" x14ac:dyDescent="0.25">
      <c r="A3510" s="115">
        <v>27.202000000000002</v>
      </c>
      <c r="B3510" s="115">
        <v>27.94</v>
      </c>
      <c r="C3510" s="1">
        <v>940</v>
      </c>
      <c r="D3510" s="1" t="s">
        <v>2658</v>
      </c>
      <c r="E3510" s="1">
        <v>27</v>
      </c>
    </row>
    <row r="3511" spans="1:5" hidden="1" x14ac:dyDescent="0.25">
      <c r="A3511" s="115">
        <v>27.202999999999999</v>
      </c>
      <c r="B3511" s="115">
        <v>27.95</v>
      </c>
      <c r="C3511" s="1">
        <v>950</v>
      </c>
      <c r="D3511" s="1" t="s">
        <v>2659</v>
      </c>
      <c r="E3511" s="1">
        <v>27</v>
      </c>
    </row>
    <row r="3512" spans="1:5" hidden="1" x14ac:dyDescent="0.25">
      <c r="A3512" s="115">
        <v>27.204000000000001</v>
      </c>
      <c r="B3512" s="115">
        <v>27.954999999999998</v>
      </c>
      <c r="C3512" s="1">
        <v>955</v>
      </c>
      <c r="D3512" s="1" t="s">
        <v>2660</v>
      </c>
      <c r="E3512" s="1">
        <v>27</v>
      </c>
    </row>
    <row r="3513" spans="1:5" hidden="1" x14ac:dyDescent="0.25">
      <c r="A3513" s="115">
        <v>27.204999999999998</v>
      </c>
      <c r="B3513" s="115">
        <v>27.96</v>
      </c>
      <c r="C3513" s="1">
        <v>960</v>
      </c>
      <c r="D3513" s="1" t="s">
        <v>2661</v>
      </c>
      <c r="E3513" s="1">
        <v>27</v>
      </c>
    </row>
    <row r="3514" spans="1:5" hidden="1" x14ac:dyDescent="0.25">
      <c r="A3514" s="115">
        <v>27.206</v>
      </c>
      <c r="B3514" s="115">
        <v>27.97</v>
      </c>
      <c r="C3514" s="1">
        <v>970</v>
      </c>
      <c r="D3514" s="1" t="s">
        <v>2662</v>
      </c>
      <c r="E3514" s="1">
        <v>27</v>
      </c>
    </row>
    <row r="3515" spans="1:5" hidden="1" x14ac:dyDescent="0.25">
      <c r="A3515" s="115">
        <v>27.207000000000001</v>
      </c>
      <c r="B3515" s="115">
        <v>27.98</v>
      </c>
      <c r="C3515" s="1">
        <v>980</v>
      </c>
      <c r="D3515" s="1" t="s">
        <v>2663</v>
      </c>
      <c r="E3515" s="1">
        <v>27</v>
      </c>
    </row>
    <row r="3516" spans="1:5" hidden="1" x14ac:dyDescent="0.25">
      <c r="A3516" s="115">
        <v>27.207999999999998</v>
      </c>
      <c r="B3516" s="115">
        <v>27.99</v>
      </c>
      <c r="C3516" s="1">
        <v>990</v>
      </c>
      <c r="D3516" s="1" t="s">
        <v>2664</v>
      </c>
      <c r="E3516" s="1">
        <v>27</v>
      </c>
    </row>
    <row r="3517" spans="1:5" hidden="1" x14ac:dyDescent="0.25">
      <c r="A3517" s="115">
        <v>27.209</v>
      </c>
      <c r="B3517" s="115">
        <v>27.1</v>
      </c>
      <c r="C3517" s="1">
        <v>1000</v>
      </c>
      <c r="D3517" s="1" t="s">
        <v>2665</v>
      </c>
      <c r="E3517" s="1">
        <v>27</v>
      </c>
    </row>
    <row r="3518" spans="1:5" hidden="1" x14ac:dyDescent="0.25">
      <c r="A3518" s="115">
        <v>27.21</v>
      </c>
      <c r="B3518" s="115">
        <v>27.11</v>
      </c>
      <c r="C3518" s="1">
        <v>1100</v>
      </c>
      <c r="D3518" s="1" t="s">
        <v>2666</v>
      </c>
      <c r="E3518" s="1">
        <v>27</v>
      </c>
    </row>
    <row r="3519" spans="1:5" hidden="1" x14ac:dyDescent="0.25">
      <c r="A3519" s="115">
        <v>27.210999999999999</v>
      </c>
      <c r="B3519" s="115">
        <v>27.111000000000001</v>
      </c>
      <c r="C3519" s="1">
        <v>1110</v>
      </c>
      <c r="D3519" s="1" t="s">
        <v>2667</v>
      </c>
      <c r="E3519" s="1">
        <v>27</v>
      </c>
    </row>
    <row r="3520" spans="1:5" hidden="1" x14ac:dyDescent="0.25">
      <c r="A3520" s="115">
        <v>27.212</v>
      </c>
      <c r="B3520" s="115">
        <v>27.111999999999998</v>
      </c>
      <c r="C3520" s="1">
        <v>1120</v>
      </c>
      <c r="D3520" s="1" t="s">
        <v>2668</v>
      </c>
      <c r="E3520" s="1">
        <v>27</v>
      </c>
    </row>
    <row r="3521" spans="1:5" hidden="1" x14ac:dyDescent="0.25">
      <c r="A3521" s="115">
        <v>27.213000000000001</v>
      </c>
      <c r="B3521" s="115">
        <v>27.113</v>
      </c>
      <c r="C3521" s="1">
        <v>1130</v>
      </c>
      <c r="D3521" s="1" t="s">
        <v>2669</v>
      </c>
      <c r="E3521" s="1">
        <v>27</v>
      </c>
    </row>
    <row r="3522" spans="1:5" hidden="1" x14ac:dyDescent="0.25">
      <c r="A3522" s="115">
        <v>27.213999999999999</v>
      </c>
      <c r="B3522" s="115">
        <v>27.114000000000001</v>
      </c>
      <c r="C3522" s="1">
        <v>1140</v>
      </c>
      <c r="D3522" s="1" t="s">
        <v>2670</v>
      </c>
      <c r="E3522" s="1">
        <v>27</v>
      </c>
    </row>
    <row r="3523" spans="1:5" hidden="1" x14ac:dyDescent="0.25">
      <c r="A3523" s="115">
        <v>27.215</v>
      </c>
      <c r="B3523" s="115">
        <v>27.114999999999998</v>
      </c>
      <c r="C3523" s="1">
        <v>1150</v>
      </c>
      <c r="D3523" s="1" t="s">
        <v>2671</v>
      </c>
      <c r="E3523" s="1">
        <v>27</v>
      </c>
    </row>
    <row r="3524" spans="1:5" hidden="1" x14ac:dyDescent="0.25">
      <c r="A3524" s="115">
        <v>27.216000000000001</v>
      </c>
      <c r="B3524" s="115">
        <v>27.116</v>
      </c>
      <c r="C3524" s="1">
        <v>1160</v>
      </c>
      <c r="D3524" s="1" t="s">
        <v>2672</v>
      </c>
      <c r="E3524" s="1">
        <v>27</v>
      </c>
    </row>
    <row r="3525" spans="1:5" hidden="1" x14ac:dyDescent="0.25">
      <c r="A3525" s="115">
        <v>27.216999999999999</v>
      </c>
      <c r="B3525" s="115">
        <v>27.117000000000001</v>
      </c>
      <c r="C3525" s="1">
        <v>1170</v>
      </c>
      <c r="D3525" s="1" t="s">
        <v>2673</v>
      </c>
      <c r="E3525" s="1">
        <v>27</v>
      </c>
    </row>
    <row r="3526" spans="1:5" hidden="1" x14ac:dyDescent="0.25">
      <c r="A3526" s="115">
        <v>27.218</v>
      </c>
      <c r="B3526" s="115">
        <v>27.117999999999999</v>
      </c>
      <c r="C3526" s="1">
        <v>1180</v>
      </c>
      <c r="D3526" s="1" t="s">
        <v>2674</v>
      </c>
      <c r="E3526" s="1">
        <v>27</v>
      </c>
    </row>
    <row r="3527" spans="1:5" hidden="1" x14ac:dyDescent="0.25">
      <c r="A3527" s="115">
        <v>27.219000000000001</v>
      </c>
      <c r="B3527" s="115">
        <v>27.119</v>
      </c>
      <c r="C3527" s="1">
        <v>1190</v>
      </c>
      <c r="D3527" s="1" t="s">
        <v>2675</v>
      </c>
      <c r="E3527" s="1">
        <v>27</v>
      </c>
    </row>
    <row r="3528" spans="1:5" hidden="1" x14ac:dyDescent="0.25">
      <c r="A3528" s="115">
        <v>27.22</v>
      </c>
      <c r="B3528" s="115">
        <v>27.12</v>
      </c>
      <c r="C3528" s="1">
        <v>1200</v>
      </c>
      <c r="D3528" s="1" t="s">
        <v>2676</v>
      </c>
      <c r="E3528" s="1">
        <v>27</v>
      </c>
    </row>
    <row r="3529" spans="1:5" hidden="1" x14ac:dyDescent="0.25">
      <c r="A3529" s="115">
        <v>27.221</v>
      </c>
      <c r="B3529" s="115">
        <v>27.120999999999999</v>
      </c>
      <c r="C3529" s="1">
        <v>1210</v>
      </c>
      <c r="D3529" s="1" t="s">
        <v>2677</v>
      </c>
      <c r="E3529" s="1">
        <v>27</v>
      </c>
    </row>
    <row r="3530" spans="1:5" hidden="1" x14ac:dyDescent="0.25">
      <c r="A3530" s="115">
        <v>27.222000000000001</v>
      </c>
      <c r="B3530" s="115">
        <v>27.122</v>
      </c>
      <c r="C3530" s="1">
        <v>1220</v>
      </c>
      <c r="D3530" s="1" t="s">
        <v>2678</v>
      </c>
      <c r="E3530" s="1">
        <v>27</v>
      </c>
    </row>
    <row r="3531" spans="1:5" hidden="1" x14ac:dyDescent="0.25">
      <c r="A3531" s="115">
        <v>27.222999999999999</v>
      </c>
      <c r="B3531" s="115">
        <v>27.123000000000001</v>
      </c>
      <c r="C3531" s="1">
        <v>1230</v>
      </c>
      <c r="D3531" s="1" t="s">
        <v>2679</v>
      </c>
      <c r="E3531" s="1">
        <v>27</v>
      </c>
    </row>
    <row r="3532" spans="1:5" hidden="1" x14ac:dyDescent="0.25">
      <c r="A3532" s="115">
        <v>27.224</v>
      </c>
      <c r="B3532" s="115">
        <v>27.123999999999999</v>
      </c>
      <c r="C3532" s="1">
        <v>1240</v>
      </c>
      <c r="D3532" s="1" t="s">
        <v>2680</v>
      </c>
      <c r="E3532" s="1">
        <v>27</v>
      </c>
    </row>
    <row r="3533" spans="1:5" hidden="1" x14ac:dyDescent="0.25">
      <c r="A3533" s="115">
        <v>27.225000000000001</v>
      </c>
      <c r="B3533" s="115">
        <v>27.125</v>
      </c>
      <c r="C3533" s="1">
        <v>1250</v>
      </c>
      <c r="D3533" s="1" t="s">
        <v>2681</v>
      </c>
      <c r="E3533" s="1">
        <v>27</v>
      </c>
    </row>
    <row r="3534" spans="1:5" hidden="1" x14ac:dyDescent="0.25">
      <c r="A3534" s="115">
        <v>27.225999999999999</v>
      </c>
      <c r="B3534" s="115">
        <v>27.126000000000001</v>
      </c>
      <c r="C3534" s="1">
        <v>1260</v>
      </c>
      <c r="D3534" s="1" t="s">
        <v>2682</v>
      </c>
      <c r="E3534" s="1">
        <v>27</v>
      </c>
    </row>
    <row r="3535" spans="1:5" hidden="1" x14ac:dyDescent="0.25">
      <c r="A3535" s="115">
        <v>27.227</v>
      </c>
      <c r="B3535" s="115">
        <v>27.126999999999999</v>
      </c>
      <c r="C3535" s="1">
        <v>1270</v>
      </c>
      <c r="D3535" s="1" t="s">
        <v>2683</v>
      </c>
      <c r="E3535" s="1">
        <v>27</v>
      </c>
    </row>
    <row r="3536" spans="1:5" hidden="1" x14ac:dyDescent="0.25">
      <c r="A3536" s="115">
        <v>27.228000000000002</v>
      </c>
      <c r="B3536" s="115">
        <v>27.128</v>
      </c>
      <c r="C3536" s="1">
        <v>1280</v>
      </c>
      <c r="D3536" s="1" t="s">
        <v>2684</v>
      </c>
      <c r="E3536" s="1">
        <v>27</v>
      </c>
    </row>
    <row r="3537" spans="1:5" hidden="1" x14ac:dyDescent="0.25">
      <c r="A3537" s="115">
        <v>27.228999999999999</v>
      </c>
      <c r="B3537" s="115">
        <v>27.13</v>
      </c>
      <c r="C3537" s="1">
        <v>1300</v>
      </c>
      <c r="D3537" s="1" t="s">
        <v>2685</v>
      </c>
      <c r="E3537" s="1">
        <v>27</v>
      </c>
    </row>
    <row r="3538" spans="1:5" hidden="1" x14ac:dyDescent="0.25">
      <c r="A3538" s="115">
        <v>27.23</v>
      </c>
      <c r="B3538" s="115">
        <v>27.131</v>
      </c>
      <c r="C3538" s="1">
        <v>1310</v>
      </c>
      <c r="D3538" s="1" t="s">
        <v>2686</v>
      </c>
      <c r="E3538" s="1">
        <v>27</v>
      </c>
    </row>
    <row r="3539" spans="1:5" hidden="1" x14ac:dyDescent="0.25">
      <c r="A3539" s="115">
        <v>27.231000000000002</v>
      </c>
      <c r="B3539" s="115">
        <v>27.132000000000001</v>
      </c>
      <c r="C3539" s="1">
        <v>1320</v>
      </c>
      <c r="D3539" s="1" t="s">
        <v>2687</v>
      </c>
      <c r="E3539" s="1">
        <v>27</v>
      </c>
    </row>
    <row r="3540" spans="1:5" hidden="1" x14ac:dyDescent="0.25">
      <c r="A3540" s="115">
        <v>28.100999999999999</v>
      </c>
      <c r="B3540" s="115">
        <v>28.1</v>
      </c>
      <c r="C3540" s="1">
        <v>10</v>
      </c>
      <c r="D3540" s="1" t="s">
        <v>2559</v>
      </c>
      <c r="E3540" s="1">
        <v>28</v>
      </c>
    </row>
    <row r="3541" spans="1:5" hidden="1" x14ac:dyDescent="0.25">
      <c r="A3541" s="115">
        <v>28.102</v>
      </c>
      <c r="B3541" s="115">
        <v>28.2</v>
      </c>
      <c r="C3541" s="1">
        <v>20</v>
      </c>
      <c r="D3541" s="1" t="s">
        <v>2560</v>
      </c>
      <c r="E3541" s="1">
        <v>28</v>
      </c>
    </row>
    <row r="3542" spans="1:5" hidden="1" x14ac:dyDescent="0.25">
      <c r="A3542" s="115">
        <v>28.103000000000002</v>
      </c>
      <c r="B3542" s="115">
        <v>28.3</v>
      </c>
      <c r="C3542" s="1">
        <v>30</v>
      </c>
      <c r="D3542" s="1" t="s">
        <v>2561</v>
      </c>
      <c r="E3542" s="1">
        <v>28</v>
      </c>
    </row>
    <row r="3543" spans="1:5" hidden="1" x14ac:dyDescent="0.25">
      <c r="A3543" s="115">
        <v>28.103999999999999</v>
      </c>
      <c r="B3543" s="115">
        <v>28.4</v>
      </c>
      <c r="C3543" s="1">
        <v>40</v>
      </c>
      <c r="D3543" s="1" t="s">
        <v>2562</v>
      </c>
      <c r="E3543" s="1">
        <v>28</v>
      </c>
    </row>
    <row r="3544" spans="1:5" hidden="1" x14ac:dyDescent="0.25">
      <c r="A3544" s="115">
        <v>28.105</v>
      </c>
      <c r="B3544" s="115">
        <v>28.5</v>
      </c>
      <c r="C3544" s="1">
        <v>50</v>
      </c>
      <c r="D3544" s="1" t="s">
        <v>2563</v>
      </c>
      <c r="E3544" s="1">
        <v>28</v>
      </c>
    </row>
    <row r="3545" spans="1:5" hidden="1" x14ac:dyDescent="0.25">
      <c r="A3545" s="115">
        <v>28.106000000000002</v>
      </c>
      <c r="B3545" s="115">
        <v>28.6</v>
      </c>
      <c r="C3545" s="1">
        <v>60</v>
      </c>
      <c r="D3545" s="1" t="s">
        <v>2564</v>
      </c>
      <c r="E3545" s="1">
        <v>28</v>
      </c>
    </row>
    <row r="3546" spans="1:5" hidden="1" x14ac:dyDescent="0.25">
      <c r="A3546" s="115">
        <v>28.106999999999999</v>
      </c>
      <c r="B3546" s="115">
        <v>28.7</v>
      </c>
      <c r="C3546" s="1">
        <v>70</v>
      </c>
      <c r="D3546" s="1" t="s">
        <v>2565</v>
      </c>
      <c r="E3546" s="1">
        <v>28</v>
      </c>
    </row>
    <row r="3547" spans="1:5" hidden="1" x14ac:dyDescent="0.25">
      <c r="A3547" s="115">
        <v>28.108000000000001</v>
      </c>
      <c r="B3547" s="115">
        <v>28.8</v>
      </c>
      <c r="C3547" s="1">
        <v>80</v>
      </c>
      <c r="D3547" s="1" t="s">
        <v>2566</v>
      </c>
      <c r="E3547" s="1">
        <v>28</v>
      </c>
    </row>
    <row r="3548" spans="1:5" hidden="1" x14ac:dyDescent="0.25">
      <c r="A3548" s="115">
        <v>28.109000000000002</v>
      </c>
      <c r="B3548" s="115">
        <v>28.9</v>
      </c>
      <c r="C3548" s="1">
        <v>90</v>
      </c>
      <c r="D3548" s="1" t="s">
        <v>2567</v>
      </c>
      <c r="E3548" s="1">
        <v>28</v>
      </c>
    </row>
    <row r="3549" spans="1:5" hidden="1" x14ac:dyDescent="0.25">
      <c r="A3549" s="115">
        <v>28.11</v>
      </c>
      <c r="B3549" s="115">
        <v>28.1</v>
      </c>
      <c r="C3549" s="1">
        <v>100</v>
      </c>
      <c r="D3549" s="1" t="s">
        <v>2568</v>
      </c>
      <c r="E3549" s="1">
        <v>28</v>
      </c>
    </row>
    <row r="3550" spans="1:5" hidden="1" x14ac:dyDescent="0.25">
      <c r="A3550" s="115">
        <v>28.111000000000001</v>
      </c>
      <c r="B3550" s="115">
        <v>28.11</v>
      </c>
      <c r="C3550" s="1">
        <v>110</v>
      </c>
      <c r="D3550" s="1" t="s">
        <v>2569</v>
      </c>
      <c r="E3550" s="1">
        <v>28</v>
      </c>
    </row>
    <row r="3551" spans="1:5" hidden="1" x14ac:dyDescent="0.25">
      <c r="A3551" s="115">
        <v>28.111999999999998</v>
      </c>
      <c r="B3551" s="115">
        <v>28.12</v>
      </c>
      <c r="C3551" s="1">
        <v>120</v>
      </c>
      <c r="D3551" s="1" t="s">
        <v>2570</v>
      </c>
      <c r="E3551" s="1">
        <v>28</v>
      </c>
    </row>
    <row r="3552" spans="1:5" hidden="1" x14ac:dyDescent="0.25">
      <c r="A3552" s="115">
        <v>28.113</v>
      </c>
      <c r="B3552" s="115">
        <v>28.13</v>
      </c>
      <c r="C3552" s="1">
        <v>130</v>
      </c>
      <c r="D3552" s="1" t="s">
        <v>2571</v>
      </c>
      <c r="E3552" s="1">
        <v>28</v>
      </c>
    </row>
    <row r="3553" spans="1:5" hidden="1" x14ac:dyDescent="0.25">
      <c r="A3553" s="115">
        <v>28.114000000000001</v>
      </c>
      <c r="B3553" s="115">
        <v>28.14</v>
      </c>
      <c r="C3553" s="1">
        <v>140</v>
      </c>
      <c r="D3553" s="1" t="s">
        <v>2572</v>
      </c>
      <c r="E3553" s="1">
        <v>28</v>
      </c>
    </row>
    <row r="3554" spans="1:5" hidden="1" x14ac:dyDescent="0.25">
      <c r="A3554" s="115">
        <v>28.114999999999998</v>
      </c>
      <c r="B3554" s="115">
        <v>28.15</v>
      </c>
      <c r="C3554" s="1">
        <v>150</v>
      </c>
      <c r="D3554" s="1" t="s">
        <v>2573</v>
      </c>
      <c r="E3554" s="1">
        <v>28</v>
      </c>
    </row>
    <row r="3555" spans="1:5" hidden="1" x14ac:dyDescent="0.25">
      <c r="A3555" s="115">
        <v>28.116</v>
      </c>
      <c r="B3555" s="115">
        <v>28.16</v>
      </c>
      <c r="C3555" s="1">
        <v>160</v>
      </c>
      <c r="D3555" s="1" t="s">
        <v>2574</v>
      </c>
      <c r="E3555" s="1">
        <v>28</v>
      </c>
    </row>
    <row r="3556" spans="1:5" hidden="1" x14ac:dyDescent="0.25">
      <c r="A3556" s="115">
        <v>28.117000000000001</v>
      </c>
      <c r="B3556" s="115">
        <v>28.17</v>
      </c>
      <c r="C3556" s="1">
        <v>170</v>
      </c>
      <c r="D3556" s="1" t="s">
        <v>2575</v>
      </c>
      <c r="E3556" s="1">
        <v>28</v>
      </c>
    </row>
    <row r="3557" spans="1:5" hidden="1" x14ac:dyDescent="0.25">
      <c r="A3557" s="115">
        <v>28.117999999999999</v>
      </c>
      <c r="B3557" s="115">
        <v>28.18</v>
      </c>
      <c r="C3557" s="1">
        <v>180</v>
      </c>
      <c r="D3557" s="1" t="s">
        <v>2576</v>
      </c>
      <c r="E3557" s="1">
        <v>28</v>
      </c>
    </row>
    <row r="3558" spans="1:5" hidden="1" x14ac:dyDescent="0.25">
      <c r="A3558" s="115">
        <v>28.119</v>
      </c>
      <c r="B3558" s="115">
        <v>28.19</v>
      </c>
      <c r="C3558" s="1">
        <v>190</v>
      </c>
      <c r="D3558" s="1" t="s">
        <v>2577</v>
      </c>
      <c r="E3558" s="1">
        <v>28</v>
      </c>
    </row>
    <row r="3559" spans="1:5" hidden="1" x14ac:dyDescent="0.25">
      <c r="A3559" s="115">
        <v>28.12</v>
      </c>
      <c r="B3559" s="115">
        <v>28.2</v>
      </c>
      <c r="C3559" s="1">
        <v>200</v>
      </c>
      <c r="D3559" s="1" t="s">
        <v>2578</v>
      </c>
      <c r="E3559" s="1">
        <v>28</v>
      </c>
    </row>
    <row r="3560" spans="1:5" hidden="1" x14ac:dyDescent="0.25">
      <c r="A3560" s="115">
        <v>28.120999999999999</v>
      </c>
      <c r="B3560" s="115">
        <v>28.21</v>
      </c>
      <c r="C3560" s="1">
        <v>210</v>
      </c>
      <c r="D3560" s="1" t="s">
        <v>2579</v>
      </c>
      <c r="E3560" s="1">
        <v>28</v>
      </c>
    </row>
    <row r="3561" spans="1:5" hidden="1" x14ac:dyDescent="0.25">
      <c r="A3561" s="115">
        <v>28.122</v>
      </c>
      <c r="B3561" s="115">
        <v>28.22</v>
      </c>
      <c r="C3561" s="1">
        <v>220</v>
      </c>
      <c r="D3561" s="1" t="s">
        <v>2580</v>
      </c>
      <c r="E3561" s="1">
        <v>28</v>
      </c>
    </row>
    <row r="3562" spans="1:5" hidden="1" x14ac:dyDescent="0.25">
      <c r="A3562" s="115">
        <v>28.123000000000001</v>
      </c>
      <c r="B3562" s="115">
        <v>28.23</v>
      </c>
      <c r="C3562" s="1">
        <v>230</v>
      </c>
      <c r="D3562" s="1" t="s">
        <v>2581</v>
      </c>
      <c r="E3562" s="1">
        <v>28</v>
      </c>
    </row>
    <row r="3563" spans="1:5" hidden="1" x14ac:dyDescent="0.25">
      <c r="A3563" s="115">
        <v>28.123999999999999</v>
      </c>
      <c r="B3563" s="115">
        <v>28.24</v>
      </c>
      <c r="C3563" s="1">
        <v>240</v>
      </c>
      <c r="D3563" s="1" t="s">
        <v>2582</v>
      </c>
      <c r="E3563" s="1">
        <v>28</v>
      </c>
    </row>
    <row r="3564" spans="1:5" hidden="1" x14ac:dyDescent="0.25">
      <c r="A3564" s="115">
        <v>28.125</v>
      </c>
      <c r="B3564" s="115">
        <v>28.25</v>
      </c>
      <c r="C3564" s="1">
        <v>250</v>
      </c>
      <c r="D3564" s="1" t="s">
        <v>2583</v>
      </c>
      <c r="E3564" s="1">
        <v>28</v>
      </c>
    </row>
    <row r="3565" spans="1:5" hidden="1" x14ac:dyDescent="0.25">
      <c r="A3565" s="115">
        <v>28.126000000000001</v>
      </c>
      <c r="B3565" s="115">
        <v>28.26</v>
      </c>
      <c r="C3565" s="1">
        <v>260</v>
      </c>
      <c r="D3565" s="1" t="s">
        <v>2584</v>
      </c>
      <c r="E3565" s="1">
        <v>28</v>
      </c>
    </row>
    <row r="3566" spans="1:5" hidden="1" x14ac:dyDescent="0.25">
      <c r="A3566" s="115">
        <v>28.126999999999999</v>
      </c>
      <c r="B3566" s="115">
        <v>28.27</v>
      </c>
      <c r="C3566" s="1">
        <v>270</v>
      </c>
      <c r="D3566" s="1" t="s">
        <v>2585</v>
      </c>
      <c r="E3566" s="1">
        <v>28</v>
      </c>
    </row>
    <row r="3567" spans="1:5" hidden="1" x14ac:dyDescent="0.25">
      <c r="A3567" s="115">
        <v>28.128</v>
      </c>
      <c r="B3567" s="115">
        <v>28.28</v>
      </c>
      <c r="C3567" s="1">
        <v>280</v>
      </c>
      <c r="D3567" s="1" t="s">
        <v>2586</v>
      </c>
      <c r="E3567" s="1">
        <v>28</v>
      </c>
    </row>
    <row r="3568" spans="1:5" hidden="1" x14ac:dyDescent="0.25">
      <c r="A3568" s="115">
        <v>28.129000000000001</v>
      </c>
      <c r="B3568" s="115">
        <v>28.29</v>
      </c>
      <c r="C3568" s="1">
        <v>290</v>
      </c>
      <c r="D3568" s="1" t="s">
        <v>2587</v>
      </c>
      <c r="E3568" s="1">
        <v>28</v>
      </c>
    </row>
    <row r="3569" spans="1:5" hidden="1" x14ac:dyDescent="0.25">
      <c r="A3569" s="115">
        <v>28.13</v>
      </c>
      <c r="B3569" s="115">
        <v>28.3</v>
      </c>
      <c r="C3569" s="1">
        <v>300</v>
      </c>
      <c r="D3569" s="1" t="s">
        <v>2588</v>
      </c>
      <c r="E3569" s="1">
        <v>28</v>
      </c>
    </row>
    <row r="3570" spans="1:5" hidden="1" x14ac:dyDescent="0.25">
      <c r="A3570" s="115">
        <v>28.131</v>
      </c>
      <c r="B3570" s="115">
        <v>28.31</v>
      </c>
      <c r="C3570" s="1">
        <v>310</v>
      </c>
      <c r="D3570" s="1" t="s">
        <v>2589</v>
      </c>
      <c r="E3570" s="1">
        <v>28</v>
      </c>
    </row>
    <row r="3571" spans="1:5" hidden="1" x14ac:dyDescent="0.25">
      <c r="A3571" s="115">
        <v>28.132000000000001</v>
      </c>
      <c r="B3571" s="115">
        <v>28.32</v>
      </c>
      <c r="C3571" s="1">
        <v>320</v>
      </c>
      <c r="D3571" s="1" t="s">
        <v>2590</v>
      </c>
      <c r="E3571" s="1">
        <v>28</v>
      </c>
    </row>
    <row r="3572" spans="1:5" hidden="1" x14ac:dyDescent="0.25">
      <c r="A3572" s="115">
        <v>28.132999999999999</v>
      </c>
      <c r="B3572" s="115">
        <v>28.33</v>
      </c>
      <c r="C3572" s="1">
        <v>330</v>
      </c>
      <c r="D3572" s="1" t="s">
        <v>2591</v>
      </c>
      <c r="E3572" s="1">
        <v>28</v>
      </c>
    </row>
    <row r="3573" spans="1:5" hidden="1" x14ac:dyDescent="0.25">
      <c r="A3573" s="115">
        <v>28.134</v>
      </c>
      <c r="B3573" s="115">
        <v>28.34</v>
      </c>
      <c r="C3573" s="1">
        <v>340</v>
      </c>
      <c r="D3573" s="1" t="s">
        <v>2592</v>
      </c>
      <c r="E3573" s="1">
        <v>28</v>
      </c>
    </row>
    <row r="3574" spans="1:5" hidden="1" x14ac:dyDescent="0.25">
      <c r="A3574" s="115">
        <v>28.135000000000002</v>
      </c>
      <c r="B3574" s="115">
        <v>28.35</v>
      </c>
      <c r="C3574" s="1">
        <v>350</v>
      </c>
      <c r="D3574" s="1" t="s">
        <v>2593</v>
      </c>
      <c r="E3574" s="1">
        <v>28</v>
      </c>
    </row>
    <row r="3575" spans="1:5" hidden="1" x14ac:dyDescent="0.25">
      <c r="A3575" s="115">
        <v>28.135999999999999</v>
      </c>
      <c r="B3575" s="115">
        <v>28.36</v>
      </c>
      <c r="C3575" s="1">
        <v>360</v>
      </c>
      <c r="D3575" s="1" t="s">
        <v>2594</v>
      </c>
      <c r="E3575" s="1">
        <v>28</v>
      </c>
    </row>
    <row r="3576" spans="1:5" hidden="1" x14ac:dyDescent="0.25">
      <c r="A3576" s="115">
        <v>28.137</v>
      </c>
      <c r="B3576" s="115">
        <v>28.37</v>
      </c>
      <c r="C3576" s="1">
        <v>370</v>
      </c>
      <c r="D3576" s="1" t="s">
        <v>2595</v>
      </c>
      <c r="E3576" s="1">
        <v>28</v>
      </c>
    </row>
    <row r="3577" spans="1:5" hidden="1" x14ac:dyDescent="0.25">
      <c r="A3577" s="115">
        <v>28.138000000000002</v>
      </c>
      <c r="B3577" s="115">
        <v>28.38</v>
      </c>
      <c r="C3577" s="1">
        <v>380</v>
      </c>
      <c r="D3577" s="1" t="s">
        <v>2596</v>
      </c>
      <c r="E3577" s="1">
        <v>28</v>
      </c>
    </row>
    <row r="3578" spans="1:5" hidden="1" x14ac:dyDescent="0.25">
      <c r="A3578" s="115">
        <v>28.138999999999999</v>
      </c>
      <c r="B3578" s="115">
        <v>28.39</v>
      </c>
      <c r="C3578" s="1">
        <v>390</v>
      </c>
      <c r="D3578" s="1" t="s">
        <v>2597</v>
      </c>
      <c r="E3578" s="1">
        <v>28</v>
      </c>
    </row>
    <row r="3579" spans="1:5" hidden="1" x14ac:dyDescent="0.25">
      <c r="A3579" s="115">
        <v>28.14</v>
      </c>
      <c r="B3579" s="115">
        <v>28.4</v>
      </c>
      <c r="C3579" s="1">
        <v>400</v>
      </c>
      <c r="D3579" s="1" t="s">
        <v>2598</v>
      </c>
      <c r="E3579" s="1">
        <v>28</v>
      </c>
    </row>
    <row r="3580" spans="1:5" hidden="1" x14ac:dyDescent="0.25">
      <c r="A3580" s="115">
        <v>28.140999999999998</v>
      </c>
      <c r="B3580" s="115">
        <v>28.41</v>
      </c>
      <c r="C3580" s="1">
        <v>410</v>
      </c>
      <c r="D3580" s="1" t="s">
        <v>2599</v>
      </c>
      <c r="E3580" s="1">
        <v>28</v>
      </c>
    </row>
    <row r="3581" spans="1:5" hidden="1" x14ac:dyDescent="0.25">
      <c r="A3581" s="115">
        <v>28.141999999999999</v>
      </c>
      <c r="B3581" s="115">
        <v>28.42</v>
      </c>
      <c r="C3581" s="1">
        <v>420</v>
      </c>
      <c r="D3581" s="1" t="s">
        <v>2600</v>
      </c>
      <c r="E3581" s="1">
        <v>28</v>
      </c>
    </row>
    <row r="3582" spans="1:5" hidden="1" x14ac:dyDescent="0.25">
      <c r="A3582" s="115">
        <v>28.143000000000001</v>
      </c>
      <c r="B3582" s="115">
        <v>28.43</v>
      </c>
      <c r="C3582" s="1">
        <v>430</v>
      </c>
      <c r="D3582" s="1" t="s">
        <v>2601</v>
      </c>
      <c r="E3582" s="1">
        <v>28</v>
      </c>
    </row>
    <row r="3583" spans="1:5" hidden="1" x14ac:dyDescent="0.25">
      <c r="A3583" s="115">
        <v>28.143999999999998</v>
      </c>
      <c r="B3583" s="115">
        <v>28.44</v>
      </c>
      <c r="C3583" s="1">
        <v>440</v>
      </c>
      <c r="D3583" s="1" t="s">
        <v>2602</v>
      </c>
      <c r="E3583" s="1">
        <v>28</v>
      </c>
    </row>
    <row r="3584" spans="1:5" hidden="1" x14ac:dyDescent="0.25">
      <c r="A3584" s="115">
        <v>28.145</v>
      </c>
      <c r="B3584" s="115">
        <v>28.445</v>
      </c>
      <c r="C3584" s="1">
        <v>445</v>
      </c>
      <c r="D3584" s="1" t="s">
        <v>2603</v>
      </c>
      <c r="E3584" s="1">
        <v>28</v>
      </c>
    </row>
    <row r="3585" spans="1:5" hidden="1" x14ac:dyDescent="0.25">
      <c r="A3585" s="115">
        <v>28.146000000000001</v>
      </c>
      <c r="B3585" s="115">
        <v>28.45</v>
      </c>
      <c r="C3585" s="1">
        <v>450</v>
      </c>
      <c r="D3585" s="1" t="s">
        <v>2604</v>
      </c>
      <c r="E3585" s="1">
        <v>28</v>
      </c>
    </row>
    <row r="3586" spans="1:5" hidden="1" x14ac:dyDescent="0.25">
      <c r="A3586" s="115">
        <v>28.146999999999998</v>
      </c>
      <c r="B3586" s="115">
        <v>28.46</v>
      </c>
      <c r="C3586" s="1">
        <v>460</v>
      </c>
      <c r="D3586" s="1" t="s">
        <v>2605</v>
      </c>
      <c r="E3586" s="1">
        <v>28</v>
      </c>
    </row>
    <row r="3587" spans="1:5" hidden="1" x14ac:dyDescent="0.25">
      <c r="A3587" s="115">
        <v>28.148</v>
      </c>
      <c r="B3587" s="115">
        <v>28.47</v>
      </c>
      <c r="C3587" s="1">
        <v>470</v>
      </c>
      <c r="D3587" s="1" t="s">
        <v>2606</v>
      </c>
      <c r="E3587" s="1">
        <v>28</v>
      </c>
    </row>
    <row r="3588" spans="1:5" hidden="1" x14ac:dyDescent="0.25">
      <c r="A3588" s="115">
        <v>28.149000000000001</v>
      </c>
      <c r="B3588" s="115">
        <v>28.48</v>
      </c>
      <c r="C3588" s="1">
        <v>480</v>
      </c>
      <c r="D3588" s="1" t="s">
        <v>2607</v>
      </c>
      <c r="E3588" s="1">
        <v>28</v>
      </c>
    </row>
    <row r="3589" spans="1:5" hidden="1" x14ac:dyDescent="0.25">
      <c r="A3589" s="115">
        <v>28.15</v>
      </c>
      <c r="B3589" s="115">
        <v>28.49</v>
      </c>
      <c r="C3589" s="1">
        <v>490</v>
      </c>
      <c r="D3589" s="1" t="s">
        <v>2608</v>
      </c>
      <c r="E3589" s="1">
        <v>28</v>
      </c>
    </row>
    <row r="3590" spans="1:5" hidden="1" x14ac:dyDescent="0.25">
      <c r="A3590" s="115">
        <v>28.151</v>
      </c>
      <c r="B3590" s="115">
        <v>28.5</v>
      </c>
      <c r="C3590" s="1">
        <v>500</v>
      </c>
      <c r="D3590" s="1" t="s">
        <v>2609</v>
      </c>
      <c r="E3590" s="1">
        <v>28</v>
      </c>
    </row>
    <row r="3591" spans="1:5" hidden="1" x14ac:dyDescent="0.25">
      <c r="A3591" s="115">
        <v>28.152000000000001</v>
      </c>
      <c r="B3591" s="115">
        <v>28.51</v>
      </c>
      <c r="C3591" s="1">
        <v>510</v>
      </c>
      <c r="D3591" s="1" t="s">
        <v>2610</v>
      </c>
      <c r="E3591" s="1">
        <v>28</v>
      </c>
    </row>
    <row r="3592" spans="1:5" hidden="1" x14ac:dyDescent="0.25">
      <c r="A3592" s="115">
        <v>28.152999999999999</v>
      </c>
      <c r="B3592" s="115">
        <v>28.52</v>
      </c>
      <c r="C3592" s="1">
        <v>520</v>
      </c>
      <c r="D3592" s="1" t="s">
        <v>2611</v>
      </c>
      <c r="E3592" s="1">
        <v>28</v>
      </c>
    </row>
    <row r="3593" spans="1:5" hidden="1" x14ac:dyDescent="0.25">
      <c r="A3593" s="115">
        <v>28.154</v>
      </c>
      <c r="B3593" s="115">
        <v>28.53</v>
      </c>
      <c r="C3593" s="1">
        <v>530</v>
      </c>
      <c r="D3593" s="1" t="s">
        <v>2612</v>
      </c>
      <c r="E3593" s="1">
        <v>28</v>
      </c>
    </row>
    <row r="3594" spans="1:5" hidden="1" x14ac:dyDescent="0.25">
      <c r="A3594" s="115">
        <v>28.155000000000001</v>
      </c>
      <c r="B3594" s="115">
        <v>28.54</v>
      </c>
      <c r="C3594" s="1">
        <v>540</v>
      </c>
      <c r="D3594" s="1" t="s">
        <v>2613</v>
      </c>
      <c r="E3594" s="1">
        <v>28</v>
      </c>
    </row>
    <row r="3595" spans="1:5" hidden="1" x14ac:dyDescent="0.25">
      <c r="A3595" s="115">
        <v>28.155999999999999</v>
      </c>
      <c r="B3595" s="115">
        <v>28.55</v>
      </c>
      <c r="C3595" s="1">
        <v>550</v>
      </c>
      <c r="D3595" s="1" t="s">
        <v>2614</v>
      </c>
      <c r="E3595" s="1">
        <v>28</v>
      </c>
    </row>
    <row r="3596" spans="1:5" hidden="1" x14ac:dyDescent="0.25">
      <c r="A3596" s="115">
        <v>28.157</v>
      </c>
      <c r="B3596" s="115">
        <v>28.56</v>
      </c>
      <c r="C3596" s="1">
        <v>560</v>
      </c>
      <c r="D3596" s="1" t="s">
        <v>2615</v>
      </c>
      <c r="E3596" s="1">
        <v>28</v>
      </c>
    </row>
    <row r="3597" spans="1:5" hidden="1" x14ac:dyDescent="0.25">
      <c r="A3597" s="115">
        <v>28.158000000000001</v>
      </c>
      <c r="B3597" s="115">
        <v>28.57</v>
      </c>
      <c r="C3597" s="1">
        <v>570</v>
      </c>
      <c r="D3597" s="1" t="s">
        <v>2616</v>
      </c>
      <c r="E3597" s="1">
        <v>28</v>
      </c>
    </row>
    <row r="3598" spans="1:5" hidden="1" x14ac:dyDescent="0.25">
      <c r="A3598" s="115">
        <v>28.158999999999999</v>
      </c>
      <c r="B3598" s="115">
        <v>28.574999999999999</v>
      </c>
      <c r="C3598" s="1">
        <v>575</v>
      </c>
      <c r="D3598" s="1" t="s">
        <v>2617</v>
      </c>
      <c r="E3598" s="1">
        <v>28</v>
      </c>
    </row>
    <row r="3599" spans="1:5" hidden="1" x14ac:dyDescent="0.25">
      <c r="A3599" s="115">
        <v>28.16</v>
      </c>
      <c r="B3599" s="115">
        <v>28.576000000000001</v>
      </c>
      <c r="C3599" s="1">
        <v>576</v>
      </c>
      <c r="D3599" s="1" t="s">
        <v>2618</v>
      </c>
      <c r="E3599" s="1">
        <v>28</v>
      </c>
    </row>
    <row r="3600" spans="1:5" hidden="1" x14ac:dyDescent="0.25">
      <c r="A3600" s="115">
        <v>28.161000000000001</v>
      </c>
      <c r="B3600" s="115">
        <v>28.58</v>
      </c>
      <c r="C3600" s="1">
        <v>580</v>
      </c>
      <c r="D3600" s="1" t="s">
        <v>2619</v>
      </c>
      <c r="E3600" s="1">
        <v>28</v>
      </c>
    </row>
    <row r="3601" spans="1:5" hidden="1" x14ac:dyDescent="0.25">
      <c r="A3601" s="115">
        <v>28.161999999999999</v>
      </c>
      <c r="B3601" s="115">
        <v>28.59</v>
      </c>
      <c r="C3601" s="1">
        <v>590</v>
      </c>
      <c r="D3601" s="1" t="s">
        <v>1099</v>
      </c>
      <c r="E3601" s="1">
        <v>28</v>
      </c>
    </row>
    <row r="3602" spans="1:5" hidden="1" x14ac:dyDescent="0.25">
      <c r="A3602" s="115">
        <v>28.163</v>
      </c>
      <c r="B3602" s="115">
        <v>28.6</v>
      </c>
      <c r="C3602" s="1">
        <v>600</v>
      </c>
      <c r="D3602" s="1" t="s">
        <v>2620</v>
      </c>
      <c r="E3602" s="1">
        <v>28</v>
      </c>
    </row>
    <row r="3603" spans="1:5" hidden="1" x14ac:dyDescent="0.25">
      <c r="A3603" s="115">
        <v>28.164000000000001</v>
      </c>
      <c r="B3603" s="115">
        <v>28.61</v>
      </c>
      <c r="C3603" s="1">
        <v>610</v>
      </c>
      <c r="D3603" s="1" t="s">
        <v>2621</v>
      </c>
      <c r="E3603" s="1">
        <v>28</v>
      </c>
    </row>
    <row r="3604" spans="1:5" hidden="1" x14ac:dyDescent="0.25">
      <c r="A3604" s="115">
        <v>28.164999999999999</v>
      </c>
      <c r="B3604" s="115">
        <v>28.62</v>
      </c>
      <c r="C3604" s="1">
        <v>620</v>
      </c>
      <c r="D3604" s="1" t="s">
        <v>2622</v>
      </c>
      <c r="E3604" s="1">
        <v>28</v>
      </c>
    </row>
    <row r="3605" spans="1:5" hidden="1" x14ac:dyDescent="0.25">
      <c r="A3605" s="115">
        <v>28.166</v>
      </c>
      <c r="B3605" s="115">
        <v>28.63</v>
      </c>
      <c r="C3605" s="1">
        <v>630</v>
      </c>
      <c r="D3605" s="1" t="s">
        <v>2623</v>
      </c>
      <c r="E3605" s="1">
        <v>28</v>
      </c>
    </row>
    <row r="3606" spans="1:5" hidden="1" x14ac:dyDescent="0.25">
      <c r="A3606" s="115">
        <v>28.167000000000002</v>
      </c>
      <c r="B3606" s="115">
        <v>28.64</v>
      </c>
      <c r="C3606" s="1">
        <v>640</v>
      </c>
      <c r="D3606" s="1" t="s">
        <v>2624</v>
      </c>
      <c r="E3606" s="1">
        <v>28</v>
      </c>
    </row>
    <row r="3607" spans="1:5" hidden="1" x14ac:dyDescent="0.25">
      <c r="A3607" s="115">
        <v>28.167999999999999</v>
      </c>
      <c r="B3607" s="115">
        <v>28.65</v>
      </c>
      <c r="C3607" s="1">
        <v>650</v>
      </c>
      <c r="D3607" s="1" t="s">
        <v>2625</v>
      </c>
      <c r="E3607" s="1">
        <v>28</v>
      </c>
    </row>
    <row r="3608" spans="1:5" hidden="1" x14ac:dyDescent="0.25">
      <c r="A3608" s="115">
        <v>28.169</v>
      </c>
      <c r="B3608" s="115">
        <v>28.66</v>
      </c>
      <c r="C3608" s="1">
        <v>660</v>
      </c>
      <c r="D3608" s="1" t="s">
        <v>2626</v>
      </c>
      <c r="E3608" s="1">
        <v>28</v>
      </c>
    </row>
    <row r="3609" spans="1:5" hidden="1" x14ac:dyDescent="0.25">
      <c r="A3609" s="115">
        <v>28.17</v>
      </c>
      <c r="B3609" s="115">
        <v>28.67</v>
      </c>
      <c r="C3609" s="1">
        <v>670</v>
      </c>
      <c r="D3609" s="1" t="s">
        <v>2627</v>
      </c>
      <c r="E3609" s="1">
        <v>28</v>
      </c>
    </row>
    <row r="3610" spans="1:5" hidden="1" x14ac:dyDescent="0.25">
      <c r="A3610" s="115">
        <v>28.170999999999999</v>
      </c>
      <c r="B3610" s="115">
        <v>28.68</v>
      </c>
      <c r="C3610" s="1">
        <v>680</v>
      </c>
      <c r="D3610" s="1" t="s">
        <v>2628</v>
      </c>
      <c r="E3610" s="1">
        <v>28</v>
      </c>
    </row>
    <row r="3611" spans="1:5" hidden="1" x14ac:dyDescent="0.25">
      <c r="A3611" s="115">
        <v>28.172000000000001</v>
      </c>
      <c r="B3611" s="115">
        <v>28.69</v>
      </c>
      <c r="C3611" s="1">
        <v>690</v>
      </c>
      <c r="D3611" s="1" t="s">
        <v>2629</v>
      </c>
      <c r="E3611" s="1">
        <v>28</v>
      </c>
    </row>
    <row r="3612" spans="1:5" hidden="1" x14ac:dyDescent="0.25">
      <c r="A3612" s="115">
        <v>28.172999999999998</v>
      </c>
      <c r="B3612" s="115">
        <v>28.7</v>
      </c>
      <c r="C3612" s="1">
        <v>700</v>
      </c>
      <c r="D3612" s="1" t="s">
        <v>2630</v>
      </c>
      <c r="E3612" s="1">
        <v>28</v>
      </c>
    </row>
    <row r="3613" spans="1:5" hidden="1" x14ac:dyDescent="0.25">
      <c r="A3613" s="115">
        <v>28.173999999999999</v>
      </c>
      <c r="B3613" s="115">
        <v>28.71</v>
      </c>
      <c r="C3613" s="1">
        <v>710</v>
      </c>
      <c r="D3613" s="1" t="s">
        <v>2631</v>
      </c>
      <c r="E3613" s="1">
        <v>28</v>
      </c>
    </row>
    <row r="3614" spans="1:5" hidden="1" x14ac:dyDescent="0.25">
      <c r="A3614" s="115">
        <v>28.175000000000001</v>
      </c>
      <c r="B3614" s="115">
        <v>28.72</v>
      </c>
      <c r="C3614" s="1">
        <v>720</v>
      </c>
      <c r="D3614" s="1" t="s">
        <v>2632</v>
      </c>
      <c r="E3614" s="1">
        <v>28</v>
      </c>
    </row>
    <row r="3615" spans="1:5" hidden="1" x14ac:dyDescent="0.25">
      <c r="A3615" s="115">
        <v>28.175999999999998</v>
      </c>
      <c r="B3615" s="115">
        <v>28.73</v>
      </c>
      <c r="C3615" s="1">
        <v>730</v>
      </c>
      <c r="D3615" s="1" t="s">
        <v>2633</v>
      </c>
      <c r="E3615" s="1">
        <v>28</v>
      </c>
    </row>
    <row r="3616" spans="1:5" hidden="1" x14ac:dyDescent="0.25">
      <c r="A3616" s="115">
        <v>28.177</v>
      </c>
      <c r="B3616" s="115">
        <v>28.74</v>
      </c>
      <c r="C3616" s="1">
        <v>740</v>
      </c>
      <c r="D3616" s="1" t="s">
        <v>2634</v>
      </c>
      <c r="E3616" s="1">
        <v>28</v>
      </c>
    </row>
    <row r="3617" spans="1:5" hidden="1" x14ac:dyDescent="0.25">
      <c r="A3617" s="115">
        <v>28.178000000000001</v>
      </c>
      <c r="B3617" s="115">
        <v>28.75</v>
      </c>
      <c r="C3617" s="1">
        <v>750</v>
      </c>
      <c r="D3617" s="1" t="s">
        <v>2635</v>
      </c>
      <c r="E3617" s="1">
        <v>28</v>
      </c>
    </row>
    <row r="3618" spans="1:5" hidden="1" x14ac:dyDescent="0.25">
      <c r="A3618" s="115">
        <v>28.178999999999998</v>
      </c>
      <c r="B3618" s="115">
        <v>28.754999999999999</v>
      </c>
      <c r="C3618" s="1">
        <v>755</v>
      </c>
      <c r="D3618" s="1" t="s">
        <v>1466</v>
      </c>
      <c r="E3618" s="1">
        <v>28</v>
      </c>
    </row>
    <row r="3619" spans="1:5" hidden="1" x14ac:dyDescent="0.25">
      <c r="A3619" s="115">
        <v>28.18</v>
      </c>
      <c r="B3619" s="115">
        <v>28.76</v>
      </c>
      <c r="C3619" s="1">
        <v>760</v>
      </c>
      <c r="D3619" s="1" t="s">
        <v>2636</v>
      </c>
      <c r="E3619" s="1">
        <v>28</v>
      </c>
    </row>
    <row r="3620" spans="1:5" hidden="1" x14ac:dyDescent="0.25">
      <c r="A3620" s="115">
        <v>28.181000000000001</v>
      </c>
      <c r="B3620" s="115">
        <v>28.77</v>
      </c>
      <c r="C3620" s="1">
        <v>770</v>
      </c>
      <c r="D3620" s="1" t="s">
        <v>2637</v>
      </c>
      <c r="E3620" s="1">
        <v>28</v>
      </c>
    </row>
    <row r="3621" spans="1:5" hidden="1" x14ac:dyDescent="0.25">
      <c r="A3621" s="115">
        <v>28.181999999999999</v>
      </c>
      <c r="B3621" s="115">
        <v>28.78</v>
      </c>
      <c r="C3621" s="1">
        <v>780</v>
      </c>
      <c r="D3621" s="1" t="s">
        <v>2638</v>
      </c>
      <c r="E3621" s="1">
        <v>28</v>
      </c>
    </row>
    <row r="3622" spans="1:5" hidden="1" x14ac:dyDescent="0.25">
      <c r="A3622" s="115">
        <v>28.183</v>
      </c>
      <c r="B3622" s="115">
        <v>28.79</v>
      </c>
      <c r="C3622" s="1">
        <v>790</v>
      </c>
      <c r="D3622" s="1" t="s">
        <v>2639</v>
      </c>
      <c r="E3622" s="1">
        <v>28</v>
      </c>
    </row>
    <row r="3623" spans="1:5" hidden="1" x14ac:dyDescent="0.25">
      <c r="A3623" s="115">
        <v>28.184000000000001</v>
      </c>
      <c r="B3623" s="115">
        <v>28.8</v>
      </c>
      <c r="C3623" s="1">
        <v>800</v>
      </c>
      <c r="D3623" s="1" t="s">
        <v>2640</v>
      </c>
      <c r="E3623" s="1">
        <v>28</v>
      </c>
    </row>
    <row r="3624" spans="1:5" hidden="1" x14ac:dyDescent="0.25">
      <c r="A3624" s="115">
        <v>28.184999999999999</v>
      </c>
      <c r="B3624" s="115">
        <v>28.805</v>
      </c>
      <c r="C3624" s="1">
        <v>805</v>
      </c>
      <c r="D3624" s="1" t="s">
        <v>2641</v>
      </c>
      <c r="E3624" s="1">
        <v>28</v>
      </c>
    </row>
    <row r="3625" spans="1:5" hidden="1" x14ac:dyDescent="0.25">
      <c r="A3625" s="115">
        <v>28.186</v>
      </c>
      <c r="B3625" s="115">
        <v>28.81</v>
      </c>
      <c r="C3625" s="1">
        <v>810</v>
      </c>
      <c r="D3625" s="1" t="s">
        <v>2642</v>
      </c>
      <c r="E3625" s="1">
        <v>28</v>
      </c>
    </row>
    <row r="3626" spans="1:5" hidden="1" x14ac:dyDescent="0.25">
      <c r="A3626" s="115">
        <v>28.187000000000001</v>
      </c>
      <c r="B3626" s="115">
        <v>28.82</v>
      </c>
      <c r="C3626" s="1">
        <v>820</v>
      </c>
      <c r="D3626" s="1" t="s">
        <v>2643</v>
      </c>
      <c r="E3626" s="1">
        <v>28</v>
      </c>
    </row>
    <row r="3627" spans="1:5" hidden="1" x14ac:dyDescent="0.25">
      <c r="A3627" s="115">
        <v>28.187999999999999</v>
      </c>
      <c r="B3627" s="115">
        <v>28.83</v>
      </c>
      <c r="C3627" s="1">
        <v>830</v>
      </c>
      <c r="D3627" s="1" t="s">
        <v>2644</v>
      </c>
      <c r="E3627" s="1">
        <v>28</v>
      </c>
    </row>
    <row r="3628" spans="1:5" hidden="1" x14ac:dyDescent="0.25">
      <c r="A3628" s="115">
        <v>28.189</v>
      </c>
      <c r="B3628" s="115">
        <v>28.84</v>
      </c>
      <c r="C3628" s="1">
        <v>840</v>
      </c>
      <c r="D3628" s="1" t="s">
        <v>2645</v>
      </c>
      <c r="E3628" s="1">
        <v>28</v>
      </c>
    </row>
    <row r="3629" spans="1:5" hidden="1" x14ac:dyDescent="0.25">
      <c r="A3629" s="115">
        <v>28.19</v>
      </c>
      <c r="B3629" s="115">
        <v>28.85</v>
      </c>
      <c r="C3629" s="1">
        <v>850</v>
      </c>
      <c r="D3629" s="1" t="s">
        <v>2646</v>
      </c>
      <c r="E3629" s="1">
        <v>28</v>
      </c>
    </row>
    <row r="3630" spans="1:5" hidden="1" x14ac:dyDescent="0.25">
      <c r="A3630" s="115">
        <v>28.190999999999999</v>
      </c>
      <c r="B3630" s="115">
        <v>28.86</v>
      </c>
      <c r="C3630" s="1">
        <v>860</v>
      </c>
      <c r="D3630" s="1" t="s">
        <v>2647</v>
      </c>
      <c r="E3630" s="1">
        <v>28</v>
      </c>
    </row>
    <row r="3631" spans="1:5" hidden="1" x14ac:dyDescent="0.25">
      <c r="A3631" s="115">
        <v>28.192</v>
      </c>
      <c r="B3631" s="115">
        <v>28.87</v>
      </c>
      <c r="C3631" s="1">
        <v>870</v>
      </c>
      <c r="D3631" s="1" t="s">
        <v>2648</v>
      </c>
      <c r="E3631" s="1">
        <v>28</v>
      </c>
    </row>
    <row r="3632" spans="1:5" hidden="1" x14ac:dyDescent="0.25">
      <c r="A3632" s="115">
        <v>28.193000000000001</v>
      </c>
      <c r="B3632" s="115">
        <v>28.88</v>
      </c>
      <c r="C3632" s="1">
        <v>880</v>
      </c>
      <c r="D3632" s="1" t="s">
        <v>2649</v>
      </c>
      <c r="E3632" s="1">
        <v>28</v>
      </c>
    </row>
    <row r="3633" spans="1:5" hidden="1" x14ac:dyDescent="0.25">
      <c r="A3633" s="115">
        <v>28.193999999999999</v>
      </c>
      <c r="B3633" s="115">
        <v>28.89</v>
      </c>
      <c r="C3633" s="1">
        <v>890</v>
      </c>
      <c r="D3633" s="1" t="s">
        <v>2650</v>
      </c>
      <c r="E3633" s="1">
        <v>28</v>
      </c>
    </row>
    <row r="3634" spans="1:5" hidden="1" x14ac:dyDescent="0.25">
      <c r="A3634" s="115">
        <v>28.195</v>
      </c>
      <c r="B3634" s="115">
        <v>28.895</v>
      </c>
      <c r="C3634" s="1">
        <v>895</v>
      </c>
      <c r="D3634" s="1" t="s">
        <v>2651</v>
      </c>
      <c r="E3634" s="1">
        <v>28</v>
      </c>
    </row>
    <row r="3635" spans="1:5" hidden="1" x14ac:dyDescent="0.25">
      <c r="A3635" s="115">
        <v>28.196000000000002</v>
      </c>
      <c r="B3635" s="115">
        <v>28.9</v>
      </c>
      <c r="C3635" s="1">
        <v>900</v>
      </c>
      <c r="D3635" s="1" t="s">
        <v>2652</v>
      </c>
      <c r="E3635" s="1">
        <v>28</v>
      </c>
    </row>
    <row r="3636" spans="1:5" hidden="1" x14ac:dyDescent="0.25">
      <c r="A3636" s="115">
        <v>28.196999999999999</v>
      </c>
      <c r="B3636" s="115">
        <v>28.91</v>
      </c>
      <c r="C3636" s="1">
        <v>910</v>
      </c>
      <c r="D3636" s="1" t="s">
        <v>2653</v>
      </c>
      <c r="E3636" s="1">
        <v>28</v>
      </c>
    </row>
    <row r="3637" spans="1:5" hidden="1" x14ac:dyDescent="0.25">
      <c r="A3637" s="115">
        <v>28.198</v>
      </c>
      <c r="B3637" s="115">
        <v>28.92</v>
      </c>
      <c r="C3637" s="1">
        <v>920</v>
      </c>
      <c r="D3637" s="1" t="s">
        <v>2654</v>
      </c>
      <c r="E3637" s="1">
        <v>28</v>
      </c>
    </row>
    <row r="3638" spans="1:5" hidden="1" x14ac:dyDescent="0.25">
      <c r="A3638" s="115">
        <v>28.199000000000002</v>
      </c>
      <c r="B3638" s="115">
        <v>28.925000000000001</v>
      </c>
      <c r="C3638" s="1">
        <v>925</v>
      </c>
      <c r="D3638" s="1" t="s">
        <v>2655</v>
      </c>
      <c r="E3638" s="1">
        <v>28</v>
      </c>
    </row>
    <row r="3639" spans="1:5" hidden="1" x14ac:dyDescent="0.25">
      <c r="A3639" s="115">
        <v>28.2</v>
      </c>
      <c r="B3639" s="115">
        <v>28.93</v>
      </c>
      <c r="C3639" s="1">
        <v>930</v>
      </c>
      <c r="D3639" s="1" t="s">
        <v>2656</v>
      </c>
      <c r="E3639" s="1">
        <v>28</v>
      </c>
    </row>
    <row r="3640" spans="1:5" hidden="1" x14ac:dyDescent="0.25">
      <c r="A3640" s="115">
        <v>28.201000000000001</v>
      </c>
      <c r="B3640" s="115">
        <v>28.934999999999999</v>
      </c>
      <c r="C3640" s="1">
        <v>935</v>
      </c>
      <c r="D3640" s="1" t="s">
        <v>2657</v>
      </c>
      <c r="E3640" s="1">
        <v>28</v>
      </c>
    </row>
    <row r="3641" spans="1:5" hidden="1" x14ac:dyDescent="0.25">
      <c r="A3641" s="115">
        <v>28.202000000000002</v>
      </c>
      <c r="B3641" s="115">
        <v>28.94</v>
      </c>
      <c r="C3641" s="1">
        <v>940</v>
      </c>
      <c r="D3641" s="1" t="s">
        <v>2658</v>
      </c>
      <c r="E3641" s="1">
        <v>28</v>
      </c>
    </row>
    <row r="3642" spans="1:5" hidden="1" x14ac:dyDescent="0.25">
      <c r="A3642" s="115">
        <v>28.202999999999999</v>
      </c>
      <c r="B3642" s="115">
        <v>28.95</v>
      </c>
      <c r="C3642" s="1">
        <v>950</v>
      </c>
      <c r="D3642" s="1" t="s">
        <v>2659</v>
      </c>
      <c r="E3642" s="1">
        <v>28</v>
      </c>
    </row>
    <row r="3643" spans="1:5" hidden="1" x14ac:dyDescent="0.25">
      <c r="A3643" s="115">
        <v>28.204000000000001</v>
      </c>
      <c r="B3643" s="115">
        <v>28.954999999999998</v>
      </c>
      <c r="C3643" s="1">
        <v>955</v>
      </c>
      <c r="D3643" s="1" t="s">
        <v>2660</v>
      </c>
      <c r="E3643" s="1">
        <v>28</v>
      </c>
    </row>
    <row r="3644" spans="1:5" hidden="1" x14ac:dyDescent="0.25">
      <c r="A3644" s="115">
        <v>28.204999999999998</v>
      </c>
      <c r="B3644" s="115">
        <v>28.96</v>
      </c>
      <c r="C3644" s="1">
        <v>960</v>
      </c>
      <c r="D3644" s="1" t="s">
        <v>2661</v>
      </c>
      <c r="E3644" s="1">
        <v>28</v>
      </c>
    </row>
    <row r="3645" spans="1:5" hidden="1" x14ac:dyDescent="0.25">
      <c r="A3645" s="115">
        <v>28.206</v>
      </c>
      <c r="B3645" s="115">
        <v>28.97</v>
      </c>
      <c r="C3645" s="1">
        <v>970</v>
      </c>
      <c r="D3645" s="1" t="s">
        <v>2662</v>
      </c>
      <c r="E3645" s="1">
        <v>28</v>
      </c>
    </row>
    <row r="3646" spans="1:5" hidden="1" x14ac:dyDescent="0.25">
      <c r="A3646" s="115">
        <v>28.207000000000001</v>
      </c>
      <c r="B3646" s="115">
        <v>28.98</v>
      </c>
      <c r="C3646" s="1">
        <v>980</v>
      </c>
      <c r="D3646" s="1" t="s">
        <v>2663</v>
      </c>
      <c r="E3646" s="1">
        <v>28</v>
      </c>
    </row>
    <row r="3647" spans="1:5" hidden="1" x14ac:dyDescent="0.25">
      <c r="A3647" s="115">
        <v>28.207999999999998</v>
      </c>
      <c r="B3647" s="115">
        <v>28.99</v>
      </c>
      <c r="C3647" s="1">
        <v>990</v>
      </c>
      <c r="D3647" s="1" t="s">
        <v>2664</v>
      </c>
      <c r="E3647" s="1">
        <v>28</v>
      </c>
    </row>
    <row r="3648" spans="1:5" hidden="1" x14ac:dyDescent="0.25">
      <c r="A3648" s="115">
        <v>28.209</v>
      </c>
      <c r="B3648" s="115">
        <v>28.1</v>
      </c>
      <c r="C3648" s="1">
        <v>1000</v>
      </c>
      <c r="D3648" s="1" t="s">
        <v>2665</v>
      </c>
      <c r="E3648" s="1">
        <v>28</v>
      </c>
    </row>
    <row r="3649" spans="1:5" hidden="1" x14ac:dyDescent="0.25">
      <c r="A3649" s="115">
        <v>28.21</v>
      </c>
      <c r="B3649" s="115">
        <v>28.11</v>
      </c>
      <c r="C3649" s="1">
        <v>1100</v>
      </c>
      <c r="D3649" s="1" t="s">
        <v>2666</v>
      </c>
      <c r="E3649" s="1">
        <v>28</v>
      </c>
    </row>
    <row r="3650" spans="1:5" hidden="1" x14ac:dyDescent="0.25">
      <c r="A3650" s="115">
        <v>28.210999999999999</v>
      </c>
      <c r="B3650" s="115">
        <v>28.111000000000001</v>
      </c>
      <c r="C3650" s="1">
        <v>1110</v>
      </c>
      <c r="D3650" s="1" t="s">
        <v>2667</v>
      </c>
      <c r="E3650" s="1">
        <v>28</v>
      </c>
    </row>
    <row r="3651" spans="1:5" hidden="1" x14ac:dyDescent="0.25">
      <c r="A3651" s="115">
        <v>28.212</v>
      </c>
      <c r="B3651" s="115">
        <v>28.111999999999998</v>
      </c>
      <c r="C3651" s="1">
        <v>1120</v>
      </c>
      <c r="D3651" s="1" t="s">
        <v>2668</v>
      </c>
      <c r="E3651" s="1">
        <v>28</v>
      </c>
    </row>
    <row r="3652" spans="1:5" hidden="1" x14ac:dyDescent="0.25">
      <c r="A3652" s="115">
        <v>28.213000000000001</v>
      </c>
      <c r="B3652" s="115">
        <v>28.113</v>
      </c>
      <c r="C3652" s="1">
        <v>1130</v>
      </c>
      <c r="D3652" s="1" t="s">
        <v>2669</v>
      </c>
      <c r="E3652" s="1">
        <v>28</v>
      </c>
    </row>
    <row r="3653" spans="1:5" hidden="1" x14ac:dyDescent="0.25">
      <c r="A3653" s="115">
        <v>28.213999999999999</v>
      </c>
      <c r="B3653" s="115">
        <v>28.114000000000001</v>
      </c>
      <c r="C3653" s="1">
        <v>1140</v>
      </c>
      <c r="D3653" s="1" t="s">
        <v>2670</v>
      </c>
      <c r="E3653" s="1">
        <v>28</v>
      </c>
    </row>
    <row r="3654" spans="1:5" hidden="1" x14ac:dyDescent="0.25">
      <c r="A3654" s="115">
        <v>28.215</v>
      </c>
      <c r="B3654" s="115">
        <v>28.114999999999998</v>
      </c>
      <c r="C3654" s="1">
        <v>1150</v>
      </c>
      <c r="D3654" s="1" t="s">
        <v>2671</v>
      </c>
      <c r="E3654" s="1">
        <v>28</v>
      </c>
    </row>
    <row r="3655" spans="1:5" hidden="1" x14ac:dyDescent="0.25">
      <c r="A3655" s="115">
        <v>28.216000000000001</v>
      </c>
      <c r="B3655" s="115">
        <v>28.116</v>
      </c>
      <c r="C3655" s="1">
        <v>1160</v>
      </c>
      <c r="D3655" s="1" t="s">
        <v>2672</v>
      </c>
      <c r="E3655" s="1">
        <v>28</v>
      </c>
    </row>
    <row r="3656" spans="1:5" hidden="1" x14ac:dyDescent="0.25">
      <c r="A3656" s="115">
        <v>28.216999999999999</v>
      </c>
      <c r="B3656" s="115">
        <v>28.117000000000001</v>
      </c>
      <c r="C3656" s="1">
        <v>1170</v>
      </c>
      <c r="D3656" s="1" t="s">
        <v>2673</v>
      </c>
      <c r="E3656" s="1">
        <v>28</v>
      </c>
    </row>
    <row r="3657" spans="1:5" hidden="1" x14ac:dyDescent="0.25">
      <c r="A3657" s="115">
        <v>28.218</v>
      </c>
      <c r="B3657" s="115">
        <v>28.117999999999999</v>
      </c>
      <c r="C3657" s="1">
        <v>1180</v>
      </c>
      <c r="D3657" s="1" t="s">
        <v>2674</v>
      </c>
      <c r="E3657" s="1">
        <v>28</v>
      </c>
    </row>
    <row r="3658" spans="1:5" hidden="1" x14ac:dyDescent="0.25">
      <c r="A3658" s="115">
        <v>28.219000000000001</v>
      </c>
      <c r="B3658" s="115">
        <v>28.119</v>
      </c>
      <c r="C3658" s="1">
        <v>1190</v>
      </c>
      <c r="D3658" s="1" t="s">
        <v>2675</v>
      </c>
      <c r="E3658" s="1">
        <v>28</v>
      </c>
    </row>
    <row r="3659" spans="1:5" hidden="1" x14ac:dyDescent="0.25">
      <c r="A3659" s="115">
        <v>28.22</v>
      </c>
      <c r="B3659" s="115">
        <v>28.12</v>
      </c>
      <c r="C3659" s="1">
        <v>1200</v>
      </c>
      <c r="D3659" s="1" t="s">
        <v>2676</v>
      </c>
      <c r="E3659" s="1">
        <v>28</v>
      </c>
    </row>
    <row r="3660" spans="1:5" hidden="1" x14ac:dyDescent="0.25">
      <c r="A3660" s="115">
        <v>28.221</v>
      </c>
      <c r="B3660" s="115">
        <v>28.120999999999999</v>
      </c>
      <c r="C3660" s="1">
        <v>1210</v>
      </c>
      <c r="D3660" s="1" t="s">
        <v>2677</v>
      </c>
      <c r="E3660" s="1">
        <v>28</v>
      </c>
    </row>
    <row r="3661" spans="1:5" hidden="1" x14ac:dyDescent="0.25">
      <c r="A3661" s="115">
        <v>28.222000000000001</v>
      </c>
      <c r="B3661" s="115">
        <v>28.122</v>
      </c>
      <c r="C3661" s="1">
        <v>1220</v>
      </c>
      <c r="D3661" s="1" t="s">
        <v>2678</v>
      </c>
      <c r="E3661" s="1">
        <v>28</v>
      </c>
    </row>
    <row r="3662" spans="1:5" hidden="1" x14ac:dyDescent="0.25">
      <c r="A3662" s="115">
        <v>28.222999999999999</v>
      </c>
      <c r="B3662" s="115">
        <v>28.123000000000001</v>
      </c>
      <c r="C3662" s="1">
        <v>1230</v>
      </c>
      <c r="D3662" s="1" t="s">
        <v>2679</v>
      </c>
      <c r="E3662" s="1">
        <v>28</v>
      </c>
    </row>
    <row r="3663" spans="1:5" hidden="1" x14ac:dyDescent="0.25">
      <c r="A3663" s="115">
        <v>28.224</v>
      </c>
      <c r="B3663" s="115">
        <v>28.123999999999999</v>
      </c>
      <c r="C3663" s="1">
        <v>1240</v>
      </c>
      <c r="D3663" s="1" t="s">
        <v>2680</v>
      </c>
      <c r="E3663" s="1">
        <v>28</v>
      </c>
    </row>
    <row r="3664" spans="1:5" hidden="1" x14ac:dyDescent="0.25">
      <c r="A3664" s="115">
        <v>28.225000000000001</v>
      </c>
      <c r="B3664" s="115">
        <v>28.125</v>
      </c>
      <c r="C3664" s="1">
        <v>1250</v>
      </c>
      <c r="D3664" s="1" t="s">
        <v>2681</v>
      </c>
      <c r="E3664" s="1">
        <v>28</v>
      </c>
    </row>
    <row r="3665" spans="1:5" hidden="1" x14ac:dyDescent="0.25">
      <c r="A3665" s="115">
        <v>28.225999999999999</v>
      </c>
      <c r="B3665" s="115">
        <v>28.126000000000001</v>
      </c>
      <c r="C3665" s="1">
        <v>1260</v>
      </c>
      <c r="D3665" s="1" t="s">
        <v>2682</v>
      </c>
      <c r="E3665" s="1">
        <v>28</v>
      </c>
    </row>
    <row r="3666" spans="1:5" hidden="1" x14ac:dyDescent="0.25">
      <c r="A3666" s="115">
        <v>28.227</v>
      </c>
      <c r="B3666" s="115">
        <v>28.126999999999999</v>
      </c>
      <c r="C3666" s="1">
        <v>1270</v>
      </c>
      <c r="D3666" s="1" t="s">
        <v>2683</v>
      </c>
      <c r="E3666" s="1">
        <v>28</v>
      </c>
    </row>
    <row r="3667" spans="1:5" hidden="1" x14ac:dyDescent="0.25">
      <c r="A3667" s="115">
        <v>28.228000000000002</v>
      </c>
      <c r="B3667" s="115">
        <v>28.128</v>
      </c>
      <c r="C3667" s="1">
        <v>1280</v>
      </c>
      <c r="D3667" s="1" t="s">
        <v>2684</v>
      </c>
      <c r="E3667" s="1">
        <v>28</v>
      </c>
    </row>
    <row r="3668" spans="1:5" hidden="1" x14ac:dyDescent="0.25">
      <c r="A3668" s="115">
        <v>28.228999999999999</v>
      </c>
      <c r="B3668" s="115">
        <v>28.13</v>
      </c>
      <c r="C3668" s="1">
        <v>1300</v>
      </c>
      <c r="D3668" s="1" t="s">
        <v>2685</v>
      </c>
      <c r="E3668" s="1">
        <v>28</v>
      </c>
    </row>
    <row r="3669" spans="1:5" hidden="1" x14ac:dyDescent="0.25">
      <c r="A3669" s="115">
        <v>28.23</v>
      </c>
      <c r="B3669" s="115">
        <v>28.131</v>
      </c>
      <c r="C3669" s="1">
        <v>1310</v>
      </c>
      <c r="D3669" s="1" t="s">
        <v>2686</v>
      </c>
      <c r="E3669" s="1">
        <v>28</v>
      </c>
    </row>
    <row r="3670" spans="1:5" hidden="1" x14ac:dyDescent="0.25">
      <c r="A3670" s="115">
        <v>28.231000000000002</v>
      </c>
      <c r="B3670" s="115">
        <v>28.132000000000001</v>
      </c>
      <c r="C3670" s="1">
        <v>1320</v>
      </c>
      <c r="D3670" s="1" t="s">
        <v>2687</v>
      </c>
      <c r="E3670" s="1">
        <v>28</v>
      </c>
    </row>
    <row r="3671" spans="1:5" hidden="1" x14ac:dyDescent="0.25">
      <c r="A3671" s="115">
        <v>29.100999999999999</v>
      </c>
      <c r="B3671" s="115">
        <v>29.1</v>
      </c>
      <c r="C3671" s="1">
        <v>10</v>
      </c>
      <c r="D3671" s="1" t="s">
        <v>2559</v>
      </c>
      <c r="E3671" s="1">
        <v>29</v>
      </c>
    </row>
    <row r="3672" spans="1:5" hidden="1" x14ac:dyDescent="0.25">
      <c r="A3672" s="115">
        <v>29.102</v>
      </c>
      <c r="B3672" s="115">
        <v>29.2</v>
      </c>
      <c r="C3672" s="1">
        <v>20</v>
      </c>
      <c r="D3672" s="1" t="s">
        <v>2560</v>
      </c>
      <c r="E3672" s="1">
        <v>29</v>
      </c>
    </row>
    <row r="3673" spans="1:5" hidden="1" x14ac:dyDescent="0.25">
      <c r="A3673" s="115">
        <v>29.103000000000002</v>
      </c>
      <c r="B3673" s="115">
        <v>29.3</v>
      </c>
      <c r="C3673" s="1">
        <v>30</v>
      </c>
      <c r="D3673" s="1" t="s">
        <v>2561</v>
      </c>
      <c r="E3673" s="1">
        <v>29</v>
      </c>
    </row>
    <row r="3674" spans="1:5" hidden="1" x14ac:dyDescent="0.25">
      <c r="A3674" s="115">
        <v>29.103999999999999</v>
      </c>
      <c r="B3674" s="115">
        <v>29.4</v>
      </c>
      <c r="C3674" s="1">
        <v>40</v>
      </c>
      <c r="D3674" s="1" t="s">
        <v>2562</v>
      </c>
      <c r="E3674" s="1">
        <v>29</v>
      </c>
    </row>
    <row r="3675" spans="1:5" hidden="1" x14ac:dyDescent="0.25">
      <c r="A3675" s="115">
        <v>29.105</v>
      </c>
      <c r="B3675" s="115">
        <v>29.5</v>
      </c>
      <c r="C3675" s="1">
        <v>50</v>
      </c>
      <c r="D3675" s="1" t="s">
        <v>2563</v>
      </c>
      <c r="E3675" s="1">
        <v>29</v>
      </c>
    </row>
    <row r="3676" spans="1:5" hidden="1" x14ac:dyDescent="0.25">
      <c r="A3676" s="115">
        <v>29.106000000000002</v>
      </c>
      <c r="B3676" s="115">
        <v>29.6</v>
      </c>
      <c r="C3676" s="1">
        <v>60</v>
      </c>
      <c r="D3676" s="1" t="s">
        <v>2564</v>
      </c>
      <c r="E3676" s="1">
        <v>29</v>
      </c>
    </row>
    <row r="3677" spans="1:5" hidden="1" x14ac:dyDescent="0.25">
      <c r="A3677" s="115">
        <v>29.106999999999999</v>
      </c>
      <c r="B3677" s="115">
        <v>29.7</v>
      </c>
      <c r="C3677" s="1">
        <v>70</v>
      </c>
      <c r="D3677" s="1" t="s">
        <v>2565</v>
      </c>
      <c r="E3677" s="1">
        <v>29</v>
      </c>
    </row>
    <row r="3678" spans="1:5" hidden="1" x14ac:dyDescent="0.25">
      <c r="A3678" s="115">
        <v>29.108000000000001</v>
      </c>
      <c r="B3678" s="115">
        <v>29.8</v>
      </c>
      <c r="C3678" s="1">
        <v>80</v>
      </c>
      <c r="D3678" s="1" t="s">
        <v>2566</v>
      </c>
      <c r="E3678" s="1">
        <v>29</v>
      </c>
    </row>
    <row r="3679" spans="1:5" hidden="1" x14ac:dyDescent="0.25">
      <c r="A3679" s="115">
        <v>29.109000000000002</v>
      </c>
      <c r="B3679" s="115">
        <v>29.9</v>
      </c>
      <c r="C3679" s="1">
        <v>90</v>
      </c>
      <c r="D3679" s="1" t="s">
        <v>2567</v>
      </c>
      <c r="E3679" s="1">
        <v>29</v>
      </c>
    </row>
    <row r="3680" spans="1:5" hidden="1" x14ac:dyDescent="0.25">
      <c r="A3680" s="115">
        <v>29.11</v>
      </c>
      <c r="B3680" s="115">
        <v>29.1</v>
      </c>
      <c r="C3680" s="1">
        <v>100</v>
      </c>
      <c r="D3680" s="1" t="s">
        <v>2568</v>
      </c>
      <c r="E3680" s="1">
        <v>29</v>
      </c>
    </row>
    <row r="3681" spans="1:5" hidden="1" x14ac:dyDescent="0.25">
      <c r="A3681" s="115">
        <v>29.111000000000001</v>
      </c>
      <c r="B3681" s="115">
        <v>29.11</v>
      </c>
      <c r="C3681" s="1">
        <v>110</v>
      </c>
      <c r="D3681" s="1" t="s">
        <v>2569</v>
      </c>
      <c r="E3681" s="1">
        <v>29</v>
      </c>
    </row>
    <row r="3682" spans="1:5" hidden="1" x14ac:dyDescent="0.25">
      <c r="A3682" s="115">
        <v>29.111999999999998</v>
      </c>
      <c r="B3682" s="115">
        <v>29.12</v>
      </c>
      <c r="C3682" s="1">
        <v>120</v>
      </c>
      <c r="D3682" s="1" t="s">
        <v>2570</v>
      </c>
      <c r="E3682" s="1">
        <v>29</v>
      </c>
    </row>
    <row r="3683" spans="1:5" hidden="1" x14ac:dyDescent="0.25">
      <c r="A3683" s="115">
        <v>29.113</v>
      </c>
      <c r="B3683" s="115">
        <v>29.13</v>
      </c>
      <c r="C3683" s="1">
        <v>130</v>
      </c>
      <c r="D3683" s="1" t="s">
        <v>2571</v>
      </c>
      <c r="E3683" s="1">
        <v>29</v>
      </c>
    </row>
    <row r="3684" spans="1:5" hidden="1" x14ac:dyDescent="0.25">
      <c r="A3684" s="115">
        <v>29.114000000000001</v>
      </c>
      <c r="B3684" s="115">
        <v>29.14</v>
      </c>
      <c r="C3684" s="1">
        <v>140</v>
      </c>
      <c r="D3684" s="1" t="s">
        <v>2572</v>
      </c>
      <c r="E3684" s="1">
        <v>29</v>
      </c>
    </row>
    <row r="3685" spans="1:5" hidden="1" x14ac:dyDescent="0.25">
      <c r="A3685" s="115">
        <v>29.114999999999998</v>
      </c>
      <c r="B3685" s="115">
        <v>29.15</v>
      </c>
      <c r="C3685" s="1">
        <v>150</v>
      </c>
      <c r="D3685" s="1" t="s">
        <v>2573</v>
      </c>
      <c r="E3685" s="1">
        <v>29</v>
      </c>
    </row>
    <row r="3686" spans="1:5" hidden="1" x14ac:dyDescent="0.25">
      <c r="A3686" s="115">
        <v>29.116</v>
      </c>
      <c r="B3686" s="115">
        <v>29.16</v>
      </c>
      <c r="C3686" s="1">
        <v>160</v>
      </c>
      <c r="D3686" s="1" t="s">
        <v>2574</v>
      </c>
      <c r="E3686" s="1">
        <v>29</v>
      </c>
    </row>
    <row r="3687" spans="1:5" hidden="1" x14ac:dyDescent="0.25">
      <c r="A3687" s="115">
        <v>29.117000000000001</v>
      </c>
      <c r="B3687" s="115">
        <v>29.17</v>
      </c>
      <c r="C3687" s="1">
        <v>170</v>
      </c>
      <c r="D3687" s="1" t="s">
        <v>2575</v>
      </c>
      <c r="E3687" s="1">
        <v>29</v>
      </c>
    </row>
    <row r="3688" spans="1:5" hidden="1" x14ac:dyDescent="0.25">
      <c r="A3688" s="115">
        <v>29.117999999999999</v>
      </c>
      <c r="B3688" s="115">
        <v>29.18</v>
      </c>
      <c r="C3688" s="1">
        <v>180</v>
      </c>
      <c r="D3688" s="1" t="s">
        <v>2576</v>
      </c>
      <c r="E3688" s="1">
        <v>29</v>
      </c>
    </row>
    <row r="3689" spans="1:5" hidden="1" x14ac:dyDescent="0.25">
      <c r="A3689" s="115">
        <v>29.119</v>
      </c>
      <c r="B3689" s="115">
        <v>29.19</v>
      </c>
      <c r="C3689" s="1">
        <v>190</v>
      </c>
      <c r="D3689" s="1" t="s">
        <v>2577</v>
      </c>
      <c r="E3689" s="1">
        <v>29</v>
      </c>
    </row>
    <row r="3690" spans="1:5" hidden="1" x14ac:dyDescent="0.25">
      <c r="A3690" s="115">
        <v>29.12</v>
      </c>
      <c r="B3690" s="115">
        <v>29.2</v>
      </c>
      <c r="C3690" s="1">
        <v>200</v>
      </c>
      <c r="D3690" s="1" t="s">
        <v>2578</v>
      </c>
      <c r="E3690" s="1">
        <v>29</v>
      </c>
    </row>
    <row r="3691" spans="1:5" hidden="1" x14ac:dyDescent="0.25">
      <c r="A3691" s="115">
        <v>29.120999999999999</v>
      </c>
      <c r="B3691" s="115">
        <v>29.21</v>
      </c>
      <c r="C3691" s="1">
        <v>210</v>
      </c>
      <c r="D3691" s="1" t="s">
        <v>2579</v>
      </c>
      <c r="E3691" s="1">
        <v>29</v>
      </c>
    </row>
    <row r="3692" spans="1:5" hidden="1" x14ac:dyDescent="0.25">
      <c r="A3692" s="115">
        <v>29.122</v>
      </c>
      <c r="B3692" s="115">
        <v>29.22</v>
      </c>
      <c r="C3692" s="1">
        <v>220</v>
      </c>
      <c r="D3692" s="1" t="s">
        <v>2580</v>
      </c>
      <c r="E3692" s="1">
        <v>29</v>
      </c>
    </row>
    <row r="3693" spans="1:5" hidden="1" x14ac:dyDescent="0.25">
      <c r="A3693" s="115">
        <v>29.123000000000001</v>
      </c>
      <c r="B3693" s="115">
        <v>29.23</v>
      </c>
      <c r="C3693" s="1">
        <v>230</v>
      </c>
      <c r="D3693" s="1" t="s">
        <v>2581</v>
      </c>
      <c r="E3693" s="1">
        <v>29</v>
      </c>
    </row>
    <row r="3694" spans="1:5" hidden="1" x14ac:dyDescent="0.25">
      <c r="A3694" s="115">
        <v>29.123999999999999</v>
      </c>
      <c r="B3694" s="115">
        <v>29.24</v>
      </c>
      <c r="C3694" s="1">
        <v>240</v>
      </c>
      <c r="D3694" s="1" t="s">
        <v>2582</v>
      </c>
      <c r="E3694" s="1">
        <v>29</v>
      </c>
    </row>
    <row r="3695" spans="1:5" hidden="1" x14ac:dyDescent="0.25">
      <c r="A3695" s="115">
        <v>29.125</v>
      </c>
      <c r="B3695" s="115">
        <v>29.25</v>
      </c>
      <c r="C3695" s="1">
        <v>250</v>
      </c>
      <c r="D3695" s="1" t="s">
        <v>2583</v>
      </c>
      <c r="E3695" s="1">
        <v>29</v>
      </c>
    </row>
    <row r="3696" spans="1:5" hidden="1" x14ac:dyDescent="0.25">
      <c r="A3696" s="115">
        <v>29.126000000000001</v>
      </c>
      <c r="B3696" s="115">
        <v>29.26</v>
      </c>
      <c r="C3696" s="1">
        <v>260</v>
      </c>
      <c r="D3696" s="1" t="s">
        <v>2584</v>
      </c>
      <c r="E3696" s="1">
        <v>29</v>
      </c>
    </row>
    <row r="3697" spans="1:5" hidden="1" x14ac:dyDescent="0.25">
      <c r="A3697" s="115">
        <v>29.126999999999999</v>
      </c>
      <c r="B3697" s="115">
        <v>29.27</v>
      </c>
      <c r="C3697" s="1">
        <v>270</v>
      </c>
      <c r="D3697" s="1" t="s">
        <v>2585</v>
      </c>
      <c r="E3697" s="1">
        <v>29</v>
      </c>
    </row>
    <row r="3698" spans="1:5" hidden="1" x14ac:dyDescent="0.25">
      <c r="A3698" s="115">
        <v>29.128</v>
      </c>
      <c r="B3698" s="115">
        <v>29.28</v>
      </c>
      <c r="C3698" s="1">
        <v>280</v>
      </c>
      <c r="D3698" s="1" t="s">
        <v>2586</v>
      </c>
      <c r="E3698" s="1">
        <v>29</v>
      </c>
    </row>
    <row r="3699" spans="1:5" hidden="1" x14ac:dyDescent="0.25">
      <c r="A3699" s="115">
        <v>29.129000000000001</v>
      </c>
      <c r="B3699" s="115">
        <v>29.29</v>
      </c>
      <c r="C3699" s="1">
        <v>290</v>
      </c>
      <c r="D3699" s="1" t="s">
        <v>2587</v>
      </c>
      <c r="E3699" s="1">
        <v>29</v>
      </c>
    </row>
    <row r="3700" spans="1:5" hidden="1" x14ac:dyDescent="0.25">
      <c r="A3700" s="115">
        <v>29.13</v>
      </c>
      <c r="B3700" s="115">
        <v>29.3</v>
      </c>
      <c r="C3700" s="1">
        <v>300</v>
      </c>
      <c r="D3700" s="1" t="s">
        <v>2588</v>
      </c>
      <c r="E3700" s="1">
        <v>29</v>
      </c>
    </row>
    <row r="3701" spans="1:5" hidden="1" x14ac:dyDescent="0.25">
      <c r="A3701" s="115">
        <v>29.131</v>
      </c>
      <c r="B3701" s="115">
        <v>29.31</v>
      </c>
      <c r="C3701" s="1">
        <v>310</v>
      </c>
      <c r="D3701" s="1" t="s">
        <v>2589</v>
      </c>
      <c r="E3701" s="1">
        <v>29</v>
      </c>
    </row>
    <row r="3702" spans="1:5" hidden="1" x14ac:dyDescent="0.25">
      <c r="A3702" s="115">
        <v>29.132000000000001</v>
      </c>
      <c r="B3702" s="115">
        <v>29.32</v>
      </c>
      <c r="C3702" s="1">
        <v>320</v>
      </c>
      <c r="D3702" s="1" t="s">
        <v>2590</v>
      </c>
      <c r="E3702" s="1">
        <v>29</v>
      </c>
    </row>
    <row r="3703" spans="1:5" hidden="1" x14ac:dyDescent="0.25">
      <c r="A3703" s="115">
        <v>29.132999999999999</v>
      </c>
      <c r="B3703" s="115">
        <v>29.33</v>
      </c>
      <c r="C3703" s="1">
        <v>330</v>
      </c>
      <c r="D3703" s="1" t="s">
        <v>2591</v>
      </c>
      <c r="E3703" s="1">
        <v>29</v>
      </c>
    </row>
    <row r="3704" spans="1:5" hidden="1" x14ac:dyDescent="0.25">
      <c r="A3704" s="115">
        <v>29.134</v>
      </c>
      <c r="B3704" s="115">
        <v>29.34</v>
      </c>
      <c r="C3704" s="1">
        <v>340</v>
      </c>
      <c r="D3704" s="1" t="s">
        <v>2592</v>
      </c>
      <c r="E3704" s="1">
        <v>29</v>
      </c>
    </row>
    <row r="3705" spans="1:5" hidden="1" x14ac:dyDescent="0.25">
      <c r="A3705" s="115">
        <v>29.135000000000002</v>
      </c>
      <c r="B3705" s="115">
        <v>29.35</v>
      </c>
      <c r="C3705" s="1">
        <v>350</v>
      </c>
      <c r="D3705" s="1" t="s">
        <v>2593</v>
      </c>
      <c r="E3705" s="1">
        <v>29</v>
      </c>
    </row>
    <row r="3706" spans="1:5" hidden="1" x14ac:dyDescent="0.25">
      <c r="A3706" s="115">
        <v>29.135999999999999</v>
      </c>
      <c r="B3706" s="115">
        <v>29.36</v>
      </c>
      <c r="C3706" s="1">
        <v>360</v>
      </c>
      <c r="D3706" s="1" t="s">
        <v>2594</v>
      </c>
      <c r="E3706" s="1">
        <v>29</v>
      </c>
    </row>
    <row r="3707" spans="1:5" hidden="1" x14ac:dyDescent="0.25">
      <c r="A3707" s="115">
        <v>29.137</v>
      </c>
      <c r="B3707" s="115">
        <v>29.37</v>
      </c>
      <c r="C3707" s="1">
        <v>370</v>
      </c>
      <c r="D3707" s="1" t="s">
        <v>2595</v>
      </c>
      <c r="E3707" s="1">
        <v>29</v>
      </c>
    </row>
    <row r="3708" spans="1:5" hidden="1" x14ac:dyDescent="0.25">
      <c r="A3708" s="115">
        <v>29.138000000000002</v>
      </c>
      <c r="B3708" s="115">
        <v>29.38</v>
      </c>
      <c r="C3708" s="1">
        <v>380</v>
      </c>
      <c r="D3708" s="1" t="s">
        <v>2596</v>
      </c>
      <c r="E3708" s="1">
        <v>29</v>
      </c>
    </row>
    <row r="3709" spans="1:5" hidden="1" x14ac:dyDescent="0.25">
      <c r="A3709" s="115">
        <v>29.138999999999999</v>
      </c>
      <c r="B3709" s="115">
        <v>29.39</v>
      </c>
      <c r="C3709" s="1">
        <v>390</v>
      </c>
      <c r="D3709" s="1" t="s">
        <v>2597</v>
      </c>
      <c r="E3709" s="1">
        <v>29</v>
      </c>
    </row>
    <row r="3710" spans="1:5" hidden="1" x14ac:dyDescent="0.25">
      <c r="A3710" s="115">
        <v>29.14</v>
      </c>
      <c r="B3710" s="115">
        <v>29.4</v>
      </c>
      <c r="C3710" s="1">
        <v>400</v>
      </c>
      <c r="D3710" s="1" t="s">
        <v>2598</v>
      </c>
      <c r="E3710" s="1">
        <v>29</v>
      </c>
    </row>
    <row r="3711" spans="1:5" hidden="1" x14ac:dyDescent="0.25">
      <c r="A3711" s="115">
        <v>29.140999999999998</v>
      </c>
      <c r="B3711" s="115">
        <v>29.41</v>
      </c>
      <c r="C3711" s="1">
        <v>410</v>
      </c>
      <c r="D3711" s="1" t="s">
        <v>2599</v>
      </c>
      <c r="E3711" s="1">
        <v>29</v>
      </c>
    </row>
    <row r="3712" spans="1:5" hidden="1" x14ac:dyDescent="0.25">
      <c r="A3712" s="115">
        <v>29.141999999999999</v>
      </c>
      <c r="B3712" s="115">
        <v>29.42</v>
      </c>
      <c r="C3712" s="1">
        <v>420</v>
      </c>
      <c r="D3712" s="1" t="s">
        <v>2600</v>
      </c>
      <c r="E3712" s="1">
        <v>29</v>
      </c>
    </row>
    <row r="3713" spans="1:5" hidden="1" x14ac:dyDescent="0.25">
      <c r="A3713" s="115">
        <v>29.143000000000001</v>
      </c>
      <c r="B3713" s="115">
        <v>29.43</v>
      </c>
      <c r="C3713" s="1">
        <v>430</v>
      </c>
      <c r="D3713" s="1" t="s">
        <v>2601</v>
      </c>
      <c r="E3713" s="1">
        <v>29</v>
      </c>
    </row>
    <row r="3714" spans="1:5" hidden="1" x14ac:dyDescent="0.25">
      <c r="A3714" s="115">
        <v>29.143999999999998</v>
      </c>
      <c r="B3714" s="115">
        <v>29.44</v>
      </c>
      <c r="C3714" s="1">
        <v>440</v>
      </c>
      <c r="D3714" s="1" t="s">
        <v>2602</v>
      </c>
      <c r="E3714" s="1">
        <v>29</v>
      </c>
    </row>
    <row r="3715" spans="1:5" hidden="1" x14ac:dyDescent="0.25">
      <c r="A3715" s="115">
        <v>29.145</v>
      </c>
      <c r="B3715" s="115">
        <v>29.445</v>
      </c>
      <c r="C3715" s="1">
        <v>445</v>
      </c>
      <c r="D3715" s="1" t="s">
        <v>2603</v>
      </c>
      <c r="E3715" s="1">
        <v>29</v>
      </c>
    </row>
    <row r="3716" spans="1:5" hidden="1" x14ac:dyDescent="0.25">
      <c r="A3716" s="115">
        <v>29.146000000000001</v>
      </c>
      <c r="B3716" s="115">
        <v>29.45</v>
      </c>
      <c r="C3716" s="1">
        <v>450</v>
      </c>
      <c r="D3716" s="1" t="s">
        <v>2604</v>
      </c>
      <c r="E3716" s="1">
        <v>29</v>
      </c>
    </row>
    <row r="3717" spans="1:5" hidden="1" x14ac:dyDescent="0.25">
      <c r="A3717" s="115">
        <v>29.146999999999998</v>
      </c>
      <c r="B3717" s="115">
        <v>29.46</v>
      </c>
      <c r="C3717" s="1">
        <v>460</v>
      </c>
      <c r="D3717" s="1" t="s">
        <v>2605</v>
      </c>
      <c r="E3717" s="1">
        <v>29</v>
      </c>
    </row>
    <row r="3718" spans="1:5" hidden="1" x14ac:dyDescent="0.25">
      <c r="A3718" s="115">
        <v>29.148</v>
      </c>
      <c r="B3718" s="115">
        <v>29.47</v>
      </c>
      <c r="C3718" s="1">
        <v>470</v>
      </c>
      <c r="D3718" s="1" t="s">
        <v>2606</v>
      </c>
      <c r="E3718" s="1">
        <v>29</v>
      </c>
    </row>
    <row r="3719" spans="1:5" hidden="1" x14ac:dyDescent="0.25">
      <c r="A3719" s="115">
        <v>29.149000000000001</v>
      </c>
      <c r="B3719" s="115">
        <v>29.48</v>
      </c>
      <c r="C3719" s="1">
        <v>480</v>
      </c>
      <c r="D3719" s="1" t="s">
        <v>2607</v>
      </c>
      <c r="E3719" s="1">
        <v>29</v>
      </c>
    </row>
    <row r="3720" spans="1:5" hidden="1" x14ac:dyDescent="0.25">
      <c r="A3720" s="115">
        <v>29.15</v>
      </c>
      <c r="B3720" s="115">
        <v>29.49</v>
      </c>
      <c r="C3720" s="1">
        <v>490</v>
      </c>
      <c r="D3720" s="1" t="s">
        <v>2608</v>
      </c>
      <c r="E3720" s="1">
        <v>29</v>
      </c>
    </row>
    <row r="3721" spans="1:5" hidden="1" x14ac:dyDescent="0.25">
      <c r="A3721" s="115">
        <v>29.151</v>
      </c>
      <c r="B3721" s="115">
        <v>29.5</v>
      </c>
      <c r="C3721" s="1">
        <v>500</v>
      </c>
      <c r="D3721" s="1" t="s">
        <v>2609</v>
      </c>
      <c r="E3721" s="1">
        <v>29</v>
      </c>
    </row>
    <row r="3722" spans="1:5" hidden="1" x14ac:dyDescent="0.25">
      <c r="A3722" s="115">
        <v>29.152000000000001</v>
      </c>
      <c r="B3722" s="115">
        <v>29.51</v>
      </c>
      <c r="C3722" s="1">
        <v>510</v>
      </c>
      <c r="D3722" s="1" t="s">
        <v>2610</v>
      </c>
      <c r="E3722" s="1">
        <v>29</v>
      </c>
    </row>
    <row r="3723" spans="1:5" hidden="1" x14ac:dyDescent="0.25">
      <c r="A3723" s="115">
        <v>29.152999999999999</v>
      </c>
      <c r="B3723" s="115">
        <v>29.52</v>
      </c>
      <c r="C3723" s="1">
        <v>520</v>
      </c>
      <c r="D3723" s="1" t="s">
        <v>2688</v>
      </c>
      <c r="E3723" s="1">
        <v>29</v>
      </c>
    </row>
    <row r="3724" spans="1:5" hidden="1" x14ac:dyDescent="0.25">
      <c r="A3724" s="115">
        <v>29.154</v>
      </c>
      <c r="B3724" s="115">
        <v>29.53</v>
      </c>
      <c r="C3724" s="1">
        <v>530</v>
      </c>
      <c r="D3724" s="1" t="s">
        <v>2612</v>
      </c>
      <c r="E3724" s="1">
        <v>29</v>
      </c>
    </row>
    <row r="3725" spans="1:5" hidden="1" x14ac:dyDescent="0.25">
      <c r="A3725" s="115">
        <v>29.155000000000001</v>
      </c>
      <c r="B3725" s="115">
        <v>29.54</v>
      </c>
      <c r="C3725" s="1">
        <v>540</v>
      </c>
      <c r="D3725" s="1" t="s">
        <v>2613</v>
      </c>
      <c r="E3725" s="1">
        <v>29</v>
      </c>
    </row>
    <row r="3726" spans="1:5" hidden="1" x14ac:dyDescent="0.25">
      <c r="A3726" s="115">
        <v>29.155999999999999</v>
      </c>
      <c r="B3726" s="115">
        <v>29.55</v>
      </c>
      <c r="C3726" s="1">
        <v>550</v>
      </c>
      <c r="D3726" s="1" t="s">
        <v>2614</v>
      </c>
      <c r="E3726" s="1">
        <v>29</v>
      </c>
    </row>
    <row r="3727" spans="1:5" hidden="1" x14ac:dyDescent="0.25">
      <c r="A3727" s="115">
        <v>29.157</v>
      </c>
      <c r="B3727" s="115">
        <v>29.56</v>
      </c>
      <c r="C3727" s="1">
        <v>560</v>
      </c>
      <c r="D3727" s="1" t="s">
        <v>2615</v>
      </c>
      <c r="E3727" s="1">
        <v>29</v>
      </c>
    </row>
    <row r="3728" spans="1:5" hidden="1" x14ac:dyDescent="0.25">
      <c r="A3728" s="115">
        <v>29.158000000000001</v>
      </c>
      <c r="B3728" s="115">
        <v>29.57</v>
      </c>
      <c r="C3728" s="1">
        <v>570</v>
      </c>
      <c r="D3728" s="1" t="s">
        <v>2616</v>
      </c>
      <c r="E3728" s="1">
        <v>29</v>
      </c>
    </row>
    <row r="3729" spans="1:5" hidden="1" x14ac:dyDescent="0.25">
      <c r="A3729" s="115">
        <v>29.158999999999999</v>
      </c>
      <c r="B3729" s="115">
        <v>29.574999999999999</v>
      </c>
      <c r="C3729" s="1">
        <v>575</v>
      </c>
      <c r="D3729" s="1" t="s">
        <v>2617</v>
      </c>
      <c r="E3729" s="1">
        <v>29</v>
      </c>
    </row>
    <row r="3730" spans="1:5" hidden="1" x14ac:dyDescent="0.25">
      <c r="A3730" s="115">
        <v>29.16</v>
      </c>
      <c r="B3730" s="115">
        <v>29.576000000000001</v>
      </c>
      <c r="C3730" s="1">
        <v>576</v>
      </c>
      <c r="D3730" s="1" t="s">
        <v>2618</v>
      </c>
      <c r="E3730" s="1">
        <v>29</v>
      </c>
    </row>
    <row r="3731" spans="1:5" hidden="1" x14ac:dyDescent="0.25">
      <c r="A3731" s="115">
        <v>29.161000000000001</v>
      </c>
      <c r="B3731" s="115">
        <v>29.58</v>
      </c>
      <c r="C3731" s="1">
        <v>580</v>
      </c>
      <c r="D3731" s="1" t="s">
        <v>2619</v>
      </c>
      <c r="E3731" s="1">
        <v>29</v>
      </c>
    </row>
    <row r="3732" spans="1:5" hidden="1" x14ac:dyDescent="0.25">
      <c r="A3732" s="115">
        <v>29.161999999999999</v>
      </c>
      <c r="B3732" s="115">
        <v>29.59</v>
      </c>
      <c r="C3732" s="1">
        <v>590</v>
      </c>
      <c r="D3732" s="1" t="s">
        <v>1099</v>
      </c>
      <c r="E3732" s="1">
        <v>29</v>
      </c>
    </row>
    <row r="3733" spans="1:5" hidden="1" x14ac:dyDescent="0.25">
      <c r="A3733" s="115">
        <v>29.163</v>
      </c>
      <c r="B3733" s="115">
        <v>29.6</v>
      </c>
      <c r="C3733" s="1">
        <v>600</v>
      </c>
      <c r="D3733" s="1" t="s">
        <v>2620</v>
      </c>
      <c r="E3733" s="1">
        <v>29</v>
      </c>
    </row>
    <row r="3734" spans="1:5" hidden="1" x14ac:dyDescent="0.25">
      <c r="A3734" s="115">
        <v>29.164000000000001</v>
      </c>
      <c r="B3734" s="115">
        <v>29.61</v>
      </c>
      <c r="C3734" s="1">
        <v>610</v>
      </c>
      <c r="D3734" s="1" t="s">
        <v>2621</v>
      </c>
      <c r="E3734" s="1">
        <v>29</v>
      </c>
    </row>
    <row r="3735" spans="1:5" hidden="1" x14ac:dyDescent="0.25">
      <c r="A3735" s="115">
        <v>29.164999999999999</v>
      </c>
      <c r="B3735" s="115">
        <v>29.62</v>
      </c>
      <c r="C3735" s="1">
        <v>620</v>
      </c>
      <c r="D3735" s="1" t="s">
        <v>2622</v>
      </c>
      <c r="E3735" s="1">
        <v>29</v>
      </c>
    </row>
    <row r="3736" spans="1:5" hidden="1" x14ac:dyDescent="0.25">
      <c r="A3736" s="115">
        <v>29.166</v>
      </c>
      <c r="B3736" s="115">
        <v>29.63</v>
      </c>
      <c r="C3736" s="1">
        <v>630</v>
      </c>
      <c r="D3736" s="1" t="s">
        <v>2623</v>
      </c>
      <c r="E3736" s="1">
        <v>29</v>
      </c>
    </row>
    <row r="3737" spans="1:5" hidden="1" x14ac:dyDescent="0.25">
      <c r="A3737" s="115">
        <v>29.167000000000002</v>
      </c>
      <c r="B3737" s="115">
        <v>29.64</v>
      </c>
      <c r="C3737" s="1">
        <v>640</v>
      </c>
      <c r="D3737" s="1" t="s">
        <v>2624</v>
      </c>
      <c r="E3737" s="1">
        <v>29</v>
      </c>
    </row>
    <row r="3738" spans="1:5" hidden="1" x14ac:dyDescent="0.25">
      <c r="A3738" s="115">
        <v>29.167999999999999</v>
      </c>
      <c r="B3738" s="115">
        <v>29.65</v>
      </c>
      <c r="C3738" s="1">
        <v>650</v>
      </c>
      <c r="D3738" s="1" t="s">
        <v>2625</v>
      </c>
      <c r="E3738" s="1">
        <v>29</v>
      </c>
    </row>
    <row r="3739" spans="1:5" hidden="1" x14ac:dyDescent="0.25">
      <c r="A3739" s="115">
        <v>29.169</v>
      </c>
      <c r="B3739" s="115">
        <v>29.66</v>
      </c>
      <c r="C3739" s="1">
        <v>660</v>
      </c>
      <c r="D3739" s="1" t="s">
        <v>2626</v>
      </c>
      <c r="E3739" s="1">
        <v>29</v>
      </c>
    </row>
    <row r="3740" spans="1:5" hidden="1" x14ac:dyDescent="0.25">
      <c r="A3740" s="115">
        <v>29.17</v>
      </c>
      <c r="B3740" s="115">
        <v>29.67</v>
      </c>
      <c r="C3740" s="1">
        <v>670</v>
      </c>
      <c r="D3740" s="1" t="s">
        <v>2627</v>
      </c>
      <c r="E3740" s="1">
        <v>29</v>
      </c>
    </row>
    <row r="3741" spans="1:5" hidden="1" x14ac:dyDescent="0.25">
      <c r="A3741" s="115">
        <v>29.170999999999999</v>
      </c>
      <c r="B3741" s="115">
        <v>29.68</v>
      </c>
      <c r="C3741" s="1">
        <v>680</v>
      </c>
      <c r="D3741" s="1" t="s">
        <v>2628</v>
      </c>
      <c r="E3741" s="1">
        <v>29</v>
      </c>
    </row>
    <row r="3742" spans="1:5" hidden="1" x14ac:dyDescent="0.25">
      <c r="A3742" s="115">
        <v>29.172000000000001</v>
      </c>
      <c r="B3742" s="115">
        <v>29.69</v>
      </c>
      <c r="C3742" s="1">
        <v>690</v>
      </c>
      <c r="D3742" s="1" t="s">
        <v>2629</v>
      </c>
      <c r="E3742" s="1">
        <v>29</v>
      </c>
    </row>
    <row r="3743" spans="1:5" hidden="1" x14ac:dyDescent="0.25">
      <c r="A3743" s="115">
        <v>29.172999999999998</v>
      </c>
      <c r="B3743" s="115">
        <v>29.7</v>
      </c>
      <c r="C3743" s="1">
        <v>700</v>
      </c>
      <c r="D3743" s="1" t="s">
        <v>2630</v>
      </c>
      <c r="E3743" s="1">
        <v>29</v>
      </c>
    </row>
    <row r="3744" spans="1:5" hidden="1" x14ac:dyDescent="0.25">
      <c r="A3744" s="115">
        <v>29.173999999999999</v>
      </c>
      <c r="B3744" s="115">
        <v>29.71</v>
      </c>
      <c r="C3744" s="1">
        <v>710</v>
      </c>
      <c r="D3744" s="1" t="s">
        <v>2631</v>
      </c>
      <c r="E3744" s="1">
        <v>29</v>
      </c>
    </row>
    <row r="3745" spans="1:5" hidden="1" x14ac:dyDescent="0.25">
      <c r="A3745" s="115">
        <v>29.175000000000001</v>
      </c>
      <c r="B3745" s="115">
        <v>29.72</v>
      </c>
      <c r="C3745" s="1">
        <v>720</v>
      </c>
      <c r="D3745" s="1" t="s">
        <v>2632</v>
      </c>
      <c r="E3745" s="1">
        <v>29</v>
      </c>
    </row>
    <row r="3746" spans="1:5" hidden="1" x14ac:dyDescent="0.25">
      <c r="A3746" s="115">
        <v>29.175999999999998</v>
      </c>
      <c r="B3746" s="115">
        <v>29.73</v>
      </c>
      <c r="C3746" s="1">
        <v>730</v>
      </c>
      <c r="D3746" s="1" t="s">
        <v>2633</v>
      </c>
      <c r="E3746" s="1">
        <v>29</v>
      </c>
    </row>
    <row r="3747" spans="1:5" hidden="1" x14ac:dyDescent="0.25">
      <c r="A3747" s="115">
        <v>29.177</v>
      </c>
      <c r="B3747" s="115">
        <v>29.74</v>
      </c>
      <c r="C3747" s="1">
        <v>740</v>
      </c>
      <c r="D3747" s="1" t="s">
        <v>2634</v>
      </c>
      <c r="E3747" s="1">
        <v>29</v>
      </c>
    </row>
    <row r="3748" spans="1:5" hidden="1" x14ac:dyDescent="0.25">
      <c r="A3748" s="115">
        <v>29.178000000000001</v>
      </c>
      <c r="B3748" s="115">
        <v>29.75</v>
      </c>
      <c r="C3748" s="1">
        <v>750</v>
      </c>
      <c r="D3748" s="1" t="s">
        <v>2635</v>
      </c>
      <c r="E3748" s="1">
        <v>29</v>
      </c>
    </row>
    <row r="3749" spans="1:5" hidden="1" x14ac:dyDescent="0.25">
      <c r="A3749" s="115">
        <v>29.178999999999998</v>
      </c>
      <c r="B3749" s="115">
        <v>29.754999999999999</v>
      </c>
      <c r="C3749" s="1">
        <v>755</v>
      </c>
      <c r="D3749" s="1" t="s">
        <v>1466</v>
      </c>
      <c r="E3749" s="1">
        <v>29</v>
      </c>
    </row>
    <row r="3750" spans="1:5" hidden="1" x14ac:dyDescent="0.25">
      <c r="A3750" s="115">
        <v>29.18</v>
      </c>
      <c r="B3750" s="115">
        <v>29.76</v>
      </c>
      <c r="C3750" s="1">
        <v>760</v>
      </c>
      <c r="D3750" s="1" t="s">
        <v>2636</v>
      </c>
      <c r="E3750" s="1">
        <v>29</v>
      </c>
    </row>
    <row r="3751" spans="1:5" hidden="1" x14ac:dyDescent="0.25">
      <c r="A3751" s="115">
        <v>29.181000000000001</v>
      </c>
      <c r="B3751" s="115">
        <v>29.77</v>
      </c>
      <c r="C3751" s="1">
        <v>770</v>
      </c>
      <c r="D3751" s="1" t="s">
        <v>2637</v>
      </c>
      <c r="E3751" s="1">
        <v>29</v>
      </c>
    </row>
    <row r="3752" spans="1:5" hidden="1" x14ac:dyDescent="0.25">
      <c r="A3752" s="115">
        <v>29.181999999999999</v>
      </c>
      <c r="B3752" s="115">
        <v>29.78</v>
      </c>
      <c r="C3752" s="1">
        <v>780</v>
      </c>
      <c r="D3752" s="1" t="s">
        <v>2638</v>
      </c>
      <c r="E3752" s="1">
        <v>29</v>
      </c>
    </row>
    <row r="3753" spans="1:5" hidden="1" x14ac:dyDescent="0.25">
      <c r="A3753" s="115">
        <v>29.183</v>
      </c>
      <c r="B3753" s="115">
        <v>29.79</v>
      </c>
      <c r="C3753" s="1">
        <v>790</v>
      </c>
      <c r="D3753" s="1" t="s">
        <v>2639</v>
      </c>
      <c r="E3753" s="1">
        <v>29</v>
      </c>
    </row>
    <row r="3754" spans="1:5" hidden="1" x14ac:dyDescent="0.25">
      <c r="A3754" s="115">
        <v>29.184000000000001</v>
      </c>
      <c r="B3754" s="115">
        <v>29.8</v>
      </c>
      <c r="C3754" s="1">
        <v>800</v>
      </c>
      <c r="D3754" s="1" t="s">
        <v>2640</v>
      </c>
      <c r="E3754" s="1">
        <v>29</v>
      </c>
    </row>
    <row r="3755" spans="1:5" hidden="1" x14ac:dyDescent="0.25">
      <c r="A3755" s="115">
        <v>29.184999999999999</v>
      </c>
      <c r="B3755" s="115">
        <v>29.805</v>
      </c>
      <c r="C3755" s="1">
        <v>805</v>
      </c>
      <c r="D3755" s="1" t="s">
        <v>2641</v>
      </c>
      <c r="E3755" s="1">
        <v>29</v>
      </c>
    </row>
    <row r="3756" spans="1:5" hidden="1" x14ac:dyDescent="0.25">
      <c r="A3756" s="115">
        <v>29.186</v>
      </c>
      <c r="B3756" s="115">
        <v>29.81</v>
      </c>
      <c r="C3756" s="1">
        <v>810</v>
      </c>
      <c r="D3756" s="1" t="s">
        <v>2642</v>
      </c>
      <c r="E3756" s="1">
        <v>29</v>
      </c>
    </row>
    <row r="3757" spans="1:5" hidden="1" x14ac:dyDescent="0.25">
      <c r="A3757" s="115">
        <v>29.187000000000001</v>
      </c>
      <c r="B3757" s="115">
        <v>29.82</v>
      </c>
      <c r="C3757" s="1">
        <v>820</v>
      </c>
      <c r="D3757" s="1" t="s">
        <v>2643</v>
      </c>
      <c r="E3757" s="1">
        <v>29</v>
      </c>
    </row>
    <row r="3758" spans="1:5" hidden="1" x14ac:dyDescent="0.25">
      <c r="A3758" s="115">
        <v>29.187999999999999</v>
      </c>
      <c r="B3758" s="115">
        <v>29.83</v>
      </c>
      <c r="C3758" s="1">
        <v>830</v>
      </c>
      <c r="D3758" s="1" t="s">
        <v>2644</v>
      </c>
      <c r="E3758" s="1">
        <v>29</v>
      </c>
    </row>
    <row r="3759" spans="1:5" hidden="1" x14ac:dyDescent="0.25">
      <c r="A3759" s="115">
        <v>29.189</v>
      </c>
      <c r="B3759" s="115">
        <v>29.84</v>
      </c>
      <c r="C3759" s="1">
        <v>840</v>
      </c>
      <c r="D3759" s="1" t="s">
        <v>2645</v>
      </c>
      <c r="E3759" s="1">
        <v>29</v>
      </c>
    </row>
    <row r="3760" spans="1:5" hidden="1" x14ac:dyDescent="0.25">
      <c r="A3760" s="115">
        <v>29.19</v>
      </c>
      <c r="B3760" s="115">
        <v>29.85</v>
      </c>
      <c r="C3760" s="1">
        <v>850</v>
      </c>
      <c r="D3760" s="1" t="s">
        <v>2646</v>
      </c>
      <c r="E3760" s="1">
        <v>29</v>
      </c>
    </row>
    <row r="3761" spans="1:5" hidden="1" x14ac:dyDescent="0.25">
      <c r="A3761" s="115">
        <v>29.190999999999999</v>
      </c>
      <c r="B3761" s="115">
        <v>29.86</v>
      </c>
      <c r="C3761" s="1">
        <v>860</v>
      </c>
      <c r="D3761" s="1" t="s">
        <v>2647</v>
      </c>
      <c r="E3761" s="1">
        <v>29</v>
      </c>
    </row>
    <row r="3762" spans="1:5" hidden="1" x14ac:dyDescent="0.25">
      <c r="A3762" s="115">
        <v>29.192</v>
      </c>
      <c r="B3762" s="115">
        <v>29.87</v>
      </c>
      <c r="C3762" s="1">
        <v>870</v>
      </c>
      <c r="D3762" s="1" t="s">
        <v>2648</v>
      </c>
      <c r="E3762" s="1">
        <v>29</v>
      </c>
    </row>
    <row r="3763" spans="1:5" hidden="1" x14ac:dyDescent="0.25">
      <c r="A3763" s="115">
        <v>29.193000000000001</v>
      </c>
      <c r="B3763" s="115">
        <v>29.88</v>
      </c>
      <c r="C3763" s="1">
        <v>880</v>
      </c>
      <c r="D3763" s="1" t="s">
        <v>2649</v>
      </c>
      <c r="E3763" s="1">
        <v>29</v>
      </c>
    </row>
    <row r="3764" spans="1:5" hidden="1" x14ac:dyDescent="0.25">
      <c r="A3764" s="115">
        <v>29.193999999999999</v>
      </c>
      <c r="B3764" s="115">
        <v>29.89</v>
      </c>
      <c r="C3764" s="1">
        <v>890</v>
      </c>
      <c r="D3764" s="1" t="s">
        <v>2650</v>
      </c>
      <c r="E3764" s="1">
        <v>29</v>
      </c>
    </row>
    <row r="3765" spans="1:5" hidden="1" x14ac:dyDescent="0.25">
      <c r="A3765" s="115">
        <v>29.195</v>
      </c>
      <c r="B3765" s="115">
        <v>29.895</v>
      </c>
      <c r="C3765" s="1">
        <v>895</v>
      </c>
      <c r="D3765" s="1" t="s">
        <v>2651</v>
      </c>
      <c r="E3765" s="1">
        <v>29</v>
      </c>
    </row>
    <row r="3766" spans="1:5" hidden="1" x14ac:dyDescent="0.25">
      <c r="A3766" s="115">
        <v>29.196000000000002</v>
      </c>
      <c r="B3766" s="115">
        <v>29.9</v>
      </c>
      <c r="C3766" s="1">
        <v>900</v>
      </c>
      <c r="D3766" s="1" t="s">
        <v>2652</v>
      </c>
      <c r="E3766" s="1">
        <v>29</v>
      </c>
    </row>
    <row r="3767" spans="1:5" hidden="1" x14ac:dyDescent="0.25">
      <c r="A3767" s="115">
        <v>29.196999999999999</v>
      </c>
      <c r="B3767" s="115">
        <v>29.91</v>
      </c>
      <c r="C3767" s="1">
        <v>910</v>
      </c>
      <c r="D3767" s="1" t="s">
        <v>2653</v>
      </c>
      <c r="E3767" s="1">
        <v>29</v>
      </c>
    </row>
    <row r="3768" spans="1:5" hidden="1" x14ac:dyDescent="0.25">
      <c r="A3768" s="115">
        <v>29.198</v>
      </c>
      <c r="B3768" s="115">
        <v>29.92</v>
      </c>
      <c r="C3768" s="1">
        <v>920</v>
      </c>
      <c r="D3768" s="1" t="s">
        <v>2654</v>
      </c>
      <c r="E3768" s="1">
        <v>29</v>
      </c>
    </row>
    <row r="3769" spans="1:5" hidden="1" x14ac:dyDescent="0.25">
      <c r="A3769" s="115">
        <v>29.199000000000002</v>
      </c>
      <c r="B3769" s="115">
        <v>29.925000000000001</v>
      </c>
      <c r="C3769" s="1">
        <v>925</v>
      </c>
      <c r="D3769" s="1" t="s">
        <v>2655</v>
      </c>
      <c r="E3769" s="1">
        <v>29</v>
      </c>
    </row>
    <row r="3770" spans="1:5" hidden="1" x14ac:dyDescent="0.25">
      <c r="A3770" s="115">
        <v>29.2</v>
      </c>
      <c r="B3770" s="115">
        <v>29.93</v>
      </c>
      <c r="C3770" s="1">
        <v>930</v>
      </c>
      <c r="D3770" s="1" t="s">
        <v>2656</v>
      </c>
      <c r="E3770" s="1">
        <v>29</v>
      </c>
    </row>
    <row r="3771" spans="1:5" hidden="1" x14ac:dyDescent="0.25">
      <c r="A3771" s="115">
        <v>29.201000000000001</v>
      </c>
      <c r="B3771" s="115">
        <v>29.934999999999999</v>
      </c>
      <c r="C3771" s="1">
        <v>935</v>
      </c>
      <c r="D3771" s="1" t="s">
        <v>2657</v>
      </c>
      <c r="E3771" s="1">
        <v>29</v>
      </c>
    </row>
    <row r="3772" spans="1:5" hidden="1" x14ac:dyDescent="0.25">
      <c r="A3772" s="115">
        <v>29.202000000000002</v>
      </c>
      <c r="B3772" s="115">
        <v>29.94</v>
      </c>
      <c r="C3772" s="1">
        <v>940</v>
      </c>
      <c r="D3772" s="1" t="s">
        <v>2658</v>
      </c>
      <c r="E3772" s="1">
        <v>29</v>
      </c>
    </row>
    <row r="3773" spans="1:5" hidden="1" x14ac:dyDescent="0.25">
      <c r="A3773" s="115">
        <v>29.202999999999999</v>
      </c>
      <c r="B3773" s="115">
        <v>29.95</v>
      </c>
      <c r="C3773" s="1">
        <v>950</v>
      </c>
      <c r="D3773" s="1" t="s">
        <v>2659</v>
      </c>
      <c r="E3773" s="1">
        <v>29</v>
      </c>
    </row>
    <row r="3774" spans="1:5" hidden="1" x14ac:dyDescent="0.25">
      <c r="A3774" s="115">
        <v>29.204000000000001</v>
      </c>
      <c r="B3774" s="115">
        <v>29.954999999999998</v>
      </c>
      <c r="C3774" s="1">
        <v>955</v>
      </c>
      <c r="D3774" s="1" t="s">
        <v>2660</v>
      </c>
      <c r="E3774" s="1">
        <v>29</v>
      </c>
    </row>
    <row r="3775" spans="1:5" hidden="1" x14ac:dyDescent="0.25">
      <c r="A3775" s="115">
        <v>29.204999999999998</v>
      </c>
      <c r="B3775" s="115">
        <v>29.96</v>
      </c>
      <c r="C3775" s="1">
        <v>960</v>
      </c>
      <c r="D3775" s="1" t="s">
        <v>2661</v>
      </c>
      <c r="E3775" s="1">
        <v>29</v>
      </c>
    </row>
    <row r="3776" spans="1:5" hidden="1" x14ac:dyDescent="0.25">
      <c r="A3776" s="115">
        <v>29.206</v>
      </c>
      <c r="B3776" s="115">
        <v>29.97</v>
      </c>
      <c r="C3776" s="1">
        <v>970</v>
      </c>
      <c r="D3776" s="1" t="s">
        <v>2662</v>
      </c>
      <c r="E3776" s="1">
        <v>29</v>
      </c>
    </row>
    <row r="3777" spans="1:5" hidden="1" x14ac:dyDescent="0.25">
      <c r="A3777" s="115">
        <v>29.207000000000001</v>
      </c>
      <c r="B3777" s="115">
        <v>29.98</v>
      </c>
      <c r="C3777" s="1">
        <v>980</v>
      </c>
      <c r="D3777" s="1" t="s">
        <v>2663</v>
      </c>
      <c r="E3777" s="1">
        <v>29</v>
      </c>
    </row>
    <row r="3778" spans="1:5" hidden="1" x14ac:dyDescent="0.25">
      <c r="A3778" s="115">
        <v>29.207999999999998</v>
      </c>
      <c r="B3778" s="115">
        <v>29.99</v>
      </c>
      <c r="C3778" s="1">
        <v>990</v>
      </c>
      <c r="D3778" s="1" t="s">
        <v>2664</v>
      </c>
      <c r="E3778" s="1">
        <v>29</v>
      </c>
    </row>
    <row r="3779" spans="1:5" hidden="1" x14ac:dyDescent="0.25">
      <c r="A3779" s="115">
        <v>29.209</v>
      </c>
      <c r="B3779" s="115">
        <v>29.1</v>
      </c>
      <c r="C3779" s="1">
        <v>1000</v>
      </c>
      <c r="D3779" s="1" t="s">
        <v>2665</v>
      </c>
      <c r="E3779" s="1">
        <v>29</v>
      </c>
    </row>
    <row r="3780" spans="1:5" hidden="1" x14ac:dyDescent="0.25">
      <c r="A3780" s="115">
        <v>29.21</v>
      </c>
      <c r="B3780" s="115">
        <v>29.11</v>
      </c>
      <c r="C3780" s="1">
        <v>1100</v>
      </c>
      <c r="D3780" s="1" t="s">
        <v>2666</v>
      </c>
      <c r="E3780" s="1">
        <v>29</v>
      </c>
    </row>
    <row r="3781" spans="1:5" hidden="1" x14ac:dyDescent="0.25">
      <c r="A3781" s="115">
        <v>29.210999999999999</v>
      </c>
      <c r="B3781" s="115">
        <v>29.111000000000001</v>
      </c>
      <c r="C3781" s="1">
        <v>1110</v>
      </c>
      <c r="D3781" s="1" t="s">
        <v>2667</v>
      </c>
      <c r="E3781" s="1">
        <v>29</v>
      </c>
    </row>
    <row r="3782" spans="1:5" hidden="1" x14ac:dyDescent="0.25">
      <c r="A3782" s="115">
        <v>29.212</v>
      </c>
      <c r="B3782" s="115">
        <v>29.111999999999998</v>
      </c>
      <c r="C3782" s="1">
        <v>1120</v>
      </c>
      <c r="D3782" s="1" t="s">
        <v>2668</v>
      </c>
      <c r="E3782" s="1">
        <v>29</v>
      </c>
    </row>
    <row r="3783" spans="1:5" hidden="1" x14ac:dyDescent="0.25">
      <c r="A3783" s="115">
        <v>29.213000000000001</v>
      </c>
      <c r="B3783" s="115">
        <v>29.113</v>
      </c>
      <c r="C3783" s="1">
        <v>1130</v>
      </c>
      <c r="D3783" s="1" t="s">
        <v>2669</v>
      </c>
      <c r="E3783" s="1">
        <v>29</v>
      </c>
    </row>
    <row r="3784" spans="1:5" hidden="1" x14ac:dyDescent="0.25">
      <c r="A3784" s="115">
        <v>29.213999999999999</v>
      </c>
      <c r="B3784" s="115">
        <v>29.114000000000001</v>
      </c>
      <c r="C3784" s="1">
        <v>1140</v>
      </c>
      <c r="D3784" s="1" t="s">
        <v>2670</v>
      </c>
      <c r="E3784" s="1">
        <v>29</v>
      </c>
    </row>
    <row r="3785" spans="1:5" hidden="1" x14ac:dyDescent="0.25">
      <c r="A3785" s="115">
        <v>29.215</v>
      </c>
      <c r="B3785" s="115">
        <v>29.114999999999998</v>
      </c>
      <c r="C3785" s="1">
        <v>1150</v>
      </c>
      <c r="D3785" s="1" t="s">
        <v>2671</v>
      </c>
      <c r="E3785" s="1">
        <v>29</v>
      </c>
    </row>
    <row r="3786" spans="1:5" hidden="1" x14ac:dyDescent="0.25">
      <c r="A3786" s="115">
        <v>29.216000000000001</v>
      </c>
      <c r="B3786" s="115">
        <v>29.116</v>
      </c>
      <c r="C3786" s="1">
        <v>1160</v>
      </c>
      <c r="D3786" s="1" t="s">
        <v>2672</v>
      </c>
      <c r="E3786" s="1">
        <v>29</v>
      </c>
    </row>
    <row r="3787" spans="1:5" hidden="1" x14ac:dyDescent="0.25">
      <c r="A3787" s="115">
        <v>29.216999999999999</v>
      </c>
      <c r="B3787" s="115">
        <v>29.117000000000001</v>
      </c>
      <c r="C3787" s="1">
        <v>1170</v>
      </c>
      <c r="D3787" s="1" t="s">
        <v>2673</v>
      </c>
      <c r="E3787" s="1">
        <v>29</v>
      </c>
    </row>
    <row r="3788" spans="1:5" hidden="1" x14ac:dyDescent="0.25">
      <c r="A3788" s="115">
        <v>29.218</v>
      </c>
      <c r="B3788" s="115">
        <v>29.117999999999999</v>
      </c>
      <c r="C3788" s="1">
        <v>1180</v>
      </c>
      <c r="D3788" s="1" t="s">
        <v>2674</v>
      </c>
      <c r="E3788" s="1">
        <v>29</v>
      </c>
    </row>
    <row r="3789" spans="1:5" hidden="1" x14ac:dyDescent="0.25">
      <c r="A3789" s="115">
        <v>29.219000000000001</v>
      </c>
      <c r="B3789" s="115">
        <v>29.119</v>
      </c>
      <c r="C3789" s="1">
        <v>1190</v>
      </c>
      <c r="D3789" s="1" t="s">
        <v>2675</v>
      </c>
      <c r="E3789" s="1">
        <v>29</v>
      </c>
    </row>
    <row r="3790" spans="1:5" hidden="1" x14ac:dyDescent="0.25">
      <c r="A3790" s="115">
        <v>29.22</v>
      </c>
      <c r="B3790" s="115">
        <v>29.12</v>
      </c>
      <c r="C3790" s="1">
        <v>1200</v>
      </c>
      <c r="D3790" s="1" t="s">
        <v>2676</v>
      </c>
      <c r="E3790" s="1">
        <v>29</v>
      </c>
    </row>
    <row r="3791" spans="1:5" hidden="1" x14ac:dyDescent="0.25">
      <c r="A3791" s="115">
        <v>29.221</v>
      </c>
      <c r="B3791" s="115">
        <v>29.120999999999999</v>
      </c>
      <c r="C3791" s="1">
        <v>1210</v>
      </c>
      <c r="D3791" s="1" t="s">
        <v>2677</v>
      </c>
      <c r="E3791" s="1">
        <v>29</v>
      </c>
    </row>
    <row r="3792" spans="1:5" hidden="1" x14ac:dyDescent="0.25">
      <c r="A3792" s="115">
        <v>29.222000000000001</v>
      </c>
      <c r="B3792" s="115">
        <v>29.122</v>
      </c>
      <c r="C3792" s="1">
        <v>1220</v>
      </c>
      <c r="D3792" s="1" t="s">
        <v>2678</v>
      </c>
      <c r="E3792" s="1">
        <v>29</v>
      </c>
    </row>
    <row r="3793" spans="1:5" hidden="1" x14ac:dyDescent="0.25">
      <c r="A3793" s="115">
        <v>29.222999999999999</v>
      </c>
      <c r="B3793" s="115">
        <v>29.123000000000001</v>
      </c>
      <c r="C3793" s="1">
        <v>1230</v>
      </c>
      <c r="D3793" s="1" t="s">
        <v>2679</v>
      </c>
      <c r="E3793" s="1">
        <v>29</v>
      </c>
    </row>
    <row r="3794" spans="1:5" hidden="1" x14ac:dyDescent="0.25">
      <c r="A3794" s="115">
        <v>29.224</v>
      </c>
      <c r="B3794" s="115">
        <v>29.123999999999999</v>
      </c>
      <c r="C3794" s="1">
        <v>1240</v>
      </c>
      <c r="D3794" s="1" t="s">
        <v>2680</v>
      </c>
      <c r="E3794" s="1">
        <v>29</v>
      </c>
    </row>
    <row r="3795" spans="1:5" hidden="1" x14ac:dyDescent="0.25">
      <c r="A3795" s="115">
        <v>29.225000000000001</v>
      </c>
      <c r="B3795" s="115">
        <v>29.125</v>
      </c>
      <c r="C3795" s="1">
        <v>1250</v>
      </c>
      <c r="D3795" s="1" t="s">
        <v>2681</v>
      </c>
      <c r="E3795" s="1">
        <v>29</v>
      </c>
    </row>
    <row r="3796" spans="1:5" hidden="1" x14ac:dyDescent="0.25">
      <c r="A3796" s="115">
        <v>29.225999999999999</v>
      </c>
      <c r="B3796" s="115">
        <v>29.126000000000001</v>
      </c>
      <c r="C3796" s="1">
        <v>1260</v>
      </c>
      <c r="D3796" s="1" t="s">
        <v>2682</v>
      </c>
      <c r="E3796" s="1">
        <v>29</v>
      </c>
    </row>
    <row r="3797" spans="1:5" hidden="1" x14ac:dyDescent="0.25">
      <c r="A3797" s="115">
        <v>29.227</v>
      </c>
      <c r="B3797" s="115">
        <v>29.126999999999999</v>
      </c>
      <c r="C3797" s="1">
        <v>1270</v>
      </c>
      <c r="D3797" s="1" t="s">
        <v>2683</v>
      </c>
      <c r="E3797" s="1">
        <v>29</v>
      </c>
    </row>
    <row r="3798" spans="1:5" hidden="1" x14ac:dyDescent="0.25">
      <c r="A3798" s="115">
        <v>29.228000000000002</v>
      </c>
      <c r="B3798" s="115">
        <v>29.128</v>
      </c>
      <c r="C3798" s="1">
        <v>1280</v>
      </c>
      <c r="D3798" s="1" t="s">
        <v>2684</v>
      </c>
      <c r="E3798" s="1">
        <v>29</v>
      </c>
    </row>
    <row r="3799" spans="1:5" hidden="1" x14ac:dyDescent="0.25">
      <c r="A3799" s="115">
        <v>29.228999999999999</v>
      </c>
      <c r="B3799" s="115">
        <v>29.13</v>
      </c>
      <c r="C3799" s="1">
        <v>1300</v>
      </c>
      <c r="D3799" s="1" t="s">
        <v>2685</v>
      </c>
      <c r="E3799" s="1">
        <v>29</v>
      </c>
    </row>
    <row r="3800" spans="1:5" hidden="1" x14ac:dyDescent="0.25">
      <c r="A3800" s="115">
        <v>29.23</v>
      </c>
      <c r="B3800" s="115">
        <v>29.131</v>
      </c>
      <c r="C3800" s="1">
        <v>1310</v>
      </c>
      <c r="D3800" s="1" t="s">
        <v>2686</v>
      </c>
      <c r="E3800" s="1">
        <v>29</v>
      </c>
    </row>
    <row r="3801" spans="1:5" hidden="1" x14ac:dyDescent="0.25">
      <c r="A3801" s="115">
        <v>29.231000000000002</v>
      </c>
      <c r="B3801" s="115">
        <v>29.132000000000001</v>
      </c>
      <c r="C3801" s="1">
        <v>1320</v>
      </c>
      <c r="D3801" s="1" t="s">
        <v>2687</v>
      </c>
      <c r="E3801" s="1">
        <v>29</v>
      </c>
    </row>
    <row r="3802" spans="1:5" hidden="1" x14ac:dyDescent="0.25">
      <c r="A3802" s="115">
        <v>30.100999999999999</v>
      </c>
      <c r="B3802" s="115">
        <v>30.129000000000001</v>
      </c>
      <c r="C3802" s="1">
        <v>1290</v>
      </c>
      <c r="D3802" s="1" t="s">
        <v>2689</v>
      </c>
      <c r="E3802" s="1">
        <v>30</v>
      </c>
    </row>
    <row r="3803" spans="1:5" hidden="1" x14ac:dyDescent="0.25">
      <c r="A3803" s="115">
        <v>31.100999999999999</v>
      </c>
      <c r="B3803" s="115">
        <v>31.129000000000001</v>
      </c>
      <c r="C3803" s="1">
        <v>1290</v>
      </c>
      <c r="D3803" s="1" t="s">
        <v>2689</v>
      </c>
      <c r="E3803" s="1">
        <v>31</v>
      </c>
    </row>
    <row r="3804" spans="1:5" hidden="1" x14ac:dyDescent="0.25">
      <c r="A3804" s="115">
        <v>32.100999999999999</v>
      </c>
      <c r="B3804" s="115">
        <v>32.134999999999998</v>
      </c>
      <c r="C3804" s="1">
        <v>135</v>
      </c>
      <c r="D3804" s="1" t="s">
        <v>2690</v>
      </c>
      <c r="E3804" s="1">
        <v>32</v>
      </c>
    </row>
    <row r="3805" spans="1:5" hidden="1" x14ac:dyDescent="0.25">
      <c r="A3805" s="115">
        <v>33.100999999999999</v>
      </c>
      <c r="B3805" s="115">
        <v>33.134999999999998</v>
      </c>
      <c r="C3805" s="1">
        <v>135</v>
      </c>
      <c r="D3805" s="1" t="s">
        <v>2690</v>
      </c>
      <c r="E3805" s="1">
        <v>33</v>
      </c>
    </row>
    <row r="3806" spans="1:5" hidden="1" x14ac:dyDescent="0.25">
      <c r="A3806" s="115">
        <v>34.100999999999999</v>
      </c>
      <c r="B3806" s="115">
        <v>34.134999999999998</v>
      </c>
      <c r="C3806" s="1">
        <v>135</v>
      </c>
      <c r="D3806" s="1" t="s">
        <v>2690</v>
      </c>
      <c r="E3806" s="1">
        <v>34</v>
      </c>
    </row>
    <row r="3807" spans="1:5" hidden="1" x14ac:dyDescent="0.25">
      <c r="A3807" s="115">
        <v>35.100999999999999</v>
      </c>
      <c r="B3807" s="115">
        <v>35.119999999999997</v>
      </c>
      <c r="C3807" s="1">
        <v>120</v>
      </c>
      <c r="D3807" s="1" t="s">
        <v>2570</v>
      </c>
      <c r="E3807" s="1">
        <v>35</v>
      </c>
    </row>
    <row r="3808" spans="1:5" hidden="1" x14ac:dyDescent="0.25">
      <c r="A3808" s="115">
        <v>35.101999999999997</v>
      </c>
      <c r="B3808" s="115">
        <v>35.575000000000003</v>
      </c>
      <c r="C3808" s="1">
        <v>575</v>
      </c>
      <c r="D3808" s="1" t="s">
        <v>2617</v>
      </c>
      <c r="E3808" s="1">
        <v>35</v>
      </c>
    </row>
    <row r="3809" spans="1:5" hidden="1" x14ac:dyDescent="0.25">
      <c r="A3809" s="115">
        <v>36.100999999999999</v>
      </c>
      <c r="B3809" s="115">
        <v>36.576000000000001</v>
      </c>
      <c r="C3809" s="1">
        <v>576</v>
      </c>
      <c r="D3809" s="1" t="s">
        <v>2618</v>
      </c>
      <c r="E3809" s="1">
        <v>36</v>
      </c>
    </row>
    <row r="3810" spans="1:5" hidden="1" x14ac:dyDescent="0.25">
      <c r="A3810" s="115">
        <v>37.100999999999999</v>
      </c>
      <c r="B3810" s="115">
        <v>37.71</v>
      </c>
      <c r="C3810" s="1">
        <v>710</v>
      </c>
      <c r="D3810" s="1" t="s">
        <v>2631</v>
      </c>
      <c r="E3810" s="1">
        <v>37</v>
      </c>
    </row>
    <row r="3811" spans="1:5" hidden="1" x14ac:dyDescent="0.25">
      <c r="A3811" s="115">
        <v>38.100999999999999</v>
      </c>
      <c r="B3811" s="115">
        <v>38.520000000000003</v>
      </c>
      <c r="C3811" s="1">
        <v>520</v>
      </c>
      <c r="D3811" s="1" t="s">
        <v>2611</v>
      </c>
      <c r="E3811" s="1">
        <v>38</v>
      </c>
    </row>
    <row r="3812" spans="1:5" hidden="1" x14ac:dyDescent="0.25">
      <c r="A3812" s="115">
        <v>39.100999999999999</v>
      </c>
      <c r="B3812" s="115">
        <v>39.71</v>
      </c>
      <c r="C3812" s="1">
        <v>710</v>
      </c>
      <c r="D3812" s="1" t="s">
        <v>2631</v>
      </c>
      <c r="E3812" s="1">
        <v>39</v>
      </c>
    </row>
    <row r="3813" spans="1:5" hidden="1" x14ac:dyDescent="0.25">
      <c r="A3813" s="115">
        <v>40.100999999999999</v>
      </c>
      <c r="B3813" s="115">
        <v>40.44</v>
      </c>
      <c r="C3813" s="1">
        <v>440</v>
      </c>
      <c r="D3813" s="1" t="s">
        <v>2602</v>
      </c>
      <c r="E3813" s="1">
        <v>40</v>
      </c>
    </row>
    <row r="3814" spans="1:5" hidden="1" x14ac:dyDescent="0.25">
      <c r="A3814" s="115">
        <v>40.101999999999997</v>
      </c>
      <c r="B3814" s="115">
        <v>40.869999999999997</v>
      </c>
      <c r="C3814" s="1">
        <v>870</v>
      </c>
      <c r="D3814" s="1" t="s">
        <v>2648</v>
      </c>
      <c r="E3814" s="1">
        <v>40</v>
      </c>
    </row>
    <row r="3815" spans="1:5" hidden="1" x14ac:dyDescent="0.25">
      <c r="A3815" s="115">
        <v>40.103000000000002</v>
      </c>
      <c r="B3815" s="115">
        <v>40.880000000000003</v>
      </c>
      <c r="C3815" s="1">
        <v>880</v>
      </c>
      <c r="D3815" s="1" t="s">
        <v>2649</v>
      </c>
      <c r="E3815" s="1">
        <v>40</v>
      </c>
    </row>
    <row r="3816" spans="1:5" hidden="1" x14ac:dyDescent="0.25">
      <c r="A3816" s="115">
        <v>41.100999999999999</v>
      </c>
      <c r="B3816" s="115">
        <v>41.44</v>
      </c>
      <c r="C3816" s="1">
        <v>440</v>
      </c>
      <c r="D3816" s="1" t="s">
        <v>2602</v>
      </c>
      <c r="E3816" s="1">
        <v>41</v>
      </c>
    </row>
    <row r="3817" spans="1:5" hidden="1" x14ac:dyDescent="0.25">
      <c r="A3817" s="115">
        <v>41.101999999999997</v>
      </c>
      <c r="B3817" s="115">
        <v>41.87</v>
      </c>
      <c r="C3817" s="1">
        <v>870</v>
      </c>
      <c r="D3817" s="1" t="s">
        <v>2648</v>
      </c>
      <c r="E3817" s="1">
        <v>41</v>
      </c>
    </row>
    <row r="3818" spans="1:5" hidden="1" x14ac:dyDescent="0.25">
      <c r="A3818" s="115">
        <v>41.103000000000002</v>
      </c>
      <c r="B3818" s="115">
        <v>41.88</v>
      </c>
      <c r="C3818" s="1">
        <v>880</v>
      </c>
      <c r="D3818" s="1" t="s">
        <v>2649</v>
      </c>
      <c r="E3818" s="1">
        <v>41</v>
      </c>
    </row>
    <row r="3819" spans="1:5" hidden="1" x14ac:dyDescent="0.25">
      <c r="A3819" s="115">
        <v>42.100999999999999</v>
      </c>
      <c r="B3819" s="115">
        <v>42.59</v>
      </c>
      <c r="C3819" s="1">
        <v>590</v>
      </c>
      <c r="D3819" s="1" t="s">
        <v>1099</v>
      </c>
      <c r="E3819" s="1">
        <v>42</v>
      </c>
    </row>
    <row r="3820" spans="1:5" hidden="1" x14ac:dyDescent="0.25">
      <c r="A3820" s="115">
        <v>42.101999999999997</v>
      </c>
      <c r="B3820" s="115">
        <v>42.77</v>
      </c>
      <c r="C3820" s="1">
        <v>770</v>
      </c>
      <c r="D3820" s="1" t="s">
        <v>2637</v>
      </c>
      <c r="E3820" s="1">
        <v>42</v>
      </c>
    </row>
    <row r="3821" spans="1:5" hidden="1" x14ac:dyDescent="0.25">
      <c r="A3821" s="115">
        <v>42.103000000000002</v>
      </c>
      <c r="B3821" s="115">
        <v>42.121000000000002</v>
      </c>
      <c r="C3821" s="1">
        <v>1210</v>
      </c>
      <c r="D3821" s="1" t="s">
        <v>2677</v>
      </c>
      <c r="E3821" s="1">
        <v>42</v>
      </c>
    </row>
    <row r="3822" spans="1:5" hidden="1" x14ac:dyDescent="0.25">
      <c r="A3822" s="115">
        <v>42.103999999999999</v>
      </c>
      <c r="B3822" s="115">
        <v>42.131999999999998</v>
      </c>
      <c r="C3822" s="1">
        <v>1320</v>
      </c>
      <c r="D3822" s="1" t="s">
        <v>2687</v>
      </c>
      <c r="E3822" s="1">
        <v>42</v>
      </c>
    </row>
    <row r="3823" spans="1:5" hidden="1" x14ac:dyDescent="0.25">
      <c r="A3823" s="115">
        <v>43.100999999999999</v>
      </c>
      <c r="B3823" s="115">
        <v>43.134999999999998</v>
      </c>
      <c r="C3823" s="1">
        <v>135</v>
      </c>
      <c r="D3823" s="1" t="s">
        <v>2690</v>
      </c>
      <c r="E3823" s="1">
        <v>43</v>
      </c>
    </row>
    <row r="3824" spans="1:5" hidden="1" x14ac:dyDescent="0.25">
      <c r="A3824" s="115">
        <v>44.100999999999999</v>
      </c>
      <c r="B3824" s="115">
        <v>44.134999999999998</v>
      </c>
      <c r="C3824" s="1">
        <v>135</v>
      </c>
      <c r="D3824" s="1" t="s">
        <v>2690</v>
      </c>
      <c r="E3824" s="1">
        <v>44</v>
      </c>
    </row>
    <row r="3825" spans="1:5" hidden="1" x14ac:dyDescent="0.25">
      <c r="A3825" s="115">
        <v>45.100999999999999</v>
      </c>
      <c r="B3825" s="115">
        <v>45.134999999999998</v>
      </c>
      <c r="C3825" s="1">
        <v>135</v>
      </c>
      <c r="D3825" s="1" t="s">
        <v>2690</v>
      </c>
      <c r="E3825" s="1">
        <v>45</v>
      </c>
    </row>
    <row r="3826" spans="1:5" hidden="1" x14ac:dyDescent="0.25">
      <c r="A3826" s="115">
        <v>46.100999999999999</v>
      </c>
      <c r="B3826" s="115">
        <v>46.134999999999998</v>
      </c>
      <c r="C3826" s="1">
        <v>135</v>
      </c>
      <c r="D3826" s="1" t="s">
        <v>2690</v>
      </c>
      <c r="E3826" s="1">
        <v>46</v>
      </c>
    </row>
    <row r="3827" spans="1:5" hidden="1" x14ac:dyDescent="0.25">
      <c r="A3827" s="115">
        <v>47.100999999999999</v>
      </c>
      <c r="B3827" s="115">
        <v>47.1</v>
      </c>
      <c r="C3827" s="1">
        <v>10</v>
      </c>
      <c r="D3827" s="1" t="s">
        <v>2559</v>
      </c>
      <c r="E3827" s="1">
        <v>47</v>
      </c>
    </row>
    <row r="3828" spans="1:5" hidden="1" x14ac:dyDescent="0.25">
      <c r="A3828" s="115">
        <v>47.101999999999997</v>
      </c>
      <c r="B3828" s="115">
        <v>47.2</v>
      </c>
      <c r="C3828" s="1">
        <v>20</v>
      </c>
      <c r="D3828" s="1" t="s">
        <v>2560</v>
      </c>
      <c r="E3828" s="1">
        <v>47</v>
      </c>
    </row>
    <row r="3829" spans="1:5" hidden="1" x14ac:dyDescent="0.25">
      <c r="A3829" s="115">
        <v>47.103000000000002</v>
      </c>
      <c r="B3829" s="115">
        <v>47.3</v>
      </c>
      <c r="C3829" s="1">
        <v>30</v>
      </c>
      <c r="D3829" s="1" t="s">
        <v>2561</v>
      </c>
      <c r="E3829" s="1">
        <v>47</v>
      </c>
    </row>
    <row r="3830" spans="1:5" hidden="1" x14ac:dyDescent="0.25">
      <c r="A3830" s="115">
        <v>47.103999999999999</v>
      </c>
      <c r="B3830" s="115">
        <v>47.4</v>
      </c>
      <c r="C3830" s="1">
        <v>40</v>
      </c>
      <c r="D3830" s="1" t="s">
        <v>2562</v>
      </c>
      <c r="E3830" s="1">
        <v>47</v>
      </c>
    </row>
    <row r="3831" spans="1:5" hidden="1" x14ac:dyDescent="0.25">
      <c r="A3831" s="115">
        <v>47.104999999999997</v>
      </c>
      <c r="B3831" s="115">
        <v>47.5</v>
      </c>
      <c r="C3831" s="1">
        <v>50</v>
      </c>
      <c r="D3831" s="1" t="s">
        <v>2563</v>
      </c>
      <c r="E3831" s="1">
        <v>47</v>
      </c>
    </row>
    <row r="3832" spans="1:5" hidden="1" x14ac:dyDescent="0.25">
      <c r="A3832" s="115">
        <v>47.106000000000002</v>
      </c>
      <c r="B3832" s="115">
        <v>47.6</v>
      </c>
      <c r="C3832" s="1">
        <v>60</v>
      </c>
      <c r="D3832" s="1" t="s">
        <v>2564</v>
      </c>
      <c r="E3832" s="1">
        <v>47</v>
      </c>
    </row>
    <row r="3833" spans="1:5" hidden="1" x14ac:dyDescent="0.25">
      <c r="A3833" s="115">
        <v>47.106999999999999</v>
      </c>
      <c r="B3833" s="115">
        <v>47.7</v>
      </c>
      <c r="C3833" s="1">
        <v>70</v>
      </c>
      <c r="D3833" s="1" t="s">
        <v>2565</v>
      </c>
      <c r="E3833" s="1">
        <v>47</v>
      </c>
    </row>
    <row r="3834" spans="1:5" hidden="1" x14ac:dyDescent="0.25">
      <c r="A3834" s="115">
        <v>47.107999999999997</v>
      </c>
      <c r="B3834" s="115">
        <v>47.8</v>
      </c>
      <c r="C3834" s="1">
        <v>80</v>
      </c>
      <c r="D3834" s="1" t="s">
        <v>2566</v>
      </c>
      <c r="E3834" s="1">
        <v>47</v>
      </c>
    </row>
    <row r="3835" spans="1:5" hidden="1" x14ac:dyDescent="0.25">
      <c r="A3835" s="115">
        <v>47.109000000000002</v>
      </c>
      <c r="B3835" s="115">
        <v>47.9</v>
      </c>
      <c r="C3835" s="1">
        <v>90</v>
      </c>
      <c r="D3835" s="1" t="s">
        <v>2567</v>
      </c>
      <c r="E3835" s="1">
        <v>47</v>
      </c>
    </row>
    <row r="3836" spans="1:5" hidden="1" x14ac:dyDescent="0.25">
      <c r="A3836" s="115">
        <v>47.11</v>
      </c>
      <c r="B3836" s="115">
        <v>47.1</v>
      </c>
      <c r="C3836" s="1">
        <v>100</v>
      </c>
      <c r="D3836" s="1" t="s">
        <v>2568</v>
      </c>
      <c r="E3836" s="1">
        <v>47</v>
      </c>
    </row>
    <row r="3837" spans="1:5" hidden="1" x14ac:dyDescent="0.25">
      <c r="A3837" s="115">
        <v>47.110999999999997</v>
      </c>
      <c r="B3837" s="115">
        <v>47.11</v>
      </c>
      <c r="C3837" s="1">
        <v>110</v>
      </c>
      <c r="D3837" s="1" t="s">
        <v>2569</v>
      </c>
      <c r="E3837" s="1">
        <v>47</v>
      </c>
    </row>
    <row r="3838" spans="1:5" hidden="1" x14ac:dyDescent="0.25">
      <c r="A3838" s="115">
        <v>47.112000000000002</v>
      </c>
      <c r="B3838" s="115">
        <v>47.12</v>
      </c>
      <c r="C3838" s="1">
        <v>120</v>
      </c>
      <c r="D3838" s="1" t="s">
        <v>2570</v>
      </c>
      <c r="E3838" s="1">
        <v>47</v>
      </c>
    </row>
    <row r="3839" spans="1:5" hidden="1" x14ac:dyDescent="0.25">
      <c r="A3839" s="115">
        <v>47.113</v>
      </c>
      <c r="B3839" s="115">
        <v>47.13</v>
      </c>
      <c r="C3839" s="1">
        <v>130</v>
      </c>
      <c r="D3839" s="1" t="s">
        <v>2571</v>
      </c>
      <c r="E3839" s="1">
        <v>47</v>
      </c>
    </row>
    <row r="3840" spans="1:5" hidden="1" x14ac:dyDescent="0.25">
      <c r="A3840" s="115">
        <v>47.113999999999997</v>
      </c>
      <c r="B3840" s="115">
        <v>47.14</v>
      </c>
      <c r="C3840" s="1">
        <v>140</v>
      </c>
      <c r="D3840" s="1" t="s">
        <v>2572</v>
      </c>
      <c r="E3840" s="1">
        <v>47</v>
      </c>
    </row>
    <row r="3841" spans="1:5" hidden="1" x14ac:dyDescent="0.25">
      <c r="A3841" s="115">
        <v>47.115000000000002</v>
      </c>
      <c r="B3841" s="115">
        <v>47.15</v>
      </c>
      <c r="C3841" s="1">
        <v>150</v>
      </c>
      <c r="D3841" s="1" t="s">
        <v>2573</v>
      </c>
      <c r="E3841" s="1">
        <v>47</v>
      </c>
    </row>
    <row r="3842" spans="1:5" hidden="1" x14ac:dyDescent="0.25">
      <c r="A3842" s="115">
        <v>47.116</v>
      </c>
      <c r="B3842" s="115">
        <v>47.16</v>
      </c>
      <c r="C3842" s="1">
        <v>160</v>
      </c>
      <c r="D3842" s="1" t="s">
        <v>2574</v>
      </c>
      <c r="E3842" s="1">
        <v>47</v>
      </c>
    </row>
    <row r="3843" spans="1:5" hidden="1" x14ac:dyDescent="0.25">
      <c r="A3843" s="115">
        <v>47.116999999999997</v>
      </c>
      <c r="B3843" s="115">
        <v>47.17</v>
      </c>
      <c r="C3843" s="1">
        <v>170</v>
      </c>
      <c r="D3843" s="1" t="s">
        <v>2575</v>
      </c>
      <c r="E3843" s="1">
        <v>47</v>
      </c>
    </row>
    <row r="3844" spans="1:5" hidden="1" x14ac:dyDescent="0.25">
      <c r="A3844" s="115">
        <v>47.118000000000002</v>
      </c>
      <c r="B3844" s="115">
        <v>47.18</v>
      </c>
      <c r="C3844" s="1">
        <v>180</v>
      </c>
      <c r="D3844" s="1" t="s">
        <v>2576</v>
      </c>
      <c r="E3844" s="1">
        <v>47</v>
      </c>
    </row>
    <row r="3845" spans="1:5" hidden="1" x14ac:dyDescent="0.25">
      <c r="A3845" s="115">
        <v>47.119</v>
      </c>
      <c r="B3845" s="115">
        <v>47.19</v>
      </c>
      <c r="C3845" s="1">
        <v>190</v>
      </c>
      <c r="D3845" s="1" t="s">
        <v>2577</v>
      </c>
      <c r="E3845" s="1">
        <v>47</v>
      </c>
    </row>
    <row r="3846" spans="1:5" hidden="1" x14ac:dyDescent="0.25">
      <c r="A3846" s="115">
        <v>47.12</v>
      </c>
      <c r="B3846" s="115">
        <v>47.2</v>
      </c>
      <c r="C3846" s="1">
        <v>200</v>
      </c>
      <c r="D3846" s="1" t="s">
        <v>2578</v>
      </c>
      <c r="E3846" s="1">
        <v>47</v>
      </c>
    </row>
    <row r="3847" spans="1:5" hidden="1" x14ac:dyDescent="0.25">
      <c r="A3847" s="115">
        <v>47.121000000000002</v>
      </c>
      <c r="B3847" s="115">
        <v>47.21</v>
      </c>
      <c r="C3847" s="1">
        <v>210</v>
      </c>
      <c r="D3847" s="1" t="s">
        <v>2579</v>
      </c>
      <c r="E3847" s="1">
        <v>47</v>
      </c>
    </row>
    <row r="3848" spans="1:5" hidden="1" x14ac:dyDescent="0.25">
      <c r="A3848" s="115">
        <v>47.122</v>
      </c>
      <c r="B3848" s="115">
        <v>47.22</v>
      </c>
      <c r="C3848" s="1">
        <v>220</v>
      </c>
      <c r="D3848" s="1" t="s">
        <v>2580</v>
      </c>
      <c r="E3848" s="1">
        <v>47</v>
      </c>
    </row>
    <row r="3849" spans="1:5" hidden="1" x14ac:dyDescent="0.25">
      <c r="A3849" s="115">
        <v>47.122999999999998</v>
      </c>
      <c r="B3849" s="115">
        <v>47.23</v>
      </c>
      <c r="C3849" s="1">
        <v>230</v>
      </c>
      <c r="D3849" s="1" t="s">
        <v>2581</v>
      </c>
      <c r="E3849" s="1">
        <v>47</v>
      </c>
    </row>
    <row r="3850" spans="1:5" hidden="1" x14ac:dyDescent="0.25">
      <c r="A3850" s="115">
        <v>47.124000000000002</v>
      </c>
      <c r="B3850" s="115">
        <v>47.24</v>
      </c>
      <c r="C3850" s="1">
        <v>240</v>
      </c>
      <c r="D3850" s="1" t="s">
        <v>2582</v>
      </c>
      <c r="E3850" s="1">
        <v>47</v>
      </c>
    </row>
    <row r="3851" spans="1:5" hidden="1" x14ac:dyDescent="0.25">
      <c r="A3851" s="115">
        <v>47.125</v>
      </c>
      <c r="B3851" s="115">
        <v>47.25</v>
      </c>
      <c r="C3851" s="1">
        <v>250</v>
      </c>
      <c r="D3851" s="1" t="s">
        <v>2583</v>
      </c>
      <c r="E3851" s="1">
        <v>47</v>
      </c>
    </row>
    <row r="3852" spans="1:5" hidden="1" x14ac:dyDescent="0.25">
      <c r="A3852" s="115">
        <v>47.125999999999998</v>
      </c>
      <c r="B3852" s="115">
        <v>47.26</v>
      </c>
      <c r="C3852" s="1">
        <v>260</v>
      </c>
      <c r="D3852" s="1" t="s">
        <v>2584</v>
      </c>
      <c r="E3852" s="1">
        <v>47</v>
      </c>
    </row>
    <row r="3853" spans="1:5" hidden="1" x14ac:dyDescent="0.25">
      <c r="A3853" s="115">
        <v>47.127000000000002</v>
      </c>
      <c r="B3853" s="115">
        <v>47.27</v>
      </c>
      <c r="C3853" s="1">
        <v>270</v>
      </c>
      <c r="D3853" s="1" t="s">
        <v>2585</v>
      </c>
      <c r="E3853" s="1">
        <v>47</v>
      </c>
    </row>
    <row r="3854" spans="1:5" hidden="1" x14ac:dyDescent="0.25">
      <c r="A3854" s="115">
        <v>47.128</v>
      </c>
      <c r="B3854" s="115">
        <v>47.28</v>
      </c>
      <c r="C3854" s="1">
        <v>280</v>
      </c>
      <c r="D3854" s="1" t="s">
        <v>2586</v>
      </c>
      <c r="E3854" s="1">
        <v>47</v>
      </c>
    </row>
    <row r="3855" spans="1:5" hidden="1" x14ac:dyDescent="0.25">
      <c r="A3855" s="115">
        <v>47.128999999999998</v>
      </c>
      <c r="B3855" s="115">
        <v>47.29</v>
      </c>
      <c r="C3855" s="1">
        <v>290</v>
      </c>
      <c r="D3855" s="1" t="s">
        <v>2587</v>
      </c>
      <c r="E3855" s="1">
        <v>47</v>
      </c>
    </row>
    <row r="3856" spans="1:5" hidden="1" x14ac:dyDescent="0.25">
      <c r="A3856" s="115">
        <v>47.13</v>
      </c>
      <c r="B3856" s="115">
        <v>47.3</v>
      </c>
      <c r="C3856" s="1">
        <v>300</v>
      </c>
      <c r="D3856" s="1" t="s">
        <v>2588</v>
      </c>
      <c r="E3856" s="1">
        <v>47</v>
      </c>
    </row>
    <row r="3857" spans="1:5" hidden="1" x14ac:dyDescent="0.25">
      <c r="A3857" s="115">
        <v>47.131</v>
      </c>
      <c r="B3857" s="115">
        <v>47.31</v>
      </c>
      <c r="C3857" s="1">
        <v>310</v>
      </c>
      <c r="D3857" s="1" t="s">
        <v>2589</v>
      </c>
      <c r="E3857" s="1">
        <v>47</v>
      </c>
    </row>
    <row r="3858" spans="1:5" hidden="1" x14ac:dyDescent="0.25">
      <c r="A3858" s="115">
        <v>47.131999999999998</v>
      </c>
      <c r="B3858" s="115">
        <v>47.32</v>
      </c>
      <c r="C3858" s="1">
        <v>320</v>
      </c>
      <c r="D3858" s="1" t="s">
        <v>2590</v>
      </c>
      <c r="E3858" s="1">
        <v>47</v>
      </c>
    </row>
    <row r="3859" spans="1:5" hidden="1" x14ac:dyDescent="0.25">
      <c r="A3859" s="115">
        <v>47.133000000000003</v>
      </c>
      <c r="B3859" s="115">
        <v>47.33</v>
      </c>
      <c r="C3859" s="1">
        <v>330</v>
      </c>
      <c r="D3859" s="1" t="s">
        <v>2591</v>
      </c>
      <c r="E3859" s="1">
        <v>47</v>
      </c>
    </row>
    <row r="3860" spans="1:5" hidden="1" x14ac:dyDescent="0.25">
      <c r="A3860" s="115">
        <v>47.134</v>
      </c>
      <c r="B3860" s="115">
        <v>47.34</v>
      </c>
      <c r="C3860" s="1">
        <v>340</v>
      </c>
      <c r="D3860" s="1" t="s">
        <v>2592</v>
      </c>
      <c r="E3860" s="1">
        <v>47</v>
      </c>
    </row>
    <row r="3861" spans="1:5" hidden="1" x14ac:dyDescent="0.25">
      <c r="A3861" s="115">
        <v>47.134999999999998</v>
      </c>
      <c r="B3861" s="115">
        <v>47.35</v>
      </c>
      <c r="C3861" s="1">
        <v>350</v>
      </c>
      <c r="D3861" s="1" t="s">
        <v>2593</v>
      </c>
      <c r="E3861" s="1">
        <v>47</v>
      </c>
    </row>
    <row r="3862" spans="1:5" hidden="1" x14ac:dyDescent="0.25">
      <c r="A3862" s="115">
        <v>47.136000000000003</v>
      </c>
      <c r="B3862" s="115">
        <v>47.36</v>
      </c>
      <c r="C3862" s="1">
        <v>360</v>
      </c>
      <c r="D3862" s="1" t="s">
        <v>2594</v>
      </c>
      <c r="E3862" s="1">
        <v>47</v>
      </c>
    </row>
    <row r="3863" spans="1:5" hidden="1" x14ac:dyDescent="0.25">
      <c r="A3863" s="115">
        <v>47.137</v>
      </c>
      <c r="B3863" s="115">
        <v>47.37</v>
      </c>
      <c r="C3863" s="1">
        <v>370</v>
      </c>
      <c r="D3863" s="1" t="s">
        <v>2595</v>
      </c>
      <c r="E3863" s="1">
        <v>47</v>
      </c>
    </row>
    <row r="3864" spans="1:5" hidden="1" x14ac:dyDescent="0.25">
      <c r="A3864" s="115">
        <v>47.137999999999998</v>
      </c>
      <c r="B3864" s="115">
        <v>47.38</v>
      </c>
      <c r="C3864" s="1">
        <v>380</v>
      </c>
      <c r="D3864" s="1" t="s">
        <v>2596</v>
      </c>
      <c r="E3864" s="1">
        <v>47</v>
      </c>
    </row>
    <row r="3865" spans="1:5" hidden="1" x14ac:dyDescent="0.25">
      <c r="A3865" s="115">
        <v>47.139000000000003</v>
      </c>
      <c r="B3865" s="115">
        <v>47.39</v>
      </c>
      <c r="C3865" s="1">
        <v>390</v>
      </c>
      <c r="D3865" s="1" t="s">
        <v>2597</v>
      </c>
      <c r="E3865" s="1">
        <v>47</v>
      </c>
    </row>
    <row r="3866" spans="1:5" hidden="1" x14ac:dyDescent="0.25">
      <c r="A3866" s="115">
        <v>47.14</v>
      </c>
      <c r="B3866" s="115">
        <v>47.4</v>
      </c>
      <c r="C3866" s="1">
        <v>400</v>
      </c>
      <c r="D3866" s="1" t="s">
        <v>2598</v>
      </c>
      <c r="E3866" s="1">
        <v>47</v>
      </c>
    </row>
    <row r="3867" spans="1:5" hidden="1" x14ac:dyDescent="0.25">
      <c r="A3867" s="115">
        <v>47.140999999999998</v>
      </c>
      <c r="B3867" s="115">
        <v>47.41</v>
      </c>
      <c r="C3867" s="1">
        <v>410</v>
      </c>
      <c r="D3867" s="1" t="s">
        <v>2599</v>
      </c>
      <c r="E3867" s="1">
        <v>47</v>
      </c>
    </row>
    <row r="3868" spans="1:5" hidden="1" x14ac:dyDescent="0.25">
      <c r="A3868" s="115">
        <v>47.142000000000003</v>
      </c>
      <c r="B3868" s="115">
        <v>47.42</v>
      </c>
      <c r="C3868" s="1">
        <v>420</v>
      </c>
      <c r="D3868" s="1" t="s">
        <v>2600</v>
      </c>
      <c r="E3868" s="1">
        <v>47</v>
      </c>
    </row>
    <row r="3869" spans="1:5" hidden="1" x14ac:dyDescent="0.25">
      <c r="A3869" s="115">
        <v>47.143000000000001</v>
      </c>
      <c r="B3869" s="115">
        <v>47.43</v>
      </c>
      <c r="C3869" s="1">
        <v>430</v>
      </c>
      <c r="D3869" s="1" t="s">
        <v>2601</v>
      </c>
      <c r="E3869" s="1">
        <v>47</v>
      </c>
    </row>
    <row r="3870" spans="1:5" hidden="1" x14ac:dyDescent="0.25">
      <c r="A3870" s="115">
        <v>47.143999999999998</v>
      </c>
      <c r="B3870" s="115">
        <v>47.44</v>
      </c>
      <c r="C3870" s="1">
        <v>440</v>
      </c>
      <c r="D3870" s="1" t="s">
        <v>2602</v>
      </c>
      <c r="E3870" s="1">
        <v>47</v>
      </c>
    </row>
    <row r="3871" spans="1:5" hidden="1" x14ac:dyDescent="0.25">
      <c r="A3871" s="115">
        <v>47.145000000000003</v>
      </c>
      <c r="B3871" s="115">
        <v>47.445</v>
      </c>
      <c r="C3871" s="1">
        <v>445</v>
      </c>
      <c r="D3871" s="1" t="s">
        <v>2603</v>
      </c>
      <c r="E3871" s="1">
        <v>47</v>
      </c>
    </row>
    <row r="3872" spans="1:5" hidden="1" x14ac:dyDescent="0.25">
      <c r="A3872" s="115">
        <v>47.146000000000001</v>
      </c>
      <c r="B3872" s="115">
        <v>47.45</v>
      </c>
      <c r="C3872" s="1">
        <v>450</v>
      </c>
      <c r="D3872" s="1" t="s">
        <v>2604</v>
      </c>
      <c r="E3872" s="1">
        <v>47</v>
      </c>
    </row>
    <row r="3873" spans="1:5" hidden="1" x14ac:dyDescent="0.25">
      <c r="A3873" s="115">
        <v>47.146999999999998</v>
      </c>
      <c r="B3873" s="115">
        <v>47.46</v>
      </c>
      <c r="C3873" s="1">
        <v>460</v>
      </c>
      <c r="D3873" s="1" t="s">
        <v>2605</v>
      </c>
      <c r="E3873" s="1">
        <v>47</v>
      </c>
    </row>
    <row r="3874" spans="1:5" hidden="1" x14ac:dyDescent="0.25">
      <c r="A3874" s="115">
        <v>47.148000000000003</v>
      </c>
      <c r="B3874" s="115">
        <v>47.47</v>
      </c>
      <c r="C3874" s="1">
        <v>470</v>
      </c>
      <c r="D3874" s="1" t="s">
        <v>2606</v>
      </c>
      <c r="E3874" s="1">
        <v>47</v>
      </c>
    </row>
    <row r="3875" spans="1:5" hidden="1" x14ac:dyDescent="0.25">
      <c r="A3875" s="115">
        <v>47.149000000000001</v>
      </c>
      <c r="B3875" s="115">
        <v>47.48</v>
      </c>
      <c r="C3875" s="1">
        <v>480</v>
      </c>
      <c r="D3875" s="1" t="s">
        <v>2607</v>
      </c>
      <c r="E3875" s="1">
        <v>47</v>
      </c>
    </row>
    <row r="3876" spans="1:5" hidden="1" x14ac:dyDescent="0.25">
      <c r="A3876" s="115">
        <v>47.15</v>
      </c>
      <c r="B3876" s="115">
        <v>47.49</v>
      </c>
      <c r="C3876" s="1">
        <v>490</v>
      </c>
      <c r="D3876" s="1" t="s">
        <v>2608</v>
      </c>
      <c r="E3876" s="1">
        <v>47</v>
      </c>
    </row>
    <row r="3877" spans="1:5" hidden="1" x14ac:dyDescent="0.25">
      <c r="A3877" s="115">
        <v>47.151000000000003</v>
      </c>
      <c r="B3877" s="115">
        <v>47.5</v>
      </c>
      <c r="C3877" s="1">
        <v>500</v>
      </c>
      <c r="D3877" s="1" t="s">
        <v>2609</v>
      </c>
      <c r="E3877" s="1">
        <v>47</v>
      </c>
    </row>
    <row r="3878" spans="1:5" hidden="1" x14ac:dyDescent="0.25">
      <c r="A3878" s="115">
        <v>47.152000000000001</v>
      </c>
      <c r="B3878" s="115">
        <v>47.51</v>
      </c>
      <c r="C3878" s="1">
        <v>510</v>
      </c>
      <c r="D3878" s="1" t="s">
        <v>2610</v>
      </c>
      <c r="E3878" s="1">
        <v>47</v>
      </c>
    </row>
    <row r="3879" spans="1:5" hidden="1" x14ac:dyDescent="0.25">
      <c r="A3879" s="115">
        <v>47.152999999999999</v>
      </c>
      <c r="B3879" s="115">
        <v>47.52</v>
      </c>
      <c r="C3879" s="1">
        <v>520</v>
      </c>
      <c r="D3879" s="1" t="s">
        <v>2688</v>
      </c>
      <c r="E3879" s="1">
        <v>47</v>
      </c>
    </row>
    <row r="3880" spans="1:5" hidden="1" x14ac:dyDescent="0.25">
      <c r="A3880" s="115">
        <v>47.154000000000003</v>
      </c>
      <c r="B3880" s="115">
        <v>47.53</v>
      </c>
      <c r="C3880" s="1">
        <v>530</v>
      </c>
      <c r="D3880" s="1" t="s">
        <v>2612</v>
      </c>
      <c r="E3880" s="1">
        <v>47</v>
      </c>
    </row>
    <row r="3881" spans="1:5" hidden="1" x14ac:dyDescent="0.25">
      <c r="A3881" s="115">
        <v>47.155000000000001</v>
      </c>
      <c r="B3881" s="115">
        <v>47.54</v>
      </c>
      <c r="C3881" s="1">
        <v>540</v>
      </c>
      <c r="D3881" s="1" t="s">
        <v>2613</v>
      </c>
      <c r="E3881" s="1">
        <v>47</v>
      </c>
    </row>
    <row r="3882" spans="1:5" hidden="1" x14ac:dyDescent="0.25">
      <c r="A3882" s="115">
        <v>47.155999999999999</v>
      </c>
      <c r="B3882" s="115">
        <v>47.55</v>
      </c>
      <c r="C3882" s="1">
        <v>550</v>
      </c>
      <c r="D3882" s="1" t="s">
        <v>2614</v>
      </c>
      <c r="E3882" s="1">
        <v>47</v>
      </c>
    </row>
    <row r="3883" spans="1:5" hidden="1" x14ac:dyDescent="0.25">
      <c r="A3883" s="115">
        <v>47.156999999999996</v>
      </c>
      <c r="B3883" s="115">
        <v>47.56</v>
      </c>
      <c r="C3883" s="1">
        <v>560</v>
      </c>
      <c r="D3883" s="1" t="s">
        <v>2615</v>
      </c>
      <c r="E3883" s="1">
        <v>47</v>
      </c>
    </row>
    <row r="3884" spans="1:5" hidden="1" x14ac:dyDescent="0.25">
      <c r="A3884" s="115">
        <v>47.158000000000001</v>
      </c>
      <c r="B3884" s="115">
        <v>47.57</v>
      </c>
      <c r="C3884" s="1">
        <v>570</v>
      </c>
      <c r="D3884" s="1" t="s">
        <v>2616</v>
      </c>
      <c r="E3884" s="1">
        <v>47</v>
      </c>
    </row>
    <row r="3885" spans="1:5" hidden="1" x14ac:dyDescent="0.25">
      <c r="A3885" s="115">
        <v>47.158999999999999</v>
      </c>
      <c r="B3885" s="115">
        <v>47.575000000000003</v>
      </c>
      <c r="C3885" s="1">
        <v>575</v>
      </c>
      <c r="D3885" s="1" t="s">
        <v>2617</v>
      </c>
      <c r="E3885" s="1">
        <v>47</v>
      </c>
    </row>
    <row r="3886" spans="1:5" hidden="1" x14ac:dyDescent="0.25">
      <c r="A3886" s="115">
        <v>47.16</v>
      </c>
      <c r="B3886" s="115">
        <v>47.576000000000001</v>
      </c>
      <c r="C3886" s="1">
        <v>576</v>
      </c>
      <c r="D3886" s="1" t="s">
        <v>2618</v>
      </c>
      <c r="E3886" s="1">
        <v>47</v>
      </c>
    </row>
    <row r="3887" spans="1:5" hidden="1" x14ac:dyDescent="0.25">
      <c r="A3887" s="115">
        <v>47.161000000000001</v>
      </c>
      <c r="B3887" s="115">
        <v>47.58</v>
      </c>
      <c r="C3887" s="1">
        <v>580</v>
      </c>
      <c r="D3887" s="1" t="s">
        <v>2619</v>
      </c>
      <c r="E3887" s="1">
        <v>47</v>
      </c>
    </row>
    <row r="3888" spans="1:5" hidden="1" x14ac:dyDescent="0.25">
      <c r="A3888" s="115">
        <v>47.161999999999999</v>
      </c>
      <c r="B3888" s="115">
        <v>47.59</v>
      </c>
      <c r="C3888" s="1">
        <v>590</v>
      </c>
      <c r="D3888" s="1" t="s">
        <v>1099</v>
      </c>
      <c r="E3888" s="1">
        <v>47</v>
      </c>
    </row>
    <row r="3889" spans="1:5" hidden="1" x14ac:dyDescent="0.25">
      <c r="A3889" s="115">
        <v>47.162999999999997</v>
      </c>
      <c r="B3889" s="115">
        <v>47.6</v>
      </c>
      <c r="C3889" s="1">
        <v>600</v>
      </c>
      <c r="D3889" s="1" t="s">
        <v>2620</v>
      </c>
      <c r="E3889" s="1">
        <v>47</v>
      </c>
    </row>
    <row r="3890" spans="1:5" hidden="1" x14ac:dyDescent="0.25">
      <c r="A3890" s="115">
        <v>47.164000000000001</v>
      </c>
      <c r="B3890" s="115">
        <v>47.61</v>
      </c>
      <c r="C3890" s="1">
        <v>610</v>
      </c>
      <c r="D3890" s="1" t="s">
        <v>2621</v>
      </c>
      <c r="E3890" s="1">
        <v>47</v>
      </c>
    </row>
    <row r="3891" spans="1:5" hidden="1" x14ac:dyDescent="0.25">
      <c r="A3891" s="115">
        <v>47.164999999999999</v>
      </c>
      <c r="B3891" s="115">
        <v>47.62</v>
      </c>
      <c r="C3891" s="1">
        <v>620</v>
      </c>
      <c r="D3891" s="1" t="s">
        <v>2622</v>
      </c>
      <c r="E3891" s="1">
        <v>47</v>
      </c>
    </row>
    <row r="3892" spans="1:5" hidden="1" x14ac:dyDescent="0.25">
      <c r="A3892" s="115">
        <v>47.165999999999997</v>
      </c>
      <c r="B3892" s="115">
        <v>47.63</v>
      </c>
      <c r="C3892" s="1">
        <v>630</v>
      </c>
      <c r="D3892" s="1" t="s">
        <v>2623</v>
      </c>
      <c r="E3892" s="1">
        <v>47</v>
      </c>
    </row>
    <row r="3893" spans="1:5" hidden="1" x14ac:dyDescent="0.25">
      <c r="A3893" s="115">
        <v>47.167000000000002</v>
      </c>
      <c r="B3893" s="115">
        <v>47.64</v>
      </c>
      <c r="C3893" s="1">
        <v>640</v>
      </c>
      <c r="D3893" s="1" t="s">
        <v>2624</v>
      </c>
      <c r="E3893" s="1">
        <v>47</v>
      </c>
    </row>
    <row r="3894" spans="1:5" hidden="1" x14ac:dyDescent="0.25">
      <c r="A3894" s="115">
        <v>47.167999999999999</v>
      </c>
      <c r="B3894" s="115">
        <v>47.65</v>
      </c>
      <c r="C3894" s="1">
        <v>650</v>
      </c>
      <c r="D3894" s="1" t="s">
        <v>2625</v>
      </c>
      <c r="E3894" s="1">
        <v>47</v>
      </c>
    </row>
    <row r="3895" spans="1:5" hidden="1" x14ac:dyDescent="0.25">
      <c r="A3895" s="115">
        <v>47.168999999999997</v>
      </c>
      <c r="B3895" s="115">
        <v>47.66</v>
      </c>
      <c r="C3895" s="1">
        <v>660</v>
      </c>
      <c r="D3895" s="1" t="s">
        <v>2626</v>
      </c>
      <c r="E3895" s="1">
        <v>47</v>
      </c>
    </row>
    <row r="3896" spans="1:5" hidden="1" x14ac:dyDescent="0.25">
      <c r="A3896" s="115">
        <v>47.17</v>
      </c>
      <c r="B3896" s="115">
        <v>47.67</v>
      </c>
      <c r="C3896" s="1">
        <v>670</v>
      </c>
      <c r="D3896" s="1" t="s">
        <v>2627</v>
      </c>
      <c r="E3896" s="1">
        <v>47</v>
      </c>
    </row>
    <row r="3897" spans="1:5" hidden="1" x14ac:dyDescent="0.25">
      <c r="A3897" s="115">
        <v>47.170999999999999</v>
      </c>
      <c r="B3897" s="115">
        <v>47.68</v>
      </c>
      <c r="C3897" s="1">
        <v>680</v>
      </c>
      <c r="D3897" s="1" t="s">
        <v>2628</v>
      </c>
      <c r="E3897" s="1">
        <v>47</v>
      </c>
    </row>
    <row r="3898" spans="1:5" hidden="1" x14ac:dyDescent="0.25">
      <c r="A3898" s="115">
        <v>47.171999999999997</v>
      </c>
      <c r="B3898" s="115">
        <v>47.69</v>
      </c>
      <c r="C3898" s="1">
        <v>690</v>
      </c>
      <c r="D3898" s="1" t="s">
        <v>2629</v>
      </c>
      <c r="E3898" s="1">
        <v>47</v>
      </c>
    </row>
    <row r="3899" spans="1:5" hidden="1" x14ac:dyDescent="0.25">
      <c r="A3899" s="115">
        <v>47.173000000000002</v>
      </c>
      <c r="B3899" s="115">
        <v>47.7</v>
      </c>
      <c r="C3899" s="1">
        <v>700</v>
      </c>
      <c r="D3899" s="1" t="s">
        <v>2630</v>
      </c>
      <c r="E3899" s="1">
        <v>47</v>
      </c>
    </row>
    <row r="3900" spans="1:5" hidden="1" x14ac:dyDescent="0.25">
      <c r="A3900" s="115">
        <v>47.173999999999999</v>
      </c>
      <c r="B3900" s="115">
        <v>47.71</v>
      </c>
      <c r="C3900" s="1">
        <v>710</v>
      </c>
      <c r="D3900" s="1" t="s">
        <v>2631</v>
      </c>
      <c r="E3900" s="1">
        <v>47</v>
      </c>
    </row>
    <row r="3901" spans="1:5" hidden="1" x14ac:dyDescent="0.25">
      <c r="A3901" s="115">
        <v>47.174999999999997</v>
      </c>
      <c r="B3901" s="115">
        <v>47.72</v>
      </c>
      <c r="C3901" s="1">
        <v>720</v>
      </c>
      <c r="D3901" s="1" t="s">
        <v>2632</v>
      </c>
      <c r="E3901" s="1">
        <v>47</v>
      </c>
    </row>
    <row r="3902" spans="1:5" hidden="1" x14ac:dyDescent="0.25">
      <c r="A3902" s="115">
        <v>47.176000000000002</v>
      </c>
      <c r="B3902" s="115">
        <v>47.73</v>
      </c>
      <c r="C3902" s="1">
        <v>730</v>
      </c>
      <c r="D3902" s="1" t="s">
        <v>2633</v>
      </c>
      <c r="E3902" s="1">
        <v>47</v>
      </c>
    </row>
    <row r="3903" spans="1:5" hidden="1" x14ac:dyDescent="0.25">
      <c r="A3903" s="115">
        <v>47.177</v>
      </c>
      <c r="B3903" s="115">
        <v>47.74</v>
      </c>
      <c r="C3903" s="1">
        <v>740</v>
      </c>
      <c r="D3903" s="1" t="s">
        <v>2634</v>
      </c>
      <c r="E3903" s="1">
        <v>47</v>
      </c>
    </row>
    <row r="3904" spans="1:5" hidden="1" x14ac:dyDescent="0.25">
      <c r="A3904" s="115">
        <v>47.177999999999997</v>
      </c>
      <c r="B3904" s="115">
        <v>47.75</v>
      </c>
      <c r="C3904" s="1">
        <v>750</v>
      </c>
      <c r="D3904" s="1" t="s">
        <v>2635</v>
      </c>
      <c r="E3904" s="1">
        <v>47</v>
      </c>
    </row>
    <row r="3905" spans="1:5" hidden="1" x14ac:dyDescent="0.25">
      <c r="A3905" s="115">
        <v>47.179000000000002</v>
      </c>
      <c r="B3905" s="115">
        <v>47.755000000000003</v>
      </c>
      <c r="C3905" s="1">
        <v>755</v>
      </c>
      <c r="D3905" s="1" t="s">
        <v>1466</v>
      </c>
      <c r="E3905" s="1">
        <v>47</v>
      </c>
    </row>
    <row r="3906" spans="1:5" hidden="1" x14ac:dyDescent="0.25">
      <c r="A3906" s="115">
        <v>47.18</v>
      </c>
      <c r="B3906" s="115">
        <v>47.76</v>
      </c>
      <c r="C3906" s="1">
        <v>760</v>
      </c>
      <c r="D3906" s="1" t="s">
        <v>2636</v>
      </c>
      <c r="E3906" s="1">
        <v>47</v>
      </c>
    </row>
    <row r="3907" spans="1:5" hidden="1" x14ac:dyDescent="0.25">
      <c r="A3907" s="115">
        <v>47.180999999999997</v>
      </c>
      <c r="B3907" s="115">
        <v>47.77</v>
      </c>
      <c r="C3907" s="1">
        <v>770</v>
      </c>
      <c r="D3907" s="1" t="s">
        <v>2637</v>
      </c>
      <c r="E3907" s="1">
        <v>47</v>
      </c>
    </row>
    <row r="3908" spans="1:5" hidden="1" x14ac:dyDescent="0.25">
      <c r="A3908" s="115">
        <v>47.182000000000002</v>
      </c>
      <c r="B3908" s="115">
        <v>47.78</v>
      </c>
      <c r="C3908" s="1">
        <v>780</v>
      </c>
      <c r="D3908" s="1" t="s">
        <v>2638</v>
      </c>
      <c r="E3908" s="1">
        <v>47</v>
      </c>
    </row>
    <row r="3909" spans="1:5" hidden="1" x14ac:dyDescent="0.25">
      <c r="A3909" s="115">
        <v>47.183</v>
      </c>
      <c r="B3909" s="115">
        <v>47.79</v>
      </c>
      <c r="C3909" s="1">
        <v>790</v>
      </c>
      <c r="D3909" s="1" t="s">
        <v>2639</v>
      </c>
      <c r="E3909" s="1">
        <v>47</v>
      </c>
    </row>
    <row r="3910" spans="1:5" hidden="1" x14ac:dyDescent="0.25">
      <c r="A3910" s="115">
        <v>47.183999999999997</v>
      </c>
      <c r="B3910" s="115">
        <v>47.8</v>
      </c>
      <c r="C3910" s="1">
        <v>800</v>
      </c>
      <c r="D3910" s="1" t="s">
        <v>2640</v>
      </c>
      <c r="E3910" s="1">
        <v>47</v>
      </c>
    </row>
    <row r="3911" spans="1:5" hidden="1" x14ac:dyDescent="0.25">
      <c r="A3911" s="115">
        <v>47.185000000000002</v>
      </c>
      <c r="B3911" s="115">
        <v>47.805</v>
      </c>
      <c r="C3911" s="1">
        <v>805</v>
      </c>
      <c r="D3911" s="1" t="s">
        <v>2641</v>
      </c>
      <c r="E3911" s="1">
        <v>47</v>
      </c>
    </row>
    <row r="3912" spans="1:5" hidden="1" x14ac:dyDescent="0.25">
      <c r="A3912" s="115">
        <v>47.186</v>
      </c>
      <c r="B3912" s="115">
        <v>47.81</v>
      </c>
      <c r="C3912" s="1">
        <v>810</v>
      </c>
      <c r="D3912" s="1" t="s">
        <v>2642</v>
      </c>
      <c r="E3912" s="1">
        <v>47</v>
      </c>
    </row>
    <row r="3913" spans="1:5" hidden="1" x14ac:dyDescent="0.25">
      <c r="A3913" s="115">
        <v>47.186999999999998</v>
      </c>
      <c r="B3913" s="115">
        <v>47.82</v>
      </c>
      <c r="C3913" s="1">
        <v>820</v>
      </c>
      <c r="D3913" s="1" t="s">
        <v>2643</v>
      </c>
      <c r="E3913" s="1">
        <v>47</v>
      </c>
    </row>
    <row r="3914" spans="1:5" hidden="1" x14ac:dyDescent="0.25">
      <c r="A3914" s="115">
        <v>47.188000000000002</v>
      </c>
      <c r="B3914" s="115">
        <v>47.83</v>
      </c>
      <c r="C3914" s="1">
        <v>830</v>
      </c>
      <c r="D3914" s="1" t="s">
        <v>2644</v>
      </c>
      <c r="E3914" s="1">
        <v>47</v>
      </c>
    </row>
    <row r="3915" spans="1:5" hidden="1" x14ac:dyDescent="0.25">
      <c r="A3915" s="115">
        <v>47.189</v>
      </c>
      <c r="B3915" s="115">
        <v>47.84</v>
      </c>
      <c r="C3915" s="1">
        <v>840</v>
      </c>
      <c r="D3915" s="1" t="s">
        <v>2645</v>
      </c>
      <c r="E3915" s="1">
        <v>47</v>
      </c>
    </row>
    <row r="3916" spans="1:5" hidden="1" x14ac:dyDescent="0.25">
      <c r="A3916" s="115">
        <v>47.19</v>
      </c>
      <c r="B3916" s="115">
        <v>47.85</v>
      </c>
      <c r="C3916" s="1">
        <v>850</v>
      </c>
      <c r="D3916" s="1" t="s">
        <v>2646</v>
      </c>
      <c r="E3916" s="1">
        <v>47</v>
      </c>
    </row>
    <row r="3917" spans="1:5" hidden="1" x14ac:dyDescent="0.25">
      <c r="A3917" s="115">
        <v>47.191000000000003</v>
      </c>
      <c r="B3917" s="115">
        <v>47.86</v>
      </c>
      <c r="C3917" s="1">
        <v>860</v>
      </c>
      <c r="D3917" s="1" t="s">
        <v>2647</v>
      </c>
      <c r="E3917" s="1">
        <v>47</v>
      </c>
    </row>
    <row r="3918" spans="1:5" hidden="1" x14ac:dyDescent="0.25">
      <c r="A3918" s="115">
        <v>47.192</v>
      </c>
      <c r="B3918" s="115">
        <v>47.87</v>
      </c>
      <c r="C3918" s="1">
        <v>870</v>
      </c>
      <c r="D3918" s="1" t="s">
        <v>2648</v>
      </c>
      <c r="E3918" s="1">
        <v>47</v>
      </c>
    </row>
    <row r="3919" spans="1:5" hidden="1" x14ac:dyDescent="0.25">
      <c r="A3919" s="115">
        <v>47.192999999999998</v>
      </c>
      <c r="B3919" s="115">
        <v>47.88</v>
      </c>
      <c r="C3919" s="1">
        <v>880</v>
      </c>
      <c r="D3919" s="1" t="s">
        <v>2649</v>
      </c>
      <c r="E3919" s="1">
        <v>47</v>
      </c>
    </row>
    <row r="3920" spans="1:5" hidden="1" x14ac:dyDescent="0.25">
      <c r="A3920" s="115">
        <v>47.194000000000003</v>
      </c>
      <c r="B3920" s="115">
        <v>47.89</v>
      </c>
      <c r="C3920" s="1">
        <v>890</v>
      </c>
      <c r="D3920" s="1" t="s">
        <v>2650</v>
      </c>
      <c r="E3920" s="1">
        <v>47</v>
      </c>
    </row>
    <row r="3921" spans="1:5" hidden="1" x14ac:dyDescent="0.25">
      <c r="A3921" s="115">
        <v>47.195</v>
      </c>
      <c r="B3921" s="115">
        <v>47.895000000000003</v>
      </c>
      <c r="C3921" s="1">
        <v>895</v>
      </c>
      <c r="D3921" s="1" t="s">
        <v>2651</v>
      </c>
      <c r="E3921" s="1">
        <v>47</v>
      </c>
    </row>
    <row r="3922" spans="1:5" hidden="1" x14ac:dyDescent="0.25">
      <c r="A3922" s="115">
        <v>47.195999999999998</v>
      </c>
      <c r="B3922" s="115">
        <v>47.9</v>
      </c>
      <c r="C3922" s="1">
        <v>900</v>
      </c>
      <c r="D3922" s="1" t="s">
        <v>2652</v>
      </c>
      <c r="E3922" s="1">
        <v>47</v>
      </c>
    </row>
    <row r="3923" spans="1:5" hidden="1" x14ac:dyDescent="0.25">
      <c r="A3923" s="115">
        <v>47.197000000000003</v>
      </c>
      <c r="B3923" s="115">
        <v>47.91</v>
      </c>
      <c r="C3923" s="1">
        <v>910</v>
      </c>
      <c r="D3923" s="1" t="s">
        <v>2653</v>
      </c>
      <c r="E3923" s="1">
        <v>47</v>
      </c>
    </row>
    <row r="3924" spans="1:5" hidden="1" x14ac:dyDescent="0.25">
      <c r="A3924" s="115">
        <v>47.198</v>
      </c>
      <c r="B3924" s="115">
        <v>47.92</v>
      </c>
      <c r="C3924" s="1">
        <v>920</v>
      </c>
      <c r="D3924" s="1" t="s">
        <v>2654</v>
      </c>
      <c r="E3924" s="1">
        <v>47</v>
      </c>
    </row>
    <row r="3925" spans="1:5" hidden="1" x14ac:dyDescent="0.25">
      <c r="A3925" s="115">
        <v>47.198999999999998</v>
      </c>
      <c r="B3925" s="115">
        <v>47.924999999999997</v>
      </c>
      <c r="C3925" s="1">
        <v>925</v>
      </c>
      <c r="D3925" s="1" t="s">
        <v>2655</v>
      </c>
      <c r="E3925" s="1">
        <v>47</v>
      </c>
    </row>
    <row r="3926" spans="1:5" hidden="1" x14ac:dyDescent="0.25">
      <c r="A3926" s="115">
        <v>47.2</v>
      </c>
      <c r="B3926" s="115">
        <v>47.93</v>
      </c>
      <c r="C3926" s="1">
        <v>930</v>
      </c>
      <c r="D3926" s="1" t="s">
        <v>2656</v>
      </c>
      <c r="E3926" s="1">
        <v>47</v>
      </c>
    </row>
    <row r="3927" spans="1:5" hidden="1" x14ac:dyDescent="0.25">
      <c r="A3927" s="115">
        <v>47.201000000000001</v>
      </c>
      <c r="B3927" s="115">
        <v>47.935000000000002</v>
      </c>
      <c r="C3927" s="1">
        <v>935</v>
      </c>
      <c r="D3927" s="1" t="s">
        <v>2657</v>
      </c>
      <c r="E3927" s="1">
        <v>47</v>
      </c>
    </row>
    <row r="3928" spans="1:5" hidden="1" x14ac:dyDescent="0.25">
      <c r="A3928" s="115">
        <v>47.201999999999998</v>
      </c>
      <c r="B3928" s="115">
        <v>47.94</v>
      </c>
      <c r="C3928" s="1">
        <v>940</v>
      </c>
      <c r="D3928" s="1" t="s">
        <v>2658</v>
      </c>
      <c r="E3928" s="1">
        <v>47</v>
      </c>
    </row>
    <row r="3929" spans="1:5" hidden="1" x14ac:dyDescent="0.25">
      <c r="A3929" s="115">
        <v>47.203000000000003</v>
      </c>
      <c r="B3929" s="115">
        <v>47.95</v>
      </c>
      <c r="C3929" s="1">
        <v>950</v>
      </c>
      <c r="D3929" s="1" t="s">
        <v>2659</v>
      </c>
      <c r="E3929" s="1">
        <v>47</v>
      </c>
    </row>
    <row r="3930" spans="1:5" hidden="1" x14ac:dyDescent="0.25">
      <c r="A3930" s="115">
        <v>47.204000000000001</v>
      </c>
      <c r="B3930" s="115">
        <v>47.954999999999998</v>
      </c>
      <c r="C3930" s="1">
        <v>955</v>
      </c>
      <c r="D3930" s="1" t="s">
        <v>2660</v>
      </c>
      <c r="E3930" s="1">
        <v>47</v>
      </c>
    </row>
    <row r="3931" spans="1:5" hidden="1" x14ac:dyDescent="0.25">
      <c r="A3931" s="115">
        <v>47.204999999999998</v>
      </c>
      <c r="B3931" s="115">
        <v>47.96</v>
      </c>
      <c r="C3931" s="1">
        <v>960</v>
      </c>
      <c r="D3931" s="1" t="s">
        <v>2661</v>
      </c>
      <c r="E3931" s="1">
        <v>47</v>
      </c>
    </row>
    <row r="3932" spans="1:5" hidden="1" x14ac:dyDescent="0.25">
      <c r="A3932" s="115">
        <v>47.206000000000003</v>
      </c>
      <c r="B3932" s="115">
        <v>47.97</v>
      </c>
      <c r="C3932" s="1">
        <v>970</v>
      </c>
      <c r="D3932" s="1" t="s">
        <v>2662</v>
      </c>
      <c r="E3932" s="1">
        <v>47</v>
      </c>
    </row>
    <row r="3933" spans="1:5" hidden="1" x14ac:dyDescent="0.25">
      <c r="A3933" s="115">
        <v>47.207000000000001</v>
      </c>
      <c r="B3933" s="115">
        <v>47.98</v>
      </c>
      <c r="C3933" s="1">
        <v>980</v>
      </c>
      <c r="D3933" s="1" t="s">
        <v>2663</v>
      </c>
      <c r="E3933" s="1">
        <v>47</v>
      </c>
    </row>
    <row r="3934" spans="1:5" hidden="1" x14ac:dyDescent="0.25">
      <c r="A3934" s="115">
        <v>47.207999999999998</v>
      </c>
      <c r="B3934" s="115">
        <v>47.99</v>
      </c>
      <c r="C3934" s="1">
        <v>990</v>
      </c>
      <c r="D3934" s="1" t="s">
        <v>2664</v>
      </c>
      <c r="E3934" s="1">
        <v>47</v>
      </c>
    </row>
    <row r="3935" spans="1:5" hidden="1" x14ac:dyDescent="0.25">
      <c r="A3935" s="115">
        <v>47.209000000000003</v>
      </c>
      <c r="B3935" s="115">
        <v>47.1</v>
      </c>
      <c r="C3935" s="1">
        <v>1000</v>
      </c>
      <c r="D3935" s="1" t="s">
        <v>2665</v>
      </c>
      <c r="E3935" s="1">
        <v>47</v>
      </c>
    </row>
    <row r="3936" spans="1:5" hidden="1" x14ac:dyDescent="0.25">
      <c r="A3936" s="115">
        <v>47.21</v>
      </c>
      <c r="B3936" s="115">
        <v>47.11</v>
      </c>
      <c r="C3936" s="1">
        <v>1100</v>
      </c>
      <c r="D3936" s="1" t="s">
        <v>2666</v>
      </c>
      <c r="E3936" s="1">
        <v>47</v>
      </c>
    </row>
    <row r="3937" spans="1:5" hidden="1" x14ac:dyDescent="0.25">
      <c r="A3937" s="115">
        <v>47.210999999999999</v>
      </c>
      <c r="B3937" s="115">
        <v>47.110999999999997</v>
      </c>
      <c r="C3937" s="1">
        <v>1110</v>
      </c>
      <c r="D3937" s="1" t="s">
        <v>2667</v>
      </c>
      <c r="E3937" s="1">
        <v>47</v>
      </c>
    </row>
    <row r="3938" spans="1:5" hidden="1" x14ac:dyDescent="0.25">
      <c r="A3938" s="115">
        <v>47.212000000000003</v>
      </c>
      <c r="B3938" s="115">
        <v>47.112000000000002</v>
      </c>
      <c r="C3938" s="1">
        <v>1120</v>
      </c>
      <c r="D3938" s="1" t="s">
        <v>2668</v>
      </c>
      <c r="E3938" s="1">
        <v>47</v>
      </c>
    </row>
    <row r="3939" spans="1:5" hidden="1" x14ac:dyDescent="0.25">
      <c r="A3939" s="115">
        <v>47.213000000000001</v>
      </c>
      <c r="B3939" s="115">
        <v>47.113</v>
      </c>
      <c r="C3939" s="1">
        <v>1130</v>
      </c>
      <c r="D3939" s="1" t="s">
        <v>2669</v>
      </c>
      <c r="E3939" s="1">
        <v>47</v>
      </c>
    </row>
    <row r="3940" spans="1:5" hidden="1" x14ac:dyDescent="0.25">
      <c r="A3940" s="115">
        <v>47.213999999999999</v>
      </c>
      <c r="B3940" s="115">
        <v>47.113999999999997</v>
      </c>
      <c r="C3940" s="1">
        <v>1140</v>
      </c>
      <c r="D3940" s="1" t="s">
        <v>2670</v>
      </c>
      <c r="E3940" s="1">
        <v>47</v>
      </c>
    </row>
    <row r="3941" spans="1:5" hidden="1" x14ac:dyDescent="0.25">
      <c r="A3941" s="115">
        <v>47.215000000000003</v>
      </c>
      <c r="B3941" s="115">
        <v>47.115000000000002</v>
      </c>
      <c r="C3941" s="1">
        <v>1150</v>
      </c>
      <c r="D3941" s="1" t="s">
        <v>2671</v>
      </c>
      <c r="E3941" s="1">
        <v>47</v>
      </c>
    </row>
    <row r="3942" spans="1:5" hidden="1" x14ac:dyDescent="0.25">
      <c r="A3942" s="115">
        <v>47.216000000000001</v>
      </c>
      <c r="B3942" s="115">
        <v>47.116</v>
      </c>
      <c r="C3942" s="1">
        <v>1160</v>
      </c>
      <c r="D3942" s="1" t="s">
        <v>2672</v>
      </c>
      <c r="E3942" s="1">
        <v>47</v>
      </c>
    </row>
    <row r="3943" spans="1:5" hidden="1" x14ac:dyDescent="0.25">
      <c r="A3943" s="115">
        <v>47.216999999999999</v>
      </c>
      <c r="B3943" s="115">
        <v>47.116999999999997</v>
      </c>
      <c r="C3943" s="1">
        <v>1170</v>
      </c>
      <c r="D3943" s="1" t="s">
        <v>2673</v>
      </c>
      <c r="E3943" s="1">
        <v>47</v>
      </c>
    </row>
    <row r="3944" spans="1:5" hidden="1" x14ac:dyDescent="0.25">
      <c r="A3944" s="115">
        <v>47.218000000000004</v>
      </c>
      <c r="B3944" s="115">
        <v>47.118000000000002</v>
      </c>
      <c r="C3944" s="1">
        <v>1180</v>
      </c>
      <c r="D3944" s="1" t="s">
        <v>2674</v>
      </c>
      <c r="E3944" s="1">
        <v>47</v>
      </c>
    </row>
    <row r="3945" spans="1:5" hidden="1" x14ac:dyDescent="0.25">
      <c r="A3945" s="115">
        <v>47.219000000000001</v>
      </c>
      <c r="B3945" s="115">
        <v>47.119</v>
      </c>
      <c r="C3945" s="1">
        <v>1190</v>
      </c>
      <c r="D3945" s="1" t="s">
        <v>2675</v>
      </c>
      <c r="E3945" s="1">
        <v>47</v>
      </c>
    </row>
    <row r="3946" spans="1:5" hidden="1" x14ac:dyDescent="0.25">
      <c r="A3946" s="115">
        <v>47.22</v>
      </c>
      <c r="B3946" s="115">
        <v>47.12</v>
      </c>
      <c r="C3946" s="1">
        <v>1200</v>
      </c>
      <c r="D3946" s="1" t="s">
        <v>2676</v>
      </c>
      <c r="E3946" s="1">
        <v>47</v>
      </c>
    </row>
    <row r="3947" spans="1:5" hidden="1" x14ac:dyDescent="0.25">
      <c r="A3947" s="115">
        <v>47.220999999999997</v>
      </c>
      <c r="B3947" s="115">
        <v>47.121000000000002</v>
      </c>
      <c r="C3947" s="1">
        <v>1210</v>
      </c>
      <c r="D3947" s="1" t="s">
        <v>2677</v>
      </c>
      <c r="E3947" s="1">
        <v>47</v>
      </c>
    </row>
    <row r="3948" spans="1:5" hidden="1" x14ac:dyDescent="0.25">
      <c r="A3948" s="115">
        <v>47.222000000000001</v>
      </c>
      <c r="B3948" s="115">
        <v>47.122</v>
      </c>
      <c r="C3948" s="1">
        <v>1220</v>
      </c>
      <c r="D3948" s="1" t="s">
        <v>2678</v>
      </c>
      <c r="E3948" s="1">
        <v>47</v>
      </c>
    </row>
    <row r="3949" spans="1:5" hidden="1" x14ac:dyDescent="0.25">
      <c r="A3949" s="115">
        <v>47.222999999999999</v>
      </c>
      <c r="B3949" s="115">
        <v>47.122999999999998</v>
      </c>
      <c r="C3949" s="1">
        <v>1230</v>
      </c>
      <c r="D3949" s="1" t="s">
        <v>2679</v>
      </c>
      <c r="E3949" s="1">
        <v>47</v>
      </c>
    </row>
    <row r="3950" spans="1:5" hidden="1" x14ac:dyDescent="0.25">
      <c r="A3950" s="115">
        <v>47.223999999999997</v>
      </c>
      <c r="B3950" s="115">
        <v>47.124000000000002</v>
      </c>
      <c r="C3950" s="1">
        <v>1240</v>
      </c>
      <c r="D3950" s="1" t="s">
        <v>2680</v>
      </c>
      <c r="E3950" s="1">
        <v>47</v>
      </c>
    </row>
    <row r="3951" spans="1:5" hidden="1" x14ac:dyDescent="0.25">
      <c r="A3951" s="115">
        <v>47.225000000000001</v>
      </c>
      <c r="B3951" s="115">
        <v>47.125</v>
      </c>
      <c r="C3951" s="1">
        <v>1250</v>
      </c>
      <c r="D3951" s="1" t="s">
        <v>2681</v>
      </c>
      <c r="E3951" s="1">
        <v>47</v>
      </c>
    </row>
    <row r="3952" spans="1:5" hidden="1" x14ac:dyDescent="0.25">
      <c r="A3952" s="115">
        <v>47.225999999999999</v>
      </c>
      <c r="B3952" s="115">
        <v>47.125999999999998</v>
      </c>
      <c r="C3952" s="1">
        <v>1260</v>
      </c>
      <c r="D3952" s="1" t="s">
        <v>2682</v>
      </c>
      <c r="E3952" s="1">
        <v>47</v>
      </c>
    </row>
    <row r="3953" spans="1:5" hidden="1" x14ac:dyDescent="0.25">
      <c r="A3953" s="115">
        <v>47.226999999999997</v>
      </c>
      <c r="B3953" s="115">
        <v>47.127000000000002</v>
      </c>
      <c r="C3953" s="1">
        <v>1270</v>
      </c>
      <c r="D3953" s="1" t="s">
        <v>2683</v>
      </c>
      <c r="E3953" s="1">
        <v>47</v>
      </c>
    </row>
    <row r="3954" spans="1:5" hidden="1" x14ac:dyDescent="0.25">
      <c r="A3954" s="115">
        <v>47.228000000000002</v>
      </c>
      <c r="B3954" s="115">
        <v>47.128</v>
      </c>
      <c r="C3954" s="1">
        <v>1280</v>
      </c>
      <c r="D3954" s="1" t="s">
        <v>2684</v>
      </c>
      <c r="E3954" s="1">
        <v>47</v>
      </c>
    </row>
    <row r="3955" spans="1:5" hidden="1" x14ac:dyDescent="0.25">
      <c r="A3955" s="115">
        <v>47.228999999999999</v>
      </c>
      <c r="B3955" s="115">
        <v>47.1295</v>
      </c>
      <c r="C3955" s="1">
        <v>1295</v>
      </c>
      <c r="D3955" s="1" t="s">
        <v>2691</v>
      </c>
      <c r="E3955" s="1">
        <v>47</v>
      </c>
    </row>
    <row r="3956" spans="1:5" hidden="1" x14ac:dyDescent="0.25">
      <c r="A3956" s="115">
        <v>47.23</v>
      </c>
      <c r="B3956" s="115">
        <v>47.13</v>
      </c>
      <c r="C3956" s="1">
        <v>1300</v>
      </c>
      <c r="D3956" s="1" t="s">
        <v>2685</v>
      </c>
      <c r="E3956" s="1">
        <v>47</v>
      </c>
    </row>
    <row r="3957" spans="1:5" hidden="1" x14ac:dyDescent="0.25">
      <c r="A3957" s="115">
        <v>47.231000000000002</v>
      </c>
      <c r="B3957" s="115">
        <v>47.131</v>
      </c>
      <c r="C3957" s="1">
        <v>1310</v>
      </c>
      <c r="D3957" s="1" t="s">
        <v>2686</v>
      </c>
      <c r="E3957" s="1">
        <v>47</v>
      </c>
    </row>
    <row r="3958" spans="1:5" hidden="1" x14ac:dyDescent="0.25">
      <c r="A3958" s="115">
        <v>47.231999999999999</v>
      </c>
      <c r="B3958" s="115">
        <v>47.131999999999998</v>
      </c>
      <c r="C3958" s="1">
        <v>1320</v>
      </c>
      <c r="D3958" s="1" t="s">
        <v>2687</v>
      </c>
      <c r="E3958" s="1">
        <v>47</v>
      </c>
    </row>
    <row r="3959" spans="1:5" hidden="1" x14ac:dyDescent="0.25">
      <c r="A3959" s="115">
        <v>48.100999999999999</v>
      </c>
      <c r="B3959" s="115">
        <v>48.134999999999998</v>
      </c>
      <c r="C3959" s="1">
        <v>135</v>
      </c>
      <c r="D3959" s="1" t="s">
        <v>2690</v>
      </c>
      <c r="E3959" s="1">
        <v>48</v>
      </c>
    </row>
    <row r="3960" spans="1:5" hidden="1" x14ac:dyDescent="0.25">
      <c r="A3960" s="115">
        <v>49.100999999999999</v>
      </c>
      <c r="B3960" s="115">
        <v>49.12</v>
      </c>
      <c r="C3960" s="1">
        <v>120</v>
      </c>
      <c r="D3960" s="1" t="s">
        <v>2570</v>
      </c>
      <c r="E3960" s="1">
        <v>49</v>
      </c>
    </row>
    <row r="3961" spans="1:5" hidden="1" x14ac:dyDescent="0.25">
      <c r="A3961" s="115">
        <v>49.101999999999997</v>
      </c>
      <c r="B3961" s="115">
        <v>49.575000000000003</v>
      </c>
      <c r="C3961" s="1">
        <v>575</v>
      </c>
      <c r="D3961" s="1" t="s">
        <v>2617</v>
      </c>
      <c r="E3961" s="1">
        <v>49</v>
      </c>
    </row>
    <row r="3962" spans="1:5" hidden="1" x14ac:dyDescent="0.25">
      <c r="A3962" s="115">
        <v>50.100999999999999</v>
      </c>
      <c r="B3962" s="115">
        <v>50.12</v>
      </c>
      <c r="C3962" s="1">
        <v>120</v>
      </c>
      <c r="D3962" s="1" t="s">
        <v>2570</v>
      </c>
      <c r="E3962" s="1">
        <v>50</v>
      </c>
    </row>
    <row r="3963" spans="1:5" hidden="1" x14ac:dyDescent="0.25">
      <c r="A3963" s="115">
        <v>50.101999999999997</v>
      </c>
      <c r="B3963" s="115">
        <v>50.575000000000003</v>
      </c>
      <c r="C3963" s="1">
        <v>575</v>
      </c>
      <c r="D3963" s="1" t="s">
        <v>2617</v>
      </c>
      <c r="E3963" s="1">
        <v>50</v>
      </c>
    </row>
    <row r="3964" spans="1:5" hidden="1" x14ac:dyDescent="0.25">
      <c r="A3964" s="115">
        <v>51.100999999999999</v>
      </c>
      <c r="B3964" s="115">
        <v>51.48</v>
      </c>
      <c r="C3964" s="1">
        <v>480</v>
      </c>
      <c r="D3964" s="1" t="s">
        <v>2607</v>
      </c>
      <c r="E3964" s="1">
        <v>51</v>
      </c>
    </row>
    <row r="3965" spans="1:5" hidden="1" x14ac:dyDescent="0.25">
      <c r="A3965" s="115">
        <v>51.101999999999997</v>
      </c>
      <c r="B3965" s="115">
        <v>51.58</v>
      </c>
      <c r="C3965" s="1">
        <v>580</v>
      </c>
      <c r="D3965" s="1" t="s">
        <v>2619</v>
      </c>
      <c r="E3965" s="1">
        <v>51</v>
      </c>
    </row>
    <row r="3966" spans="1:5" hidden="1" x14ac:dyDescent="0.25">
      <c r="A3966" s="115">
        <v>51.103000000000002</v>
      </c>
      <c r="B3966" s="115">
        <v>51.69</v>
      </c>
      <c r="C3966" s="1">
        <v>690</v>
      </c>
      <c r="D3966" s="1" t="s">
        <v>2629</v>
      </c>
      <c r="E3966" s="1">
        <v>51</v>
      </c>
    </row>
    <row r="3967" spans="1:5" hidden="1" x14ac:dyDescent="0.25">
      <c r="A3967" s="115">
        <v>51.103999999999999</v>
      </c>
      <c r="B3967" s="115">
        <v>51.74</v>
      </c>
      <c r="C3967" s="1">
        <v>740</v>
      </c>
      <c r="D3967" s="1" t="s">
        <v>2634</v>
      </c>
      <c r="E3967" s="1">
        <v>51</v>
      </c>
    </row>
    <row r="3968" spans="1:5" hidden="1" x14ac:dyDescent="0.25">
      <c r="A3968" s="115">
        <v>51.104999999999997</v>
      </c>
      <c r="B3968" s="115">
        <v>51.895000000000003</v>
      </c>
      <c r="C3968" s="1">
        <v>895</v>
      </c>
      <c r="D3968" s="1" t="s">
        <v>2651</v>
      </c>
      <c r="E3968" s="1">
        <v>51</v>
      </c>
    </row>
    <row r="3969" spans="1:5" hidden="1" x14ac:dyDescent="0.25">
      <c r="A3969" s="115">
        <v>51.106000000000002</v>
      </c>
      <c r="B3969" s="115">
        <v>51.954999999999998</v>
      </c>
      <c r="C3969" s="1">
        <v>955</v>
      </c>
      <c r="D3969" s="1" t="s">
        <v>2660</v>
      </c>
      <c r="E3969" s="1">
        <v>51</v>
      </c>
    </row>
    <row r="3970" spans="1:5" hidden="1" x14ac:dyDescent="0.25">
      <c r="A3970" s="115">
        <v>51.106999999999999</v>
      </c>
      <c r="B3970" s="115">
        <v>51.131999999999998</v>
      </c>
      <c r="C3970" s="1">
        <v>1320</v>
      </c>
      <c r="D3970" s="1" t="s">
        <v>2687</v>
      </c>
      <c r="E3970" s="1">
        <v>51</v>
      </c>
    </row>
    <row r="3971" spans="1:5" hidden="1" x14ac:dyDescent="0.25">
      <c r="A3971" s="115">
        <v>52.100999999999999</v>
      </c>
      <c r="B3971" s="115">
        <v>52.58</v>
      </c>
      <c r="C3971" s="1">
        <v>580</v>
      </c>
      <c r="D3971" s="1" t="s">
        <v>2619</v>
      </c>
      <c r="E3971" s="1">
        <v>52</v>
      </c>
    </row>
    <row r="3972" spans="1:5" hidden="1" x14ac:dyDescent="0.25">
      <c r="A3972" s="115">
        <v>53.100999999999999</v>
      </c>
      <c r="B3972" s="115">
        <v>53.131999999999998</v>
      </c>
      <c r="C3972" s="1">
        <v>1320</v>
      </c>
      <c r="D3972" s="1" t="s">
        <v>2687</v>
      </c>
      <c r="E3972" s="1">
        <v>53</v>
      </c>
    </row>
    <row r="3973" spans="1:5" hidden="1" x14ac:dyDescent="0.25">
      <c r="A3973" s="115">
        <v>54.100999999999999</v>
      </c>
      <c r="B3973" s="115">
        <v>54.131999999999998</v>
      </c>
      <c r="C3973" s="1">
        <v>1320</v>
      </c>
      <c r="D3973" s="1" t="s">
        <v>2687</v>
      </c>
      <c r="E3973" s="1">
        <v>54</v>
      </c>
    </row>
    <row r="3974" spans="1:5" hidden="1" x14ac:dyDescent="0.25">
      <c r="A3974" s="115">
        <v>55.100999999999999</v>
      </c>
      <c r="B3974" s="115">
        <v>55.131999999999998</v>
      </c>
      <c r="C3974" s="1">
        <v>1320</v>
      </c>
      <c r="D3974" s="1" t="s">
        <v>2687</v>
      </c>
      <c r="E3974" s="1">
        <v>55</v>
      </c>
    </row>
    <row r="3975" spans="1:5" hidden="1" x14ac:dyDescent="0.25">
      <c r="A3975" s="115">
        <v>56.100999999999999</v>
      </c>
      <c r="B3975" s="115">
        <v>56.131999999999998</v>
      </c>
      <c r="C3975" s="1">
        <v>1320</v>
      </c>
      <c r="D3975" s="1" t="s">
        <v>2687</v>
      </c>
      <c r="E3975" s="1">
        <v>56</v>
      </c>
    </row>
    <row r="3976" spans="1:5" hidden="1" x14ac:dyDescent="0.25">
      <c r="A3976" s="115">
        <v>57.100999999999999</v>
      </c>
      <c r="B3976" s="115">
        <v>57.954999999999998</v>
      </c>
      <c r="C3976" s="1">
        <v>955</v>
      </c>
      <c r="D3976" s="1" t="s">
        <v>2660</v>
      </c>
      <c r="E3976" s="1">
        <v>57</v>
      </c>
    </row>
    <row r="3977" spans="1:5" hidden="1" x14ac:dyDescent="0.25">
      <c r="A3977" s="115">
        <v>58.100999999999999</v>
      </c>
      <c r="B3977" s="115">
        <v>58.48</v>
      </c>
      <c r="C3977" s="1">
        <v>480</v>
      </c>
      <c r="D3977" s="1" t="s">
        <v>2607</v>
      </c>
      <c r="E3977" s="1">
        <v>58</v>
      </c>
    </row>
    <row r="3978" spans="1:5" hidden="1" x14ac:dyDescent="0.25">
      <c r="A3978" s="115">
        <v>58.101999999999997</v>
      </c>
      <c r="B3978" s="115">
        <v>58.74</v>
      </c>
      <c r="C3978" s="1">
        <v>740</v>
      </c>
      <c r="D3978" s="1" t="s">
        <v>2634</v>
      </c>
      <c r="E3978" s="1">
        <v>58</v>
      </c>
    </row>
    <row r="3979" spans="1:5" hidden="1" x14ac:dyDescent="0.25">
      <c r="A3979" s="115">
        <v>58.103000000000002</v>
      </c>
      <c r="B3979" s="115">
        <v>58.895000000000003</v>
      </c>
      <c r="C3979" s="1">
        <v>895</v>
      </c>
      <c r="D3979" s="1" t="s">
        <v>2651</v>
      </c>
      <c r="E3979" s="1">
        <v>58</v>
      </c>
    </row>
    <row r="3980" spans="1:5" hidden="1" x14ac:dyDescent="0.25">
      <c r="A3980" s="115">
        <v>59.100999999999999</v>
      </c>
      <c r="B3980" s="115">
        <v>59.69</v>
      </c>
      <c r="C3980" s="1">
        <v>690</v>
      </c>
      <c r="D3980" s="1" t="s">
        <v>2629</v>
      </c>
      <c r="E3980" s="1">
        <v>59</v>
      </c>
    </row>
    <row r="3981" spans="1:5" hidden="1" x14ac:dyDescent="0.25">
      <c r="A3981" s="115">
        <v>60.100999999999999</v>
      </c>
      <c r="B3981" s="115">
        <v>60.69</v>
      </c>
      <c r="C3981" s="1">
        <v>690</v>
      </c>
      <c r="D3981" s="1" t="s">
        <v>2629</v>
      </c>
      <c r="E3981" s="1">
        <v>60</v>
      </c>
    </row>
    <row r="3982" spans="1:5" hidden="1" x14ac:dyDescent="0.25">
      <c r="A3982" s="115">
        <v>61.100999999999999</v>
      </c>
      <c r="B3982" s="115">
        <v>61.69</v>
      </c>
      <c r="C3982" s="1">
        <v>690</v>
      </c>
      <c r="D3982" s="1" t="s">
        <v>2629</v>
      </c>
      <c r="E3982" s="1">
        <v>61</v>
      </c>
    </row>
    <row r="3983" spans="1:5" hidden="1" x14ac:dyDescent="0.25">
      <c r="A3983" s="115">
        <v>62.100999999999999</v>
      </c>
      <c r="B3983" s="115">
        <v>62.895000000000003</v>
      </c>
      <c r="C3983" s="1">
        <v>895</v>
      </c>
      <c r="D3983" s="1" t="s">
        <v>2651</v>
      </c>
      <c r="E3983" s="1">
        <v>62</v>
      </c>
    </row>
    <row r="3984" spans="1:5" hidden="1" x14ac:dyDescent="0.25">
      <c r="A3984" s="115">
        <v>63.100999999999999</v>
      </c>
      <c r="B3984" s="115">
        <v>63.895000000000003</v>
      </c>
      <c r="C3984" s="1">
        <v>895</v>
      </c>
      <c r="D3984" s="1" t="s">
        <v>2651</v>
      </c>
      <c r="E3984" s="1">
        <v>63</v>
      </c>
    </row>
    <row r="3985" spans="1:5" hidden="1" x14ac:dyDescent="0.25">
      <c r="A3985" s="115">
        <v>64.100999999999999</v>
      </c>
      <c r="B3985" s="115">
        <v>64.894999999999996</v>
      </c>
      <c r="C3985" s="1">
        <v>895</v>
      </c>
      <c r="D3985" s="1" t="s">
        <v>2651</v>
      </c>
      <c r="E3985" s="1">
        <v>64</v>
      </c>
    </row>
    <row r="3986" spans="1:5" hidden="1" x14ac:dyDescent="0.25">
      <c r="A3986" s="115">
        <v>65.100999999999999</v>
      </c>
      <c r="B3986" s="115">
        <v>65.894999999999996</v>
      </c>
      <c r="C3986" s="1">
        <v>895</v>
      </c>
      <c r="D3986" s="1" t="s">
        <v>2651</v>
      </c>
      <c r="E3986" s="1">
        <v>65</v>
      </c>
    </row>
    <row r="3987" spans="1:5" hidden="1" x14ac:dyDescent="0.25">
      <c r="A3987" s="115">
        <v>66.100999999999999</v>
      </c>
      <c r="B3987" s="115">
        <v>66.894999999999996</v>
      </c>
      <c r="C3987" s="1">
        <v>895</v>
      </c>
      <c r="D3987" s="1" t="s">
        <v>2651</v>
      </c>
      <c r="E3987" s="1">
        <v>66</v>
      </c>
    </row>
    <row r="3988" spans="1:5" hidden="1" x14ac:dyDescent="0.25">
      <c r="A3988" s="115">
        <v>67.100999999999999</v>
      </c>
      <c r="B3988" s="115">
        <v>67.894999999999996</v>
      </c>
      <c r="C3988" s="1">
        <v>895</v>
      </c>
      <c r="D3988" s="1" t="s">
        <v>2651</v>
      </c>
      <c r="E3988" s="1">
        <v>67</v>
      </c>
    </row>
    <row r="3989" spans="1:5" hidden="1" x14ac:dyDescent="0.25">
      <c r="A3989" s="115">
        <v>68.100999999999999</v>
      </c>
      <c r="B3989" s="115">
        <v>68.894999999999996</v>
      </c>
      <c r="C3989" s="1">
        <v>895</v>
      </c>
      <c r="D3989" s="1" t="s">
        <v>2651</v>
      </c>
      <c r="E3989" s="1">
        <v>68</v>
      </c>
    </row>
    <row r="3990" spans="1:5" hidden="1" x14ac:dyDescent="0.25">
      <c r="A3990" s="115">
        <v>69.100999999999999</v>
      </c>
      <c r="B3990" s="115">
        <v>69.739999999999995</v>
      </c>
      <c r="C3990" s="1">
        <v>740</v>
      </c>
      <c r="D3990" s="1" t="s">
        <v>2634</v>
      </c>
      <c r="E3990" s="1">
        <v>69</v>
      </c>
    </row>
    <row r="3991" spans="1:5" hidden="1" x14ac:dyDescent="0.25">
      <c r="A3991" s="115">
        <v>69.102000000000004</v>
      </c>
      <c r="B3991" s="115">
        <v>69.894999999999996</v>
      </c>
      <c r="C3991" s="1">
        <v>895</v>
      </c>
      <c r="D3991" s="1" t="s">
        <v>2651</v>
      </c>
      <c r="E3991" s="1">
        <v>69</v>
      </c>
    </row>
    <row r="3992" spans="1:5" hidden="1" x14ac:dyDescent="0.25">
      <c r="A3992" s="115">
        <v>70.100999999999999</v>
      </c>
      <c r="B3992" s="115">
        <v>70.954999999999998</v>
      </c>
      <c r="C3992" s="1">
        <v>955</v>
      </c>
      <c r="D3992" s="1" t="s">
        <v>2660</v>
      </c>
      <c r="E3992" s="1">
        <v>70</v>
      </c>
    </row>
    <row r="3993" spans="1:5" hidden="1" x14ac:dyDescent="0.25">
      <c r="A3993" s="115">
        <v>71.100999999999999</v>
      </c>
      <c r="B3993" s="115">
        <v>71.739999999999995</v>
      </c>
      <c r="C3993" s="1">
        <v>740</v>
      </c>
      <c r="D3993" s="1" t="s">
        <v>2634</v>
      </c>
      <c r="E3993" s="1">
        <v>71</v>
      </c>
    </row>
    <row r="3994" spans="1:5" hidden="1" x14ac:dyDescent="0.25">
      <c r="A3994" s="115">
        <v>72.100999999999999</v>
      </c>
      <c r="B3994" s="115">
        <v>72.099999999999994</v>
      </c>
      <c r="C3994" s="1">
        <v>10</v>
      </c>
      <c r="D3994" s="1" t="s">
        <v>2559</v>
      </c>
      <c r="E3994" s="1">
        <v>72</v>
      </c>
    </row>
    <row r="3995" spans="1:5" hidden="1" x14ac:dyDescent="0.25">
      <c r="A3995" s="115">
        <v>72.102000000000004</v>
      </c>
      <c r="B3995" s="115">
        <v>72.2</v>
      </c>
      <c r="C3995" s="1">
        <v>20</v>
      </c>
      <c r="D3995" s="1" t="s">
        <v>2560</v>
      </c>
      <c r="E3995" s="1">
        <v>72</v>
      </c>
    </row>
    <row r="3996" spans="1:5" hidden="1" x14ac:dyDescent="0.25">
      <c r="A3996" s="115">
        <v>72.102999999999994</v>
      </c>
      <c r="B3996" s="115">
        <v>72.3</v>
      </c>
      <c r="C3996" s="1">
        <v>30</v>
      </c>
      <c r="D3996" s="1" t="s">
        <v>2561</v>
      </c>
      <c r="E3996" s="1">
        <v>72</v>
      </c>
    </row>
    <row r="3997" spans="1:5" hidden="1" x14ac:dyDescent="0.25">
      <c r="A3997" s="115">
        <v>72.103999999999999</v>
      </c>
      <c r="B3997" s="115">
        <v>72.400000000000006</v>
      </c>
      <c r="C3997" s="1">
        <v>40</v>
      </c>
      <c r="D3997" s="1" t="s">
        <v>2562</v>
      </c>
      <c r="E3997" s="1">
        <v>72</v>
      </c>
    </row>
    <row r="3998" spans="1:5" hidden="1" x14ac:dyDescent="0.25">
      <c r="A3998" s="115">
        <v>72.105000000000004</v>
      </c>
      <c r="B3998" s="115">
        <v>72.5</v>
      </c>
      <c r="C3998" s="1">
        <v>50</v>
      </c>
      <c r="D3998" s="1" t="s">
        <v>2563</v>
      </c>
      <c r="E3998" s="1">
        <v>72</v>
      </c>
    </row>
    <row r="3999" spans="1:5" hidden="1" x14ac:dyDescent="0.25">
      <c r="A3999" s="115">
        <v>72.105999999999995</v>
      </c>
      <c r="B3999" s="115">
        <v>72.599999999999994</v>
      </c>
      <c r="C3999" s="1">
        <v>60</v>
      </c>
      <c r="D3999" s="1" t="s">
        <v>2564</v>
      </c>
      <c r="E3999" s="1">
        <v>72</v>
      </c>
    </row>
    <row r="4000" spans="1:5" hidden="1" x14ac:dyDescent="0.25">
      <c r="A4000" s="115">
        <v>72.106999999999999</v>
      </c>
      <c r="B4000" s="115">
        <v>72.7</v>
      </c>
      <c r="C4000" s="1">
        <v>70</v>
      </c>
      <c r="D4000" s="1" t="s">
        <v>2565</v>
      </c>
      <c r="E4000" s="1">
        <v>72</v>
      </c>
    </row>
    <row r="4001" spans="1:5" hidden="1" x14ac:dyDescent="0.25">
      <c r="A4001" s="115">
        <v>72.108000000000004</v>
      </c>
      <c r="B4001" s="115">
        <v>72.8</v>
      </c>
      <c r="C4001" s="1">
        <v>80</v>
      </c>
      <c r="D4001" s="1" t="s">
        <v>2566</v>
      </c>
      <c r="E4001" s="1">
        <v>72</v>
      </c>
    </row>
    <row r="4002" spans="1:5" hidden="1" x14ac:dyDescent="0.25">
      <c r="A4002" s="115">
        <v>72.108999999999995</v>
      </c>
      <c r="B4002" s="115">
        <v>72.900000000000006</v>
      </c>
      <c r="C4002" s="1">
        <v>90</v>
      </c>
      <c r="D4002" s="1" t="s">
        <v>2567</v>
      </c>
      <c r="E4002" s="1">
        <v>72</v>
      </c>
    </row>
    <row r="4003" spans="1:5" hidden="1" x14ac:dyDescent="0.25">
      <c r="A4003" s="115">
        <v>72.11</v>
      </c>
      <c r="B4003" s="115">
        <v>72.099999999999994</v>
      </c>
      <c r="C4003" s="1">
        <v>100</v>
      </c>
      <c r="D4003" s="1" t="s">
        <v>2568</v>
      </c>
      <c r="E4003" s="1">
        <v>72</v>
      </c>
    </row>
    <row r="4004" spans="1:5" hidden="1" x14ac:dyDescent="0.25">
      <c r="A4004" s="115">
        <v>72.111000000000004</v>
      </c>
      <c r="B4004" s="115">
        <v>72.11</v>
      </c>
      <c r="C4004" s="1">
        <v>110</v>
      </c>
      <c r="D4004" s="1" t="s">
        <v>2569</v>
      </c>
      <c r="E4004" s="1">
        <v>72</v>
      </c>
    </row>
    <row r="4005" spans="1:5" hidden="1" x14ac:dyDescent="0.25">
      <c r="A4005" s="115">
        <v>72.111999999999995</v>
      </c>
      <c r="B4005" s="115">
        <v>72.12</v>
      </c>
      <c r="C4005" s="1">
        <v>120</v>
      </c>
      <c r="D4005" s="1" t="s">
        <v>2570</v>
      </c>
      <c r="E4005" s="1">
        <v>72</v>
      </c>
    </row>
    <row r="4006" spans="1:5" hidden="1" x14ac:dyDescent="0.25">
      <c r="A4006" s="115">
        <v>72.113</v>
      </c>
      <c r="B4006" s="115">
        <v>72.13</v>
      </c>
      <c r="C4006" s="1">
        <v>130</v>
      </c>
      <c r="D4006" s="1" t="s">
        <v>2571</v>
      </c>
      <c r="E4006" s="1">
        <v>72</v>
      </c>
    </row>
    <row r="4007" spans="1:5" hidden="1" x14ac:dyDescent="0.25">
      <c r="A4007" s="115">
        <v>72.114000000000004</v>
      </c>
      <c r="B4007" s="115">
        <v>72.14</v>
      </c>
      <c r="C4007" s="1">
        <v>140</v>
      </c>
      <c r="D4007" s="1" t="s">
        <v>2572</v>
      </c>
      <c r="E4007" s="1">
        <v>72</v>
      </c>
    </row>
    <row r="4008" spans="1:5" hidden="1" x14ac:dyDescent="0.25">
      <c r="A4008" s="115">
        <v>72.114999999999995</v>
      </c>
      <c r="B4008" s="115">
        <v>72.150000000000006</v>
      </c>
      <c r="C4008" s="1">
        <v>150</v>
      </c>
      <c r="D4008" s="1" t="s">
        <v>2573</v>
      </c>
      <c r="E4008" s="1">
        <v>72</v>
      </c>
    </row>
    <row r="4009" spans="1:5" hidden="1" x14ac:dyDescent="0.25">
      <c r="A4009" s="115">
        <v>72.116</v>
      </c>
      <c r="B4009" s="115">
        <v>72.16</v>
      </c>
      <c r="C4009" s="1">
        <v>160</v>
      </c>
      <c r="D4009" s="1" t="s">
        <v>2574</v>
      </c>
      <c r="E4009" s="1">
        <v>72</v>
      </c>
    </row>
    <row r="4010" spans="1:5" hidden="1" x14ac:dyDescent="0.25">
      <c r="A4010" s="115">
        <v>72.117000000000004</v>
      </c>
      <c r="B4010" s="115">
        <v>72.17</v>
      </c>
      <c r="C4010" s="1">
        <v>170</v>
      </c>
      <c r="D4010" s="1" t="s">
        <v>2575</v>
      </c>
      <c r="E4010" s="1">
        <v>72</v>
      </c>
    </row>
    <row r="4011" spans="1:5" hidden="1" x14ac:dyDescent="0.25">
      <c r="A4011" s="115">
        <v>72.117999999999995</v>
      </c>
      <c r="B4011" s="115">
        <v>72.180000000000007</v>
      </c>
      <c r="C4011" s="1">
        <v>180</v>
      </c>
      <c r="D4011" s="1" t="s">
        <v>2576</v>
      </c>
      <c r="E4011" s="1">
        <v>72</v>
      </c>
    </row>
    <row r="4012" spans="1:5" hidden="1" x14ac:dyDescent="0.25">
      <c r="A4012" s="115">
        <v>72.119</v>
      </c>
      <c r="B4012" s="115">
        <v>72.19</v>
      </c>
      <c r="C4012" s="1">
        <v>190</v>
      </c>
      <c r="D4012" s="1" t="s">
        <v>2577</v>
      </c>
      <c r="E4012" s="1">
        <v>72</v>
      </c>
    </row>
    <row r="4013" spans="1:5" hidden="1" x14ac:dyDescent="0.25">
      <c r="A4013" s="115">
        <v>72.12</v>
      </c>
      <c r="B4013" s="115">
        <v>72.2</v>
      </c>
      <c r="C4013" s="1">
        <v>200</v>
      </c>
      <c r="D4013" s="1" t="s">
        <v>2578</v>
      </c>
      <c r="E4013" s="1">
        <v>72</v>
      </c>
    </row>
    <row r="4014" spans="1:5" hidden="1" x14ac:dyDescent="0.25">
      <c r="A4014" s="115">
        <v>72.120999999999995</v>
      </c>
      <c r="B4014" s="115">
        <v>72.209999999999994</v>
      </c>
      <c r="C4014" s="1">
        <v>210</v>
      </c>
      <c r="D4014" s="1" t="s">
        <v>2579</v>
      </c>
      <c r="E4014" s="1">
        <v>72</v>
      </c>
    </row>
    <row r="4015" spans="1:5" hidden="1" x14ac:dyDescent="0.25">
      <c r="A4015" s="115">
        <v>72.122</v>
      </c>
      <c r="B4015" s="115">
        <v>72.22</v>
      </c>
      <c r="C4015" s="1">
        <v>220</v>
      </c>
      <c r="D4015" s="1" t="s">
        <v>2580</v>
      </c>
      <c r="E4015" s="1">
        <v>72</v>
      </c>
    </row>
    <row r="4016" spans="1:5" hidden="1" x14ac:dyDescent="0.25">
      <c r="A4016" s="115">
        <v>72.123000000000005</v>
      </c>
      <c r="B4016" s="115">
        <v>72.23</v>
      </c>
      <c r="C4016" s="1">
        <v>230</v>
      </c>
      <c r="D4016" s="1" t="s">
        <v>2581</v>
      </c>
      <c r="E4016" s="1">
        <v>72</v>
      </c>
    </row>
    <row r="4017" spans="1:5" hidden="1" x14ac:dyDescent="0.25">
      <c r="A4017" s="115">
        <v>72.123999999999995</v>
      </c>
      <c r="B4017" s="115">
        <v>72.239999999999995</v>
      </c>
      <c r="C4017" s="1">
        <v>240</v>
      </c>
      <c r="D4017" s="1" t="s">
        <v>2582</v>
      </c>
      <c r="E4017" s="1">
        <v>72</v>
      </c>
    </row>
    <row r="4018" spans="1:5" hidden="1" x14ac:dyDescent="0.25">
      <c r="A4018" s="115">
        <v>72.125</v>
      </c>
      <c r="B4018" s="115">
        <v>72.25</v>
      </c>
      <c r="C4018" s="1">
        <v>250</v>
      </c>
      <c r="D4018" s="1" t="s">
        <v>2583</v>
      </c>
      <c r="E4018" s="1">
        <v>72</v>
      </c>
    </row>
    <row r="4019" spans="1:5" hidden="1" x14ac:dyDescent="0.25">
      <c r="A4019" s="115">
        <v>72.126000000000005</v>
      </c>
      <c r="B4019" s="115">
        <v>72.260000000000005</v>
      </c>
      <c r="C4019" s="1">
        <v>260</v>
      </c>
      <c r="D4019" s="1" t="s">
        <v>2584</v>
      </c>
      <c r="E4019" s="1">
        <v>72</v>
      </c>
    </row>
    <row r="4020" spans="1:5" hidden="1" x14ac:dyDescent="0.25">
      <c r="A4020" s="115">
        <v>72.126999999999995</v>
      </c>
      <c r="B4020" s="115">
        <v>72.27</v>
      </c>
      <c r="C4020" s="1">
        <v>270</v>
      </c>
      <c r="D4020" s="1" t="s">
        <v>2585</v>
      </c>
      <c r="E4020" s="1">
        <v>72</v>
      </c>
    </row>
    <row r="4021" spans="1:5" hidden="1" x14ac:dyDescent="0.25">
      <c r="A4021" s="115">
        <v>72.128</v>
      </c>
      <c r="B4021" s="115">
        <v>72.28</v>
      </c>
      <c r="C4021" s="1">
        <v>280</v>
      </c>
      <c r="D4021" s="1" t="s">
        <v>2586</v>
      </c>
      <c r="E4021" s="1">
        <v>72</v>
      </c>
    </row>
    <row r="4022" spans="1:5" hidden="1" x14ac:dyDescent="0.25">
      <c r="A4022" s="115">
        <v>72.129000000000005</v>
      </c>
      <c r="B4022" s="115">
        <v>72.290000000000006</v>
      </c>
      <c r="C4022" s="1">
        <v>290</v>
      </c>
      <c r="D4022" s="1" t="s">
        <v>2587</v>
      </c>
      <c r="E4022" s="1">
        <v>72</v>
      </c>
    </row>
    <row r="4023" spans="1:5" hidden="1" x14ac:dyDescent="0.25">
      <c r="A4023" s="115">
        <v>72.13</v>
      </c>
      <c r="B4023" s="115">
        <v>72.3</v>
      </c>
      <c r="C4023" s="1">
        <v>300</v>
      </c>
      <c r="D4023" s="1" t="s">
        <v>2588</v>
      </c>
      <c r="E4023" s="1">
        <v>72</v>
      </c>
    </row>
    <row r="4024" spans="1:5" hidden="1" x14ac:dyDescent="0.25">
      <c r="A4024" s="115">
        <v>72.131</v>
      </c>
      <c r="B4024" s="115">
        <v>72.31</v>
      </c>
      <c r="C4024" s="1">
        <v>310</v>
      </c>
      <c r="D4024" s="1" t="s">
        <v>2589</v>
      </c>
      <c r="E4024" s="1">
        <v>72</v>
      </c>
    </row>
    <row r="4025" spans="1:5" hidden="1" x14ac:dyDescent="0.25">
      <c r="A4025" s="115">
        <v>72.132000000000005</v>
      </c>
      <c r="B4025" s="115">
        <v>72.319999999999993</v>
      </c>
      <c r="C4025" s="1">
        <v>320</v>
      </c>
      <c r="D4025" s="1" t="s">
        <v>2590</v>
      </c>
      <c r="E4025" s="1">
        <v>72</v>
      </c>
    </row>
    <row r="4026" spans="1:5" hidden="1" x14ac:dyDescent="0.25">
      <c r="A4026" s="115">
        <v>72.132999999999996</v>
      </c>
      <c r="B4026" s="115">
        <v>72.33</v>
      </c>
      <c r="C4026" s="1">
        <v>330</v>
      </c>
      <c r="D4026" s="1" t="s">
        <v>2591</v>
      </c>
      <c r="E4026" s="1">
        <v>72</v>
      </c>
    </row>
    <row r="4027" spans="1:5" hidden="1" x14ac:dyDescent="0.25">
      <c r="A4027" s="115">
        <v>72.134</v>
      </c>
      <c r="B4027" s="115">
        <v>72.34</v>
      </c>
      <c r="C4027" s="1">
        <v>340</v>
      </c>
      <c r="D4027" s="1" t="s">
        <v>2592</v>
      </c>
      <c r="E4027" s="1">
        <v>72</v>
      </c>
    </row>
    <row r="4028" spans="1:5" hidden="1" x14ac:dyDescent="0.25">
      <c r="A4028" s="115">
        <v>72.135000000000005</v>
      </c>
      <c r="B4028" s="115">
        <v>72.349999999999994</v>
      </c>
      <c r="C4028" s="1">
        <v>350</v>
      </c>
      <c r="D4028" s="1" t="s">
        <v>2593</v>
      </c>
      <c r="E4028" s="1">
        <v>72</v>
      </c>
    </row>
    <row r="4029" spans="1:5" hidden="1" x14ac:dyDescent="0.25">
      <c r="A4029" s="115">
        <v>72.135999999999996</v>
      </c>
      <c r="B4029" s="115">
        <v>72.36</v>
      </c>
      <c r="C4029" s="1">
        <v>360</v>
      </c>
      <c r="D4029" s="1" t="s">
        <v>2594</v>
      </c>
      <c r="E4029" s="1">
        <v>72</v>
      </c>
    </row>
    <row r="4030" spans="1:5" hidden="1" x14ac:dyDescent="0.25">
      <c r="A4030" s="115">
        <v>72.137</v>
      </c>
      <c r="B4030" s="115">
        <v>72.37</v>
      </c>
      <c r="C4030" s="1">
        <v>370</v>
      </c>
      <c r="D4030" s="1" t="s">
        <v>2595</v>
      </c>
      <c r="E4030" s="1">
        <v>72</v>
      </c>
    </row>
    <row r="4031" spans="1:5" hidden="1" x14ac:dyDescent="0.25">
      <c r="A4031" s="115">
        <v>72.138000000000005</v>
      </c>
      <c r="B4031" s="115">
        <v>72.38</v>
      </c>
      <c r="C4031" s="1">
        <v>380</v>
      </c>
      <c r="D4031" s="1" t="s">
        <v>2596</v>
      </c>
      <c r="E4031" s="1">
        <v>72</v>
      </c>
    </row>
    <row r="4032" spans="1:5" hidden="1" x14ac:dyDescent="0.25">
      <c r="A4032" s="115">
        <v>72.138999999999996</v>
      </c>
      <c r="B4032" s="115">
        <v>72.39</v>
      </c>
      <c r="C4032" s="1">
        <v>390</v>
      </c>
      <c r="D4032" s="1" t="s">
        <v>2597</v>
      </c>
      <c r="E4032" s="1">
        <v>72</v>
      </c>
    </row>
    <row r="4033" spans="1:5" hidden="1" x14ac:dyDescent="0.25">
      <c r="A4033" s="115">
        <v>72.14</v>
      </c>
      <c r="B4033" s="115">
        <v>72.400000000000006</v>
      </c>
      <c r="C4033" s="1">
        <v>400</v>
      </c>
      <c r="D4033" s="1" t="s">
        <v>2598</v>
      </c>
      <c r="E4033" s="1">
        <v>72</v>
      </c>
    </row>
    <row r="4034" spans="1:5" hidden="1" x14ac:dyDescent="0.25">
      <c r="A4034" s="115">
        <v>72.141000000000005</v>
      </c>
      <c r="B4034" s="115">
        <v>72.41</v>
      </c>
      <c r="C4034" s="1">
        <v>410</v>
      </c>
      <c r="D4034" s="1" t="s">
        <v>2599</v>
      </c>
      <c r="E4034" s="1">
        <v>72</v>
      </c>
    </row>
    <row r="4035" spans="1:5" hidden="1" x14ac:dyDescent="0.25">
      <c r="A4035" s="115">
        <v>72.141999999999996</v>
      </c>
      <c r="B4035" s="115">
        <v>72.42</v>
      </c>
      <c r="C4035" s="1">
        <v>420</v>
      </c>
      <c r="D4035" s="1" t="s">
        <v>2600</v>
      </c>
      <c r="E4035" s="1">
        <v>72</v>
      </c>
    </row>
    <row r="4036" spans="1:5" hidden="1" x14ac:dyDescent="0.25">
      <c r="A4036" s="115">
        <v>72.143000000000001</v>
      </c>
      <c r="B4036" s="115">
        <v>72.430000000000007</v>
      </c>
      <c r="C4036" s="1">
        <v>430</v>
      </c>
      <c r="D4036" s="1" t="s">
        <v>2601</v>
      </c>
      <c r="E4036" s="1">
        <v>72</v>
      </c>
    </row>
    <row r="4037" spans="1:5" hidden="1" x14ac:dyDescent="0.25">
      <c r="A4037" s="115">
        <v>72.144000000000005</v>
      </c>
      <c r="B4037" s="115">
        <v>72.44</v>
      </c>
      <c r="C4037" s="1">
        <v>440</v>
      </c>
      <c r="D4037" s="1" t="s">
        <v>2602</v>
      </c>
      <c r="E4037" s="1">
        <v>72</v>
      </c>
    </row>
    <row r="4038" spans="1:5" hidden="1" x14ac:dyDescent="0.25">
      <c r="A4038" s="115">
        <v>72.144999999999996</v>
      </c>
      <c r="B4038" s="115">
        <v>72.444999999999993</v>
      </c>
      <c r="C4038" s="1">
        <v>445</v>
      </c>
      <c r="D4038" s="1" t="s">
        <v>2603</v>
      </c>
      <c r="E4038" s="1">
        <v>72</v>
      </c>
    </row>
    <row r="4039" spans="1:5" hidden="1" x14ac:dyDescent="0.25">
      <c r="A4039" s="115">
        <v>72.146000000000001</v>
      </c>
      <c r="B4039" s="115">
        <v>72.45</v>
      </c>
      <c r="C4039" s="1">
        <v>450</v>
      </c>
      <c r="D4039" s="1" t="s">
        <v>2604</v>
      </c>
      <c r="E4039" s="1">
        <v>72</v>
      </c>
    </row>
    <row r="4040" spans="1:5" hidden="1" x14ac:dyDescent="0.25">
      <c r="A4040" s="115">
        <v>72.147000000000006</v>
      </c>
      <c r="B4040" s="115">
        <v>72.459999999999994</v>
      </c>
      <c r="C4040" s="1">
        <v>460</v>
      </c>
      <c r="D4040" s="1" t="s">
        <v>2605</v>
      </c>
      <c r="E4040" s="1">
        <v>72</v>
      </c>
    </row>
    <row r="4041" spans="1:5" hidden="1" x14ac:dyDescent="0.25">
      <c r="A4041" s="115">
        <v>72.147999999999996</v>
      </c>
      <c r="B4041" s="115">
        <v>72.47</v>
      </c>
      <c r="C4041" s="1">
        <v>470</v>
      </c>
      <c r="D4041" s="1" t="s">
        <v>2606</v>
      </c>
      <c r="E4041" s="1">
        <v>72</v>
      </c>
    </row>
    <row r="4042" spans="1:5" hidden="1" x14ac:dyDescent="0.25">
      <c r="A4042" s="115">
        <v>72.149000000000001</v>
      </c>
      <c r="B4042" s="115">
        <v>72.48</v>
      </c>
      <c r="C4042" s="1">
        <v>480</v>
      </c>
      <c r="D4042" s="1" t="s">
        <v>2607</v>
      </c>
      <c r="E4042" s="1">
        <v>72</v>
      </c>
    </row>
    <row r="4043" spans="1:5" hidden="1" x14ac:dyDescent="0.25">
      <c r="A4043" s="115">
        <v>72.150000000000006</v>
      </c>
      <c r="B4043" s="115">
        <v>72.489999999999995</v>
      </c>
      <c r="C4043" s="1">
        <v>490</v>
      </c>
      <c r="D4043" s="1" t="s">
        <v>2608</v>
      </c>
      <c r="E4043" s="1">
        <v>72</v>
      </c>
    </row>
    <row r="4044" spans="1:5" hidden="1" x14ac:dyDescent="0.25">
      <c r="A4044" s="115">
        <v>72.150999999999996</v>
      </c>
      <c r="B4044" s="115">
        <v>72.5</v>
      </c>
      <c r="C4044" s="1">
        <v>500</v>
      </c>
      <c r="D4044" s="1" t="s">
        <v>2609</v>
      </c>
      <c r="E4044" s="1">
        <v>72</v>
      </c>
    </row>
    <row r="4045" spans="1:5" hidden="1" x14ac:dyDescent="0.25">
      <c r="A4045" s="115">
        <v>72.152000000000001</v>
      </c>
      <c r="B4045" s="115">
        <v>72.510000000000005</v>
      </c>
      <c r="C4045" s="1">
        <v>510</v>
      </c>
      <c r="D4045" s="1" t="s">
        <v>2610</v>
      </c>
      <c r="E4045" s="1">
        <v>72</v>
      </c>
    </row>
    <row r="4046" spans="1:5" hidden="1" x14ac:dyDescent="0.25">
      <c r="A4046" s="115">
        <v>72.153000000000006</v>
      </c>
      <c r="B4046" s="115">
        <v>72.52</v>
      </c>
      <c r="C4046" s="1">
        <v>520</v>
      </c>
      <c r="D4046" s="1" t="s">
        <v>2688</v>
      </c>
      <c r="E4046" s="1">
        <v>72</v>
      </c>
    </row>
    <row r="4047" spans="1:5" hidden="1" x14ac:dyDescent="0.25">
      <c r="A4047" s="115">
        <v>72.153999999999996</v>
      </c>
      <c r="B4047" s="115">
        <v>72.53</v>
      </c>
      <c r="C4047" s="1">
        <v>530</v>
      </c>
      <c r="D4047" s="1" t="s">
        <v>2612</v>
      </c>
      <c r="E4047" s="1">
        <v>72</v>
      </c>
    </row>
    <row r="4048" spans="1:5" hidden="1" x14ac:dyDescent="0.25">
      <c r="A4048" s="115">
        <v>72.155000000000001</v>
      </c>
      <c r="B4048" s="115">
        <v>72.540000000000006</v>
      </c>
      <c r="C4048" s="1">
        <v>540</v>
      </c>
      <c r="D4048" s="1" t="s">
        <v>2613</v>
      </c>
      <c r="E4048" s="1">
        <v>72</v>
      </c>
    </row>
    <row r="4049" spans="1:5" hidden="1" x14ac:dyDescent="0.25">
      <c r="A4049" s="115">
        <v>72.156000000000006</v>
      </c>
      <c r="B4049" s="115">
        <v>72.55</v>
      </c>
      <c r="C4049" s="1">
        <v>550</v>
      </c>
      <c r="D4049" s="1" t="s">
        <v>2614</v>
      </c>
      <c r="E4049" s="1">
        <v>72</v>
      </c>
    </row>
    <row r="4050" spans="1:5" hidden="1" x14ac:dyDescent="0.25">
      <c r="A4050" s="115">
        <v>72.156999999999996</v>
      </c>
      <c r="B4050" s="115">
        <v>72.56</v>
      </c>
      <c r="C4050" s="1">
        <v>560</v>
      </c>
      <c r="D4050" s="1" t="s">
        <v>2615</v>
      </c>
      <c r="E4050" s="1">
        <v>72</v>
      </c>
    </row>
    <row r="4051" spans="1:5" hidden="1" x14ac:dyDescent="0.25">
      <c r="A4051" s="115">
        <v>72.158000000000001</v>
      </c>
      <c r="B4051" s="115">
        <v>72.569999999999993</v>
      </c>
      <c r="C4051" s="1">
        <v>570</v>
      </c>
      <c r="D4051" s="1" t="s">
        <v>2616</v>
      </c>
      <c r="E4051" s="1">
        <v>72</v>
      </c>
    </row>
    <row r="4052" spans="1:5" hidden="1" x14ac:dyDescent="0.25">
      <c r="A4052" s="115">
        <v>72.159000000000006</v>
      </c>
      <c r="B4052" s="115">
        <v>72.575000000000003</v>
      </c>
      <c r="C4052" s="1">
        <v>575</v>
      </c>
      <c r="D4052" s="1" t="s">
        <v>2617</v>
      </c>
      <c r="E4052" s="1">
        <v>72</v>
      </c>
    </row>
    <row r="4053" spans="1:5" hidden="1" x14ac:dyDescent="0.25">
      <c r="A4053" s="115">
        <v>72.16</v>
      </c>
      <c r="B4053" s="115">
        <v>72.575999999999993</v>
      </c>
      <c r="C4053" s="1">
        <v>576</v>
      </c>
      <c r="D4053" s="1" t="s">
        <v>2618</v>
      </c>
      <c r="E4053" s="1">
        <v>72</v>
      </c>
    </row>
    <row r="4054" spans="1:5" hidden="1" x14ac:dyDescent="0.25">
      <c r="A4054" s="115">
        <v>72.161000000000001</v>
      </c>
      <c r="B4054" s="115">
        <v>72.58</v>
      </c>
      <c r="C4054" s="1">
        <v>580</v>
      </c>
      <c r="D4054" s="1" t="s">
        <v>2619</v>
      </c>
      <c r="E4054" s="1">
        <v>72</v>
      </c>
    </row>
    <row r="4055" spans="1:5" hidden="1" x14ac:dyDescent="0.25">
      <c r="A4055" s="115">
        <v>72.162000000000006</v>
      </c>
      <c r="B4055" s="115">
        <v>72.59</v>
      </c>
      <c r="C4055" s="1">
        <v>590</v>
      </c>
      <c r="D4055" s="1" t="s">
        <v>1099</v>
      </c>
      <c r="E4055" s="1">
        <v>72</v>
      </c>
    </row>
    <row r="4056" spans="1:5" hidden="1" x14ac:dyDescent="0.25">
      <c r="A4056" s="115">
        <v>72.162999999999997</v>
      </c>
      <c r="B4056" s="115">
        <v>72.599999999999994</v>
      </c>
      <c r="C4056" s="1">
        <v>600</v>
      </c>
      <c r="D4056" s="1" t="s">
        <v>2620</v>
      </c>
      <c r="E4056" s="1">
        <v>72</v>
      </c>
    </row>
    <row r="4057" spans="1:5" hidden="1" x14ac:dyDescent="0.25">
      <c r="A4057" s="115">
        <v>72.164000000000001</v>
      </c>
      <c r="B4057" s="115">
        <v>72.61</v>
      </c>
      <c r="C4057" s="1">
        <v>610</v>
      </c>
      <c r="D4057" s="1" t="s">
        <v>2621</v>
      </c>
      <c r="E4057" s="1">
        <v>72</v>
      </c>
    </row>
    <row r="4058" spans="1:5" hidden="1" x14ac:dyDescent="0.25">
      <c r="A4058" s="115">
        <v>72.165000000000006</v>
      </c>
      <c r="B4058" s="115">
        <v>72.62</v>
      </c>
      <c r="C4058" s="1">
        <v>620</v>
      </c>
      <c r="D4058" s="1" t="s">
        <v>2622</v>
      </c>
      <c r="E4058" s="1">
        <v>72</v>
      </c>
    </row>
    <row r="4059" spans="1:5" hidden="1" x14ac:dyDescent="0.25">
      <c r="A4059" s="115">
        <v>72.165999999999997</v>
      </c>
      <c r="B4059" s="115">
        <v>72.63</v>
      </c>
      <c r="C4059" s="1">
        <v>630</v>
      </c>
      <c r="D4059" s="1" t="s">
        <v>2623</v>
      </c>
      <c r="E4059" s="1">
        <v>72</v>
      </c>
    </row>
    <row r="4060" spans="1:5" hidden="1" x14ac:dyDescent="0.25">
      <c r="A4060" s="115">
        <v>72.167000000000002</v>
      </c>
      <c r="B4060" s="115">
        <v>72.64</v>
      </c>
      <c r="C4060" s="1">
        <v>640</v>
      </c>
      <c r="D4060" s="1" t="s">
        <v>2624</v>
      </c>
      <c r="E4060" s="1">
        <v>72</v>
      </c>
    </row>
    <row r="4061" spans="1:5" hidden="1" x14ac:dyDescent="0.25">
      <c r="A4061" s="115">
        <v>72.168000000000006</v>
      </c>
      <c r="B4061" s="115">
        <v>72.650000000000006</v>
      </c>
      <c r="C4061" s="1">
        <v>650</v>
      </c>
      <c r="D4061" s="1" t="s">
        <v>2625</v>
      </c>
      <c r="E4061" s="1">
        <v>72</v>
      </c>
    </row>
    <row r="4062" spans="1:5" hidden="1" x14ac:dyDescent="0.25">
      <c r="A4062" s="115">
        <v>72.168999999999997</v>
      </c>
      <c r="B4062" s="115">
        <v>72.66</v>
      </c>
      <c r="C4062" s="1">
        <v>660</v>
      </c>
      <c r="D4062" s="1" t="s">
        <v>2626</v>
      </c>
      <c r="E4062" s="1">
        <v>72</v>
      </c>
    </row>
    <row r="4063" spans="1:5" hidden="1" x14ac:dyDescent="0.25">
      <c r="A4063" s="115">
        <v>72.17</v>
      </c>
      <c r="B4063" s="115">
        <v>72.67</v>
      </c>
      <c r="C4063" s="1">
        <v>670</v>
      </c>
      <c r="D4063" s="1" t="s">
        <v>2627</v>
      </c>
      <c r="E4063" s="1">
        <v>72</v>
      </c>
    </row>
    <row r="4064" spans="1:5" hidden="1" x14ac:dyDescent="0.25">
      <c r="A4064" s="115">
        <v>72.171000000000006</v>
      </c>
      <c r="B4064" s="115">
        <v>72.680000000000007</v>
      </c>
      <c r="C4064" s="1">
        <v>680</v>
      </c>
      <c r="D4064" s="1" t="s">
        <v>2628</v>
      </c>
      <c r="E4064" s="1">
        <v>72</v>
      </c>
    </row>
    <row r="4065" spans="1:5" hidden="1" x14ac:dyDescent="0.25">
      <c r="A4065" s="115">
        <v>72.171999999999997</v>
      </c>
      <c r="B4065" s="115">
        <v>72.69</v>
      </c>
      <c r="C4065" s="1">
        <v>690</v>
      </c>
      <c r="D4065" s="1" t="s">
        <v>2629</v>
      </c>
      <c r="E4065" s="1">
        <v>72</v>
      </c>
    </row>
    <row r="4066" spans="1:5" hidden="1" x14ac:dyDescent="0.25">
      <c r="A4066" s="115">
        <v>72.173000000000002</v>
      </c>
      <c r="B4066" s="115">
        <v>72.7</v>
      </c>
      <c r="C4066" s="1">
        <v>700</v>
      </c>
      <c r="D4066" s="1" t="s">
        <v>2630</v>
      </c>
      <c r="E4066" s="1">
        <v>72</v>
      </c>
    </row>
    <row r="4067" spans="1:5" hidden="1" x14ac:dyDescent="0.25">
      <c r="A4067" s="115">
        <v>72.174000000000007</v>
      </c>
      <c r="B4067" s="115">
        <v>72.709999999999994</v>
      </c>
      <c r="C4067" s="1">
        <v>710</v>
      </c>
      <c r="D4067" s="1" t="s">
        <v>2631</v>
      </c>
      <c r="E4067" s="1">
        <v>72</v>
      </c>
    </row>
    <row r="4068" spans="1:5" hidden="1" x14ac:dyDescent="0.25">
      <c r="A4068" s="115">
        <v>72.174999999999997</v>
      </c>
      <c r="B4068" s="115">
        <v>72.72</v>
      </c>
      <c r="C4068" s="1">
        <v>720</v>
      </c>
      <c r="D4068" s="1" t="s">
        <v>2632</v>
      </c>
      <c r="E4068" s="1">
        <v>72</v>
      </c>
    </row>
    <row r="4069" spans="1:5" hidden="1" x14ac:dyDescent="0.25">
      <c r="A4069" s="115">
        <v>72.176000000000002</v>
      </c>
      <c r="B4069" s="115">
        <v>72.73</v>
      </c>
      <c r="C4069" s="1">
        <v>730</v>
      </c>
      <c r="D4069" s="1" t="s">
        <v>2633</v>
      </c>
      <c r="E4069" s="1">
        <v>72</v>
      </c>
    </row>
    <row r="4070" spans="1:5" hidden="1" x14ac:dyDescent="0.25">
      <c r="A4070" s="115">
        <v>72.177000000000007</v>
      </c>
      <c r="B4070" s="115">
        <v>72.739999999999995</v>
      </c>
      <c r="C4070" s="1">
        <v>740</v>
      </c>
      <c r="D4070" s="1" t="s">
        <v>2634</v>
      </c>
      <c r="E4070" s="1">
        <v>72</v>
      </c>
    </row>
    <row r="4071" spans="1:5" hidden="1" x14ac:dyDescent="0.25">
      <c r="A4071" s="115">
        <v>72.177999999999997</v>
      </c>
      <c r="B4071" s="115">
        <v>72.75</v>
      </c>
      <c r="C4071" s="1">
        <v>750</v>
      </c>
      <c r="D4071" s="1" t="s">
        <v>2635</v>
      </c>
      <c r="E4071" s="1">
        <v>72</v>
      </c>
    </row>
    <row r="4072" spans="1:5" hidden="1" x14ac:dyDescent="0.25">
      <c r="A4072" s="115">
        <v>72.179000000000002</v>
      </c>
      <c r="B4072" s="115">
        <v>72.754999999999995</v>
      </c>
      <c r="C4072" s="1">
        <v>755</v>
      </c>
      <c r="D4072" s="1" t="s">
        <v>1466</v>
      </c>
      <c r="E4072" s="1">
        <v>72</v>
      </c>
    </row>
    <row r="4073" spans="1:5" hidden="1" x14ac:dyDescent="0.25">
      <c r="A4073" s="115">
        <v>72.180000000000007</v>
      </c>
      <c r="B4073" s="115">
        <v>72.760000000000005</v>
      </c>
      <c r="C4073" s="1">
        <v>760</v>
      </c>
      <c r="D4073" s="1" t="s">
        <v>2636</v>
      </c>
      <c r="E4073" s="1">
        <v>72</v>
      </c>
    </row>
    <row r="4074" spans="1:5" hidden="1" x14ac:dyDescent="0.25">
      <c r="A4074" s="115">
        <v>72.180999999999997</v>
      </c>
      <c r="B4074" s="115">
        <v>72.77</v>
      </c>
      <c r="C4074" s="1">
        <v>770</v>
      </c>
      <c r="D4074" s="1" t="s">
        <v>2637</v>
      </c>
      <c r="E4074" s="1">
        <v>72</v>
      </c>
    </row>
    <row r="4075" spans="1:5" hidden="1" x14ac:dyDescent="0.25">
      <c r="A4075" s="115">
        <v>72.182000000000002</v>
      </c>
      <c r="B4075" s="115">
        <v>72.78</v>
      </c>
      <c r="C4075" s="1">
        <v>780</v>
      </c>
      <c r="D4075" s="1" t="s">
        <v>2638</v>
      </c>
      <c r="E4075" s="1">
        <v>72</v>
      </c>
    </row>
    <row r="4076" spans="1:5" hidden="1" x14ac:dyDescent="0.25">
      <c r="A4076" s="115">
        <v>72.183000000000007</v>
      </c>
      <c r="B4076" s="115">
        <v>72.790000000000006</v>
      </c>
      <c r="C4076" s="1">
        <v>790</v>
      </c>
      <c r="D4076" s="1" t="s">
        <v>2639</v>
      </c>
      <c r="E4076" s="1">
        <v>72</v>
      </c>
    </row>
    <row r="4077" spans="1:5" hidden="1" x14ac:dyDescent="0.25">
      <c r="A4077" s="115">
        <v>72.183999999999997</v>
      </c>
      <c r="B4077" s="115">
        <v>72.8</v>
      </c>
      <c r="C4077" s="1">
        <v>800</v>
      </c>
      <c r="D4077" s="1" t="s">
        <v>2640</v>
      </c>
      <c r="E4077" s="1">
        <v>72</v>
      </c>
    </row>
    <row r="4078" spans="1:5" hidden="1" x14ac:dyDescent="0.25">
      <c r="A4078" s="115">
        <v>72.185000000000002</v>
      </c>
      <c r="B4078" s="115">
        <v>72.805000000000007</v>
      </c>
      <c r="C4078" s="1">
        <v>805</v>
      </c>
      <c r="D4078" s="1" t="s">
        <v>2641</v>
      </c>
      <c r="E4078" s="1">
        <v>72</v>
      </c>
    </row>
    <row r="4079" spans="1:5" hidden="1" x14ac:dyDescent="0.25">
      <c r="A4079" s="115">
        <v>72.186000000000007</v>
      </c>
      <c r="B4079" s="115">
        <v>72.81</v>
      </c>
      <c r="C4079" s="1">
        <v>810</v>
      </c>
      <c r="D4079" s="1" t="s">
        <v>2642</v>
      </c>
      <c r="E4079" s="1">
        <v>72</v>
      </c>
    </row>
    <row r="4080" spans="1:5" hidden="1" x14ac:dyDescent="0.25">
      <c r="A4080" s="115">
        <v>72.186999999999998</v>
      </c>
      <c r="B4080" s="115">
        <v>72.819999999999993</v>
      </c>
      <c r="C4080" s="1">
        <v>820</v>
      </c>
      <c r="D4080" s="1" t="s">
        <v>2643</v>
      </c>
      <c r="E4080" s="1">
        <v>72</v>
      </c>
    </row>
    <row r="4081" spans="1:5" hidden="1" x14ac:dyDescent="0.25">
      <c r="A4081" s="115">
        <v>72.188000000000002</v>
      </c>
      <c r="B4081" s="115">
        <v>72.83</v>
      </c>
      <c r="C4081" s="1">
        <v>830</v>
      </c>
      <c r="D4081" s="1" t="s">
        <v>2644</v>
      </c>
      <c r="E4081" s="1">
        <v>72</v>
      </c>
    </row>
    <row r="4082" spans="1:5" hidden="1" x14ac:dyDescent="0.25">
      <c r="A4082" s="115">
        <v>72.188999999999993</v>
      </c>
      <c r="B4082" s="115">
        <v>72.84</v>
      </c>
      <c r="C4082" s="1">
        <v>840</v>
      </c>
      <c r="D4082" s="1" t="s">
        <v>2645</v>
      </c>
      <c r="E4082" s="1">
        <v>72</v>
      </c>
    </row>
    <row r="4083" spans="1:5" hidden="1" x14ac:dyDescent="0.25">
      <c r="A4083" s="115">
        <v>72.19</v>
      </c>
      <c r="B4083" s="115">
        <v>72.849999999999994</v>
      </c>
      <c r="C4083" s="1">
        <v>850</v>
      </c>
      <c r="D4083" s="1" t="s">
        <v>2646</v>
      </c>
      <c r="E4083" s="1">
        <v>72</v>
      </c>
    </row>
    <row r="4084" spans="1:5" hidden="1" x14ac:dyDescent="0.25">
      <c r="A4084" s="115">
        <v>72.191000000000003</v>
      </c>
      <c r="B4084" s="115">
        <v>72.86</v>
      </c>
      <c r="C4084" s="1">
        <v>860</v>
      </c>
      <c r="D4084" s="1" t="s">
        <v>2647</v>
      </c>
      <c r="E4084" s="1">
        <v>72</v>
      </c>
    </row>
    <row r="4085" spans="1:5" hidden="1" x14ac:dyDescent="0.25">
      <c r="A4085" s="115">
        <v>72.191999999999993</v>
      </c>
      <c r="B4085" s="115">
        <v>72.87</v>
      </c>
      <c r="C4085" s="1">
        <v>870</v>
      </c>
      <c r="D4085" s="1" t="s">
        <v>2648</v>
      </c>
      <c r="E4085" s="1">
        <v>72</v>
      </c>
    </row>
    <row r="4086" spans="1:5" hidden="1" x14ac:dyDescent="0.25">
      <c r="A4086" s="115">
        <v>72.192999999999998</v>
      </c>
      <c r="B4086" s="115">
        <v>72.88</v>
      </c>
      <c r="C4086" s="1">
        <v>880</v>
      </c>
      <c r="D4086" s="1" t="s">
        <v>2649</v>
      </c>
      <c r="E4086" s="1">
        <v>72</v>
      </c>
    </row>
    <row r="4087" spans="1:5" hidden="1" x14ac:dyDescent="0.25">
      <c r="A4087" s="115">
        <v>72.194000000000003</v>
      </c>
      <c r="B4087" s="115">
        <v>72.89</v>
      </c>
      <c r="C4087" s="1">
        <v>890</v>
      </c>
      <c r="D4087" s="1" t="s">
        <v>2650</v>
      </c>
      <c r="E4087" s="1">
        <v>72</v>
      </c>
    </row>
    <row r="4088" spans="1:5" hidden="1" x14ac:dyDescent="0.25">
      <c r="A4088" s="115">
        <v>72.194999999999993</v>
      </c>
      <c r="B4088" s="115">
        <v>72.894999999999996</v>
      </c>
      <c r="C4088" s="1">
        <v>895</v>
      </c>
      <c r="D4088" s="1" t="s">
        <v>2651</v>
      </c>
      <c r="E4088" s="1">
        <v>72</v>
      </c>
    </row>
    <row r="4089" spans="1:5" hidden="1" x14ac:dyDescent="0.25">
      <c r="A4089" s="115">
        <v>72.195999999999998</v>
      </c>
      <c r="B4089" s="115">
        <v>72.900000000000006</v>
      </c>
      <c r="C4089" s="1">
        <v>900</v>
      </c>
      <c r="D4089" s="1" t="s">
        <v>2652</v>
      </c>
      <c r="E4089" s="1">
        <v>72</v>
      </c>
    </row>
    <row r="4090" spans="1:5" hidden="1" x14ac:dyDescent="0.25">
      <c r="A4090" s="115">
        <v>72.197000000000003</v>
      </c>
      <c r="B4090" s="115">
        <v>72.91</v>
      </c>
      <c r="C4090" s="1">
        <v>910</v>
      </c>
      <c r="D4090" s="1" t="s">
        <v>2653</v>
      </c>
      <c r="E4090" s="1">
        <v>72</v>
      </c>
    </row>
    <row r="4091" spans="1:5" hidden="1" x14ac:dyDescent="0.25">
      <c r="A4091" s="115">
        <v>72.197999999999993</v>
      </c>
      <c r="B4091" s="115">
        <v>72.92</v>
      </c>
      <c r="C4091" s="1">
        <v>920</v>
      </c>
      <c r="D4091" s="1" t="s">
        <v>2654</v>
      </c>
      <c r="E4091" s="1">
        <v>72</v>
      </c>
    </row>
    <row r="4092" spans="1:5" hidden="1" x14ac:dyDescent="0.25">
      <c r="A4092" s="115">
        <v>72.198999999999998</v>
      </c>
      <c r="B4092" s="115">
        <v>72.924999999999997</v>
      </c>
      <c r="C4092" s="1">
        <v>925</v>
      </c>
      <c r="D4092" s="1" t="s">
        <v>2655</v>
      </c>
      <c r="E4092" s="1">
        <v>72</v>
      </c>
    </row>
    <row r="4093" spans="1:5" hidden="1" x14ac:dyDescent="0.25">
      <c r="A4093" s="115">
        <v>72.2</v>
      </c>
      <c r="B4093" s="115">
        <v>72.930000000000007</v>
      </c>
      <c r="C4093" s="1">
        <v>930</v>
      </c>
      <c r="D4093" s="1" t="s">
        <v>2656</v>
      </c>
      <c r="E4093" s="1">
        <v>72</v>
      </c>
    </row>
    <row r="4094" spans="1:5" hidden="1" x14ac:dyDescent="0.25">
      <c r="A4094" s="115">
        <v>72.200999999999993</v>
      </c>
      <c r="B4094" s="115">
        <v>72.935000000000002</v>
      </c>
      <c r="C4094" s="1">
        <v>935</v>
      </c>
      <c r="D4094" s="1" t="s">
        <v>2657</v>
      </c>
      <c r="E4094" s="1">
        <v>72</v>
      </c>
    </row>
    <row r="4095" spans="1:5" hidden="1" x14ac:dyDescent="0.25">
      <c r="A4095" s="115">
        <v>72.201999999999998</v>
      </c>
      <c r="B4095" s="115">
        <v>72.94</v>
      </c>
      <c r="C4095" s="1">
        <v>940</v>
      </c>
      <c r="D4095" s="1" t="s">
        <v>2658</v>
      </c>
      <c r="E4095" s="1">
        <v>72</v>
      </c>
    </row>
    <row r="4096" spans="1:5" hidden="1" x14ac:dyDescent="0.25">
      <c r="A4096" s="115">
        <v>72.203000000000003</v>
      </c>
      <c r="B4096" s="115">
        <v>72.95</v>
      </c>
      <c r="C4096" s="1">
        <v>950</v>
      </c>
      <c r="D4096" s="1" t="s">
        <v>2659</v>
      </c>
      <c r="E4096" s="1">
        <v>72</v>
      </c>
    </row>
    <row r="4097" spans="1:5" hidden="1" x14ac:dyDescent="0.25">
      <c r="A4097" s="115">
        <v>72.203999999999994</v>
      </c>
      <c r="B4097" s="115">
        <v>72.954999999999998</v>
      </c>
      <c r="C4097" s="1">
        <v>955</v>
      </c>
      <c r="D4097" s="1" t="s">
        <v>2660</v>
      </c>
      <c r="E4097" s="1">
        <v>72</v>
      </c>
    </row>
    <row r="4098" spans="1:5" hidden="1" x14ac:dyDescent="0.25">
      <c r="A4098" s="115">
        <v>72.204999999999998</v>
      </c>
      <c r="B4098" s="115">
        <v>72.959999999999994</v>
      </c>
      <c r="C4098" s="1">
        <v>960</v>
      </c>
      <c r="D4098" s="1" t="s">
        <v>2661</v>
      </c>
      <c r="E4098" s="1">
        <v>72</v>
      </c>
    </row>
    <row r="4099" spans="1:5" hidden="1" x14ac:dyDescent="0.25">
      <c r="A4099" s="115">
        <v>72.206000000000003</v>
      </c>
      <c r="B4099" s="115">
        <v>72.97</v>
      </c>
      <c r="C4099" s="1">
        <v>970</v>
      </c>
      <c r="D4099" s="1" t="s">
        <v>2662</v>
      </c>
      <c r="E4099" s="1">
        <v>72</v>
      </c>
    </row>
    <row r="4100" spans="1:5" hidden="1" x14ac:dyDescent="0.25">
      <c r="A4100" s="115">
        <v>72.206999999999994</v>
      </c>
      <c r="B4100" s="115">
        <v>72.98</v>
      </c>
      <c r="C4100" s="1">
        <v>980</v>
      </c>
      <c r="D4100" s="1" t="s">
        <v>2663</v>
      </c>
      <c r="E4100" s="1">
        <v>72</v>
      </c>
    </row>
    <row r="4101" spans="1:5" hidden="1" x14ac:dyDescent="0.25">
      <c r="A4101" s="115">
        <v>72.207999999999998</v>
      </c>
      <c r="B4101" s="115">
        <v>72.989999999999995</v>
      </c>
      <c r="C4101" s="1">
        <v>990</v>
      </c>
      <c r="D4101" s="1" t="s">
        <v>2664</v>
      </c>
      <c r="E4101" s="1">
        <v>72</v>
      </c>
    </row>
    <row r="4102" spans="1:5" hidden="1" x14ac:dyDescent="0.25">
      <c r="A4102" s="115">
        <v>72.209000000000003</v>
      </c>
      <c r="B4102" s="115">
        <v>72.099999999999994</v>
      </c>
      <c r="C4102" s="1">
        <v>1000</v>
      </c>
      <c r="D4102" s="1" t="s">
        <v>2665</v>
      </c>
      <c r="E4102" s="1">
        <v>72</v>
      </c>
    </row>
    <row r="4103" spans="1:5" hidden="1" x14ac:dyDescent="0.25">
      <c r="A4103" s="115">
        <v>72.209999999999994</v>
      </c>
      <c r="B4103" s="115">
        <v>72.11</v>
      </c>
      <c r="C4103" s="1">
        <v>1100</v>
      </c>
      <c r="D4103" s="1" t="s">
        <v>2666</v>
      </c>
      <c r="E4103" s="1">
        <v>72</v>
      </c>
    </row>
    <row r="4104" spans="1:5" hidden="1" x14ac:dyDescent="0.25">
      <c r="A4104" s="115">
        <v>72.210999999999999</v>
      </c>
      <c r="B4104" s="115">
        <v>72.111000000000004</v>
      </c>
      <c r="C4104" s="1">
        <v>1110</v>
      </c>
      <c r="D4104" s="1" t="s">
        <v>2667</v>
      </c>
      <c r="E4104" s="1">
        <v>72</v>
      </c>
    </row>
    <row r="4105" spans="1:5" hidden="1" x14ac:dyDescent="0.25">
      <c r="A4105" s="115">
        <v>72.212000000000003</v>
      </c>
      <c r="B4105" s="115">
        <v>72.111999999999995</v>
      </c>
      <c r="C4105" s="1">
        <v>1120</v>
      </c>
      <c r="D4105" s="1" t="s">
        <v>2668</v>
      </c>
      <c r="E4105" s="1">
        <v>72</v>
      </c>
    </row>
    <row r="4106" spans="1:5" hidden="1" x14ac:dyDescent="0.25">
      <c r="A4106" s="115">
        <v>72.212999999999994</v>
      </c>
      <c r="B4106" s="115">
        <v>72.113</v>
      </c>
      <c r="C4106" s="1">
        <v>1130</v>
      </c>
      <c r="D4106" s="1" t="s">
        <v>2669</v>
      </c>
      <c r="E4106" s="1">
        <v>72</v>
      </c>
    </row>
    <row r="4107" spans="1:5" hidden="1" x14ac:dyDescent="0.25">
      <c r="A4107" s="115">
        <v>72.213999999999999</v>
      </c>
      <c r="B4107" s="115">
        <v>72.114000000000004</v>
      </c>
      <c r="C4107" s="1">
        <v>1140</v>
      </c>
      <c r="D4107" s="1" t="s">
        <v>2670</v>
      </c>
      <c r="E4107" s="1">
        <v>72</v>
      </c>
    </row>
    <row r="4108" spans="1:5" hidden="1" x14ac:dyDescent="0.25">
      <c r="A4108" s="115">
        <v>72.215000000000003</v>
      </c>
      <c r="B4108" s="115">
        <v>72.114999999999995</v>
      </c>
      <c r="C4108" s="1">
        <v>1150</v>
      </c>
      <c r="D4108" s="1" t="s">
        <v>2671</v>
      </c>
      <c r="E4108" s="1">
        <v>72</v>
      </c>
    </row>
    <row r="4109" spans="1:5" hidden="1" x14ac:dyDescent="0.25">
      <c r="A4109" s="115">
        <v>72.215999999999994</v>
      </c>
      <c r="B4109" s="115">
        <v>72.116</v>
      </c>
      <c r="C4109" s="1">
        <v>1160</v>
      </c>
      <c r="D4109" s="1" t="s">
        <v>2672</v>
      </c>
      <c r="E4109" s="1">
        <v>72</v>
      </c>
    </row>
    <row r="4110" spans="1:5" hidden="1" x14ac:dyDescent="0.25">
      <c r="A4110" s="115">
        <v>72.216999999999999</v>
      </c>
      <c r="B4110" s="115">
        <v>72.117000000000004</v>
      </c>
      <c r="C4110" s="1">
        <v>1170</v>
      </c>
      <c r="D4110" s="1" t="s">
        <v>2673</v>
      </c>
      <c r="E4110" s="1">
        <v>72</v>
      </c>
    </row>
    <row r="4111" spans="1:5" hidden="1" x14ac:dyDescent="0.25">
      <c r="A4111" s="115">
        <v>72.218000000000004</v>
      </c>
      <c r="B4111" s="115">
        <v>72.117999999999995</v>
      </c>
      <c r="C4111" s="1">
        <v>1180</v>
      </c>
      <c r="D4111" s="1" t="s">
        <v>2674</v>
      </c>
      <c r="E4111" s="1">
        <v>72</v>
      </c>
    </row>
    <row r="4112" spans="1:5" hidden="1" x14ac:dyDescent="0.25">
      <c r="A4112" s="115">
        <v>72.218999999999994</v>
      </c>
      <c r="B4112" s="115">
        <v>72.119</v>
      </c>
      <c r="C4112" s="1">
        <v>1190</v>
      </c>
      <c r="D4112" s="1" t="s">
        <v>2675</v>
      </c>
      <c r="E4112" s="1">
        <v>72</v>
      </c>
    </row>
    <row r="4113" spans="1:5" hidden="1" x14ac:dyDescent="0.25">
      <c r="A4113" s="115">
        <v>72.22</v>
      </c>
      <c r="B4113" s="115">
        <v>72.12</v>
      </c>
      <c r="C4113" s="1">
        <v>1200</v>
      </c>
      <c r="D4113" s="1" t="s">
        <v>2676</v>
      </c>
      <c r="E4113" s="1">
        <v>72</v>
      </c>
    </row>
    <row r="4114" spans="1:5" hidden="1" x14ac:dyDescent="0.25">
      <c r="A4114" s="115">
        <v>72.221000000000004</v>
      </c>
      <c r="B4114" s="115">
        <v>72.120999999999995</v>
      </c>
      <c r="C4114" s="1">
        <v>1210</v>
      </c>
      <c r="D4114" s="1" t="s">
        <v>2677</v>
      </c>
      <c r="E4114" s="1">
        <v>72</v>
      </c>
    </row>
    <row r="4115" spans="1:5" hidden="1" x14ac:dyDescent="0.25">
      <c r="A4115" s="115">
        <v>72.221999999999994</v>
      </c>
      <c r="B4115" s="115">
        <v>72.122</v>
      </c>
      <c r="C4115" s="1">
        <v>1220</v>
      </c>
      <c r="D4115" s="1" t="s">
        <v>2678</v>
      </c>
      <c r="E4115" s="1">
        <v>72</v>
      </c>
    </row>
    <row r="4116" spans="1:5" hidden="1" x14ac:dyDescent="0.25">
      <c r="A4116" s="115">
        <v>72.222999999999999</v>
      </c>
      <c r="B4116" s="115">
        <v>72.123000000000005</v>
      </c>
      <c r="C4116" s="1">
        <v>1230</v>
      </c>
      <c r="D4116" s="1" t="s">
        <v>2679</v>
      </c>
      <c r="E4116" s="1">
        <v>72</v>
      </c>
    </row>
    <row r="4117" spans="1:5" hidden="1" x14ac:dyDescent="0.25">
      <c r="A4117" s="115">
        <v>72.224000000000004</v>
      </c>
      <c r="B4117" s="115">
        <v>72.123999999999995</v>
      </c>
      <c r="C4117" s="1">
        <v>1240</v>
      </c>
      <c r="D4117" s="1" t="s">
        <v>2680</v>
      </c>
      <c r="E4117" s="1">
        <v>72</v>
      </c>
    </row>
    <row r="4118" spans="1:5" hidden="1" x14ac:dyDescent="0.25">
      <c r="A4118" s="115">
        <v>72.224999999999994</v>
      </c>
      <c r="B4118" s="115">
        <v>72.125</v>
      </c>
      <c r="C4118" s="1">
        <v>1250</v>
      </c>
      <c r="D4118" s="1" t="s">
        <v>2681</v>
      </c>
      <c r="E4118" s="1">
        <v>72</v>
      </c>
    </row>
    <row r="4119" spans="1:5" hidden="1" x14ac:dyDescent="0.25">
      <c r="A4119" s="115">
        <v>72.225999999999999</v>
      </c>
      <c r="B4119" s="115">
        <v>72.126000000000005</v>
      </c>
      <c r="C4119" s="1">
        <v>1260</v>
      </c>
      <c r="D4119" s="1" t="s">
        <v>2682</v>
      </c>
      <c r="E4119" s="1">
        <v>72</v>
      </c>
    </row>
    <row r="4120" spans="1:5" hidden="1" x14ac:dyDescent="0.25">
      <c r="A4120" s="115">
        <v>72.227000000000004</v>
      </c>
      <c r="B4120" s="115">
        <v>72.126999999999995</v>
      </c>
      <c r="C4120" s="1">
        <v>1270</v>
      </c>
      <c r="D4120" s="1" t="s">
        <v>2683</v>
      </c>
      <c r="E4120" s="1">
        <v>72</v>
      </c>
    </row>
    <row r="4121" spans="1:5" hidden="1" x14ac:dyDescent="0.25">
      <c r="A4121" s="115">
        <v>72.227999999999994</v>
      </c>
      <c r="B4121" s="115">
        <v>72.128</v>
      </c>
      <c r="C4121" s="1">
        <v>1280</v>
      </c>
      <c r="D4121" s="1" t="s">
        <v>2684</v>
      </c>
      <c r="E4121" s="1">
        <v>72</v>
      </c>
    </row>
    <row r="4122" spans="1:5" hidden="1" x14ac:dyDescent="0.25">
      <c r="A4122" s="115">
        <v>72.228999999999999</v>
      </c>
      <c r="B4122" s="115">
        <v>72.13</v>
      </c>
      <c r="C4122" s="1">
        <v>1300</v>
      </c>
      <c r="D4122" s="1" t="s">
        <v>2685</v>
      </c>
      <c r="E4122" s="1">
        <v>72</v>
      </c>
    </row>
    <row r="4123" spans="1:5" hidden="1" x14ac:dyDescent="0.25">
      <c r="A4123" s="115">
        <v>72.23</v>
      </c>
      <c r="B4123" s="115">
        <v>72.131</v>
      </c>
      <c r="C4123" s="1">
        <v>1310</v>
      </c>
      <c r="D4123" s="1" t="s">
        <v>2686</v>
      </c>
      <c r="E4123" s="1">
        <v>72</v>
      </c>
    </row>
    <row r="4124" spans="1:5" hidden="1" x14ac:dyDescent="0.25">
      <c r="A4124" s="115">
        <v>72.230999999999995</v>
      </c>
      <c r="B4124" s="115">
        <v>72.132000000000005</v>
      </c>
      <c r="C4124" s="1">
        <v>1320</v>
      </c>
      <c r="D4124" s="1" t="s">
        <v>2687</v>
      </c>
      <c r="E4124" s="1">
        <v>72</v>
      </c>
    </row>
    <row r="4125" spans="1:5" hidden="1" x14ac:dyDescent="0.25">
      <c r="A4125" s="115">
        <v>73.100999999999999</v>
      </c>
      <c r="B4125" s="115">
        <v>73.099999999999994</v>
      </c>
      <c r="C4125" s="1">
        <v>10</v>
      </c>
      <c r="D4125" s="1" t="s">
        <v>2559</v>
      </c>
      <c r="E4125" s="1">
        <v>73</v>
      </c>
    </row>
    <row r="4126" spans="1:5" hidden="1" x14ac:dyDescent="0.25">
      <c r="A4126" s="115">
        <v>73.102000000000004</v>
      </c>
      <c r="B4126" s="115">
        <v>73.2</v>
      </c>
      <c r="C4126" s="1">
        <v>20</v>
      </c>
      <c r="D4126" s="1" t="s">
        <v>2560</v>
      </c>
      <c r="E4126" s="1">
        <v>73</v>
      </c>
    </row>
    <row r="4127" spans="1:5" hidden="1" x14ac:dyDescent="0.25">
      <c r="A4127" s="115">
        <v>73.102999999999994</v>
      </c>
      <c r="B4127" s="115">
        <v>73.3</v>
      </c>
      <c r="C4127" s="1">
        <v>30</v>
      </c>
      <c r="D4127" s="1" t="s">
        <v>2561</v>
      </c>
      <c r="E4127" s="1">
        <v>73</v>
      </c>
    </row>
    <row r="4128" spans="1:5" hidden="1" x14ac:dyDescent="0.25">
      <c r="A4128" s="115">
        <v>73.103999999999999</v>
      </c>
      <c r="B4128" s="115">
        <v>73.400000000000006</v>
      </c>
      <c r="C4128" s="1">
        <v>40</v>
      </c>
      <c r="D4128" s="1" t="s">
        <v>2562</v>
      </c>
      <c r="E4128" s="1">
        <v>73</v>
      </c>
    </row>
    <row r="4129" spans="1:5" hidden="1" x14ac:dyDescent="0.25">
      <c r="A4129" s="115">
        <v>73.105000000000004</v>
      </c>
      <c r="B4129" s="115">
        <v>73.5</v>
      </c>
      <c r="C4129" s="1">
        <v>50</v>
      </c>
      <c r="D4129" s="1" t="s">
        <v>2563</v>
      </c>
      <c r="E4129" s="1">
        <v>73</v>
      </c>
    </row>
    <row r="4130" spans="1:5" hidden="1" x14ac:dyDescent="0.25">
      <c r="A4130" s="115">
        <v>73.105999999999995</v>
      </c>
      <c r="B4130" s="115">
        <v>73.599999999999994</v>
      </c>
      <c r="C4130" s="1">
        <v>60</v>
      </c>
      <c r="D4130" s="1" t="s">
        <v>2564</v>
      </c>
      <c r="E4130" s="1">
        <v>73</v>
      </c>
    </row>
    <row r="4131" spans="1:5" hidden="1" x14ac:dyDescent="0.25">
      <c r="A4131" s="115">
        <v>73.106999999999999</v>
      </c>
      <c r="B4131" s="115">
        <v>73.7</v>
      </c>
      <c r="C4131" s="1">
        <v>70</v>
      </c>
      <c r="D4131" s="1" t="s">
        <v>2565</v>
      </c>
      <c r="E4131" s="1">
        <v>73</v>
      </c>
    </row>
    <row r="4132" spans="1:5" hidden="1" x14ac:dyDescent="0.25">
      <c r="A4132" s="115">
        <v>73.108000000000004</v>
      </c>
      <c r="B4132" s="115">
        <v>73.8</v>
      </c>
      <c r="C4132" s="1">
        <v>80</v>
      </c>
      <c r="D4132" s="1" t="s">
        <v>2566</v>
      </c>
      <c r="E4132" s="1">
        <v>73</v>
      </c>
    </row>
    <row r="4133" spans="1:5" hidden="1" x14ac:dyDescent="0.25">
      <c r="A4133" s="115">
        <v>73.108999999999995</v>
      </c>
      <c r="B4133" s="115">
        <v>73.900000000000006</v>
      </c>
      <c r="C4133" s="1">
        <v>90</v>
      </c>
      <c r="D4133" s="1" t="s">
        <v>2567</v>
      </c>
      <c r="E4133" s="1">
        <v>73</v>
      </c>
    </row>
    <row r="4134" spans="1:5" hidden="1" x14ac:dyDescent="0.25">
      <c r="A4134" s="115">
        <v>73.11</v>
      </c>
      <c r="B4134" s="115">
        <v>73.099999999999994</v>
      </c>
      <c r="C4134" s="1">
        <v>100</v>
      </c>
      <c r="D4134" s="1" t="s">
        <v>2568</v>
      </c>
      <c r="E4134" s="1">
        <v>73</v>
      </c>
    </row>
    <row r="4135" spans="1:5" hidden="1" x14ac:dyDescent="0.25">
      <c r="A4135" s="115">
        <v>73.111000000000004</v>
      </c>
      <c r="B4135" s="115">
        <v>73.11</v>
      </c>
      <c r="C4135" s="1">
        <v>110</v>
      </c>
      <c r="D4135" s="1" t="s">
        <v>2569</v>
      </c>
      <c r="E4135" s="1">
        <v>73</v>
      </c>
    </row>
    <row r="4136" spans="1:5" hidden="1" x14ac:dyDescent="0.25">
      <c r="A4136" s="115">
        <v>73.111999999999995</v>
      </c>
      <c r="B4136" s="115">
        <v>73.12</v>
      </c>
      <c r="C4136" s="1">
        <v>120</v>
      </c>
      <c r="D4136" s="1" t="s">
        <v>2570</v>
      </c>
      <c r="E4136" s="1">
        <v>73</v>
      </c>
    </row>
    <row r="4137" spans="1:5" hidden="1" x14ac:dyDescent="0.25">
      <c r="A4137" s="115">
        <v>73.113</v>
      </c>
      <c r="B4137" s="115">
        <v>73.13</v>
      </c>
      <c r="C4137" s="1">
        <v>130</v>
      </c>
      <c r="D4137" s="1" t="s">
        <v>2571</v>
      </c>
      <c r="E4137" s="1">
        <v>73</v>
      </c>
    </row>
    <row r="4138" spans="1:5" hidden="1" x14ac:dyDescent="0.25">
      <c r="A4138" s="115">
        <v>73.114000000000004</v>
      </c>
      <c r="B4138" s="115">
        <v>73.14</v>
      </c>
      <c r="C4138" s="1">
        <v>140</v>
      </c>
      <c r="D4138" s="1" t="s">
        <v>2572</v>
      </c>
      <c r="E4138" s="1">
        <v>73</v>
      </c>
    </row>
    <row r="4139" spans="1:5" hidden="1" x14ac:dyDescent="0.25">
      <c r="A4139" s="115">
        <v>73.114999999999995</v>
      </c>
      <c r="B4139" s="115">
        <v>73.150000000000006</v>
      </c>
      <c r="C4139" s="1">
        <v>150</v>
      </c>
      <c r="D4139" s="1" t="s">
        <v>2573</v>
      </c>
      <c r="E4139" s="1">
        <v>73</v>
      </c>
    </row>
    <row r="4140" spans="1:5" hidden="1" x14ac:dyDescent="0.25">
      <c r="A4140" s="115">
        <v>73.116</v>
      </c>
      <c r="B4140" s="115">
        <v>73.16</v>
      </c>
      <c r="C4140" s="1">
        <v>160</v>
      </c>
      <c r="D4140" s="1" t="s">
        <v>2574</v>
      </c>
      <c r="E4140" s="1">
        <v>73</v>
      </c>
    </row>
    <row r="4141" spans="1:5" hidden="1" x14ac:dyDescent="0.25">
      <c r="A4141" s="115">
        <v>73.117000000000004</v>
      </c>
      <c r="B4141" s="115">
        <v>73.17</v>
      </c>
      <c r="C4141" s="1">
        <v>170</v>
      </c>
      <c r="D4141" s="1" t="s">
        <v>2575</v>
      </c>
      <c r="E4141" s="1">
        <v>73</v>
      </c>
    </row>
    <row r="4142" spans="1:5" hidden="1" x14ac:dyDescent="0.25">
      <c r="A4142" s="115">
        <v>73.117999999999995</v>
      </c>
      <c r="B4142" s="115">
        <v>73.180000000000007</v>
      </c>
      <c r="C4142" s="1">
        <v>180</v>
      </c>
      <c r="D4142" s="1" t="s">
        <v>2576</v>
      </c>
      <c r="E4142" s="1">
        <v>73</v>
      </c>
    </row>
    <row r="4143" spans="1:5" hidden="1" x14ac:dyDescent="0.25">
      <c r="A4143" s="115">
        <v>73.119</v>
      </c>
      <c r="B4143" s="115">
        <v>73.19</v>
      </c>
      <c r="C4143" s="1">
        <v>190</v>
      </c>
      <c r="D4143" s="1" t="s">
        <v>2577</v>
      </c>
      <c r="E4143" s="1">
        <v>73</v>
      </c>
    </row>
    <row r="4144" spans="1:5" hidden="1" x14ac:dyDescent="0.25">
      <c r="A4144" s="115">
        <v>73.12</v>
      </c>
      <c r="B4144" s="115">
        <v>73.2</v>
      </c>
      <c r="C4144" s="1">
        <v>200</v>
      </c>
      <c r="D4144" s="1" t="s">
        <v>2578</v>
      </c>
      <c r="E4144" s="1">
        <v>73</v>
      </c>
    </row>
    <row r="4145" spans="1:5" hidden="1" x14ac:dyDescent="0.25">
      <c r="A4145" s="115">
        <v>73.120999999999995</v>
      </c>
      <c r="B4145" s="115">
        <v>73.209999999999994</v>
      </c>
      <c r="C4145" s="1">
        <v>210</v>
      </c>
      <c r="D4145" s="1" t="s">
        <v>2579</v>
      </c>
      <c r="E4145" s="1">
        <v>73</v>
      </c>
    </row>
    <row r="4146" spans="1:5" hidden="1" x14ac:dyDescent="0.25">
      <c r="A4146" s="115">
        <v>73.122</v>
      </c>
      <c r="B4146" s="115">
        <v>73.22</v>
      </c>
      <c r="C4146" s="1">
        <v>220</v>
      </c>
      <c r="D4146" s="1" t="s">
        <v>2580</v>
      </c>
      <c r="E4146" s="1">
        <v>73</v>
      </c>
    </row>
    <row r="4147" spans="1:5" hidden="1" x14ac:dyDescent="0.25">
      <c r="A4147" s="115">
        <v>73.123000000000005</v>
      </c>
      <c r="B4147" s="115">
        <v>73.23</v>
      </c>
      <c r="C4147" s="1">
        <v>230</v>
      </c>
      <c r="D4147" s="1" t="s">
        <v>2581</v>
      </c>
      <c r="E4147" s="1">
        <v>73</v>
      </c>
    </row>
    <row r="4148" spans="1:5" hidden="1" x14ac:dyDescent="0.25">
      <c r="A4148" s="115">
        <v>73.123999999999995</v>
      </c>
      <c r="B4148" s="115">
        <v>73.239999999999995</v>
      </c>
      <c r="C4148" s="1">
        <v>240</v>
      </c>
      <c r="D4148" s="1" t="s">
        <v>2582</v>
      </c>
      <c r="E4148" s="1">
        <v>73</v>
      </c>
    </row>
    <row r="4149" spans="1:5" hidden="1" x14ac:dyDescent="0.25">
      <c r="A4149" s="115">
        <v>73.125</v>
      </c>
      <c r="B4149" s="115">
        <v>73.25</v>
      </c>
      <c r="C4149" s="1">
        <v>250</v>
      </c>
      <c r="D4149" s="1" t="s">
        <v>2583</v>
      </c>
      <c r="E4149" s="1">
        <v>73</v>
      </c>
    </row>
    <row r="4150" spans="1:5" hidden="1" x14ac:dyDescent="0.25">
      <c r="A4150" s="115">
        <v>73.126000000000005</v>
      </c>
      <c r="B4150" s="115">
        <v>73.260000000000005</v>
      </c>
      <c r="C4150" s="1">
        <v>260</v>
      </c>
      <c r="D4150" s="1" t="s">
        <v>2584</v>
      </c>
      <c r="E4150" s="1">
        <v>73</v>
      </c>
    </row>
    <row r="4151" spans="1:5" hidden="1" x14ac:dyDescent="0.25">
      <c r="A4151" s="115">
        <v>73.126999999999995</v>
      </c>
      <c r="B4151" s="115">
        <v>73.27</v>
      </c>
      <c r="C4151" s="1">
        <v>270</v>
      </c>
      <c r="D4151" s="1" t="s">
        <v>2585</v>
      </c>
      <c r="E4151" s="1">
        <v>73</v>
      </c>
    </row>
    <row r="4152" spans="1:5" hidden="1" x14ac:dyDescent="0.25">
      <c r="A4152" s="115">
        <v>73.128</v>
      </c>
      <c r="B4152" s="115">
        <v>73.28</v>
      </c>
      <c r="C4152" s="1">
        <v>280</v>
      </c>
      <c r="D4152" s="1" t="s">
        <v>2586</v>
      </c>
      <c r="E4152" s="1">
        <v>73</v>
      </c>
    </row>
    <row r="4153" spans="1:5" hidden="1" x14ac:dyDescent="0.25">
      <c r="A4153" s="115">
        <v>73.129000000000005</v>
      </c>
      <c r="B4153" s="115">
        <v>73.290000000000006</v>
      </c>
      <c r="C4153" s="1">
        <v>290</v>
      </c>
      <c r="D4153" s="1" t="s">
        <v>2587</v>
      </c>
      <c r="E4153" s="1">
        <v>73</v>
      </c>
    </row>
    <row r="4154" spans="1:5" hidden="1" x14ac:dyDescent="0.25">
      <c r="A4154" s="115">
        <v>73.13</v>
      </c>
      <c r="B4154" s="115">
        <v>73.3</v>
      </c>
      <c r="C4154" s="1">
        <v>300</v>
      </c>
      <c r="D4154" s="1" t="s">
        <v>2588</v>
      </c>
      <c r="E4154" s="1">
        <v>73</v>
      </c>
    </row>
    <row r="4155" spans="1:5" hidden="1" x14ac:dyDescent="0.25">
      <c r="A4155" s="115">
        <v>73.131</v>
      </c>
      <c r="B4155" s="115">
        <v>73.31</v>
      </c>
      <c r="C4155" s="1">
        <v>310</v>
      </c>
      <c r="D4155" s="1" t="s">
        <v>2589</v>
      </c>
      <c r="E4155" s="1">
        <v>73</v>
      </c>
    </row>
    <row r="4156" spans="1:5" hidden="1" x14ac:dyDescent="0.25">
      <c r="A4156" s="115">
        <v>73.132000000000005</v>
      </c>
      <c r="B4156" s="115">
        <v>73.319999999999993</v>
      </c>
      <c r="C4156" s="1">
        <v>320</v>
      </c>
      <c r="D4156" s="1" t="s">
        <v>2590</v>
      </c>
      <c r="E4156" s="1">
        <v>73</v>
      </c>
    </row>
    <row r="4157" spans="1:5" hidden="1" x14ac:dyDescent="0.25">
      <c r="A4157" s="115">
        <v>73.132999999999996</v>
      </c>
      <c r="B4157" s="115">
        <v>73.33</v>
      </c>
      <c r="C4157" s="1">
        <v>330</v>
      </c>
      <c r="D4157" s="1" t="s">
        <v>2591</v>
      </c>
      <c r="E4157" s="1">
        <v>73</v>
      </c>
    </row>
    <row r="4158" spans="1:5" hidden="1" x14ac:dyDescent="0.25">
      <c r="A4158" s="115">
        <v>73.134</v>
      </c>
      <c r="B4158" s="115">
        <v>73.34</v>
      </c>
      <c r="C4158" s="1">
        <v>340</v>
      </c>
      <c r="D4158" s="1" t="s">
        <v>2592</v>
      </c>
      <c r="E4158" s="1">
        <v>73</v>
      </c>
    </row>
    <row r="4159" spans="1:5" hidden="1" x14ac:dyDescent="0.25">
      <c r="A4159" s="115">
        <v>73.135000000000005</v>
      </c>
      <c r="B4159" s="115">
        <v>73.349999999999994</v>
      </c>
      <c r="C4159" s="1">
        <v>350</v>
      </c>
      <c r="D4159" s="1" t="s">
        <v>2593</v>
      </c>
      <c r="E4159" s="1">
        <v>73</v>
      </c>
    </row>
    <row r="4160" spans="1:5" hidden="1" x14ac:dyDescent="0.25">
      <c r="A4160" s="115">
        <v>73.135999999999996</v>
      </c>
      <c r="B4160" s="115">
        <v>73.36</v>
      </c>
      <c r="C4160" s="1">
        <v>360</v>
      </c>
      <c r="D4160" s="1" t="s">
        <v>2594</v>
      </c>
      <c r="E4160" s="1">
        <v>73</v>
      </c>
    </row>
    <row r="4161" spans="1:5" hidden="1" x14ac:dyDescent="0.25">
      <c r="A4161" s="115">
        <v>73.137</v>
      </c>
      <c r="B4161" s="115">
        <v>73.37</v>
      </c>
      <c r="C4161" s="1">
        <v>370</v>
      </c>
      <c r="D4161" s="1" t="s">
        <v>2595</v>
      </c>
      <c r="E4161" s="1">
        <v>73</v>
      </c>
    </row>
    <row r="4162" spans="1:5" hidden="1" x14ac:dyDescent="0.25">
      <c r="A4162" s="115">
        <v>73.138000000000005</v>
      </c>
      <c r="B4162" s="115">
        <v>73.38</v>
      </c>
      <c r="C4162" s="1">
        <v>380</v>
      </c>
      <c r="D4162" s="1" t="s">
        <v>2596</v>
      </c>
      <c r="E4162" s="1">
        <v>73</v>
      </c>
    </row>
    <row r="4163" spans="1:5" hidden="1" x14ac:dyDescent="0.25">
      <c r="A4163" s="115">
        <v>73.138999999999996</v>
      </c>
      <c r="B4163" s="115">
        <v>73.39</v>
      </c>
      <c r="C4163" s="1">
        <v>390</v>
      </c>
      <c r="D4163" s="1" t="s">
        <v>2597</v>
      </c>
      <c r="E4163" s="1">
        <v>73</v>
      </c>
    </row>
    <row r="4164" spans="1:5" hidden="1" x14ac:dyDescent="0.25">
      <c r="A4164" s="115">
        <v>73.14</v>
      </c>
      <c r="B4164" s="115">
        <v>73.400000000000006</v>
      </c>
      <c r="C4164" s="1">
        <v>400</v>
      </c>
      <c r="D4164" s="1" t="s">
        <v>2598</v>
      </c>
      <c r="E4164" s="1">
        <v>73</v>
      </c>
    </row>
    <row r="4165" spans="1:5" hidden="1" x14ac:dyDescent="0.25">
      <c r="A4165" s="115">
        <v>73.141000000000005</v>
      </c>
      <c r="B4165" s="115">
        <v>73.41</v>
      </c>
      <c r="C4165" s="1">
        <v>410</v>
      </c>
      <c r="D4165" s="1" t="s">
        <v>2599</v>
      </c>
      <c r="E4165" s="1">
        <v>73</v>
      </c>
    </row>
    <row r="4166" spans="1:5" hidden="1" x14ac:dyDescent="0.25">
      <c r="A4166" s="115">
        <v>73.141999999999996</v>
      </c>
      <c r="B4166" s="115">
        <v>73.42</v>
      </c>
      <c r="C4166" s="1">
        <v>420</v>
      </c>
      <c r="D4166" s="1" t="s">
        <v>2600</v>
      </c>
      <c r="E4166" s="1">
        <v>73</v>
      </c>
    </row>
    <row r="4167" spans="1:5" hidden="1" x14ac:dyDescent="0.25">
      <c r="A4167" s="115">
        <v>73.143000000000001</v>
      </c>
      <c r="B4167" s="115">
        <v>73.430000000000007</v>
      </c>
      <c r="C4167" s="1">
        <v>430</v>
      </c>
      <c r="D4167" s="1" t="s">
        <v>2601</v>
      </c>
      <c r="E4167" s="1">
        <v>73</v>
      </c>
    </row>
    <row r="4168" spans="1:5" hidden="1" x14ac:dyDescent="0.25">
      <c r="A4168" s="115">
        <v>73.144000000000005</v>
      </c>
      <c r="B4168" s="115">
        <v>73.44</v>
      </c>
      <c r="C4168" s="1">
        <v>440</v>
      </c>
      <c r="D4168" s="1" t="s">
        <v>2602</v>
      </c>
      <c r="E4168" s="1">
        <v>73</v>
      </c>
    </row>
    <row r="4169" spans="1:5" hidden="1" x14ac:dyDescent="0.25">
      <c r="A4169" s="115">
        <v>73.144999999999996</v>
      </c>
      <c r="B4169" s="115">
        <v>73.444999999999993</v>
      </c>
      <c r="C4169" s="1">
        <v>445</v>
      </c>
      <c r="D4169" s="1" t="s">
        <v>2603</v>
      </c>
      <c r="E4169" s="1">
        <v>73</v>
      </c>
    </row>
    <row r="4170" spans="1:5" hidden="1" x14ac:dyDescent="0.25">
      <c r="A4170" s="115">
        <v>73.146000000000001</v>
      </c>
      <c r="B4170" s="115">
        <v>73.45</v>
      </c>
      <c r="C4170" s="1">
        <v>450</v>
      </c>
      <c r="D4170" s="1" t="s">
        <v>2604</v>
      </c>
      <c r="E4170" s="1">
        <v>73</v>
      </c>
    </row>
    <row r="4171" spans="1:5" hidden="1" x14ac:dyDescent="0.25">
      <c r="A4171" s="115">
        <v>73.147000000000006</v>
      </c>
      <c r="B4171" s="115">
        <v>73.459999999999994</v>
      </c>
      <c r="C4171" s="1">
        <v>460</v>
      </c>
      <c r="D4171" s="1" t="s">
        <v>2605</v>
      </c>
      <c r="E4171" s="1">
        <v>73</v>
      </c>
    </row>
    <row r="4172" spans="1:5" hidden="1" x14ac:dyDescent="0.25">
      <c r="A4172" s="115">
        <v>73.147999999999996</v>
      </c>
      <c r="B4172" s="115">
        <v>73.47</v>
      </c>
      <c r="C4172" s="1">
        <v>470</v>
      </c>
      <c r="D4172" s="1" t="s">
        <v>2606</v>
      </c>
      <c r="E4172" s="1">
        <v>73</v>
      </c>
    </row>
    <row r="4173" spans="1:5" hidden="1" x14ac:dyDescent="0.25">
      <c r="A4173" s="115">
        <v>73.149000000000001</v>
      </c>
      <c r="B4173" s="115">
        <v>73.48</v>
      </c>
      <c r="C4173" s="1">
        <v>480</v>
      </c>
      <c r="D4173" s="1" t="s">
        <v>2607</v>
      </c>
      <c r="E4173" s="1">
        <v>73</v>
      </c>
    </row>
    <row r="4174" spans="1:5" hidden="1" x14ac:dyDescent="0.25">
      <c r="A4174" s="115">
        <v>73.150000000000006</v>
      </c>
      <c r="B4174" s="115">
        <v>73.489999999999995</v>
      </c>
      <c r="C4174" s="1">
        <v>490</v>
      </c>
      <c r="D4174" s="1" t="s">
        <v>2608</v>
      </c>
      <c r="E4174" s="1">
        <v>73</v>
      </c>
    </row>
    <row r="4175" spans="1:5" hidden="1" x14ac:dyDescent="0.25">
      <c r="A4175" s="115">
        <v>73.150999999999996</v>
      </c>
      <c r="B4175" s="115">
        <v>73.5</v>
      </c>
      <c r="C4175" s="1">
        <v>500</v>
      </c>
      <c r="D4175" s="1" t="s">
        <v>2609</v>
      </c>
      <c r="E4175" s="1">
        <v>73</v>
      </c>
    </row>
    <row r="4176" spans="1:5" hidden="1" x14ac:dyDescent="0.25">
      <c r="A4176" s="115">
        <v>73.152000000000001</v>
      </c>
      <c r="B4176" s="115">
        <v>73.510000000000005</v>
      </c>
      <c r="C4176" s="1">
        <v>510</v>
      </c>
      <c r="D4176" s="1" t="s">
        <v>2610</v>
      </c>
      <c r="E4176" s="1">
        <v>73</v>
      </c>
    </row>
    <row r="4177" spans="1:5" hidden="1" x14ac:dyDescent="0.25">
      <c r="A4177" s="115">
        <v>73.153000000000006</v>
      </c>
      <c r="B4177" s="115">
        <v>73.52</v>
      </c>
      <c r="C4177" s="1">
        <v>520</v>
      </c>
      <c r="D4177" s="1" t="s">
        <v>2688</v>
      </c>
      <c r="E4177" s="1">
        <v>73</v>
      </c>
    </row>
    <row r="4178" spans="1:5" hidden="1" x14ac:dyDescent="0.25">
      <c r="A4178" s="115">
        <v>73.153999999999996</v>
      </c>
      <c r="B4178" s="115">
        <v>73.53</v>
      </c>
      <c r="C4178" s="1">
        <v>530</v>
      </c>
      <c r="D4178" s="1" t="s">
        <v>2612</v>
      </c>
      <c r="E4178" s="1">
        <v>73</v>
      </c>
    </row>
    <row r="4179" spans="1:5" hidden="1" x14ac:dyDescent="0.25">
      <c r="A4179" s="115">
        <v>73.155000000000001</v>
      </c>
      <c r="B4179" s="115">
        <v>73.540000000000006</v>
      </c>
      <c r="C4179" s="1">
        <v>540</v>
      </c>
      <c r="D4179" s="1" t="s">
        <v>2613</v>
      </c>
      <c r="E4179" s="1">
        <v>73</v>
      </c>
    </row>
    <row r="4180" spans="1:5" hidden="1" x14ac:dyDescent="0.25">
      <c r="A4180" s="115">
        <v>73.156000000000006</v>
      </c>
      <c r="B4180" s="115">
        <v>73.55</v>
      </c>
      <c r="C4180" s="1">
        <v>550</v>
      </c>
      <c r="D4180" s="1" t="s">
        <v>2614</v>
      </c>
      <c r="E4180" s="1">
        <v>73</v>
      </c>
    </row>
    <row r="4181" spans="1:5" hidden="1" x14ac:dyDescent="0.25">
      <c r="A4181" s="115">
        <v>73.156999999999996</v>
      </c>
      <c r="B4181" s="115">
        <v>73.56</v>
      </c>
      <c r="C4181" s="1">
        <v>560</v>
      </c>
      <c r="D4181" s="1" t="s">
        <v>2615</v>
      </c>
      <c r="E4181" s="1">
        <v>73</v>
      </c>
    </row>
    <row r="4182" spans="1:5" hidden="1" x14ac:dyDescent="0.25">
      <c r="A4182" s="115">
        <v>73.158000000000001</v>
      </c>
      <c r="B4182" s="115">
        <v>73.569999999999993</v>
      </c>
      <c r="C4182" s="1">
        <v>570</v>
      </c>
      <c r="D4182" s="1" t="s">
        <v>2616</v>
      </c>
      <c r="E4182" s="1">
        <v>73</v>
      </c>
    </row>
    <row r="4183" spans="1:5" hidden="1" x14ac:dyDescent="0.25">
      <c r="A4183" s="115">
        <v>73.159000000000006</v>
      </c>
      <c r="B4183" s="115">
        <v>73.575000000000003</v>
      </c>
      <c r="C4183" s="1">
        <v>575</v>
      </c>
      <c r="D4183" s="1" t="s">
        <v>2617</v>
      </c>
      <c r="E4183" s="1">
        <v>73</v>
      </c>
    </row>
    <row r="4184" spans="1:5" hidden="1" x14ac:dyDescent="0.25">
      <c r="A4184" s="115">
        <v>73.16</v>
      </c>
      <c r="B4184" s="115">
        <v>73.575999999999993</v>
      </c>
      <c r="C4184" s="1">
        <v>576</v>
      </c>
      <c r="D4184" s="1" t="s">
        <v>2618</v>
      </c>
      <c r="E4184" s="1">
        <v>73</v>
      </c>
    </row>
    <row r="4185" spans="1:5" hidden="1" x14ac:dyDescent="0.25">
      <c r="A4185" s="115">
        <v>73.161000000000001</v>
      </c>
      <c r="B4185" s="115">
        <v>73.58</v>
      </c>
      <c r="C4185" s="1">
        <v>580</v>
      </c>
      <c r="D4185" s="1" t="s">
        <v>2619</v>
      </c>
      <c r="E4185" s="1">
        <v>73</v>
      </c>
    </row>
    <row r="4186" spans="1:5" hidden="1" x14ac:dyDescent="0.25">
      <c r="A4186" s="115">
        <v>73.162000000000006</v>
      </c>
      <c r="B4186" s="115">
        <v>73.59</v>
      </c>
      <c r="C4186" s="1">
        <v>590</v>
      </c>
      <c r="D4186" s="1" t="s">
        <v>1099</v>
      </c>
      <c r="E4186" s="1">
        <v>73</v>
      </c>
    </row>
    <row r="4187" spans="1:5" hidden="1" x14ac:dyDescent="0.25">
      <c r="A4187" s="115">
        <v>73.162999999999997</v>
      </c>
      <c r="B4187" s="115">
        <v>73.599999999999994</v>
      </c>
      <c r="C4187" s="1">
        <v>600</v>
      </c>
      <c r="D4187" s="1" t="s">
        <v>2620</v>
      </c>
      <c r="E4187" s="1">
        <v>73</v>
      </c>
    </row>
    <row r="4188" spans="1:5" hidden="1" x14ac:dyDescent="0.25">
      <c r="A4188" s="115">
        <v>73.164000000000001</v>
      </c>
      <c r="B4188" s="115">
        <v>73.61</v>
      </c>
      <c r="C4188" s="1">
        <v>610</v>
      </c>
      <c r="D4188" s="1" t="s">
        <v>2621</v>
      </c>
      <c r="E4188" s="1">
        <v>73</v>
      </c>
    </row>
    <row r="4189" spans="1:5" hidden="1" x14ac:dyDescent="0.25">
      <c r="A4189" s="115">
        <v>73.165000000000006</v>
      </c>
      <c r="B4189" s="115">
        <v>73.62</v>
      </c>
      <c r="C4189" s="1">
        <v>620</v>
      </c>
      <c r="D4189" s="1" t="s">
        <v>2622</v>
      </c>
      <c r="E4189" s="1">
        <v>73</v>
      </c>
    </row>
    <row r="4190" spans="1:5" hidden="1" x14ac:dyDescent="0.25">
      <c r="A4190" s="115">
        <v>73.165999999999997</v>
      </c>
      <c r="B4190" s="115">
        <v>73.63</v>
      </c>
      <c r="C4190" s="1">
        <v>630</v>
      </c>
      <c r="D4190" s="1" t="s">
        <v>2623</v>
      </c>
      <c r="E4190" s="1">
        <v>73</v>
      </c>
    </row>
    <row r="4191" spans="1:5" hidden="1" x14ac:dyDescent="0.25">
      <c r="A4191" s="115">
        <v>73.167000000000002</v>
      </c>
      <c r="B4191" s="115">
        <v>73.64</v>
      </c>
      <c r="C4191" s="1">
        <v>640</v>
      </c>
      <c r="D4191" s="1" t="s">
        <v>2624</v>
      </c>
      <c r="E4191" s="1">
        <v>73</v>
      </c>
    </row>
    <row r="4192" spans="1:5" hidden="1" x14ac:dyDescent="0.25">
      <c r="A4192" s="115">
        <v>73.168000000000006</v>
      </c>
      <c r="B4192" s="115">
        <v>73.650000000000006</v>
      </c>
      <c r="C4192" s="1">
        <v>650</v>
      </c>
      <c r="D4192" s="1" t="s">
        <v>2625</v>
      </c>
      <c r="E4192" s="1">
        <v>73</v>
      </c>
    </row>
    <row r="4193" spans="1:5" hidden="1" x14ac:dyDescent="0.25">
      <c r="A4193" s="115">
        <v>73.168999999999997</v>
      </c>
      <c r="B4193" s="115">
        <v>73.66</v>
      </c>
      <c r="C4193" s="1">
        <v>660</v>
      </c>
      <c r="D4193" s="1" t="s">
        <v>2626</v>
      </c>
      <c r="E4193" s="1">
        <v>73</v>
      </c>
    </row>
    <row r="4194" spans="1:5" hidden="1" x14ac:dyDescent="0.25">
      <c r="A4194" s="115">
        <v>73.17</v>
      </c>
      <c r="B4194" s="115">
        <v>73.67</v>
      </c>
      <c r="C4194" s="1">
        <v>670</v>
      </c>
      <c r="D4194" s="1" t="s">
        <v>2627</v>
      </c>
      <c r="E4194" s="1">
        <v>73</v>
      </c>
    </row>
    <row r="4195" spans="1:5" hidden="1" x14ac:dyDescent="0.25">
      <c r="A4195" s="115">
        <v>73.171000000000006</v>
      </c>
      <c r="B4195" s="115">
        <v>73.680000000000007</v>
      </c>
      <c r="C4195" s="1">
        <v>680</v>
      </c>
      <c r="D4195" s="1" t="s">
        <v>2628</v>
      </c>
      <c r="E4195" s="1">
        <v>73</v>
      </c>
    </row>
    <row r="4196" spans="1:5" hidden="1" x14ac:dyDescent="0.25">
      <c r="A4196" s="115">
        <v>73.171999999999997</v>
      </c>
      <c r="B4196" s="115">
        <v>73.69</v>
      </c>
      <c r="C4196" s="1">
        <v>690</v>
      </c>
      <c r="D4196" s="1" t="s">
        <v>2629</v>
      </c>
      <c r="E4196" s="1">
        <v>73</v>
      </c>
    </row>
    <row r="4197" spans="1:5" hidden="1" x14ac:dyDescent="0.25">
      <c r="A4197" s="115">
        <v>73.173000000000002</v>
      </c>
      <c r="B4197" s="115">
        <v>73.7</v>
      </c>
      <c r="C4197" s="1">
        <v>700</v>
      </c>
      <c r="D4197" s="1" t="s">
        <v>2630</v>
      </c>
      <c r="E4197" s="1">
        <v>73</v>
      </c>
    </row>
    <row r="4198" spans="1:5" hidden="1" x14ac:dyDescent="0.25">
      <c r="A4198" s="115">
        <v>73.174000000000007</v>
      </c>
      <c r="B4198" s="115">
        <v>73.709999999999994</v>
      </c>
      <c r="C4198" s="1">
        <v>710</v>
      </c>
      <c r="D4198" s="1" t="s">
        <v>2631</v>
      </c>
      <c r="E4198" s="1">
        <v>73</v>
      </c>
    </row>
    <row r="4199" spans="1:5" hidden="1" x14ac:dyDescent="0.25">
      <c r="A4199" s="115">
        <v>73.174999999999997</v>
      </c>
      <c r="B4199" s="115">
        <v>73.72</v>
      </c>
      <c r="C4199" s="1">
        <v>720</v>
      </c>
      <c r="D4199" s="1" t="s">
        <v>2632</v>
      </c>
      <c r="E4199" s="1">
        <v>73</v>
      </c>
    </row>
    <row r="4200" spans="1:5" hidden="1" x14ac:dyDescent="0.25">
      <c r="A4200" s="115">
        <v>73.176000000000002</v>
      </c>
      <c r="B4200" s="115">
        <v>73.73</v>
      </c>
      <c r="C4200" s="1">
        <v>730</v>
      </c>
      <c r="D4200" s="1" t="s">
        <v>2633</v>
      </c>
      <c r="E4200" s="1">
        <v>73</v>
      </c>
    </row>
    <row r="4201" spans="1:5" hidden="1" x14ac:dyDescent="0.25">
      <c r="A4201" s="115">
        <v>73.177000000000007</v>
      </c>
      <c r="B4201" s="115">
        <v>73.739999999999995</v>
      </c>
      <c r="C4201" s="1">
        <v>740</v>
      </c>
      <c r="D4201" s="1" t="s">
        <v>2634</v>
      </c>
      <c r="E4201" s="1">
        <v>73</v>
      </c>
    </row>
    <row r="4202" spans="1:5" hidden="1" x14ac:dyDescent="0.25">
      <c r="A4202" s="115">
        <v>73.177999999999997</v>
      </c>
      <c r="B4202" s="115">
        <v>73.75</v>
      </c>
      <c r="C4202" s="1">
        <v>750</v>
      </c>
      <c r="D4202" s="1" t="s">
        <v>2635</v>
      </c>
      <c r="E4202" s="1">
        <v>73</v>
      </c>
    </row>
    <row r="4203" spans="1:5" hidden="1" x14ac:dyDescent="0.25">
      <c r="A4203" s="115">
        <v>73.179000000000002</v>
      </c>
      <c r="B4203" s="115">
        <v>73.754999999999995</v>
      </c>
      <c r="C4203" s="1">
        <v>755</v>
      </c>
      <c r="D4203" s="1" t="s">
        <v>1466</v>
      </c>
      <c r="E4203" s="1">
        <v>73</v>
      </c>
    </row>
    <row r="4204" spans="1:5" hidden="1" x14ac:dyDescent="0.25">
      <c r="A4204" s="115">
        <v>73.180000000000007</v>
      </c>
      <c r="B4204" s="115">
        <v>73.760000000000005</v>
      </c>
      <c r="C4204" s="1">
        <v>760</v>
      </c>
      <c r="D4204" s="1" t="s">
        <v>2636</v>
      </c>
      <c r="E4204" s="1">
        <v>73</v>
      </c>
    </row>
    <row r="4205" spans="1:5" hidden="1" x14ac:dyDescent="0.25">
      <c r="A4205" s="115">
        <v>73.180999999999997</v>
      </c>
      <c r="B4205" s="115">
        <v>73.77</v>
      </c>
      <c r="C4205" s="1">
        <v>770</v>
      </c>
      <c r="D4205" s="1" t="s">
        <v>2637</v>
      </c>
      <c r="E4205" s="1">
        <v>73</v>
      </c>
    </row>
    <row r="4206" spans="1:5" hidden="1" x14ac:dyDescent="0.25">
      <c r="A4206" s="115">
        <v>73.182000000000002</v>
      </c>
      <c r="B4206" s="115">
        <v>73.78</v>
      </c>
      <c r="C4206" s="1">
        <v>780</v>
      </c>
      <c r="D4206" s="1" t="s">
        <v>2638</v>
      </c>
      <c r="E4206" s="1">
        <v>73</v>
      </c>
    </row>
    <row r="4207" spans="1:5" hidden="1" x14ac:dyDescent="0.25">
      <c r="A4207" s="115">
        <v>73.183000000000007</v>
      </c>
      <c r="B4207" s="115">
        <v>73.790000000000006</v>
      </c>
      <c r="C4207" s="1">
        <v>790</v>
      </c>
      <c r="D4207" s="1" t="s">
        <v>2639</v>
      </c>
      <c r="E4207" s="1">
        <v>73</v>
      </c>
    </row>
    <row r="4208" spans="1:5" hidden="1" x14ac:dyDescent="0.25">
      <c r="A4208" s="115">
        <v>73.183999999999997</v>
      </c>
      <c r="B4208" s="115">
        <v>73.8</v>
      </c>
      <c r="C4208" s="1">
        <v>800</v>
      </c>
      <c r="D4208" s="1" t="s">
        <v>2640</v>
      </c>
      <c r="E4208" s="1">
        <v>73</v>
      </c>
    </row>
    <row r="4209" spans="1:5" hidden="1" x14ac:dyDescent="0.25">
      <c r="A4209" s="115">
        <v>73.185000000000002</v>
      </c>
      <c r="B4209" s="115">
        <v>73.805000000000007</v>
      </c>
      <c r="C4209" s="1">
        <v>805</v>
      </c>
      <c r="D4209" s="1" t="s">
        <v>2641</v>
      </c>
      <c r="E4209" s="1">
        <v>73</v>
      </c>
    </row>
    <row r="4210" spans="1:5" hidden="1" x14ac:dyDescent="0.25">
      <c r="A4210" s="115">
        <v>73.186000000000007</v>
      </c>
      <c r="B4210" s="115">
        <v>73.81</v>
      </c>
      <c r="C4210" s="1">
        <v>810</v>
      </c>
      <c r="D4210" s="1" t="s">
        <v>2642</v>
      </c>
      <c r="E4210" s="1">
        <v>73</v>
      </c>
    </row>
    <row r="4211" spans="1:5" hidden="1" x14ac:dyDescent="0.25">
      <c r="A4211" s="115">
        <v>73.186999999999998</v>
      </c>
      <c r="B4211" s="115">
        <v>73.819999999999993</v>
      </c>
      <c r="C4211" s="1">
        <v>820</v>
      </c>
      <c r="D4211" s="1" t="s">
        <v>2643</v>
      </c>
      <c r="E4211" s="1">
        <v>73</v>
      </c>
    </row>
    <row r="4212" spans="1:5" hidden="1" x14ac:dyDescent="0.25">
      <c r="A4212" s="115">
        <v>73.188000000000002</v>
      </c>
      <c r="B4212" s="115">
        <v>73.83</v>
      </c>
      <c r="C4212" s="1">
        <v>830</v>
      </c>
      <c r="D4212" s="1" t="s">
        <v>2644</v>
      </c>
      <c r="E4212" s="1">
        <v>73</v>
      </c>
    </row>
    <row r="4213" spans="1:5" hidden="1" x14ac:dyDescent="0.25">
      <c r="A4213" s="115">
        <v>73.188999999999993</v>
      </c>
      <c r="B4213" s="115">
        <v>73.84</v>
      </c>
      <c r="C4213" s="1">
        <v>840</v>
      </c>
      <c r="D4213" s="1" t="s">
        <v>2645</v>
      </c>
      <c r="E4213" s="1">
        <v>73</v>
      </c>
    </row>
    <row r="4214" spans="1:5" hidden="1" x14ac:dyDescent="0.25">
      <c r="A4214" s="115">
        <v>73.19</v>
      </c>
      <c r="B4214" s="115">
        <v>73.849999999999994</v>
      </c>
      <c r="C4214" s="1">
        <v>850</v>
      </c>
      <c r="D4214" s="1" t="s">
        <v>2646</v>
      </c>
      <c r="E4214" s="1">
        <v>73</v>
      </c>
    </row>
    <row r="4215" spans="1:5" hidden="1" x14ac:dyDescent="0.25">
      <c r="A4215" s="115">
        <v>73.191000000000003</v>
      </c>
      <c r="B4215" s="115">
        <v>73.86</v>
      </c>
      <c r="C4215" s="1">
        <v>860</v>
      </c>
      <c r="D4215" s="1" t="s">
        <v>2647</v>
      </c>
      <c r="E4215" s="1">
        <v>73</v>
      </c>
    </row>
    <row r="4216" spans="1:5" hidden="1" x14ac:dyDescent="0.25">
      <c r="A4216" s="115">
        <v>73.191999999999993</v>
      </c>
      <c r="B4216" s="115">
        <v>73.87</v>
      </c>
      <c r="C4216" s="1">
        <v>870</v>
      </c>
      <c r="D4216" s="1" t="s">
        <v>2648</v>
      </c>
      <c r="E4216" s="1">
        <v>73</v>
      </c>
    </row>
    <row r="4217" spans="1:5" hidden="1" x14ac:dyDescent="0.25">
      <c r="A4217" s="115">
        <v>73.192999999999998</v>
      </c>
      <c r="B4217" s="115">
        <v>73.88</v>
      </c>
      <c r="C4217" s="1">
        <v>880</v>
      </c>
      <c r="D4217" s="1" t="s">
        <v>2649</v>
      </c>
      <c r="E4217" s="1">
        <v>73</v>
      </c>
    </row>
    <row r="4218" spans="1:5" hidden="1" x14ac:dyDescent="0.25">
      <c r="A4218" s="115">
        <v>73.194000000000003</v>
      </c>
      <c r="B4218" s="115">
        <v>73.89</v>
      </c>
      <c r="C4218" s="1">
        <v>890</v>
      </c>
      <c r="D4218" s="1" t="s">
        <v>2650</v>
      </c>
      <c r="E4218" s="1">
        <v>73</v>
      </c>
    </row>
    <row r="4219" spans="1:5" hidden="1" x14ac:dyDescent="0.25">
      <c r="A4219" s="115">
        <v>73.194999999999993</v>
      </c>
      <c r="B4219" s="115">
        <v>73.894999999999996</v>
      </c>
      <c r="C4219" s="1">
        <v>895</v>
      </c>
      <c r="D4219" s="1" t="s">
        <v>2651</v>
      </c>
      <c r="E4219" s="1">
        <v>73</v>
      </c>
    </row>
    <row r="4220" spans="1:5" hidden="1" x14ac:dyDescent="0.25">
      <c r="A4220" s="115">
        <v>73.195999999999998</v>
      </c>
      <c r="B4220" s="115">
        <v>73.900000000000006</v>
      </c>
      <c r="C4220" s="1">
        <v>900</v>
      </c>
      <c r="D4220" s="1" t="s">
        <v>2652</v>
      </c>
      <c r="E4220" s="1">
        <v>73</v>
      </c>
    </row>
    <row r="4221" spans="1:5" hidden="1" x14ac:dyDescent="0.25">
      <c r="A4221" s="115">
        <v>73.197000000000003</v>
      </c>
      <c r="B4221" s="115">
        <v>73.91</v>
      </c>
      <c r="C4221" s="1">
        <v>910</v>
      </c>
      <c r="D4221" s="1" t="s">
        <v>2653</v>
      </c>
      <c r="E4221" s="1">
        <v>73</v>
      </c>
    </row>
    <row r="4222" spans="1:5" hidden="1" x14ac:dyDescent="0.25">
      <c r="A4222" s="115">
        <v>73.197999999999993</v>
      </c>
      <c r="B4222" s="115">
        <v>73.92</v>
      </c>
      <c r="C4222" s="1">
        <v>920</v>
      </c>
      <c r="D4222" s="1" t="s">
        <v>2654</v>
      </c>
      <c r="E4222" s="1">
        <v>73</v>
      </c>
    </row>
    <row r="4223" spans="1:5" hidden="1" x14ac:dyDescent="0.25">
      <c r="A4223" s="115">
        <v>73.198999999999998</v>
      </c>
      <c r="B4223" s="115">
        <v>73.924999999999997</v>
      </c>
      <c r="C4223" s="1">
        <v>925</v>
      </c>
      <c r="D4223" s="1" t="s">
        <v>2655</v>
      </c>
      <c r="E4223" s="1">
        <v>73</v>
      </c>
    </row>
    <row r="4224" spans="1:5" hidden="1" x14ac:dyDescent="0.25">
      <c r="A4224" s="115">
        <v>73.2</v>
      </c>
      <c r="B4224" s="115">
        <v>73.930000000000007</v>
      </c>
      <c r="C4224" s="1">
        <v>930</v>
      </c>
      <c r="D4224" s="1" t="s">
        <v>2656</v>
      </c>
      <c r="E4224" s="1">
        <v>73</v>
      </c>
    </row>
    <row r="4225" spans="1:5" hidden="1" x14ac:dyDescent="0.25">
      <c r="A4225" s="115">
        <v>73.200999999999993</v>
      </c>
      <c r="B4225" s="115">
        <v>73.935000000000002</v>
      </c>
      <c r="C4225" s="1">
        <v>935</v>
      </c>
      <c r="D4225" s="1" t="s">
        <v>2657</v>
      </c>
      <c r="E4225" s="1">
        <v>73</v>
      </c>
    </row>
    <row r="4226" spans="1:5" hidden="1" x14ac:dyDescent="0.25">
      <c r="A4226" s="115">
        <v>73.201999999999998</v>
      </c>
      <c r="B4226" s="115">
        <v>73.94</v>
      </c>
      <c r="C4226" s="1">
        <v>940</v>
      </c>
      <c r="D4226" s="1" t="s">
        <v>2658</v>
      </c>
      <c r="E4226" s="1">
        <v>73</v>
      </c>
    </row>
    <row r="4227" spans="1:5" hidden="1" x14ac:dyDescent="0.25">
      <c r="A4227" s="115">
        <v>73.203000000000003</v>
      </c>
      <c r="B4227" s="115">
        <v>73.95</v>
      </c>
      <c r="C4227" s="1">
        <v>950</v>
      </c>
      <c r="D4227" s="1" t="s">
        <v>2659</v>
      </c>
      <c r="E4227" s="1">
        <v>73</v>
      </c>
    </row>
    <row r="4228" spans="1:5" hidden="1" x14ac:dyDescent="0.25">
      <c r="A4228" s="115">
        <v>73.203999999999994</v>
      </c>
      <c r="B4228" s="115">
        <v>73.954999999999998</v>
      </c>
      <c r="C4228" s="1">
        <v>955</v>
      </c>
      <c r="D4228" s="1" t="s">
        <v>2660</v>
      </c>
      <c r="E4228" s="1">
        <v>73</v>
      </c>
    </row>
    <row r="4229" spans="1:5" hidden="1" x14ac:dyDescent="0.25">
      <c r="A4229" s="115">
        <v>73.204999999999998</v>
      </c>
      <c r="B4229" s="115">
        <v>73.959999999999994</v>
      </c>
      <c r="C4229" s="1">
        <v>960</v>
      </c>
      <c r="D4229" s="1" t="s">
        <v>2661</v>
      </c>
      <c r="E4229" s="1">
        <v>73</v>
      </c>
    </row>
    <row r="4230" spans="1:5" hidden="1" x14ac:dyDescent="0.25">
      <c r="A4230" s="115">
        <v>73.206000000000003</v>
      </c>
      <c r="B4230" s="115">
        <v>73.97</v>
      </c>
      <c r="C4230" s="1">
        <v>970</v>
      </c>
      <c r="D4230" s="1" t="s">
        <v>2662</v>
      </c>
      <c r="E4230" s="1">
        <v>73</v>
      </c>
    </row>
    <row r="4231" spans="1:5" hidden="1" x14ac:dyDescent="0.25">
      <c r="A4231" s="115">
        <v>73.206999999999994</v>
      </c>
      <c r="B4231" s="115">
        <v>73.98</v>
      </c>
      <c r="C4231" s="1">
        <v>980</v>
      </c>
      <c r="D4231" s="1" t="s">
        <v>2663</v>
      </c>
      <c r="E4231" s="1">
        <v>73</v>
      </c>
    </row>
    <row r="4232" spans="1:5" hidden="1" x14ac:dyDescent="0.25">
      <c r="A4232" s="115">
        <v>73.207999999999998</v>
      </c>
      <c r="B4232" s="115">
        <v>73.989999999999995</v>
      </c>
      <c r="C4232" s="1">
        <v>990</v>
      </c>
      <c r="D4232" s="1" t="s">
        <v>2664</v>
      </c>
      <c r="E4232" s="1">
        <v>73</v>
      </c>
    </row>
    <row r="4233" spans="1:5" hidden="1" x14ac:dyDescent="0.25">
      <c r="A4233" s="115">
        <v>73.209000000000003</v>
      </c>
      <c r="B4233" s="115">
        <v>73.099999999999994</v>
      </c>
      <c r="C4233" s="1">
        <v>1000</v>
      </c>
      <c r="D4233" s="1" t="s">
        <v>2665</v>
      </c>
      <c r="E4233" s="1">
        <v>73</v>
      </c>
    </row>
    <row r="4234" spans="1:5" hidden="1" x14ac:dyDescent="0.25">
      <c r="A4234" s="115">
        <v>73.209999999999994</v>
      </c>
      <c r="B4234" s="115">
        <v>73.11</v>
      </c>
      <c r="C4234" s="1">
        <v>1100</v>
      </c>
      <c r="D4234" s="1" t="s">
        <v>2666</v>
      </c>
      <c r="E4234" s="1">
        <v>73</v>
      </c>
    </row>
    <row r="4235" spans="1:5" hidden="1" x14ac:dyDescent="0.25">
      <c r="A4235" s="115">
        <v>73.210999999999999</v>
      </c>
      <c r="B4235" s="115">
        <v>73.111000000000004</v>
      </c>
      <c r="C4235" s="1">
        <v>1110</v>
      </c>
      <c r="D4235" s="1" t="s">
        <v>2667</v>
      </c>
      <c r="E4235" s="1">
        <v>73</v>
      </c>
    </row>
    <row r="4236" spans="1:5" hidden="1" x14ac:dyDescent="0.25">
      <c r="A4236" s="115">
        <v>73.212000000000003</v>
      </c>
      <c r="B4236" s="115">
        <v>73.111999999999995</v>
      </c>
      <c r="C4236" s="1">
        <v>1120</v>
      </c>
      <c r="D4236" s="1" t="s">
        <v>2668</v>
      </c>
      <c r="E4236" s="1">
        <v>73</v>
      </c>
    </row>
    <row r="4237" spans="1:5" hidden="1" x14ac:dyDescent="0.25">
      <c r="A4237" s="115">
        <v>73.212999999999994</v>
      </c>
      <c r="B4237" s="115">
        <v>73.113</v>
      </c>
      <c r="C4237" s="1">
        <v>1130</v>
      </c>
      <c r="D4237" s="1" t="s">
        <v>2669</v>
      </c>
      <c r="E4237" s="1">
        <v>73</v>
      </c>
    </row>
    <row r="4238" spans="1:5" hidden="1" x14ac:dyDescent="0.25">
      <c r="A4238" s="115">
        <v>73.213999999999999</v>
      </c>
      <c r="B4238" s="115">
        <v>73.114000000000004</v>
      </c>
      <c r="C4238" s="1">
        <v>1140</v>
      </c>
      <c r="D4238" s="1" t="s">
        <v>2670</v>
      </c>
      <c r="E4238" s="1">
        <v>73</v>
      </c>
    </row>
    <row r="4239" spans="1:5" hidden="1" x14ac:dyDescent="0.25">
      <c r="A4239" s="115">
        <v>73.215000000000003</v>
      </c>
      <c r="B4239" s="115">
        <v>73.114999999999995</v>
      </c>
      <c r="C4239" s="1">
        <v>1150</v>
      </c>
      <c r="D4239" s="1" t="s">
        <v>2671</v>
      </c>
      <c r="E4239" s="1">
        <v>73</v>
      </c>
    </row>
    <row r="4240" spans="1:5" hidden="1" x14ac:dyDescent="0.25">
      <c r="A4240" s="115">
        <v>73.215999999999994</v>
      </c>
      <c r="B4240" s="115">
        <v>73.116</v>
      </c>
      <c r="C4240" s="1">
        <v>1160</v>
      </c>
      <c r="D4240" s="1" t="s">
        <v>2672</v>
      </c>
      <c r="E4240" s="1">
        <v>73</v>
      </c>
    </row>
    <row r="4241" spans="1:5" hidden="1" x14ac:dyDescent="0.25">
      <c r="A4241" s="115">
        <v>73.216999999999999</v>
      </c>
      <c r="B4241" s="115">
        <v>73.117000000000004</v>
      </c>
      <c r="C4241" s="1">
        <v>1170</v>
      </c>
      <c r="D4241" s="1" t="s">
        <v>2673</v>
      </c>
      <c r="E4241" s="1">
        <v>73</v>
      </c>
    </row>
    <row r="4242" spans="1:5" hidden="1" x14ac:dyDescent="0.25">
      <c r="A4242" s="115">
        <v>73.218000000000004</v>
      </c>
      <c r="B4242" s="115">
        <v>73.117999999999995</v>
      </c>
      <c r="C4242" s="1">
        <v>1180</v>
      </c>
      <c r="D4242" s="1" t="s">
        <v>2674</v>
      </c>
      <c r="E4242" s="1">
        <v>73</v>
      </c>
    </row>
    <row r="4243" spans="1:5" hidden="1" x14ac:dyDescent="0.25">
      <c r="A4243" s="115">
        <v>73.218999999999994</v>
      </c>
      <c r="B4243" s="115">
        <v>73.119</v>
      </c>
      <c r="C4243" s="1">
        <v>1190</v>
      </c>
      <c r="D4243" s="1" t="s">
        <v>2675</v>
      </c>
      <c r="E4243" s="1">
        <v>73</v>
      </c>
    </row>
    <row r="4244" spans="1:5" hidden="1" x14ac:dyDescent="0.25">
      <c r="A4244" s="115">
        <v>73.22</v>
      </c>
      <c r="B4244" s="115">
        <v>73.12</v>
      </c>
      <c r="C4244" s="1">
        <v>1200</v>
      </c>
      <c r="D4244" s="1" t="s">
        <v>2676</v>
      </c>
      <c r="E4244" s="1">
        <v>73</v>
      </c>
    </row>
    <row r="4245" spans="1:5" hidden="1" x14ac:dyDescent="0.25">
      <c r="A4245" s="115">
        <v>73.221000000000004</v>
      </c>
      <c r="B4245" s="115">
        <v>73.120999999999995</v>
      </c>
      <c r="C4245" s="1">
        <v>1210</v>
      </c>
      <c r="D4245" s="1" t="s">
        <v>2677</v>
      </c>
      <c r="E4245" s="1">
        <v>73</v>
      </c>
    </row>
    <row r="4246" spans="1:5" hidden="1" x14ac:dyDescent="0.25">
      <c r="A4246" s="115">
        <v>73.221999999999994</v>
      </c>
      <c r="B4246" s="115">
        <v>73.122</v>
      </c>
      <c r="C4246" s="1">
        <v>1220</v>
      </c>
      <c r="D4246" s="1" t="s">
        <v>2678</v>
      </c>
      <c r="E4246" s="1">
        <v>73</v>
      </c>
    </row>
    <row r="4247" spans="1:5" hidden="1" x14ac:dyDescent="0.25">
      <c r="A4247" s="115">
        <v>73.222999999999999</v>
      </c>
      <c r="B4247" s="115">
        <v>73.123000000000005</v>
      </c>
      <c r="C4247" s="1">
        <v>1230</v>
      </c>
      <c r="D4247" s="1" t="s">
        <v>2679</v>
      </c>
      <c r="E4247" s="1">
        <v>73</v>
      </c>
    </row>
    <row r="4248" spans="1:5" hidden="1" x14ac:dyDescent="0.25">
      <c r="A4248" s="115">
        <v>73.224000000000004</v>
      </c>
      <c r="B4248" s="115">
        <v>73.123999999999995</v>
      </c>
      <c r="C4248" s="1">
        <v>1240</v>
      </c>
      <c r="D4248" s="1" t="s">
        <v>2680</v>
      </c>
      <c r="E4248" s="1">
        <v>73</v>
      </c>
    </row>
    <row r="4249" spans="1:5" hidden="1" x14ac:dyDescent="0.25">
      <c r="A4249" s="115">
        <v>73.224999999999994</v>
      </c>
      <c r="B4249" s="115">
        <v>73.125</v>
      </c>
      <c r="C4249" s="1">
        <v>1250</v>
      </c>
      <c r="D4249" s="1" t="s">
        <v>2681</v>
      </c>
      <c r="E4249" s="1">
        <v>73</v>
      </c>
    </row>
    <row r="4250" spans="1:5" hidden="1" x14ac:dyDescent="0.25">
      <c r="A4250" s="115">
        <v>73.225999999999999</v>
      </c>
      <c r="B4250" s="115">
        <v>73.126000000000005</v>
      </c>
      <c r="C4250" s="1">
        <v>1260</v>
      </c>
      <c r="D4250" s="1" t="s">
        <v>2682</v>
      </c>
      <c r="E4250" s="1">
        <v>73</v>
      </c>
    </row>
    <row r="4251" spans="1:5" hidden="1" x14ac:dyDescent="0.25">
      <c r="A4251" s="115">
        <v>73.227000000000004</v>
      </c>
      <c r="B4251" s="115">
        <v>73.126999999999995</v>
      </c>
      <c r="C4251" s="1">
        <v>1270</v>
      </c>
      <c r="D4251" s="1" t="s">
        <v>2683</v>
      </c>
      <c r="E4251" s="1">
        <v>73</v>
      </c>
    </row>
    <row r="4252" spans="1:5" hidden="1" x14ac:dyDescent="0.25">
      <c r="A4252" s="115">
        <v>73.227999999999994</v>
      </c>
      <c r="B4252" s="115">
        <v>73.128</v>
      </c>
      <c r="C4252" s="1">
        <v>1280</v>
      </c>
      <c r="D4252" s="1" t="s">
        <v>2684</v>
      </c>
      <c r="E4252" s="1">
        <v>73</v>
      </c>
    </row>
    <row r="4253" spans="1:5" hidden="1" x14ac:dyDescent="0.25">
      <c r="A4253" s="115">
        <v>73.228999999999999</v>
      </c>
      <c r="B4253" s="115">
        <v>73.13</v>
      </c>
      <c r="C4253" s="1">
        <v>1300</v>
      </c>
      <c r="D4253" s="1" t="s">
        <v>2685</v>
      </c>
      <c r="E4253" s="1">
        <v>73</v>
      </c>
    </row>
    <row r="4254" spans="1:5" hidden="1" x14ac:dyDescent="0.25">
      <c r="A4254" s="115">
        <v>73.23</v>
      </c>
      <c r="B4254" s="115">
        <v>73.131</v>
      </c>
      <c r="C4254" s="1">
        <v>1310</v>
      </c>
      <c r="D4254" s="1" t="s">
        <v>2686</v>
      </c>
      <c r="E4254" s="1">
        <v>73</v>
      </c>
    </row>
    <row r="4255" spans="1:5" hidden="1" x14ac:dyDescent="0.25">
      <c r="A4255" s="115">
        <v>73.230999999999995</v>
      </c>
      <c r="B4255" s="115">
        <v>73.132000000000005</v>
      </c>
      <c r="C4255" s="1">
        <v>1320</v>
      </c>
      <c r="D4255" s="1" t="s">
        <v>2687</v>
      </c>
      <c r="E4255" s="1">
        <v>73</v>
      </c>
    </row>
    <row r="4256" spans="1:5" hidden="1" x14ac:dyDescent="0.25">
      <c r="A4256" s="115">
        <v>74.100999999999999</v>
      </c>
      <c r="B4256" s="115">
        <v>74.444999999999993</v>
      </c>
      <c r="C4256" s="1">
        <v>445</v>
      </c>
      <c r="D4256" s="1" t="s">
        <v>2603</v>
      </c>
      <c r="E4256" s="1">
        <v>74</v>
      </c>
    </row>
    <row r="4257" spans="1:5" hidden="1" x14ac:dyDescent="0.25">
      <c r="A4257" s="115">
        <v>75.100999999999999</v>
      </c>
      <c r="B4257" s="115">
        <v>75.099999999999994</v>
      </c>
      <c r="C4257" s="1">
        <v>10</v>
      </c>
      <c r="D4257" s="1" t="s">
        <v>2559</v>
      </c>
      <c r="E4257" s="1">
        <v>75</v>
      </c>
    </row>
    <row r="4258" spans="1:5" hidden="1" x14ac:dyDescent="0.25">
      <c r="A4258" s="115">
        <v>75.102000000000004</v>
      </c>
      <c r="B4258" s="115">
        <v>75.2</v>
      </c>
      <c r="C4258" s="1">
        <v>20</v>
      </c>
      <c r="D4258" s="1" t="s">
        <v>2560</v>
      </c>
      <c r="E4258" s="1">
        <v>75</v>
      </c>
    </row>
    <row r="4259" spans="1:5" hidden="1" x14ac:dyDescent="0.25">
      <c r="A4259" s="115">
        <v>75.102999999999994</v>
      </c>
      <c r="B4259" s="115">
        <v>75.3</v>
      </c>
      <c r="C4259" s="1">
        <v>30</v>
      </c>
      <c r="D4259" s="1" t="s">
        <v>2561</v>
      </c>
      <c r="E4259" s="1">
        <v>75</v>
      </c>
    </row>
    <row r="4260" spans="1:5" hidden="1" x14ac:dyDescent="0.25">
      <c r="A4260" s="115">
        <v>75.103999999999999</v>
      </c>
      <c r="B4260" s="115">
        <v>75.400000000000006</v>
      </c>
      <c r="C4260" s="1">
        <v>40</v>
      </c>
      <c r="D4260" s="1" t="s">
        <v>2562</v>
      </c>
      <c r="E4260" s="1">
        <v>75</v>
      </c>
    </row>
    <row r="4261" spans="1:5" hidden="1" x14ac:dyDescent="0.25">
      <c r="A4261" s="115">
        <v>75.105000000000004</v>
      </c>
      <c r="B4261" s="115">
        <v>75.5</v>
      </c>
      <c r="C4261" s="1">
        <v>50</v>
      </c>
      <c r="D4261" s="1" t="s">
        <v>2563</v>
      </c>
      <c r="E4261" s="1">
        <v>75</v>
      </c>
    </row>
    <row r="4262" spans="1:5" hidden="1" x14ac:dyDescent="0.25">
      <c r="A4262" s="115">
        <v>75.105999999999995</v>
      </c>
      <c r="B4262" s="115">
        <v>75.599999999999994</v>
      </c>
      <c r="C4262" s="1">
        <v>60</v>
      </c>
      <c r="D4262" s="1" t="s">
        <v>2564</v>
      </c>
      <c r="E4262" s="1">
        <v>75</v>
      </c>
    </row>
    <row r="4263" spans="1:5" hidden="1" x14ac:dyDescent="0.25">
      <c r="A4263" s="115">
        <v>75.106999999999999</v>
      </c>
      <c r="B4263" s="115">
        <v>75.7</v>
      </c>
      <c r="C4263" s="1">
        <v>70</v>
      </c>
      <c r="D4263" s="1" t="s">
        <v>2565</v>
      </c>
      <c r="E4263" s="1">
        <v>75</v>
      </c>
    </row>
    <row r="4264" spans="1:5" hidden="1" x14ac:dyDescent="0.25">
      <c r="A4264" s="115">
        <v>75.108000000000004</v>
      </c>
      <c r="B4264" s="115">
        <v>75.8</v>
      </c>
      <c r="C4264" s="1">
        <v>80</v>
      </c>
      <c r="D4264" s="1" t="s">
        <v>2566</v>
      </c>
      <c r="E4264" s="1">
        <v>75</v>
      </c>
    </row>
    <row r="4265" spans="1:5" hidden="1" x14ac:dyDescent="0.25">
      <c r="A4265" s="115">
        <v>75.108999999999995</v>
      </c>
      <c r="B4265" s="115">
        <v>75.900000000000006</v>
      </c>
      <c r="C4265" s="1">
        <v>90</v>
      </c>
      <c r="D4265" s="1" t="s">
        <v>2567</v>
      </c>
      <c r="E4265" s="1">
        <v>75</v>
      </c>
    </row>
    <row r="4266" spans="1:5" hidden="1" x14ac:dyDescent="0.25">
      <c r="A4266" s="115">
        <v>75.11</v>
      </c>
      <c r="B4266" s="115">
        <v>75.099999999999994</v>
      </c>
      <c r="C4266" s="1">
        <v>100</v>
      </c>
      <c r="D4266" s="1" t="s">
        <v>2568</v>
      </c>
      <c r="E4266" s="1">
        <v>75</v>
      </c>
    </row>
    <row r="4267" spans="1:5" hidden="1" x14ac:dyDescent="0.25">
      <c r="A4267" s="115">
        <v>75.111000000000004</v>
      </c>
      <c r="B4267" s="115">
        <v>75.11</v>
      </c>
      <c r="C4267" s="1">
        <v>110</v>
      </c>
      <c r="D4267" s="1" t="s">
        <v>2569</v>
      </c>
      <c r="E4267" s="1">
        <v>75</v>
      </c>
    </row>
    <row r="4268" spans="1:5" hidden="1" x14ac:dyDescent="0.25">
      <c r="A4268" s="115">
        <v>75.111999999999995</v>
      </c>
      <c r="B4268" s="115">
        <v>75.12</v>
      </c>
      <c r="C4268" s="1">
        <v>120</v>
      </c>
      <c r="D4268" s="1" t="s">
        <v>2570</v>
      </c>
      <c r="E4268" s="1">
        <v>75</v>
      </c>
    </row>
    <row r="4269" spans="1:5" hidden="1" x14ac:dyDescent="0.25">
      <c r="A4269" s="115">
        <v>75.113</v>
      </c>
      <c r="B4269" s="115">
        <v>75.13</v>
      </c>
      <c r="C4269" s="1">
        <v>130</v>
      </c>
      <c r="D4269" s="1" t="s">
        <v>2571</v>
      </c>
      <c r="E4269" s="1">
        <v>75</v>
      </c>
    </row>
    <row r="4270" spans="1:5" hidden="1" x14ac:dyDescent="0.25">
      <c r="A4270" s="115">
        <v>75.114000000000004</v>
      </c>
      <c r="B4270" s="115">
        <v>75.14</v>
      </c>
      <c r="C4270" s="1">
        <v>140</v>
      </c>
      <c r="D4270" s="1" t="s">
        <v>2572</v>
      </c>
      <c r="E4270" s="1">
        <v>75</v>
      </c>
    </row>
    <row r="4271" spans="1:5" hidden="1" x14ac:dyDescent="0.25">
      <c r="A4271" s="115">
        <v>75.114999999999995</v>
      </c>
      <c r="B4271" s="115">
        <v>75.150000000000006</v>
      </c>
      <c r="C4271" s="1">
        <v>150</v>
      </c>
      <c r="D4271" s="1" t="s">
        <v>2573</v>
      </c>
      <c r="E4271" s="1">
        <v>75</v>
      </c>
    </row>
    <row r="4272" spans="1:5" hidden="1" x14ac:dyDescent="0.25">
      <c r="A4272" s="115">
        <v>75.116</v>
      </c>
      <c r="B4272" s="115">
        <v>75.16</v>
      </c>
      <c r="C4272" s="1">
        <v>160</v>
      </c>
      <c r="D4272" s="1" t="s">
        <v>2574</v>
      </c>
      <c r="E4272" s="1">
        <v>75</v>
      </c>
    </row>
    <row r="4273" spans="1:5" hidden="1" x14ac:dyDescent="0.25">
      <c r="A4273" s="115">
        <v>75.117000000000004</v>
      </c>
      <c r="B4273" s="115">
        <v>75.17</v>
      </c>
      <c r="C4273" s="1">
        <v>170</v>
      </c>
      <c r="D4273" s="1" t="s">
        <v>2575</v>
      </c>
      <c r="E4273" s="1">
        <v>75</v>
      </c>
    </row>
    <row r="4274" spans="1:5" hidden="1" x14ac:dyDescent="0.25">
      <c r="A4274" s="115">
        <v>75.117999999999995</v>
      </c>
      <c r="B4274" s="115">
        <v>75.180000000000007</v>
      </c>
      <c r="C4274" s="1">
        <v>180</v>
      </c>
      <c r="D4274" s="1" t="s">
        <v>2576</v>
      </c>
      <c r="E4274" s="1">
        <v>75</v>
      </c>
    </row>
    <row r="4275" spans="1:5" hidden="1" x14ac:dyDescent="0.25">
      <c r="A4275" s="115">
        <v>75.119</v>
      </c>
      <c r="B4275" s="115">
        <v>75.19</v>
      </c>
      <c r="C4275" s="1">
        <v>190</v>
      </c>
      <c r="D4275" s="1" t="s">
        <v>2577</v>
      </c>
      <c r="E4275" s="1">
        <v>75</v>
      </c>
    </row>
    <row r="4276" spans="1:5" hidden="1" x14ac:dyDescent="0.25">
      <c r="A4276" s="115">
        <v>75.12</v>
      </c>
      <c r="B4276" s="115">
        <v>75.2</v>
      </c>
      <c r="C4276" s="1">
        <v>200</v>
      </c>
      <c r="D4276" s="1" t="s">
        <v>2578</v>
      </c>
      <c r="E4276" s="1">
        <v>75</v>
      </c>
    </row>
    <row r="4277" spans="1:5" hidden="1" x14ac:dyDescent="0.25">
      <c r="A4277" s="115">
        <v>75.120999999999995</v>
      </c>
      <c r="B4277" s="115">
        <v>75.209999999999994</v>
      </c>
      <c r="C4277" s="1">
        <v>210</v>
      </c>
      <c r="D4277" s="1" t="s">
        <v>2579</v>
      </c>
      <c r="E4277" s="1">
        <v>75</v>
      </c>
    </row>
    <row r="4278" spans="1:5" hidden="1" x14ac:dyDescent="0.25">
      <c r="A4278" s="115">
        <v>75.122</v>
      </c>
      <c r="B4278" s="115">
        <v>75.22</v>
      </c>
      <c r="C4278" s="1">
        <v>220</v>
      </c>
      <c r="D4278" s="1" t="s">
        <v>2580</v>
      </c>
      <c r="E4278" s="1">
        <v>75</v>
      </c>
    </row>
    <row r="4279" spans="1:5" hidden="1" x14ac:dyDescent="0.25">
      <c r="A4279" s="115">
        <v>75.123000000000005</v>
      </c>
      <c r="B4279" s="115">
        <v>75.23</v>
      </c>
      <c r="C4279" s="1">
        <v>230</v>
      </c>
      <c r="D4279" s="1" t="s">
        <v>2581</v>
      </c>
      <c r="E4279" s="1">
        <v>75</v>
      </c>
    </row>
    <row r="4280" spans="1:5" hidden="1" x14ac:dyDescent="0.25">
      <c r="A4280" s="115">
        <v>75.123999999999995</v>
      </c>
      <c r="B4280" s="115">
        <v>75.239999999999995</v>
      </c>
      <c r="C4280" s="1">
        <v>240</v>
      </c>
      <c r="D4280" s="1" t="s">
        <v>2582</v>
      </c>
      <c r="E4280" s="1">
        <v>75</v>
      </c>
    </row>
    <row r="4281" spans="1:5" hidden="1" x14ac:dyDescent="0.25">
      <c r="A4281" s="115">
        <v>75.125</v>
      </c>
      <c r="B4281" s="115">
        <v>75.25</v>
      </c>
      <c r="C4281" s="1">
        <v>250</v>
      </c>
      <c r="D4281" s="1" t="s">
        <v>2583</v>
      </c>
      <c r="E4281" s="1">
        <v>75</v>
      </c>
    </row>
    <row r="4282" spans="1:5" hidden="1" x14ac:dyDescent="0.25">
      <c r="A4282" s="115">
        <v>75.126000000000005</v>
      </c>
      <c r="B4282" s="115">
        <v>75.260000000000005</v>
      </c>
      <c r="C4282" s="1">
        <v>260</v>
      </c>
      <c r="D4282" s="1" t="s">
        <v>2584</v>
      </c>
      <c r="E4282" s="1">
        <v>75</v>
      </c>
    </row>
    <row r="4283" spans="1:5" hidden="1" x14ac:dyDescent="0.25">
      <c r="A4283" s="115">
        <v>75.126999999999995</v>
      </c>
      <c r="B4283" s="115">
        <v>75.27</v>
      </c>
      <c r="C4283" s="1">
        <v>270</v>
      </c>
      <c r="D4283" s="1" t="s">
        <v>2585</v>
      </c>
      <c r="E4283" s="1">
        <v>75</v>
      </c>
    </row>
    <row r="4284" spans="1:5" hidden="1" x14ac:dyDescent="0.25">
      <c r="A4284" s="115">
        <v>75.128</v>
      </c>
      <c r="B4284" s="115">
        <v>75.28</v>
      </c>
      <c r="C4284" s="1">
        <v>280</v>
      </c>
      <c r="D4284" s="1" t="s">
        <v>2586</v>
      </c>
      <c r="E4284" s="1">
        <v>75</v>
      </c>
    </row>
    <row r="4285" spans="1:5" hidden="1" x14ac:dyDescent="0.25">
      <c r="A4285" s="115">
        <v>75.129000000000005</v>
      </c>
      <c r="B4285" s="115">
        <v>75.290000000000006</v>
      </c>
      <c r="C4285" s="1">
        <v>290</v>
      </c>
      <c r="D4285" s="1" t="s">
        <v>2587</v>
      </c>
      <c r="E4285" s="1">
        <v>75</v>
      </c>
    </row>
    <row r="4286" spans="1:5" hidden="1" x14ac:dyDescent="0.25">
      <c r="A4286" s="115">
        <v>75.13</v>
      </c>
      <c r="B4286" s="115">
        <v>75.3</v>
      </c>
      <c r="C4286" s="1">
        <v>300</v>
      </c>
      <c r="D4286" s="1" t="s">
        <v>2588</v>
      </c>
      <c r="E4286" s="1">
        <v>75</v>
      </c>
    </row>
    <row r="4287" spans="1:5" hidden="1" x14ac:dyDescent="0.25">
      <c r="A4287" s="115">
        <v>75.131</v>
      </c>
      <c r="B4287" s="115">
        <v>75.31</v>
      </c>
      <c r="C4287" s="1">
        <v>310</v>
      </c>
      <c r="D4287" s="1" t="s">
        <v>2589</v>
      </c>
      <c r="E4287" s="1">
        <v>75</v>
      </c>
    </row>
    <row r="4288" spans="1:5" hidden="1" x14ac:dyDescent="0.25">
      <c r="A4288" s="115">
        <v>75.132000000000005</v>
      </c>
      <c r="B4288" s="115">
        <v>75.319999999999993</v>
      </c>
      <c r="C4288" s="1">
        <v>320</v>
      </c>
      <c r="D4288" s="1" t="s">
        <v>2590</v>
      </c>
      <c r="E4288" s="1">
        <v>75</v>
      </c>
    </row>
    <row r="4289" spans="1:5" hidden="1" x14ac:dyDescent="0.25">
      <c r="A4289" s="115">
        <v>75.132999999999996</v>
      </c>
      <c r="B4289" s="115">
        <v>75.33</v>
      </c>
      <c r="C4289" s="1">
        <v>330</v>
      </c>
      <c r="D4289" s="1" t="s">
        <v>2591</v>
      </c>
      <c r="E4289" s="1">
        <v>75</v>
      </c>
    </row>
    <row r="4290" spans="1:5" hidden="1" x14ac:dyDescent="0.25">
      <c r="A4290" s="115">
        <v>75.134</v>
      </c>
      <c r="B4290" s="115">
        <v>75.34</v>
      </c>
      <c r="C4290" s="1">
        <v>340</v>
      </c>
      <c r="D4290" s="1" t="s">
        <v>2592</v>
      </c>
      <c r="E4290" s="1">
        <v>75</v>
      </c>
    </row>
    <row r="4291" spans="1:5" hidden="1" x14ac:dyDescent="0.25">
      <c r="A4291" s="115">
        <v>75.135000000000005</v>
      </c>
      <c r="B4291" s="115">
        <v>75.349999999999994</v>
      </c>
      <c r="C4291" s="1">
        <v>350</v>
      </c>
      <c r="D4291" s="1" t="s">
        <v>2593</v>
      </c>
      <c r="E4291" s="1">
        <v>75</v>
      </c>
    </row>
    <row r="4292" spans="1:5" hidden="1" x14ac:dyDescent="0.25">
      <c r="A4292" s="115">
        <v>75.135999999999996</v>
      </c>
      <c r="B4292" s="115">
        <v>75.36</v>
      </c>
      <c r="C4292" s="1">
        <v>360</v>
      </c>
      <c r="D4292" s="1" t="s">
        <v>2594</v>
      </c>
      <c r="E4292" s="1">
        <v>75</v>
      </c>
    </row>
    <row r="4293" spans="1:5" hidden="1" x14ac:dyDescent="0.25">
      <c r="A4293" s="115">
        <v>75.137</v>
      </c>
      <c r="B4293" s="115">
        <v>75.37</v>
      </c>
      <c r="C4293" s="1">
        <v>370</v>
      </c>
      <c r="D4293" s="1" t="s">
        <v>2595</v>
      </c>
      <c r="E4293" s="1">
        <v>75</v>
      </c>
    </row>
    <row r="4294" spans="1:5" hidden="1" x14ac:dyDescent="0.25">
      <c r="A4294" s="115">
        <v>75.138000000000005</v>
      </c>
      <c r="B4294" s="115">
        <v>75.38</v>
      </c>
      <c r="C4294" s="1">
        <v>380</v>
      </c>
      <c r="D4294" s="1" t="s">
        <v>2596</v>
      </c>
      <c r="E4294" s="1">
        <v>75</v>
      </c>
    </row>
    <row r="4295" spans="1:5" hidden="1" x14ac:dyDescent="0.25">
      <c r="A4295" s="115">
        <v>75.138999999999996</v>
      </c>
      <c r="B4295" s="115">
        <v>75.39</v>
      </c>
      <c r="C4295" s="1">
        <v>390</v>
      </c>
      <c r="D4295" s="1" t="s">
        <v>2597</v>
      </c>
      <c r="E4295" s="1">
        <v>75</v>
      </c>
    </row>
    <row r="4296" spans="1:5" hidden="1" x14ac:dyDescent="0.25">
      <c r="A4296" s="115">
        <v>75.14</v>
      </c>
      <c r="B4296" s="115">
        <v>75.400000000000006</v>
      </c>
      <c r="C4296" s="1">
        <v>400</v>
      </c>
      <c r="D4296" s="1" t="s">
        <v>2598</v>
      </c>
      <c r="E4296" s="1">
        <v>75</v>
      </c>
    </row>
    <row r="4297" spans="1:5" hidden="1" x14ac:dyDescent="0.25">
      <c r="A4297" s="115">
        <v>75.141000000000005</v>
      </c>
      <c r="B4297" s="115">
        <v>75.41</v>
      </c>
      <c r="C4297" s="1">
        <v>410</v>
      </c>
      <c r="D4297" s="1" t="s">
        <v>2599</v>
      </c>
      <c r="E4297" s="1">
        <v>75</v>
      </c>
    </row>
    <row r="4298" spans="1:5" hidden="1" x14ac:dyDescent="0.25">
      <c r="A4298" s="115">
        <v>75.141999999999996</v>
      </c>
      <c r="B4298" s="115">
        <v>75.42</v>
      </c>
      <c r="C4298" s="1">
        <v>420</v>
      </c>
      <c r="D4298" s="1" t="s">
        <v>2600</v>
      </c>
      <c r="E4298" s="1">
        <v>75</v>
      </c>
    </row>
    <row r="4299" spans="1:5" hidden="1" x14ac:dyDescent="0.25">
      <c r="A4299" s="115">
        <v>75.143000000000001</v>
      </c>
      <c r="B4299" s="115">
        <v>75.430000000000007</v>
      </c>
      <c r="C4299" s="1">
        <v>430</v>
      </c>
      <c r="D4299" s="1" t="s">
        <v>2601</v>
      </c>
      <c r="E4299" s="1">
        <v>75</v>
      </c>
    </row>
    <row r="4300" spans="1:5" hidden="1" x14ac:dyDescent="0.25">
      <c r="A4300" s="115">
        <v>75.144000000000005</v>
      </c>
      <c r="B4300" s="115">
        <v>75.44</v>
      </c>
      <c r="C4300" s="1">
        <v>440</v>
      </c>
      <c r="D4300" s="1" t="s">
        <v>2602</v>
      </c>
      <c r="E4300" s="1">
        <v>75</v>
      </c>
    </row>
    <row r="4301" spans="1:5" hidden="1" x14ac:dyDescent="0.25">
      <c r="A4301" s="115">
        <v>75.144999999999996</v>
      </c>
      <c r="B4301" s="115">
        <v>75.444999999999993</v>
      </c>
      <c r="C4301" s="1">
        <v>445</v>
      </c>
      <c r="D4301" s="1" t="s">
        <v>2603</v>
      </c>
      <c r="E4301" s="1">
        <v>75</v>
      </c>
    </row>
    <row r="4302" spans="1:5" hidden="1" x14ac:dyDescent="0.25">
      <c r="A4302" s="115">
        <v>75.146000000000001</v>
      </c>
      <c r="B4302" s="115">
        <v>75.45</v>
      </c>
      <c r="C4302" s="1">
        <v>450</v>
      </c>
      <c r="D4302" s="1" t="s">
        <v>2604</v>
      </c>
      <c r="E4302" s="1">
        <v>75</v>
      </c>
    </row>
    <row r="4303" spans="1:5" hidden="1" x14ac:dyDescent="0.25">
      <c r="A4303" s="115">
        <v>75.147000000000006</v>
      </c>
      <c r="B4303" s="115">
        <v>75.459999999999994</v>
      </c>
      <c r="C4303" s="1">
        <v>460</v>
      </c>
      <c r="D4303" s="1" t="s">
        <v>2605</v>
      </c>
      <c r="E4303" s="1">
        <v>75</v>
      </c>
    </row>
    <row r="4304" spans="1:5" hidden="1" x14ac:dyDescent="0.25">
      <c r="A4304" s="115">
        <v>75.147999999999996</v>
      </c>
      <c r="B4304" s="115">
        <v>75.47</v>
      </c>
      <c r="C4304" s="1">
        <v>470</v>
      </c>
      <c r="D4304" s="1" t="s">
        <v>2606</v>
      </c>
      <c r="E4304" s="1">
        <v>75</v>
      </c>
    </row>
    <row r="4305" spans="1:5" hidden="1" x14ac:dyDescent="0.25">
      <c r="A4305" s="115">
        <v>75.149000000000001</v>
      </c>
      <c r="B4305" s="115">
        <v>75.48</v>
      </c>
      <c r="C4305" s="1">
        <v>480</v>
      </c>
      <c r="D4305" s="1" t="s">
        <v>2607</v>
      </c>
      <c r="E4305" s="1">
        <v>75</v>
      </c>
    </row>
    <row r="4306" spans="1:5" hidden="1" x14ac:dyDescent="0.25">
      <c r="A4306" s="115">
        <v>75.150000000000006</v>
      </c>
      <c r="B4306" s="115">
        <v>75.489999999999995</v>
      </c>
      <c r="C4306" s="1">
        <v>490</v>
      </c>
      <c r="D4306" s="1" t="s">
        <v>2608</v>
      </c>
      <c r="E4306" s="1">
        <v>75</v>
      </c>
    </row>
    <row r="4307" spans="1:5" hidden="1" x14ac:dyDescent="0.25">
      <c r="A4307" s="115">
        <v>75.150999999999996</v>
      </c>
      <c r="B4307" s="115">
        <v>75.5</v>
      </c>
      <c r="C4307" s="1">
        <v>500</v>
      </c>
      <c r="D4307" s="1" t="s">
        <v>2609</v>
      </c>
      <c r="E4307" s="1">
        <v>75</v>
      </c>
    </row>
    <row r="4308" spans="1:5" hidden="1" x14ac:dyDescent="0.25">
      <c r="A4308" s="115">
        <v>75.152000000000001</v>
      </c>
      <c r="B4308" s="115">
        <v>75.510000000000005</v>
      </c>
      <c r="C4308" s="1">
        <v>510</v>
      </c>
      <c r="D4308" s="1" t="s">
        <v>2610</v>
      </c>
      <c r="E4308" s="1">
        <v>75</v>
      </c>
    </row>
    <row r="4309" spans="1:5" hidden="1" x14ac:dyDescent="0.25">
      <c r="A4309" s="115">
        <v>75.153000000000006</v>
      </c>
      <c r="B4309" s="115">
        <v>75.52</v>
      </c>
      <c r="C4309" s="1">
        <v>520</v>
      </c>
      <c r="D4309" s="1" t="s">
        <v>2688</v>
      </c>
      <c r="E4309" s="1">
        <v>75</v>
      </c>
    </row>
    <row r="4310" spans="1:5" hidden="1" x14ac:dyDescent="0.25">
      <c r="A4310" s="115">
        <v>75.153999999999996</v>
      </c>
      <c r="B4310" s="115">
        <v>75.53</v>
      </c>
      <c r="C4310" s="1">
        <v>530</v>
      </c>
      <c r="D4310" s="1" t="s">
        <v>2612</v>
      </c>
      <c r="E4310" s="1">
        <v>75</v>
      </c>
    </row>
    <row r="4311" spans="1:5" hidden="1" x14ac:dyDescent="0.25">
      <c r="A4311" s="115">
        <v>75.155000000000001</v>
      </c>
      <c r="B4311" s="115">
        <v>75.540000000000006</v>
      </c>
      <c r="C4311" s="1">
        <v>540</v>
      </c>
      <c r="D4311" s="1" t="s">
        <v>2613</v>
      </c>
      <c r="E4311" s="1">
        <v>75</v>
      </c>
    </row>
    <row r="4312" spans="1:5" hidden="1" x14ac:dyDescent="0.25">
      <c r="A4312" s="115">
        <v>75.156000000000006</v>
      </c>
      <c r="B4312" s="115">
        <v>75.55</v>
      </c>
      <c r="C4312" s="1">
        <v>550</v>
      </c>
      <c r="D4312" s="1" t="s">
        <v>2614</v>
      </c>
      <c r="E4312" s="1">
        <v>75</v>
      </c>
    </row>
    <row r="4313" spans="1:5" hidden="1" x14ac:dyDescent="0.25">
      <c r="A4313" s="115">
        <v>75.156999999999996</v>
      </c>
      <c r="B4313" s="115">
        <v>75.56</v>
      </c>
      <c r="C4313" s="1">
        <v>560</v>
      </c>
      <c r="D4313" s="1" t="s">
        <v>2615</v>
      </c>
      <c r="E4313" s="1">
        <v>75</v>
      </c>
    </row>
    <row r="4314" spans="1:5" hidden="1" x14ac:dyDescent="0.25">
      <c r="A4314" s="115">
        <v>75.158000000000001</v>
      </c>
      <c r="B4314" s="115">
        <v>75.569999999999993</v>
      </c>
      <c r="C4314" s="1">
        <v>570</v>
      </c>
      <c r="D4314" s="1" t="s">
        <v>2616</v>
      </c>
      <c r="E4314" s="1">
        <v>75</v>
      </c>
    </row>
    <row r="4315" spans="1:5" hidden="1" x14ac:dyDescent="0.25">
      <c r="A4315" s="115">
        <v>75.159000000000006</v>
      </c>
      <c r="B4315" s="115">
        <v>75.575000000000003</v>
      </c>
      <c r="C4315" s="1">
        <v>575</v>
      </c>
      <c r="D4315" s="1" t="s">
        <v>2617</v>
      </c>
      <c r="E4315" s="1">
        <v>75</v>
      </c>
    </row>
    <row r="4316" spans="1:5" hidden="1" x14ac:dyDescent="0.25">
      <c r="A4316" s="115">
        <v>75.16</v>
      </c>
      <c r="B4316" s="115">
        <v>75.575999999999993</v>
      </c>
      <c r="C4316" s="1">
        <v>576</v>
      </c>
      <c r="D4316" s="1" t="s">
        <v>2618</v>
      </c>
      <c r="E4316" s="1">
        <v>75</v>
      </c>
    </row>
    <row r="4317" spans="1:5" hidden="1" x14ac:dyDescent="0.25">
      <c r="A4317" s="115">
        <v>75.161000000000001</v>
      </c>
      <c r="B4317" s="115">
        <v>75.58</v>
      </c>
      <c r="C4317" s="1">
        <v>580</v>
      </c>
      <c r="D4317" s="1" t="s">
        <v>2619</v>
      </c>
      <c r="E4317" s="1">
        <v>75</v>
      </c>
    </row>
    <row r="4318" spans="1:5" hidden="1" x14ac:dyDescent="0.25">
      <c r="A4318" s="115">
        <v>75.162000000000006</v>
      </c>
      <c r="B4318" s="115">
        <v>75.59</v>
      </c>
      <c r="C4318" s="1">
        <v>590</v>
      </c>
      <c r="D4318" s="1" t="s">
        <v>1099</v>
      </c>
      <c r="E4318" s="1">
        <v>75</v>
      </c>
    </row>
    <row r="4319" spans="1:5" hidden="1" x14ac:dyDescent="0.25">
      <c r="A4319" s="115">
        <v>75.162999999999997</v>
      </c>
      <c r="B4319" s="115">
        <v>75.599999999999994</v>
      </c>
      <c r="C4319" s="1">
        <v>600</v>
      </c>
      <c r="D4319" s="1" t="s">
        <v>2620</v>
      </c>
      <c r="E4319" s="1">
        <v>75</v>
      </c>
    </row>
    <row r="4320" spans="1:5" hidden="1" x14ac:dyDescent="0.25">
      <c r="A4320" s="115">
        <v>75.164000000000001</v>
      </c>
      <c r="B4320" s="115">
        <v>75.61</v>
      </c>
      <c r="C4320" s="1">
        <v>610</v>
      </c>
      <c r="D4320" s="1" t="s">
        <v>2621</v>
      </c>
      <c r="E4320" s="1">
        <v>75</v>
      </c>
    </row>
    <row r="4321" spans="1:5" hidden="1" x14ac:dyDescent="0.25">
      <c r="A4321" s="115">
        <v>75.165000000000006</v>
      </c>
      <c r="B4321" s="115">
        <v>75.62</v>
      </c>
      <c r="C4321" s="1">
        <v>620</v>
      </c>
      <c r="D4321" s="1" t="s">
        <v>2622</v>
      </c>
      <c r="E4321" s="1">
        <v>75</v>
      </c>
    </row>
    <row r="4322" spans="1:5" hidden="1" x14ac:dyDescent="0.25">
      <c r="A4322" s="115">
        <v>75.165999999999997</v>
      </c>
      <c r="B4322" s="115">
        <v>75.63</v>
      </c>
      <c r="C4322" s="1">
        <v>630</v>
      </c>
      <c r="D4322" s="1" t="s">
        <v>2623</v>
      </c>
      <c r="E4322" s="1">
        <v>75</v>
      </c>
    </row>
    <row r="4323" spans="1:5" hidden="1" x14ac:dyDescent="0.25">
      <c r="A4323" s="115">
        <v>75.167000000000002</v>
      </c>
      <c r="B4323" s="115">
        <v>75.64</v>
      </c>
      <c r="C4323" s="1">
        <v>640</v>
      </c>
      <c r="D4323" s="1" t="s">
        <v>2624</v>
      </c>
      <c r="E4323" s="1">
        <v>75</v>
      </c>
    </row>
    <row r="4324" spans="1:5" hidden="1" x14ac:dyDescent="0.25">
      <c r="A4324" s="115">
        <v>75.168000000000006</v>
      </c>
      <c r="B4324" s="115">
        <v>75.650000000000006</v>
      </c>
      <c r="C4324" s="1">
        <v>650</v>
      </c>
      <c r="D4324" s="1" t="s">
        <v>2625</v>
      </c>
      <c r="E4324" s="1">
        <v>75</v>
      </c>
    </row>
    <row r="4325" spans="1:5" hidden="1" x14ac:dyDescent="0.25">
      <c r="A4325" s="115">
        <v>75.168999999999997</v>
      </c>
      <c r="B4325" s="115">
        <v>75.66</v>
      </c>
      <c r="C4325" s="1">
        <v>660</v>
      </c>
      <c r="D4325" s="1" t="s">
        <v>2626</v>
      </c>
      <c r="E4325" s="1">
        <v>75</v>
      </c>
    </row>
    <row r="4326" spans="1:5" hidden="1" x14ac:dyDescent="0.25">
      <c r="A4326" s="115">
        <v>75.17</v>
      </c>
      <c r="B4326" s="115">
        <v>75.67</v>
      </c>
      <c r="C4326" s="1">
        <v>670</v>
      </c>
      <c r="D4326" s="1" t="s">
        <v>2627</v>
      </c>
      <c r="E4326" s="1">
        <v>75</v>
      </c>
    </row>
    <row r="4327" spans="1:5" hidden="1" x14ac:dyDescent="0.25">
      <c r="A4327" s="115">
        <v>75.171000000000006</v>
      </c>
      <c r="B4327" s="115">
        <v>75.680000000000007</v>
      </c>
      <c r="C4327" s="1">
        <v>680</v>
      </c>
      <c r="D4327" s="1" t="s">
        <v>2628</v>
      </c>
      <c r="E4327" s="1">
        <v>75</v>
      </c>
    </row>
    <row r="4328" spans="1:5" hidden="1" x14ac:dyDescent="0.25">
      <c r="A4328" s="115">
        <v>75.171999999999997</v>
      </c>
      <c r="B4328" s="115">
        <v>75.69</v>
      </c>
      <c r="C4328" s="1">
        <v>690</v>
      </c>
      <c r="D4328" s="1" t="s">
        <v>2629</v>
      </c>
      <c r="E4328" s="1">
        <v>75</v>
      </c>
    </row>
    <row r="4329" spans="1:5" hidden="1" x14ac:dyDescent="0.25">
      <c r="A4329" s="115">
        <v>75.173000000000002</v>
      </c>
      <c r="B4329" s="115">
        <v>75.7</v>
      </c>
      <c r="C4329" s="1">
        <v>700</v>
      </c>
      <c r="D4329" s="1" t="s">
        <v>2630</v>
      </c>
      <c r="E4329" s="1">
        <v>75</v>
      </c>
    </row>
    <row r="4330" spans="1:5" hidden="1" x14ac:dyDescent="0.25">
      <c r="A4330" s="115">
        <v>75.174000000000007</v>
      </c>
      <c r="B4330" s="115">
        <v>75.709999999999994</v>
      </c>
      <c r="C4330" s="1">
        <v>710</v>
      </c>
      <c r="D4330" s="1" t="s">
        <v>2631</v>
      </c>
      <c r="E4330" s="1">
        <v>75</v>
      </c>
    </row>
    <row r="4331" spans="1:5" hidden="1" x14ac:dyDescent="0.25">
      <c r="A4331" s="115">
        <v>75.174999999999997</v>
      </c>
      <c r="B4331" s="115">
        <v>75.72</v>
      </c>
      <c r="C4331" s="1">
        <v>720</v>
      </c>
      <c r="D4331" s="1" t="s">
        <v>2632</v>
      </c>
      <c r="E4331" s="1">
        <v>75</v>
      </c>
    </row>
    <row r="4332" spans="1:5" hidden="1" x14ac:dyDescent="0.25">
      <c r="A4332" s="115">
        <v>75.176000000000002</v>
      </c>
      <c r="B4332" s="115">
        <v>75.73</v>
      </c>
      <c r="C4332" s="1">
        <v>730</v>
      </c>
      <c r="D4332" s="1" t="s">
        <v>2633</v>
      </c>
      <c r="E4332" s="1">
        <v>75</v>
      </c>
    </row>
    <row r="4333" spans="1:5" hidden="1" x14ac:dyDescent="0.25">
      <c r="A4333" s="115">
        <v>75.177000000000007</v>
      </c>
      <c r="B4333" s="115">
        <v>75.739999999999995</v>
      </c>
      <c r="C4333" s="1">
        <v>740</v>
      </c>
      <c r="D4333" s="1" t="s">
        <v>2634</v>
      </c>
      <c r="E4333" s="1">
        <v>75</v>
      </c>
    </row>
    <row r="4334" spans="1:5" hidden="1" x14ac:dyDescent="0.25">
      <c r="A4334" s="115">
        <v>75.177999999999997</v>
      </c>
      <c r="B4334" s="115">
        <v>75.75</v>
      </c>
      <c r="C4334" s="1">
        <v>750</v>
      </c>
      <c r="D4334" s="1" t="s">
        <v>2635</v>
      </c>
      <c r="E4334" s="1">
        <v>75</v>
      </c>
    </row>
    <row r="4335" spans="1:5" hidden="1" x14ac:dyDescent="0.25">
      <c r="A4335" s="115">
        <v>75.179000000000002</v>
      </c>
      <c r="B4335" s="115">
        <v>75.754999999999995</v>
      </c>
      <c r="C4335" s="1">
        <v>755</v>
      </c>
      <c r="D4335" s="1" t="s">
        <v>1466</v>
      </c>
      <c r="E4335" s="1">
        <v>75</v>
      </c>
    </row>
    <row r="4336" spans="1:5" hidden="1" x14ac:dyDescent="0.25">
      <c r="A4336" s="115">
        <v>75.180000000000007</v>
      </c>
      <c r="B4336" s="115">
        <v>75.760000000000005</v>
      </c>
      <c r="C4336" s="1">
        <v>760</v>
      </c>
      <c r="D4336" s="1" t="s">
        <v>2636</v>
      </c>
      <c r="E4336" s="1">
        <v>75</v>
      </c>
    </row>
    <row r="4337" spans="1:5" hidden="1" x14ac:dyDescent="0.25">
      <c r="A4337" s="115">
        <v>75.180999999999997</v>
      </c>
      <c r="B4337" s="115">
        <v>75.77</v>
      </c>
      <c r="C4337" s="1">
        <v>770</v>
      </c>
      <c r="D4337" s="1" t="s">
        <v>2637</v>
      </c>
      <c r="E4337" s="1">
        <v>75</v>
      </c>
    </row>
    <row r="4338" spans="1:5" hidden="1" x14ac:dyDescent="0.25">
      <c r="A4338" s="115">
        <v>75.182000000000002</v>
      </c>
      <c r="B4338" s="115">
        <v>75.78</v>
      </c>
      <c r="C4338" s="1">
        <v>780</v>
      </c>
      <c r="D4338" s="1" t="s">
        <v>2638</v>
      </c>
      <c r="E4338" s="1">
        <v>75</v>
      </c>
    </row>
    <row r="4339" spans="1:5" hidden="1" x14ac:dyDescent="0.25">
      <c r="A4339" s="115">
        <v>75.183000000000007</v>
      </c>
      <c r="B4339" s="115">
        <v>75.790000000000006</v>
      </c>
      <c r="C4339" s="1">
        <v>790</v>
      </c>
      <c r="D4339" s="1" t="s">
        <v>2639</v>
      </c>
      <c r="E4339" s="1">
        <v>75</v>
      </c>
    </row>
    <row r="4340" spans="1:5" hidden="1" x14ac:dyDescent="0.25">
      <c r="A4340" s="115">
        <v>75.183999999999997</v>
      </c>
      <c r="B4340" s="115">
        <v>75.8</v>
      </c>
      <c r="C4340" s="1">
        <v>800</v>
      </c>
      <c r="D4340" s="1" t="s">
        <v>2640</v>
      </c>
      <c r="E4340" s="1">
        <v>75</v>
      </c>
    </row>
    <row r="4341" spans="1:5" hidden="1" x14ac:dyDescent="0.25">
      <c r="A4341" s="115">
        <v>75.185000000000002</v>
      </c>
      <c r="B4341" s="115">
        <v>75.805000000000007</v>
      </c>
      <c r="C4341" s="1">
        <v>805</v>
      </c>
      <c r="D4341" s="1" t="s">
        <v>2641</v>
      </c>
      <c r="E4341" s="1">
        <v>75</v>
      </c>
    </row>
    <row r="4342" spans="1:5" hidden="1" x14ac:dyDescent="0.25">
      <c r="A4342" s="115">
        <v>75.186000000000007</v>
      </c>
      <c r="B4342" s="115">
        <v>75.81</v>
      </c>
      <c r="C4342" s="1">
        <v>810</v>
      </c>
      <c r="D4342" s="1" t="s">
        <v>2642</v>
      </c>
      <c r="E4342" s="1">
        <v>75</v>
      </c>
    </row>
    <row r="4343" spans="1:5" hidden="1" x14ac:dyDescent="0.25">
      <c r="A4343" s="115">
        <v>75.186999999999998</v>
      </c>
      <c r="B4343" s="115">
        <v>75.819999999999993</v>
      </c>
      <c r="C4343" s="1">
        <v>820</v>
      </c>
      <c r="D4343" s="1" t="s">
        <v>2643</v>
      </c>
      <c r="E4343" s="1">
        <v>75</v>
      </c>
    </row>
    <row r="4344" spans="1:5" hidden="1" x14ac:dyDescent="0.25">
      <c r="A4344" s="115">
        <v>75.188000000000002</v>
      </c>
      <c r="B4344" s="115">
        <v>75.83</v>
      </c>
      <c r="C4344" s="1">
        <v>830</v>
      </c>
      <c r="D4344" s="1" t="s">
        <v>2644</v>
      </c>
      <c r="E4344" s="1">
        <v>75</v>
      </c>
    </row>
    <row r="4345" spans="1:5" hidden="1" x14ac:dyDescent="0.25">
      <c r="A4345" s="115">
        <v>75.188999999999993</v>
      </c>
      <c r="B4345" s="115">
        <v>75.84</v>
      </c>
      <c r="C4345" s="1">
        <v>840</v>
      </c>
      <c r="D4345" s="1" t="s">
        <v>2645</v>
      </c>
      <c r="E4345" s="1">
        <v>75</v>
      </c>
    </row>
    <row r="4346" spans="1:5" hidden="1" x14ac:dyDescent="0.25">
      <c r="A4346" s="115">
        <v>75.19</v>
      </c>
      <c r="B4346" s="115">
        <v>75.849999999999994</v>
      </c>
      <c r="C4346" s="1">
        <v>850</v>
      </c>
      <c r="D4346" s="1" t="s">
        <v>2646</v>
      </c>
      <c r="E4346" s="1">
        <v>75</v>
      </c>
    </row>
    <row r="4347" spans="1:5" hidden="1" x14ac:dyDescent="0.25">
      <c r="A4347" s="115">
        <v>75.191000000000003</v>
      </c>
      <c r="B4347" s="115">
        <v>75.86</v>
      </c>
      <c r="C4347" s="1">
        <v>860</v>
      </c>
      <c r="D4347" s="1" t="s">
        <v>2647</v>
      </c>
      <c r="E4347" s="1">
        <v>75</v>
      </c>
    </row>
    <row r="4348" spans="1:5" hidden="1" x14ac:dyDescent="0.25">
      <c r="A4348" s="115">
        <v>75.191999999999993</v>
      </c>
      <c r="B4348" s="115">
        <v>75.87</v>
      </c>
      <c r="C4348" s="1">
        <v>870</v>
      </c>
      <c r="D4348" s="1" t="s">
        <v>2648</v>
      </c>
      <c r="E4348" s="1">
        <v>75</v>
      </c>
    </row>
    <row r="4349" spans="1:5" hidden="1" x14ac:dyDescent="0.25">
      <c r="A4349" s="115">
        <v>75.192999999999998</v>
      </c>
      <c r="B4349" s="115">
        <v>75.88</v>
      </c>
      <c r="C4349" s="1">
        <v>880</v>
      </c>
      <c r="D4349" s="1" t="s">
        <v>2649</v>
      </c>
      <c r="E4349" s="1">
        <v>75</v>
      </c>
    </row>
    <row r="4350" spans="1:5" hidden="1" x14ac:dyDescent="0.25">
      <c r="A4350" s="115">
        <v>75.194000000000003</v>
      </c>
      <c r="B4350" s="115">
        <v>75.89</v>
      </c>
      <c r="C4350" s="1">
        <v>890</v>
      </c>
      <c r="D4350" s="1" t="s">
        <v>2650</v>
      </c>
      <c r="E4350" s="1">
        <v>75</v>
      </c>
    </row>
    <row r="4351" spans="1:5" hidden="1" x14ac:dyDescent="0.25">
      <c r="A4351" s="115">
        <v>75.194999999999993</v>
      </c>
      <c r="B4351" s="115">
        <v>75.894999999999996</v>
      </c>
      <c r="C4351" s="1">
        <v>895</v>
      </c>
      <c r="D4351" s="1" t="s">
        <v>2651</v>
      </c>
      <c r="E4351" s="1">
        <v>75</v>
      </c>
    </row>
    <row r="4352" spans="1:5" hidden="1" x14ac:dyDescent="0.25">
      <c r="A4352" s="115">
        <v>75.195999999999998</v>
      </c>
      <c r="B4352" s="115">
        <v>75.900000000000006</v>
      </c>
      <c r="C4352" s="1">
        <v>900</v>
      </c>
      <c r="D4352" s="1" t="s">
        <v>2652</v>
      </c>
      <c r="E4352" s="1">
        <v>75</v>
      </c>
    </row>
    <row r="4353" spans="1:5" hidden="1" x14ac:dyDescent="0.25">
      <c r="A4353" s="115">
        <v>75.197000000000003</v>
      </c>
      <c r="B4353" s="115">
        <v>75.91</v>
      </c>
      <c r="C4353" s="1">
        <v>910</v>
      </c>
      <c r="D4353" s="1" t="s">
        <v>2653</v>
      </c>
      <c r="E4353" s="1">
        <v>75</v>
      </c>
    </row>
    <row r="4354" spans="1:5" hidden="1" x14ac:dyDescent="0.25">
      <c r="A4354" s="115">
        <v>75.197999999999993</v>
      </c>
      <c r="B4354" s="115">
        <v>75.92</v>
      </c>
      <c r="C4354" s="1">
        <v>920</v>
      </c>
      <c r="D4354" s="1" t="s">
        <v>2654</v>
      </c>
      <c r="E4354" s="1">
        <v>75</v>
      </c>
    </row>
    <row r="4355" spans="1:5" hidden="1" x14ac:dyDescent="0.25">
      <c r="A4355" s="115">
        <v>75.198999999999998</v>
      </c>
      <c r="B4355" s="115">
        <v>75.924999999999997</v>
      </c>
      <c r="C4355" s="1">
        <v>925</v>
      </c>
      <c r="D4355" s="1" t="s">
        <v>2655</v>
      </c>
      <c r="E4355" s="1">
        <v>75</v>
      </c>
    </row>
    <row r="4356" spans="1:5" hidden="1" x14ac:dyDescent="0.25">
      <c r="A4356" s="115">
        <v>75.2</v>
      </c>
      <c r="B4356" s="115">
        <v>75.930000000000007</v>
      </c>
      <c r="C4356" s="1">
        <v>930</v>
      </c>
      <c r="D4356" s="1" t="s">
        <v>2656</v>
      </c>
      <c r="E4356" s="1">
        <v>75</v>
      </c>
    </row>
    <row r="4357" spans="1:5" hidden="1" x14ac:dyDescent="0.25">
      <c r="A4357" s="115">
        <v>75.200999999999993</v>
      </c>
      <c r="B4357" s="115">
        <v>75.935000000000002</v>
      </c>
      <c r="C4357" s="1">
        <v>935</v>
      </c>
      <c r="D4357" s="1" t="s">
        <v>2657</v>
      </c>
      <c r="E4357" s="1">
        <v>75</v>
      </c>
    </row>
    <row r="4358" spans="1:5" hidden="1" x14ac:dyDescent="0.25">
      <c r="A4358" s="115">
        <v>75.201999999999998</v>
      </c>
      <c r="B4358" s="115">
        <v>75.94</v>
      </c>
      <c r="C4358" s="1">
        <v>940</v>
      </c>
      <c r="D4358" s="1" t="s">
        <v>2658</v>
      </c>
      <c r="E4358" s="1">
        <v>75</v>
      </c>
    </row>
    <row r="4359" spans="1:5" hidden="1" x14ac:dyDescent="0.25">
      <c r="A4359" s="115">
        <v>75.203000000000003</v>
      </c>
      <c r="B4359" s="115">
        <v>75.95</v>
      </c>
      <c r="C4359" s="1">
        <v>950</v>
      </c>
      <c r="D4359" s="1" t="s">
        <v>2659</v>
      </c>
      <c r="E4359" s="1">
        <v>75</v>
      </c>
    </row>
    <row r="4360" spans="1:5" hidden="1" x14ac:dyDescent="0.25">
      <c r="A4360" s="115">
        <v>75.203999999999994</v>
      </c>
      <c r="B4360" s="115">
        <v>75.954999999999998</v>
      </c>
      <c r="C4360" s="1">
        <v>955</v>
      </c>
      <c r="D4360" s="1" t="s">
        <v>2660</v>
      </c>
      <c r="E4360" s="1">
        <v>75</v>
      </c>
    </row>
    <row r="4361" spans="1:5" hidden="1" x14ac:dyDescent="0.25">
      <c r="A4361" s="115">
        <v>75.204999999999998</v>
      </c>
      <c r="B4361" s="115">
        <v>75.959999999999994</v>
      </c>
      <c r="C4361" s="1">
        <v>960</v>
      </c>
      <c r="D4361" s="1" t="s">
        <v>2661</v>
      </c>
      <c r="E4361" s="1">
        <v>75</v>
      </c>
    </row>
    <row r="4362" spans="1:5" hidden="1" x14ac:dyDescent="0.25">
      <c r="A4362" s="115">
        <v>75.206000000000003</v>
      </c>
      <c r="B4362" s="115">
        <v>75.97</v>
      </c>
      <c r="C4362" s="1">
        <v>970</v>
      </c>
      <c r="D4362" s="1" t="s">
        <v>2662</v>
      </c>
      <c r="E4362" s="1">
        <v>75</v>
      </c>
    </row>
    <row r="4363" spans="1:5" hidden="1" x14ac:dyDescent="0.25">
      <c r="A4363" s="115">
        <v>75.206999999999994</v>
      </c>
      <c r="B4363" s="115">
        <v>75.98</v>
      </c>
      <c r="C4363" s="1">
        <v>980</v>
      </c>
      <c r="D4363" s="1" t="s">
        <v>2663</v>
      </c>
      <c r="E4363" s="1">
        <v>75</v>
      </c>
    </row>
    <row r="4364" spans="1:5" hidden="1" x14ac:dyDescent="0.25">
      <c r="A4364" s="115">
        <v>75.207999999999998</v>
      </c>
      <c r="B4364" s="115">
        <v>75.989999999999995</v>
      </c>
      <c r="C4364" s="1">
        <v>990</v>
      </c>
      <c r="D4364" s="1" t="s">
        <v>2664</v>
      </c>
      <c r="E4364" s="1">
        <v>75</v>
      </c>
    </row>
    <row r="4365" spans="1:5" hidden="1" x14ac:dyDescent="0.25">
      <c r="A4365" s="115">
        <v>75.209000000000003</v>
      </c>
      <c r="B4365" s="115">
        <v>75.099999999999994</v>
      </c>
      <c r="C4365" s="1">
        <v>1000</v>
      </c>
      <c r="D4365" s="1" t="s">
        <v>2665</v>
      </c>
      <c r="E4365" s="1">
        <v>75</v>
      </c>
    </row>
    <row r="4366" spans="1:5" hidden="1" x14ac:dyDescent="0.25">
      <c r="A4366" s="115">
        <v>75.209999999999994</v>
      </c>
      <c r="B4366" s="115">
        <v>75.11</v>
      </c>
      <c r="C4366" s="1">
        <v>1100</v>
      </c>
      <c r="D4366" s="1" t="s">
        <v>2666</v>
      </c>
      <c r="E4366" s="1">
        <v>75</v>
      </c>
    </row>
    <row r="4367" spans="1:5" hidden="1" x14ac:dyDescent="0.25">
      <c r="A4367" s="115">
        <v>75.210999999999999</v>
      </c>
      <c r="B4367" s="115">
        <v>75.111000000000004</v>
      </c>
      <c r="C4367" s="1">
        <v>1110</v>
      </c>
      <c r="D4367" s="1" t="s">
        <v>2667</v>
      </c>
      <c r="E4367" s="1">
        <v>75</v>
      </c>
    </row>
    <row r="4368" spans="1:5" hidden="1" x14ac:dyDescent="0.25">
      <c r="A4368" s="115">
        <v>75.212000000000003</v>
      </c>
      <c r="B4368" s="115">
        <v>75.111999999999995</v>
      </c>
      <c r="C4368" s="1">
        <v>1120</v>
      </c>
      <c r="D4368" s="1" t="s">
        <v>2668</v>
      </c>
      <c r="E4368" s="1">
        <v>75</v>
      </c>
    </row>
    <row r="4369" spans="1:5" hidden="1" x14ac:dyDescent="0.25">
      <c r="A4369" s="115">
        <v>75.212999999999994</v>
      </c>
      <c r="B4369" s="115">
        <v>75.113</v>
      </c>
      <c r="C4369" s="1">
        <v>1130</v>
      </c>
      <c r="D4369" s="1" t="s">
        <v>2669</v>
      </c>
      <c r="E4369" s="1">
        <v>75</v>
      </c>
    </row>
    <row r="4370" spans="1:5" hidden="1" x14ac:dyDescent="0.25">
      <c r="A4370" s="115">
        <v>75.213999999999999</v>
      </c>
      <c r="B4370" s="115">
        <v>75.114000000000004</v>
      </c>
      <c r="C4370" s="1">
        <v>1140</v>
      </c>
      <c r="D4370" s="1" t="s">
        <v>2670</v>
      </c>
      <c r="E4370" s="1">
        <v>75</v>
      </c>
    </row>
    <row r="4371" spans="1:5" hidden="1" x14ac:dyDescent="0.25">
      <c r="A4371" s="115">
        <v>75.215000000000003</v>
      </c>
      <c r="B4371" s="115">
        <v>75.114999999999995</v>
      </c>
      <c r="C4371" s="1">
        <v>1150</v>
      </c>
      <c r="D4371" s="1" t="s">
        <v>2671</v>
      </c>
      <c r="E4371" s="1">
        <v>75</v>
      </c>
    </row>
    <row r="4372" spans="1:5" hidden="1" x14ac:dyDescent="0.25">
      <c r="A4372" s="115">
        <v>75.215999999999994</v>
      </c>
      <c r="B4372" s="115">
        <v>75.116</v>
      </c>
      <c r="C4372" s="1">
        <v>1160</v>
      </c>
      <c r="D4372" s="1" t="s">
        <v>2672</v>
      </c>
      <c r="E4372" s="1">
        <v>75</v>
      </c>
    </row>
    <row r="4373" spans="1:5" hidden="1" x14ac:dyDescent="0.25">
      <c r="A4373" s="115">
        <v>75.216999999999999</v>
      </c>
      <c r="B4373" s="115">
        <v>75.117000000000004</v>
      </c>
      <c r="C4373" s="1">
        <v>1170</v>
      </c>
      <c r="D4373" s="1" t="s">
        <v>2673</v>
      </c>
      <c r="E4373" s="1">
        <v>75</v>
      </c>
    </row>
    <row r="4374" spans="1:5" hidden="1" x14ac:dyDescent="0.25">
      <c r="A4374" s="115">
        <v>75.218000000000004</v>
      </c>
      <c r="B4374" s="115">
        <v>75.117999999999995</v>
      </c>
      <c r="C4374" s="1">
        <v>1180</v>
      </c>
      <c r="D4374" s="1" t="s">
        <v>2674</v>
      </c>
      <c r="E4374" s="1">
        <v>75</v>
      </c>
    </row>
    <row r="4375" spans="1:5" hidden="1" x14ac:dyDescent="0.25">
      <c r="A4375" s="115">
        <v>75.218999999999994</v>
      </c>
      <c r="B4375" s="115">
        <v>75.119</v>
      </c>
      <c r="C4375" s="1">
        <v>1190</v>
      </c>
      <c r="D4375" s="1" t="s">
        <v>2675</v>
      </c>
      <c r="E4375" s="1">
        <v>75</v>
      </c>
    </row>
    <row r="4376" spans="1:5" hidden="1" x14ac:dyDescent="0.25">
      <c r="A4376" s="115">
        <v>75.22</v>
      </c>
      <c r="B4376" s="115">
        <v>75.12</v>
      </c>
      <c r="C4376" s="1">
        <v>1200</v>
      </c>
      <c r="D4376" s="1" t="s">
        <v>2676</v>
      </c>
      <c r="E4376" s="1">
        <v>75</v>
      </c>
    </row>
    <row r="4377" spans="1:5" hidden="1" x14ac:dyDescent="0.25">
      <c r="A4377" s="115">
        <v>75.221000000000004</v>
      </c>
      <c r="B4377" s="115">
        <v>75.120999999999995</v>
      </c>
      <c r="C4377" s="1">
        <v>1210</v>
      </c>
      <c r="D4377" s="1" t="s">
        <v>2677</v>
      </c>
      <c r="E4377" s="1">
        <v>75</v>
      </c>
    </row>
    <row r="4378" spans="1:5" hidden="1" x14ac:dyDescent="0.25">
      <c r="A4378" s="115">
        <v>75.221999999999994</v>
      </c>
      <c r="B4378" s="115">
        <v>75.122</v>
      </c>
      <c r="C4378" s="1">
        <v>1220</v>
      </c>
      <c r="D4378" s="1" t="s">
        <v>2678</v>
      </c>
      <c r="E4378" s="1">
        <v>75</v>
      </c>
    </row>
    <row r="4379" spans="1:5" hidden="1" x14ac:dyDescent="0.25">
      <c r="A4379" s="115">
        <v>75.222999999999999</v>
      </c>
      <c r="B4379" s="115">
        <v>75.123000000000005</v>
      </c>
      <c r="C4379" s="1">
        <v>1230</v>
      </c>
      <c r="D4379" s="1" t="s">
        <v>2679</v>
      </c>
      <c r="E4379" s="1">
        <v>75</v>
      </c>
    </row>
    <row r="4380" spans="1:5" hidden="1" x14ac:dyDescent="0.25">
      <c r="A4380" s="115">
        <v>75.224000000000004</v>
      </c>
      <c r="B4380" s="115">
        <v>75.123999999999995</v>
      </c>
      <c r="C4380" s="1">
        <v>1240</v>
      </c>
      <c r="D4380" s="1" t="s">
        <v>2680</v>
      </c>
      <c r="E4380" s="1">
        <v>75</v>
      </c>
    </row>
    <row r="4381" spans="1:5" hidden="1" x14ac:dyDescent="0.25">
      <c r="A4381" s="115">
        <v>75.224999999999994</v>
      </c>
      <c r="B4381" s="115">
        <v>75.125</v>
      </c>
      <c r="C4381" s="1">
        <v>1250</v>
      </c>
      <c r="D4381" s="1" t="s">
        <v>2681</v>
      </c>
      <c r="E4381" s="1">
        <v>75</v>
      </c>
    </row>
    <row r="4382" spans="1:5" hidden="1" x14ac:dyDescent="0.25">
      <c r="A4382" s="115">
        <v>75.225999999999999</v>
      </c>
      <c r="B4382" s="115">
        <v>75.126000000000005</v>
      </c>
      <c r="C4382" s="1">
        <v>1260</v>
      </c>
      <c r="D4382" s="1" t="s">
        <v>2682</v>
      </c>
      <c r="E4382" s="1">
        <v>75</v>
      </c>
    </row>
    <row r="4383" spans="1:5" hidden="1" x14ac:dyDescent="0.25">
      <c r="A4383" s="115">
        <v>75.227000000000004</v>
      </c>
      <c r="B4383" s="115">
        <v>75.126999999999995</v>
      </c>
      <c r="C4383" s="1">
        <v>1270</v>
      </c>
      <c r="D4383" s="1" t="s">
        <v>2683</v>
      </c>
      <c r="E4383" s="1">
        <v>75</v>
      </c>
    </row>
    <row r="4384" spans="1:5" hidden="1" x14ac:dyDescent="0.25">
      <c r="A4384" s="115">
        <v>75.227999999999994</v>
      </c>
      <c r="B4384" s="115">
        <v>75.128</v>
      </c>
      <c r="C4384" s="1">
        <v>1280</v>
      </c>
      <c r="D4384" s="1" t="s">
        <v>2684</v>
      </c>
      <c r="E4384" s="1">
        <v>75</v>
      </c>
    </row>
    <row r="4385" spans="1:5" hidden="1" x14ac:dyDescent="0.25">
      <c r="A4385" s="115">
        <v>75.228999999999999</v>
      </c>
      <c r="B4385" s="115">
        <v>75.13</v>
      </c>
      <c r="C4385" s="1">
        <v>1300</v>
      </c>
      <c r="D4385" s="1" t="s">
        <v>2685</v>
      </c>
      <c r="E4385" s="1">
        <v>75</v>
      </c>
    </row>
    <row r="4386" spans="1:5" hidden="1" x14ac:dyDescent="0.25">
      <c r="A4386" s="115">
        <v>75.23</v>
      </c>
      <c r="B4386" s="115">
        <v>75.131</v>
      </c>
      <c r="C4386" s="1">
        <v>1310</v>
      </c>
      <c r="D4386" s="1" t="s">
        <v>2686</v>
      </c>
      <c r="E4386" s="1">
        <v>75</v>
      </c>
    </row>
    <row r="4387" spans="1:5" hidden="1" x14ac:dyDescent="0.25">
      <c r="A4387" s="115">
        <v>75.230999999999995</v>
      </c>
      <c r="B4387" s="115">
        <v>75.132000000000005</v>
      </c>
      <c r="C4387" s="1">
        <v>1320</v>
      </c>
      <c r="D4387" s="1" t="s">
        <v>2687</v>
      </c>
      <c r="E4387" s="1">
        <v>75</v>
      </c>
    </row>
    <row r="4388" spans="1:5" hidden="1" x14ac:dyDescent="0.25">
      <c r="A4388" s="115">
        <v>76.100999999999999</v>
      </c>
      <c r="B4388" s="115">
        <v>76.099999999999994</v>
      </c>
      <c r="C4388" s="1">
        <v>10</v>
      </c>
      <c r="D4388" s="1" t="s">
        <v>2559</v>
      </c>
      <c r="E4388" s="1">
        <v>76</v>
      </c>
    </row>
    <row r="4389" spans="1:5" hidden="1" x14ac:dyDescent="0.25">
      <c r="A4389" s="115">
        <v>76.102000000000004</v>
      </c>
      <c r="B4389" s="115">
        <v>76.2</v>
      </c>
      <c r="C4389" s="1">
        <v>20</v>
      </c>
      <c r="D4389" s="1" t="s">
        <v>2560</v>
      </c>
      <c r="E4389" s="1">
        <v>76</v>
      </c>
    </row>
    <row r="4390" spans="1:5" hidden="1" x14ac:dyDescent="0.25">
      <c r="A4390" s="115">
        <v>76.102999999999994</v>
      </c>
      <c r="B4390" s="115">
        <v>76.3</v>
      </c>
      <c r="C4390" s="1">
        <v>30</v>
      </c>
      <c r="D4390" s="1" t="s">
        <v>2561</v>
      </c>
      <c r="E4390" s="1">
        <v>76</v>
      </c>
    </row>
    <row r="4391" spans="1:5" hidden="1" x14ac:dyDescent="0.25">
      <c r="A4391" s="115">
        <v>76.103999999999999</v>
      </c>
      <c r="B4391" s="115">
        <v>76.400000000000006</v>
      </c>
      <c r="C4391" s="1">
        <v>40</v>
      </c>
      <c r="D4391" s="1" t="s">
        <v>2562</v>
      </c>
      <c r="E4391" s="1">
        <v>76</v>
      </c>
    </row>
    <row r="4392" spans="1:5" hidden="1" x14ac:dyDescent="0.25">
      <c r="A4392" s="115">
        <v>76.105000000000004</v>
      </c>
      <c r="B4392" s="115">
        <v>76.5</v>
      </c>
      <c r="C4392" s="1">
        <v>50</v>
      </c>
      <c r="D4392" s="1" t="s">
        <v>2563</v>
      </c>
      <c r="E4392" s="1">
        <v>76</v>
      </c>
    </row>
    <row r="4393" spans="1:5" hidden="1" x14ac:dyDescent="0.25">
      <c r="A4393" s="115">
        <v>76.105999999999995</v>
      </c>
      <c r="B4393" s="115">
        <v>76.599999999999994</v>
      </c>
      <c r="C4393" s="1">
        <v>60</v>
      </c>
      <c r="D4393" s="1" t="s">
        <v>2564</v>
      </c>
      <c r="E4393" s="1">
        <v>76</v>
      </c>
    </row>
    <row r="4394" spans="1:5" hidden="1" x14ac:dyDescent="0.25">
      <c r="A4394" s="115">
        <v>76.106999999999999</v>
      </c>
      <c r="B4394" s="115">
        <v>76.7</v>
      </c>
      <c r="C4394" s="1">
        <v>70</v>
      </c>
      <c r="D4394" s="1" t="s">
        <v>2565</v>
      </c>
      <c r="E4394" s="1">
        <v>76</v>
      </c>
    </row>
    <row r="4395" spans="1:5" hidden="1" x14ac:dyDescent="0.25">
      <c r="A4395" s="115">
        <v>76.108000000000004</v>
      </c>
      <c r="B4395" s="115">
        <v>76.8</v>
      </c>
      <c r="C4395" s="1">
        <v>80</v>
      </c>
      <c r="D4395" s="1" t="s">
        <v>2566</v>
      </c>
      <c r="E4395" s="1">
        <v>76</v>
      </c>
    </row>
    <row r="4396" spans="1:5" hidden="1" x14ac:dyDescent="0.25">
      <c r="A4396" s="115">
        <v>76.108999999999995</v>
      </c>
      <c r="B4396" s="115">
        <v>76.900000000000006</v>
      </c>
      <c r="C4396" s="1">
        <v>90</v>
      </c>
      <c r="D4396" s="1" t="s">
        <v>2567</v>
      </c>
      <c r="E4396" s="1">
        <v>76</v>
      </c>
    </row>
    <row r="4397" spans="1:5" hidden="1" x14ac:dyDescent="0.25">
      <c r="A4397" s="115">
        <v>76.11</v>
      </c>
      <c r="B4397" s="115">
        <v>76.099999999999994</v>
      </c>
      <c r="C4397" s="1">
        <v>100</v>
      </c>
      <c r="D4397" s="1" t="s">
        <v>2568</v>
      </c>
      <c r="E4397" s="1">
        <v>76</v>
      </c>
    </row>
    <row r="4398" spans="1:5" hidden="1" x14ac:dyDescent="0.25">
      <c r="A4398" s="115">
        <v>76.111000000000004</v>
      </c>
      <c r="B4398" s="115">
        <v>76.11</v>
      </c>
      <c r="C4398" s="1">
        <v>110</v>
      </c>
      <c r="D4398" s="1" t="s">
        <v>2569</v>
      </c>
      <c r="E4398" s="1">
        <v>76</v>
      </c>
    </row>
    <row r="4399" spans="1:5" hidden="1" x14ac:dyDescent="0.25">
      <c r="A4399" s="115">
        <v>76.111999999999995</v>
      </c>
      <c r="B4399" s="115">
        <v>76.12</v>
      </c>
      <c r="C4399" s="1">
        <v>120</v>
      </c>
      <c r="D4399" s="1" t="s">
        <v>2570</v>
      </c>
      <c r="E4399" s="1">
        <v>76</v>
      </c>
    </row>
    <row r="4400" spans="1:5" hidden="1" x14ac:dyDescent="0.25">
      <c r="A4400" s="115">
        <v>76.113</v>
      </c>
      <c r="B4400" s="115">
        <v>76.13</v>
      </c>
      <c r="C4400" s="1">
        <v>130</v>
      </c>
      <c r="D4400" s="1" t="s">
        <v>2571</v>
      </c>
      <c r="E4400" s="1">
        <v>76</v>
      </c>
    </row>
    <row r="4401" spans="1:5" hidden="1" x14ac:dyDescent="0.25">
      <c r="A4401" s="115">
        <v>76.114000000000004</v>
      </c>
      <c r="B4401" s="115">
        <v>76.14</v>
      </c>
      <c r="C4401" s="1">
        <v>140</v>
      </c>
      <c r="D4401" s="1" t="s">
        <v>2572</v>
      </c>
      <c r="E4401" s="1">
        <v>76</v>
      </c>
    </row>
    <row r="4402" spans="1:5" hidden="1" x14ac:dyDescent="0.25">
      <c r="A4402" s="115">
        <v>76.114999999999995</v>
      </c>
      <c r="B4402" s="115">
        <v>76.150000000000006</v>
      </c>
      <c r="C4402" s="1">
        <v>150</v>
      </c>
      <c r="D4402" s="1" t="s">
        <v>2573</v>
      </c>
      <c r="E4402" s="1">
        <v>76</v>
      </c>
    </row>
    <row r="4403" spans="1:5" hidden="1" x14ac:dyDescent="0.25">
      <c r="A4403" s="115">
        <v>76.116</v>
      </c>
      <c r="B4403" s="115">
        <v>76.16</v>
      </c>
      <c r="C4403" s="1">
        <v>160</v>
      </c>
      <c r="D4403" s="1" t="s">
        <v>2574</v>
      </c>
      <c r="E4403" s="1">
        <v>76</v>
      </c>
    </row>
    <row r="4404" spans="1:5" hidden="1" x14ac:dyDescent="0.25">
      <c r="A4404" s="115">
        <v>76.117000000000004</v>
      </c>
      <c r="B4404" s="115">
        <v>76.17</v>
      </c>
      <c r="C4404" s="1">
        <v>170</v>
      </c>
      <c r="D4404" s="1" t="s">
        <v>2575</v>
      </c>
      <c r="E4404" s="1">
        <v>76</v>
      </c>
    </row>
    <row r="4405" spans="1:5" hidden="1" x14ac:dyDescent="0.25">
      <c r="A4405" s="115">
        <v>76.117999999999995</v>
      </c>
      <c r="B4405" s="115">
        <v>76.180000000000007</v>
      </c>
      <c r="C4405" s="1">
        <v>180</v>
      </c>
      <c r="D4405" s="1" t="s">
        <v>2576</v>
      </c>
      <c r="E4405" s="1">
        <v>76</v>
      </c>
    </row>
    <row r="4406" spans="1:5" hidden="1" x14ac:dyDescent="0.25">
      <c r="A4406" s="115">
        <v>76.119</v>
      </c>
      <c r="B4406" s="115">
        <v>76.19</v>
      </c>
      <c r="C4406" s="1">
        <v>190</v>
      </c>
      <c r="D4406" s="1" t="s">
        <v>2577</v>
      </c>
      <c r="E4406" s="1">
        <v>76</v>
      </c>
    </row>
    <row r="4407" spans="1:5" hidden="1" x14ac:dyDescent="0.25">
      <c r="A4407" s="115">
        <v>76.12</v>
      </c>
      <c r="B4407" s="115">
        <v>76.2</v>
      </c>
      <c r="C4407" s="1">
        <v>200</v>
      </c>
      <c r="D4407" s="1" t="s">
        <v>2578</v>
      </c>
      <c r="E4407" s="1">
        <v>76</v>
      </c>
    </row>
    <row r="4408" spans="1:5" hidden="1" x14ac:dyDescent="0.25">
      <c r="A4408" s="115">
        <v>76.120999999999995</v>
      </c>
      <c r="B4408" s="115">
        <v>76.209999999999994</v>
      </c>
      <c r="C4408" s="1">
        <v>210</v>
      </c>
      <c r="D4408" s="1" t="s">
        <v>2579</v>
      </c>
      <c r="E4408" s="1">
        <v>76</v>
      </c>
    </row>
    <row r="4409" spans="1:5" hidden="1" x14ac:dyDescent="0.25">
      <c r="A4409" s="115">
        <v>76.122</v>
      </c>
      <c r="B4409" s="115">
        <v>76.22</v>
      </c>
      <c r="C4409" s="1">
        <v>220</v>
      </c>
      <c r="D4409" s="1" t="s">
        <v>2580</v>
      </c>
      <c r="E4409" s="1">
        <v>76</v>
      </c>
    </row>
    <row r="4410" spans="1:5" hidden="1" x14ac:dyDescent="0.25">
      <c r="A4410" s="115">
        <v>76.123000000000005</v>
      </c>
      <c r="B4410" s="115">
        <v>76.23</v>
      </c>
      <c r="C4410" s="1">
        <v>230</v>
      </c>
      <c r="D4410" s="1" t="s">
        <v>2581</v>
      </c>
      <c r="E4410" s="1">
        <v>76</v>
      </c>
    </row>
    <row r="4411" spans="1:5" hidden="1" x14ac:dyDescent="0.25">
      <c r="A4411" s="115">
        <v>76.123999999999995</v>
      </c>
      <c r="B4411" s="115">
        <v>76.239999999999995</v>
      </c>
      <c r="C4411" s="1">
        <v>240</v>
      </c>
      <c r="D4411" s="1" t="s">
        <v>2582</v>
      </c>
      <c r="E4411" s="1">
        <v>76</v>
      </c>
    </row>
    <row r="4412" spans="1:5" hidden="1" x14ac:dyDescent="0.25">
      <c r="A4412" s="115">
        <v>76.125</v>
      </c>
      <c r="B4412" s="115">
        <v>76.25</v>
      </c>
      <c r="C4412" s="1">
        <v>250</v>
      </c>
      <c r="D4412" s="1" t="s">
        <v>2583</v>
      </c>
      <c r="E4412" s="1">
        <v>76</v>
      </c>
    </row>
    <row r="4413" spans="1:5" hidden="1" x14ac:dyDescent="0.25">
      <c r="A4413" s="115">
        <v>76.126000000000005</v>
      </c>
      <c r="B4413" s="115">
        <v>76.260000000000005</v>
      </c>
      <c r="C4413" s="1">
        <v>260</v>
      </c>
      <c r="D4413" s="1" t="s">
        <v>2584</v>
      </c>
      <c r="E4413" s="1">
        <v>76</v>
      </c>
    </row>
    <row r="4414" spans="1:5" hidden="1" x14ac:dyDescent="0.25">
      <c r="A4414" s="115">
        <v>76.126999999999995</v>
      </c>
      <c r="B4414" s="115">
        <v>76.27</v>
      </c>
      <c r="C4414" s="1">
        <v>270</v>
      </c>
      <c r="D4414" s="1" t="s">
        <v>2585</v>
      </c>
      <c r="E4414" s="1">
        <v>76</v>
      </c>
    </row>
    <row r="4415" spans="1:5" hidden="1" x14ac:dyDescent="0.25">
      <c r="A4415" s="115">
        <v>76.128</v>
      </c>
      <c r="B4415" s="115">
        <v>76.28</v>
      </c>
      <c r="C4415" s="1">
        <v>280</v>
      </c>
      <c r="D4415" s="1" t="s">
        <v>2586</v>
      </c>
      <c r="E4415" s="1">
        <v>76</v>
      </c>
    </row>
    <row r="4416" spans="1:5" hidden="1" x14ac:dyDescent="0.25">
      <c r="A4416" s="115">
        <v>76.129000000000005</v>
      </c>
      <c r="B4416" s="115">
        <v>76.290000000000006</v>
      </c>
      <c r="C4416" s="1">
        <v>290</v>
      </c>
      <c r="D4416" s="1" t="s">
        <v>2587</v>
      </c>
      <c r="E4416" s="1">
        <v>76</v>
      </c>
    </row>
    <row r="4417" spans="1:5" hidden="1" x14ac:dyDescent="0.25">
      <c r="A4417" s="115">
        <v>76.13</v>
      </c>
      <c r="B4417" s="115">
        <v>76.3</v>
      </c>
      <c r="C4417" s="1">
        <v>300</v>
      </c>
      <c r="D4417" s="1" t="s">
        <v>2588</v>
      </c>
      <c r="E4417" s="1">
        <v>76</v>
      </c>
    </row>
    <row r="4418" spans="1:5" hidden="1" x14ac:dyDescent="0.25">
      <c r="A4418" s="115">
        <v>76.131</v>
      </c>
      <c r="B4418" s="115">
        <v>76.31</v>
      </c>
      <c r="C4418" s="1">
        <v>310</v>
      </c>
      <c r="D4418" s="1" t="s">
        <v>2589</v>
      </c>
      <c r="E4418" s="1">
        <v>76</v>
      </c>
    </row>
    <row r="4419" spans="1:5" hidden="1" x14ac:dyDescent="0.25">
      <c r="A4419" s="115">
        <v>76.132000000000005</v>
      </c>
      <c r="B4419" s="115">
        <v>76.319999999999993</v>
      </c>
      <c r="C4419" s="1">
        <v>320</v>
      </c>
      <c r="D4419" s="1" t="s">
        <v>2590</v>
      </c>
      <c r="E4419" s="1">
        <v>76</v>
      </c>
    </row>
    <row r="4420" spans="1:5" hidden="1" x14ac:dyDescent="0.25">
      <c r="A4420" s="115">
        <v>76.132999999999996</v>
      </c>
      <c r="B4420" s="115">
        <v>76.33</v>
      </c>
      <c r="C4420" s="1">
        <v>330</v>
      </c>
      <c r="D4420" s="1" t="s">
        <v>2591</v>
      </c>
      <c r="E4420" s="1">
        <v>76</v>
      </c>
    </row>
    <row r="4421" spans="1:5" hidden="1" x14ac:dyDescent="0.25">
      <c r="A4421" s="115">
        <v>76.134</v>
      </c>
      <c r="B4421" s="115">
        <v>76.34</v>
      </c>
      <c r="C4421" s="1">
        <v>340</v>
      </c>
      <c r="D4421" s="1" t="s">
        <v>2592</v>
      </c>
      <c r="E4421" s="1">
        <v>76</v>
      </c>
    </row>
    <row r="4422" spans="1:5" hidden="1" x14ac:dyDescent="0.25">
      <c r="A4422" s="115">
        <v>76.135000000000005</v>
      </c>
      <c r="B4422" s="115">
        <v>76.349999999999994</v>
      </c>
      <c r="C4422" s="1">
        <v>350</v>
      </c>
      <c r="D4422" s="1" t="s">
        <v>2593</v>
      </c>
      <c r="E4422" s="1">
        <v>76</v>
      </c>
    </row>
    <row r="4423" spans="1:5" hidden="1" x14ac:dyDescent="0.25">
      <c r="A4423" s="115">
        <v>76.135999999999996</v>
      </c>
      <c r="B4423" s="115">
        <v>76.36</v>
      </c>
      <c r="C4423" s="1">
        <v>360</v>
      </c>
      <c r="D4423" s="1" t="s">
        <v>2594</v>
      </c>
      <c r="E4423" s="1">
        <v>76</v>
      </c>
    </row>
    <row r="4424" spans="1:5" hidden="1" x14ac:dyDescent="0.25">
      <c r="A4424" s="115">
        <v>76.137</v>
      </c>
      <c r="B4424" s="115">
        <v>76.37</v>
      </c>
      <c r="C4424" s="1">
        <v>370</v>
      </c>
      <c r="D4424" s="1" t="s">
        <v>2595</v>
      </c>
      <c r="E4424" s="1">
        <v>76</v>
      </c>
    </row>
    <row r="4425" spans="1:5" hidden="1" x14ac:dyDescent="0.25">
      <c r="A4425" s="115">
        <v>76.138000000000005</v>
      </c>
      <c r="B4425" s="115">
        <v>76.38</v>
      </c>
      <c r="C4425" s="1">
        <v>380</v>
      </c>
      <c r="D4425" s="1" t="s">
        <v>2596</v>
      </c>
      <c r="E4425" s="1">
        <v>76</v>
      </c>
    </row>
    <row r="4426" spans="1:5" hidden="1" x14ac:dyDescent="0.25">
      <c r="A4426" s="115">
        <v>76.138999999999996</v>
      </c>
      <c r="B4426" s="115">
        <v>76.39</v>
      </c>
      <c r="C4426" s="1">
        <v>390</v>
      </c>
      <c r="D4426" s="1" t="s">
        <v>2597</v>
      </c>
      <c r="E4426" s="1">
        <v>76</v>
      </c>
    </row>
    <row r="4427" spans="1:5" hidden="1" x14ac:dyDescent="0.25">
      <c r="A4427" s="115">
        <v>76.14</v>
      </c>
      <c r="B4427" s="115">
        <v>76.400000000000006</v>
      </c>
      <c r="C4427" s="1">
        <v>400</v>
      </c>
      <c r="D4427" s="1" t="s">
        <v>2598</v>
      </c>
      <c r="E4427" s="1">
        <v>76</v>
      </c>
    </row>
    <row r="4428" spans="1:5" hidden="1" x14ac:dyDescent="0.25">
      <c r="A4428" s="115">
        <v>76.141000000000005</v>
      </c>
      <c r="B4428" s="115">
        <v>76.41</v>
      </c>
      <c r="C4428" s="1">
        <v>410</v>
      </c>
      <c r="D4428" s="1" t="s">
        <v>2599</v>
      </c>
      <c r="E4428" s="1">
        <v>76</v>
      </c>
    </row>
    <row r="4429" spans="1:5" hidden="1" x14ac:dyDescent="0.25">
      <c r="A4429" s="115">
        <v>76.141999999999996</v>
      </c>
      <c r="B4429" s="115">
        <v>76.42</v>
      </c>
      <c r="C4429" s="1">
        <v>420</v>
      </c>
      <c r="D4429" s="1" t="s">
        <v>2600</v>
      </c>
      <c r="E4429" s="1">
        <v>76</v>
      </c>
    </row>
    <row r="4430" spans="1:5" hidden="1" x14ac:dyDescent="0.25">
      <c r="A4430" s="115">
        <v>76.143000000000001</v>
      </c>
      <c r="B4430" s="115">
        <v>76.430000000000007</v>
      </c>
      <c r="C4430" s="1">
        <v>430</v>
      </c>
      <c r="D4430" s="1" t="s">
        <v>2601</v>
      </c>
      <c r="E4430" s="1">
        <v>76</v>
      </c>
    </row>
    <row r="4431" spans="1:5" hidden="1" x14ac:dyDescent="0.25">
      <c r="A4431" s="115">
        <v>76.144000000000005</v>
      </c>
      <c r="B4431" s="115">
        <v>76.44</v>
      </c>
      <c r="C4431" s="1">
        <v>440</v>
      </c>
      <c r="D4431" s="1" t="s">
        <v>2602</v>
      </c>
      <c r="E4431" s="1">
        <v>76</v>
      </c>
    </row>
    <row r="4432" spans="1:5" hidden="1" x14ac:dyDescent="0.25">
      <c r="A4432" s="115">
        <v>76.144999999999996</v>
      </c>
      <c r="B4432" s="115">
        <v>76.444999999999993</v>
      </c>
      <c r="C4432" s="1">
        <v>445</v>
      </c>
      <c r="D4432" s="1" t="s">
        <v>2603</v>
      </c>
      <c r="E4432" s="1">
        <v>76</v>
      </c>
    </row>
    <row r="4433" spans="1:5" hidden="1" x14ac:dyDescent="0.25">
      <c r="A4433" s="115">
        <v>76.146000000000001</v>
      </c>
      <c r="B4433" s="115">
        <v>76.45</v>
      </c>
      <c r="C4433" s="1">
        <v>450</v>
      </c>
      <c r="D4433" s="1" t="s">
        <v>2604</v>
      </c>
      <c r="E4433" s="1">
        <v>76</v>
      </c>
    </row>
    <row r="4434" spans="1:5" hidden="1" x14ac:dyDescent="0.25">
      <c r="A4434" s="115">
        <v>76.147000000000006</v>
      </c>
      <c r="B4434" s="115">
        <v>76.459999999999994</v>
      </c>
      <c r="C4434" s="1">
        <v>460</v>
      </c>
      <c r="D4434" s="1" t="s">
        <v>2605</v>
      </c>
      <c r="E4434" s="1">
        <v>76</v>
      </c>
    </row>
    <row r="4435" spans="1:5" hidden="1" x14ac:dyDescent="0.25">
      <c r="A4435" s="115">
        <v>76.147999999999996</v>
      </c>
      <c r="B4435" s="115">
        <v>76.47</v>
      </c>
      <c r="C4435" s="1">
        <v>470</v>
      </c>
      <c r="D4435" s="1" t="s">
        <v>2606</v>
      </c>
      <c r="E4435" s="1">
        <v>76</v>
      </c>
    </row>
    <row r="4436" spans="1:5" hidden="1" x14ac:dyDescent="0.25">
      <c r="A4436" s="115">
        <v>76.149000000000001</v>
      </c>
      <c r="B4436" s="115">
        <v>76.48</v>
      </c>
      <c r="C4436" s="1">
        <v>480</v>
      </c>
      <c r="D4436" s="1" t="s">
        <v>2607</v>
      </c>
      <c r="E4436" s="1">
        <v>76</v>
      </c>
    </row>
    <row r="4437" spans="1:5" hidden="1" x14ac:dyDescent="0.25">
      <c r="A4437" s="115">
        <v>76.150000000000006</v>
      </c>
      <c r="B4437" s="115">
        <v>76.489999999999995</v>
      </c>
      <c r="C4437" s="1">
        <v>490</v>
      </c>
      <c r="D4437" s="1" t="s">
        <v>2608</v>
      </c>
      <c r="E4437" s="1">
        <v>76</v>
      </c>
    </row>
    <row r="4438" spans="1:5" hidden="1" x14ac:dyDescent="0.25">
      <c r="A4438" s="115">
        <v>76.150999999999996</v>
      </c>
      <c r="B4438" s="115">
        <v>76.5</v>
      </c>
      <c r="C4438" s="1">
        <v>500</v>
      </c>
      <c r="D4438" s="1" t="s">
        <v>2609</v>
      </c>
      <c r="E4438" s="1">
        <v>76</v>
      </c>
    </row>
    <row r="4439" spans="1:5" hidden="1" x14ac:dyDescent="0.25">
      <c r="A4439" s="115">
        <v>76.152000000000001</v>
      </c>
      <c r="B4439" s="115">
        <v>76.510000000000005</v>
      </c>
      <c r="C4439" s="1">
        <v>510</v>
      </c>
      <c r="D4439" s="1" t="s">
        <v>2610</v>
      </c>
      <c r="E4439" s="1">
        <v>76</v>
      </c>
    </row>
    <row r="4440" spans="1:5" hidden="1" x14ac:dyDescent="0.25">
      <c r="A4440" s="115">
        <v>76.153000000000006</v>
      </c>
      <c r="B4440" s="115">
        <v>76.52</v>
      </c>
      <c r="C4440" s="1">
        <v>520</v>
      </c>
      <c r="D4440" s="1" t="s">
        <v>2688</v>
      </c>
      <c r="E4440" s="1">
        <v>76</v>
      </c>
    </row>
    <row r="4441" spans="1:5" hidden="1" x14ac:dyDescent="0.25">
      <c r="A4441" s="115">
        <v>76.153999999999996</v>
      </c>
      <c r="B4441" s="115">
        <v>76.53</v>
      </c>
      <c r="C4441" s="1">
        <v>530</v>
      </c>
      <c r="D4441" s="1" t="s">
        <v>2612</v>
      </c>
      <c r="E4441" s="1">
        <v>76</v>
      </c>
    </row>
    <row r="4442" spans="1:5" hidden="1" x14ac:dyDescent="0.25">
      <c r="A4442" s="115">
        <v>76.155000000000001</v>
      </c>
      <c r="B4442" s="115">
        <v>76.540000000000006</v>
      </c>
      <c r="C4442" s="1">
        <v>540</v>
      </c>
      <c r="D4442" s="1" t="s">
        <v>2613</v>
      </c>
      <c r="E4442" s="1">
        <v>76</v>
      </c>
    </row>
    <row r="4443" spans="1:5" hidden="1" x14ac:dyDescent="0.25">
      <c r="A4443" s="115">
        <v>76.156000000000006</v>
      </c>
      <c r="B4443" s="115">
        <v>76.55</v>
      </c>
      <c r="C4443" s="1">
        <v>550</v>
      </c>
      <c r="D4443" s="1" t="s">
        <v>2614</v>
      </c>
      <c r="E4443" s="1">
        <v>76</v>
      </c>
    </row>
    <row r="4444" spans="1:5" hidden="1" x14ac:dyDescent="0.25">
      <c r="A4444" s="115">
        <v>76.156999999999996</v>
      </c>
      <c r="B4444" s="115">
        <v>76.56</v>
      </c>
      <c r="C4444" s="1">
        <v>560</v>
      </c>
      <c r="D4444" s="1" t="s">
        <v>2615</v>
      </c>
      <c r="E4444" s="1">
        <v>76</v>
      </c>
    </row>
    <row r="4445" spans="1:5" hidden="1" x14ac:dyDescent="0.25">
      <c r="A4445" s="115">
        <v>76.158000000000001</v>
      </c>
      <c r="B4445" s="115">
        <v>76.569999999999993</v>
      </c>
      <c r="C4445" s="1">
        <v>570</v>
      </c>
      <c r="D4445" s="1" t="s">
        <v>2616</v>
      </c>
      <c r="E4445" s="1">
        <v>76</v>
      </c>
    </row>
    <row r="4446" spans="1:5" hidden="1" x14ac:dyDescent="0.25">
      <c r="A4446" s="115">
        <v>76.159000000000006</v>
      </c>
      <c r="B4446" s="115">
        <v>76.575000000000003</v>
      </c>
      <c r="C4446" s="1">
        <v>575</v>
      </c>
      <c r="D4446" s="1" t="s">
        <v>2617</v>
      </c>
      <c r="E4446" s="1">
        <v>76</v>
      </c>
    </row>
    <row r="4447" spans="1:5" hidden="1" x14ac:dyDescent="0.25">
      <c r="A4447" s="115">
        <v>76.16</v>
      </c>
      <c r="B4447" s="115">
        <v>76.575999999999993</v>
      </c>
      <c r="C4447" s="1">
        <v>576</v>
      </c>
      <c r="D4447" s="1" t="s">
        <v>2618</v>
      </c>
      <c r="E4447" s="1">
        <v>76</v>
      </c>
    </row>
    <row r="4448" spans="1:5" hidden="1" x14ac:dyDescent="0.25">
      <c r="A4448" s="115">
        <v>76.161000000000001</v>
      </c>
      <c r="B4448" s="115">
        <v>76.58</v>
      </c>
      <c r="C4448" s="1">
        <v>580</v>
      </c>
      <c r="D4448" s="1" t="s">
        <v>2619</v>
      </c>
      <c r="E4448" s="1">
        <v>76</v>
      </c>
    </row>
    <row r="4449" spans="1:5" hidden="1" x14ac:dyDescent="0.25">
      <c r="A4449" s="115">
        <v>76.162000000000006</v>
      </c>
      <c r="B4449" s="115">
        <v>76.59</v>
      </c>
      <c r="C4449" s="1">
        <v>590</v>
      </c>
      <c r="D4449" s="1" t="s">
        <v>1099</v>
      </c>
      <c r="E4449" s="1">
        <v>76</v>
      </c>
    </row>
    <row r="4450" spans="1:5" hidden="1" x14ac:dyDescent="0.25">
      <c r="A4450" s="115">
        <v>76.162999999999997</v>
      </c>
      <c r="B4450" s="115">
        <v>76.599999999999994</v>
      </c>
      <c r="C4450" s="1">
        <v>600</v>
      </c>
      <c r="D4450" s="1" t="s">
        <v>2620</v>
      </c>
      <c r="E4450" s="1">
        <v>76</v>
      </c>
    </row>
    <row r="4451" spans="1:5" hidden="1" x14ac:dyDescent="0.25">
      <c r="A4451" s="115">
        <v>76.164000000000001</v>
      </c>
      <c r="B4451" s="115">
        <v>76.61</v>
      </c>
      <c r="C4451" s="1">
        <v>610</v>
      </c>
      <c r="D4451" s="1" t="s">
        <v>2621</v>
      </c>
      <c r="E4451" s="1">
        <v>76</v>
      </c>
    </row>
    <row r="4452" spans="1:5" hidden="1" x14ac:dyDescent="0.25">
      <c r="A4452" s="115">
        <v>76.165000000000006</v>
      </c>
      <c r="B4452" s="115">
        <v>76.62</v>
      </c>
      <c r="C4452" s="1">
        <v>620</v>
      </c>
      <c r="D4452" s="1" t="s">
        <v>2622</v>
      </c>
      <c r="E4452" s="1">
        <v>76</v>
      </c>
    </row>
    <row r="4453" spans="1:5" hidden="1" x14ac:dyDescent="0.25">
      <c r="A4453" s="115">
        <v>76.165999999999997</v>
      </c>
      <c r="B4453" s="115">
        <v>76.63</v>
      </c>
      <c r="C4453" s="1">
        <v>630</v>
      </c>
      <c r="D4453" s="1" t="s">
        <v>2623</v>
      </c>
      <c r="E4453" s="1">
        <v>76</v>
      </c>
    </row>
    <row r="4454" spans="1:5" hidden="1" x14ac:dyDescent="0.25">
      <c r="A4454" s="115">
        <v>76.167000000000002</v>
      </c>
      <c r="B4454" s="115">
        <v>76.64</v>
      </c>
      <c r="C4454" s="1">
        <v>640</v>
      </c>
      <c r="D4454" s="1" t="s">
        <v>2624</v>
      </c>
      <c r="E4454" s="1">
        <v>76</v>
      </c>
    </row>
    <row r="4455" spans="1:5" hidden="1" x14ac:dyDescent="0.25">
      <c r="A4455" s="115">
        <v>76.168000000000006</v>
      </c>
      <c r="B4455" s="115">
        <v>76.650000000000006</v>
      </c>
      <c r="C4455" s="1">
        <v>650</v>
      </c>
      <c r="D4455" s="1" t="s">
        <v>2625</v>
      </c>
      <c r="E4455" s="1">
        <v>76</v>
      </c>
    </row>
    <row r="4456" spans="1:5" hidden="1" x14ac:dyDescent="0.25">
      <c r="A4456" s="115">
        <v>76.168999999999997</v>
      </c>
      <c r="B4456" s="115">
        <v>76.66</v>
      </c>
      <c r="C4456" s="1">
        <v>660</v>
      </c>
      <c r="D4456" s="1" t="s">
        <v>2626</v>
      </c>
      <c r="E4456" s="1">
        <v>76</v>
      </c>
    </row>
    <row r="4457" spans="1:5" hidden="1" x14ac:dyDescent="0.25">
      <c r="A4457" s="115">
        <v>76.17</v>
      </c>
      <c r="B4457" s="115">
        <v>76.67</v>
      </c>
      <c r="C4457" s="1">
        <v>670</v>
      </c>
      <c r="D4457" s="1" t="s">
        <v>2627</v>
      </c>
      <c r="E4457" s="1">
        <v>76</v>
      </c>
    </row>
    <row r="4458" spans="1:5" hidden="1" x14ac:dyDescent="0.25">
      <c r="A4458" s="115">
        <v>76.171000000000006</v>
      </c>
      <c r="B4458" s="115">
        <v>76.680000000000007</v>
      </c>
      <c r="C4458" s="1">
        <v>680</v>
      </c>
      <c r="D4458" s="1" t="s">
        <v>2628</v>
      </c>
      <c r="E4458" s="1">
        <v>76</v>
      </c>
    </row>
    <row r="4459" spans="1:5" hidden="1" x14ac:dyDescent="0.25">
      <c r="A4459" s="115">
        <v>76.171999999999997</v>
      </c>
      <c r="B4459" s="115">
        <v>76.69</v>
      </c>
      <c r="C4459" s="1">
        <v>690</v>
      </c>
      <c r="D4459" s="1" t="s">
        <v>2629</v>
      </c>
      <c r="E4459" s="1">
        <v>76</v>
      </c>
    </row>
    <row r="4460" spans="1:5" hidden="1" x14ac:dyDescent="0.25">
      <c r="A4460" s="115">
        <v>76.173000000000002</v>
      </c>
      <c r="B4460" s="115">
        <v>76.7</v>
      </c>
      <c r="C4460" s="1">
        <v>700</v>
      </c>
      <c r="D4460" s="1" t="s">
        <v>2630</v>
      </c>
      <c r="E4460" s="1">
        <v>76</v>
      </c>
    </row>
    <row r="4461" spans="1:5" hidden="1" x14ac:dyDescent="0.25">
      <c r="A4461" s="115">
        <v>76.174000000000007</v>
      </c>
      <c r="B4461" s="115">
        <v>76.709999999999994</v>
      </c>
      <c r="C4461" s="1">
        <v>710</v>
      </c>
      <c r="D4461" s="1" t="s">
        <v>2631</v>
      </c>
      <c r="E4461" s="1">
        <v>76</v>
      </c>
    </row>
    <row r="4462" spans="1:5" hidden="1" x14ac:dyDescent="0.25">
      <c r="A4462" s="115">
        <v>76.174999999999997</v>
      </c>
      <c r="B4462" s="115">
        <v>76.72</v>
      </c>
      <c r="C4462" s="1">
        <v>720</v>
      </c>
      <c r="D4462" s="1" t="s">
        <v>2632</v>
      </c>
      <c r="E4462" s="1">
        <v>76</v>
      </c>
    </row>
    <row r="4463" spans="1:5" hidden="1" x14ac:dyDescent="0.25">
      <c r="A4463" s="115">
        <v>76.176000000000002</v>
      </c>
      <c r="B4463" s="115">
        <v>76.73</v>
      </c>
      <c r="C4463" s="1">
        <v>730</v>
      </c>
      <c r="D4463" s="1" t="s">
        <v>2633</v>
      </c>
      <c r="E4463" s="1">
        <v>76</v>
      </c>
    </row>
    <row r="4464" spans="1:5" hidden="1" x14ac:dyDescent="0.25">
      <c r="A4464" s="115">
        <v>76.177000000000007</v>
      </c>
      <c r="B4464" s="115">
        <v>76.739999999999995</v>
      </c>
      <c r="C4464" s="1">
        <v>740</v>
      </c>
      <c r="D4464" s="1" t="s">
        <v>2634</v>
      </c>
      <c r="E4464" s="1">
        <v>76</v>
      </c>
    </row>
    <row r="4465" spans="1:5" hidden="1" x14ac:dyDescent="0.25">
      <c r="A4465" s="115">
        <v>76.177999999999997</v>
      </c>
      <c r="B4465" s="115">
        <v>76.75</v>
      </c>
      <c r="C4465" s="1">
        <v>750</v>
      </c>
      <c r="D4465" s="1" t="s">
        <v>2635</v>
      </c>
      <c r="E4465" s="1">
        <v>76</v>
      </c>
    </row>
    <row r="4466" spans="1:5" hidden="1" x14ac:dyDescent="0.25">
      <c r="A4466" s="115">
        <v>76.179000000000002</v>
      </c>
      <c r="B4466" s="115">
        <v>76.754999999999995</v>
      </c>
      <c r="C4466" s="1">
        <v>755</v>
      </c>
      <c r="D4466" s="1" t="s">
        <v>1466</v>
      </c>
      <c r="E4466" s="1">
        <v>76</v>
      </c>
    </row>
    <row r="4467" spans="1:5" hidden="1" x14ac:dyDescent="0.25">
      <c r="A4467" s="115">
        <v>76.180000000000007</v>
      </c>
      <c r="B4467" s="115">
        <v>76.760000000000005</v>
      </c>
      <c r="C4467" s="1">
        <v>760</v>
      </c>
      <c r="D4467" s="1" t="s">
        <v>2636</v>
      </c>
      <c r="E4467" s="1">
        <v>76</v>
      </c>
    </row>
    <row r="4468" spans="1:5" hidden="1" x14ac:dyDescent="0.25">
      <c r="A4468" s="115">
        <v>76.180999999999997</v>
      </c>
      <c r="B4468" s="115">
        <v>76.77</v>
      </c>
      <c r="C4468" s="1">
        <v>770</v>
      </c>
      <c r="D4468" s="1" t="s">
        <v>2637</v>
      </c>
      <c r="E4468" s="1">
        <v>76</v>
      </c>
    </row>
    <row r="4469" spans="1:5" hidden="1" x14ac:dyDescent="0.25">
      <c r="A4469" s="115">
        <v>76.182000000000002</v>
      </c>
      <c r="B4469" s="115">
        <v>76.78</v>
      </c>
      <c r="C4469" s="1">
        <v>780</v>
      </c>
      <c r="D4469" s="1" t="s">
        <v>2638</v>
      </c>
      <c r="E4469" s="1">
        <v>76</v>
      </c>
    </row>
    <row r="4470" spans="1:5" hidden="1" x14ac:dyDescent="0.25">
      <c r="A4470" s="115">
        <v>76.183000000000007</v>
      </c>
      <c r="B4470" s="115">
        <v>76.790000000000006</v>
      </c>
      <c r="C4470" s="1">
        <v>790</v>
      </c>
      <c r="D4470" s="1" t="s">
        <v>2639</v>
      </c>
      <c r="E4470" s="1">
        <v>76</v>
      </c>
    </row>
    <row r="4471" spans="1:5" hidden="1" x14ac:dyDescent="0.25">
      <c r="A4471" s="115">
        <v>76.183999999999997</v>
      </c>
      <c r="B4471" s="115">
        <v>76.8</v>
      </c>
      <c r="C4471" s="1">
        <v>800</v>
      </c>
      <c r="D4471" s="1" t="s">
        <v>2640</v>
      </c>
      <c r="E4471" s="1">
        <v>76</v>
      </c>
    </row>
    <row r="4472" spans="1:5" hidden="1" x14ac:dyDescent="0.25">
      <c r="A4472" s="115">
        <v>76.185000000000002</v>
      </c>
      <c r="B4472" s="115">
        <v>76.805000000000007</v>
      </c>
      <c r="C4472" s="1">
        <v>805</v>
      </c>
      <c r="D4472" s="1" t="s">
        <v>2641</v>
      </c>
      <c r="E4472" s="1">
        <v>76</v>
      </c>
    </row>
    <row r="4473" spans="1:5" hidden="1" x14ac:dyDescent="0.25">
      <c r="A4473" s="115">
        <v>76.186000000000007</v>
      </c>
      <c r="B4473" s="115">
        <v>76.81</v>
      </c>
      <c r="C4473" s="1">
        <v>810</v>
      </c>
      <c r="D4473" s="1" t="s">
        <v>2642</v>
      </c>
      <c r="E4473" s="1">
        <v>76</v>
      </c>
    </row>
    <row r="4474" spans="1:5" hidden="1" x14ac:dyDescent="0.25">
      <c r="A4474" s="115">
        <v>76.186999999999998</v>
      </c>
      <c r="B4474" s="115">
        <v>76.819999999999993</v>
      </c>
      <c r="C4474" s="1">
        <v>820</v>
      </c>
      <c r="D4474" s="1" t="s">
        <v>2643</v>
      </c>
      <c r="E4474" s="1">
        <v>76</v>
      </c>
    </row>
    <row r="4475" spans="1:5" hidden="1" x14ac:dyDescent="0.25">
      <c r="A4475" s="115">
        <v>76.188000000000002</v>
      </c>
      <c r="B4475" s="115">
        <v>76.83</v>
      </c>
      <c r="C4475" s="1">
        <v>830</v>
      </c>
      <c r="D4475" s="1" t="s">
        <v>2644</v>
      </c>
      <c r="E4475" s="1">
        <v>76</v>
      </c>
    </row>
    <row r="4476" spans="1:5" hidden="1" x14ac:dyDescent="0.25">
      <c r="A4476" s="115">
        <v>76.188999999999993</v>
      </c>
      <c r="B4476" s="115">
        <v>76.84</v>
      </c>
      <c r="C4476" s="1">
        <v>840</v>
      </c>
      <c r="D4476" s="1" t="s">
        <v>2645</v>
      </c>
      <c r="E4476" s="1">
        <v>76</v>
      </c>
    </row>
    <row r="4477" spans="1:5" hidden="1" x14ac:dyDescent="0.25">
      <c r="A4477" s="115">
        <v>76.19</v>
      </c>
      <c r="B4477" s="115">
        <v>76.849999999999994</v>
      </c>
      <c r="C4477" s="1">
        <v>850</v>
      </c>
      <c r="D4477" s="1" t="s">
        <v>2646</v>
      </c>
      <c r="E4477" s="1">
        <v>76</v>
      </c>
    </row>
    <row r="4478" spans="1:5" hidden="1" x14ac:dyDescent="0.25">
      <c r="A4478" s="115">
        <v>76.191000000000003</v>
      </c>
      <c r="B4478" s="115">
        <v>76.86</v>
      </c>
      <c r="C4478" s="1">
        <v>860</v>
      </c>
      <c r="D4478" s="1" t="s">
        <v>2647</v>
      </c>
      <c r="E4478" s="1">
        <v>76</v>
      </c>
    </row>
    <row r="4479" spans="1:5" hidden="1" x14ac:dyDescent="0.25">
      <c r="A4479" s="115">
        <v>76.191999999999993</v>
      </c>
      <c r="B4479" s="115">
        <v>76.87</v>
      </c>
      <c r="C4479" s="1">
        <v>870</v>
      </c>
      <c r="D4479" s="1" t="s">
        <v>2648</v>
      </c>
      <c r="E4479" s="1">
        <v>76</v>
      </c>
    </row>
    <row r="4480" spans="1:5" hidden="1" x14ac:dyDescent="0.25">
      <c r="A4480" s="115">
        <v>76.192999999999998</v>
      </c>
      <c r="B4480" s="115">
        <v>76.88</v>
      </c>
      <c r="C4480" s="1">
        <v>880</v>
      </c>
      <c r="D4480" s="1" t="s">
        <v>2649</v>
      </c>
      <c r="E4480" s="1">
        <v>76</v>
      </c>
    </row>
    <row r="4481" spans="1:5" hidden="1" x14ac:dyDescent="0.25">
      <c r="A4481" s="115">
        <v>76.194000000000003</v>
      </c>
      <c r="B4481" s="115">
        <v>76.89</v>
      </c>
      <c r="C4481" s="1">
        <v>890</v>
      </c>
      <c r="D4481" s="1" t="s">
        <v>2650</v>
      </c>
      <c r="E4481" s="1">
        <v>76</v>
      </c>
    </row>
    <row r="4482" spans="1:5" hidden="1" x14ac:dyDescent="0.25">
      <c r="A4482" s="115">
        <v>76.194999999999993</v>
      </c>
      <c r="B4482" s="115">
        <v>76.894999999999996</v>
      </c>
      <c r="C4482" s="1">
        <v>895</v>
      </c>
      <c r="D4482" s="1" t="s">
        <v>2651</v>
      </c>
      <c r="E4482" s="1">
        <v>76</v>
      </c>
    </row>
    <row r="4483" spans="1:5" hidden="1" x14ac:dyDescent="0.25">
      <c r="A4483" s="115">
        <v>76.195999999999998</v>
      </c>
      <c r="B4483" s="115">
        <v>76.900000000000006</v>
      </c>
      <c r="C4483" s="1">
        <v>900</v>
      </c>
      <c r="D4483" s="1" t="s">
        <v>2652</v>
      </c>
      <c r="E4483" s="1">
        <v>76</v>
      </c>
    </row>
    <row r="4484" spans="1:5" hidden="1" x14ac:dyDescent="0.25">
      <c r="A4484" s="115">
        <v>76.197000000000003</v>
      </c>
      <c r="B4484" s="115">
        <v>76.91</v>
      </c>
      <c r="C4484" s="1">
        <v>910</v>
      </c>
      <c r="D4484" s="1" t="s">
        <v>2653</v>
      </c>
      <c r="E4484" s="1">
        <v>76</v>
      </c>
    </row>
    <row r="4485" spans="1:5" hidden="1" x14ac:dyDescent="0.25">
      <c r="A4485" s="115">
        <v>76.197999999999993</v>
      </c>
      <c r="B4485" s="115">
        <v>76.92</v>
      </c>
      <c r="C4485" s="1">
        <v>920</v>
      </c>
      <c r="D4485" s="1" t="s">
        <v>2654</v>
      </c>
      <c r="E4485" s="1">
        <v>76</v>
      </c>
    </row>
    <row r="4486" spans="1:5" hidden="1" x14ac:dyDescent="0.25">
      <c r="A4486" s="115">
        <v>76.198999999999998</v>
      </c>
      <c r="B4486" s="115">
        <v>76.924999999999997</v>
      </c>
      <c r="C4486" s="1">
        <v>925</v>
      </c>
      <c r="D4486" s="1" t="s">
        <v>2655</v>
      </c>
      <c r="E4486" s="1">
        <v>76</v>
      </c>
    </row>
    <row r="4487" spans="1:5" hidden="1" x14ac:dyDescent="0.25">
      <c r="A4487" s="115">
        <v>76.2</v>
      </c>
      <c r="B4487" s="115">
        <v>76.930000000000007</v>
      </c>
      <c r="C4487" s="1">
        <v>930</v>
      </c>
      <c r="D4487" s="1" t="s">
        <v>2656</v>
      </c>
      <c r="E4487" s="1">
        <v>76</v>
      </c>
    </row>
    <row r="4488" spans="1:5" hidden="1" x14ac:dyDescent="0.25">
      <c r="A4488" s="115">
        <v>76.200999999999993</v>
      </c>
      <c r="B4488" s="115">
        <v>76.935000000000002</v>
      </c>
      <c r="C4488" s="1">
        <v>935</v>
      </c>
      <c r="D4488" s="1" t="s">
        <v>2657</v>
      </c>
      <c r="E4488" s="1">
        <v>76</v>
      </c>
    </row>
    <row r="4489" spans="1:5" hidden="1" x14ac:dyDescent="0.25">
      <c r="A4489" s="115">
        <v>76.201999999999998</v>
      </c>
      <c r="B4489" s="115">
        <v>76.94</v>
      </c>
      <c r="C4489" s="1">
        <v>940</v>
      </c>
      <c r="D4489" s="1" t="s">
        <v>2658</v>
      </c>
      <c r="E4489" s="1">
        <v>76</v>
      </c>
    </row>
    <row r="4490" spans="1:5" hidden="1" x14ac:dyDescent="0.25">
      <c r="A4490" s="115">
        <v>76.203000000000003</v>
      </c>
      <c r="B4490" s="115">
        <v>76.95</v>
      </c>
      <c r="C4490" s="1">
        <v>950</v>
      </c>
      <c r="D4490" s="1" t="s">
        <v>2659</v>
      </c>
      <c r="E4490" s="1">
        <v>76</v>
      </c>
    </row>
    <row r="4491" spans="1:5" hidden="1" x14ac:dyDescent="0.25">
      <c r="A4491" s="115">
        <v>76.203999999999994</v>
      </c>
      <c r="B4491" s="115">
        <v>76.954999999999998</v>
      </c>
      <c r="C4491" s="1">
        <v>955</v>
      </c>
      <c r="D4491" s="1" t="s">
        <v>2660</v>
      </c>
      <c r="E4491" s="1">
        <v>76</v>
      </c>
    </row>
    <row r="4492" spans="1:5" hidden="1" x14ac:dyDescent="0.25">
      <c r="A4492" s="115">
        <v>76.204999999999998</v>
      </c>
      <c r="B4492" s="115">
        <v>76.959999999999994</v>
      </c>
      <c r="C4492" s="1">
        <v>960</v>
      </c>
      <c r="D4492" s="1" t="s">
        <v>2661</v>
      </c>
      <c r="E4492" s="1">
        <v>76</v>
      </c>
    </row>
    <row r="4493" spans="1:5" hidden="1" x14ac:dyDescent="0.25">
      <c r="A4493" s="115">
        <v>76.206000000000003</v>
      </c>
      <c r="B4493" s="115">
        <v>76.97</v>
      </c>
      <c r="C4493" s="1">
        <v>970</v>
      </c>
      <c r="D4493" s="1" t="s">
        <v>2662</v>
      </c>
      <c r="E4493" s="1">
        <v>76</v>
      </c>
    </row>
    <row r="4494" spans="1:5" hidden="1" x14ac:dyDescent="0.25">
      <c r="A4494" s="115">
        <v>76.206999999999994</v>
      </c>
      <c r="B4494" s="115">
        <v>76.98</v>
      </c>
      <c r="C4494" s="1">
        <v>980</v>
      </c>
      <c r="D4494" s="1" t="s">
        <v>2663</v>
      </c>
      <c r="E4494" s="1">
        <v>76</v>
      </c>
    </row>
    <row r="4495" spans="1:5" hidden="1" x14ac:dyDescent="0.25">
      <c r="A4495" s="115">
        <v>76.207999999999998</v>
      </c>
      <c r="B4495" s="115">
        <v>76.989999999999995</v>
      </c>
      <c r="C4495" s="1">
        <v>990</v>
      </c>
      <c r="D4495" s="1" t="s">
        <v>2664</v>
      </c>
      <c r="E4495" s="1">
        <v>76</v>
      </c>
    </row>
    <row r="4496" spans="1:5" hidden="1" x14ac:dyDescent="0.25">
      <c r="A4496" s="115">
        <v>76.209000000000003</v>
      </c>
      <c r="B4496" s="115">
        <v>76.099999999999994</v>
      </c>
      <c r="C4496" s="1">
        <v>1000</v>
      </c>
      <c r="D4496" s="1" t="s">
        <v>2665</v>
      </c>
      <c r="E4496" s="1">
        <v>76</v>
      </c>
    </row>
    <row r="4497" spans="1:5" hidden="1" x14ac:dyDescent="0.25">
      <c r="A4497" s="115">
        <v>76.209999999999994</v>
      </c>
      <c r="B4497" s="115">
        <v>76.11</v>
      </c>
      <c r="C4497" s="1">
        <v>1100</v>
      </c>
      <c r="D4497" s="1" t="s">
        <v>2666</v>
      </c>
      <c r="E4497" s="1">
        <v>76</v>
      </c>
    </row>
    <row r="4498" spans="1:5" hidden="1" x14ac:dyDescent="0.25">
      <c r="A4498" s="115">
        <v>76.210999999999999</v>
      </c>
      <c r="B4498" s="115">
        <v>76.111000000000004</v>
      </c>
      <c r="C4498" s="1">
        <v>1110</v>
      </c>
      <c r="D4498" s="1" t="s">
        <v>2667</v>
      </c>
      <c r="E4498" s="1">
        <v>76</v>
      </c>
    </row>
    <row r="4499" spans="1:5" hidden="1" x14ac:dyDescent="0.25">
      <c r="A4499" s="115">
        <v>76.212000000000003</v>
      </c>
      <c r="B4499" s="115">
        <v>76.111999999999995</v>
      </c>
      <c r="C4499" s="1">
        <v>1120</v>
      </c>
      <c r="D4499" s="1" t="s">
        <v>2668</v>
      </c>
      <c r="E4499" s="1">
        <v>76</v>
      </c>
    </row>
    <row r="4500" spans="1:5" hidden="1" x14ac:dyDescent="0.25">
      <c r="A4500" s="115">
        <v>76.212999999999994</v>
      </c>
      <c r="B4500" s="115">
        <v>76.113</v>
      </c>
      <c r="C4500" s="1">
        <v>1130</v>
      </c>
      <c r="D4500" s="1" t="s">
        <v>2669</v>
      </c>
      <c r="E4500" s="1">
        <v>76</v>
      </c>
    </row>
    <row r="4501" spans="1:5" hidden="1" x14ac:dyDescent="0.25">
      <c r="A4501" s="115">
        <v>76.213999999999999</v>
      </c>
      <c r="B4501" s="115">
        <v>76.114000000000004</v>
      </c>
      <c r="C4501" s="1">
        <v>1140</v>
      </c>
      <c r="D4501" s="1" t="s">
        <v>2670</v>
      </c>
      <c r="E4501" s="1">
        <v>76</v>
      </c>
    </row>
    <row r="4502" spans="1:5" hidden="1" x14ac:dyDescent="0.25">
      <c r="A4502" s="115">
        <v>76.215000000000003</v>
      </c>
      <c r="B4502" s="115">
        <v>76.114999999999995</v>
      </c>
      <c r="C4502" s="1">
        <v>1150</v>
      </c>
      <c r="D4502" s="1" t="s">
        <v>2671</v>
      </c>
      <c r="E4502" s="1">
        <v>76</v>
      </c>
    </row>
    <row r="4503" spans="1:5" hidden="1" x14ac:dyDescent="0.25">
      <c r="A4503" s="115">
        <v>76.215999999999994</v>
      </c>
      <c r="B4503" s="115">
        <v>76.116</v>
      </c>
      <c r="C4503" s="1">
        <v>1160</v>
      </c>
      <c r="D4503" s="1" t="s">
        <v>2672</v>
      </c>
      <c r="E4503" s="1">
        <v>76</v>
      </c>
    </row>
    <row r="4504" spans="1:5" hidden="1" x14ac:dyDescent="0.25">
      <c r="A4504" s="115">
        <v>76.216999999999999</v>
      </c>
      <c r="B4504" s="115">
        <v>76.117000000000004</v>
      </c>
      <c r="C4504" s="1">
        <v>1170</v>
      </c>
      <c r="D4504" s="1" t="s">
        <v>2673</v>
      </c>
      <c r="E4504" s="1">
        <v>76</v>
      </c>
    </row>
    <row r="4505" spans="1:5" hidden="1" x14ac:dyDescent="0.25">
      <c r="A4505" s="115">
        <v>76.218000000000004</v>
      </c>
      <c r="B4505" s="115">
        <v>76.117999999999995</v>
      </c>
      <c r="C4505" s="1">
        <v>1180</v>
      </c>
      <c r="D4505" s="1" t="s">
        <v>2674</v>
      </c>
      <c r="E4505" s="1">
        <v>76</v>
      </c>
    </row>
    <row r="4506" spans="1:5" hidden="1" x14ac:dyDescent="0.25">
      <c r="A4506" s="115">
        <v>76.218999999999994</v>
      </c>
      <c r="B4506" s="115">
        <v>76.119</v>
      </c>
      <c r="C4506" s="1">
        <v>1190</v>
      </c>
      <c r="D4506" s="1" t="s">
        <v>2675</v>
      </c>
      <c r="E4506" s="1">
        <v>76</v>
      </c>
    </row>
    <row r="4507" spans="1:5" hidden="1" x14ac:dyDescent="0.25">
      <c r="A4507" s="115">
        <v>76.22</v>
      </c>
      <c r="B4507" s="115">
        <v>76.12</v>
      </c>
      <c r="C4507" s="1">
        <v>1200</v>
      </c>
      <c r="D4507" s="1" t="s">
        <v>2676</v>
      </c>
      <c r="E4507" s="1">
        <v>76</v>
      </c>
    </row>
    <row r="4508" spans="1:5" hidden="1" x14ac:dyDescent="0.25">
      <c r="A4508" s="115">
        <v>76.221000000000004</v>
      </c>
      <c r="B4508" s="115">
        <v>76.120999999999995</v>
      </c>
      <c r="C4508" s="1">
        <v>1210</v>
      </c>
      <c r="D4508" s="1" t="s">
        <v>2677</v>
      </c>
      <c r="E4508" s="1">
        <v>76</v>
      </c>
    </row>
    <row r="4509" spans="1:5" hidden="1" x14ac:dyDescent="0.25">
      <c r="A4509" s="115">
        <v>76.221999999999994</v>
      </c>
      <c r="B4509" s="115">
        <v>76.122</v>
      </c>
      <c r="C4509" s="1">
        <v>1220</v>
      </c>
      <c r="D4509" s="1" t="s">
        <v>2678</v>
      </c>
      <c r="E4509" s="1">
        <v>76</v>
      </c>
    </row>
    <row r="4510" spans="1:5" hidden="1" x14ac:dyDescent="0.25">
      <c r="A4510" s="115">
        <v>76.222999999999999</v>
      </c>
      <c r="B4510" s="115">
        <v>76.123000000000005</v>
      </c>
      <c r="C4510" s="1">
        <v>1230</v>
      </c>
      <c r="D4510" s="1" t="s">
        <v>2679</v>
      </c>
      <c r="E4510" s="1">
        <v>76</v>
      </c>
    </row>
    <row r="4511" spans="1:5" hidden="1" x14ac:dyDescent="0.25">
      <c r="A4511" s="115">
        <v>76.224000000000004</v>
      </c>
      <c r="B4511" s="115">
        <v>76.123999999999995</v>
      </c>
      <c r="C4511" s="1">
        <v>1240</v>
      </c>
      <c r="D4511" s="1" t="s">
        <v>2680</v>
      </c>
      <c r="E4511" s="1">
        <v>76</v>
      </c>
    </row>
    <row r="4512" spans="1:5" hidden="1" x14ac:dyDescent="0.25">
      <c r="A4512" s="115">
        <v>76.224999999999994</v>
      </c>
      <c r="B4512" s="115">
        <v>76.125</v>
      </c>
      <c r="C4512" s="1">
        <v>1250</v>
      </c>
      <c r="D4512" s="1" t="s">
        <v>2681</v>
      </c>
      <c r="E4512" s="1">
        <v>76</v>
      </c>
    </row>
    <row r="4513" spans="1:5" hidden="1" x14ac:dyDescent="0.25">
      <c r="A4513" s="115">
        <v>76.225999999999999</v>
      </c>
      <c r="B4513" s="115">
        <v>76.126000000000005</v>
      </c>
      <c r="C4513" s="1">
        <v>1260</v>
      </c>
      <c r="D4513" s="1" t="s">
        <v>2682</v>
      </c>
      <c r="E4513" s="1">
        <v>76</v>
      </c>
    </row>
    <row r="4514" spans="1:5" hidden="1" x14ac:dyDescent="0.25">
      <c r="A4514" s="115">
        <v>76.227000000000004</v>
      </c>
      <c r="B4514" s="115">
        <v>76.126999999999995</v>
      </c>
      <c r="C4514" s="1">
        <v>1270</v>
      </c>
      <c r="D4514" s="1" t="s">
        <v>2683</v>
      </c>
      <c r="E4514" s="1">
        <v>76</v>
      </c>
    </row>
    <row r="4515" spans="1:5" hidden="1" x14ac:dyDescent="0.25">
      <c r="A4515" s="115">
        <v>76.227999999999994</v>
      </c>
      <c r="B4515" s="115">
        <v>76.128</v>
      </c>
      <c r="C4515" s="1">
        <v>1280</v>
      </c>
      <c r="D4515" s="1" t="s">
        <v>2684</v>
      </c>
      <c r="E4515" s="1">
        <v>76</v>
      </c>
    </row>
    <row r="4516" spans="1:5" hidden="1" x14ac:dyDescent="0.25">
      <c r="A4516" s="115">
        <v>76.228999999999999</v>
      </c>
      <c r="B4516" s="115">
        <v>76.13</v>
      </c>
      <c r="C4516" s="1">
        <v>1300</v>
      </c>
      <c r="D4516" s="1" t="s">
        <v>2685</v>
      </c>
      <c r="E4516" s="1">
        <v>76</v>
      </c>
    </row>
    <row r="4517" spans="1:5" hidden="1" x14ac:dyDescent="0.25">
      <c r="A4517" s="115">
        <v>76.23</v>
      </c>
      <c r="B4517" s="115">
        <v>76.131</v>
      </c>
      <c r="C4517" s="1">
        <v>1310</v>
      </c>
      <c r="D4517" s="1" t="s">
        <v>2686</v>
      </c>
      <c r="E4517" s="1">
        <v>76</v>
      </c>
    </row>
    <row r="4518" spans="1:5" hidden="1" x14ac:dyDescent="0.25">
      <c r="A4518" s="115">
        <v>76.230999999999995</v>
      </c>
      <c r="B4518" s="115">
        <v>76.132000000000005</v>
      </c>
      <c r="C4518" s="1">
        <v>1320</v>
      </c>
      <c r="D4518" s="1" t="s">
        <v>2687</v>
      </c>
      <c r="E4518" s="1">
        <v>76</v>
      </c>
    </row>
    <row r="4519" spans="1:5" hidden="1" x14ac:dyDescent="0.25">
      <c r="A4519" s="115">
        <v>77.100999999999999</v>
      </c>
      <c r="B4519" s="115">
        <v>77.099999999999994</v>
      </c>
      <c r="C4519" s="1">
        <v>10</v>
      </c>
      <c r="D4519" s="1" t="s">
        <v>2559</v>
      </c>
      <c r="E4519" s="1">
        <v>77</v>
      </c>
    </row>
    <row r="4520" spans="1:5" hidden="1" x14ac:dyDescent="0.25">
      <c r="A4520" s="115">
        <v>77.102000000000004</v>
      </c>
      <c r="B4520" s="115">
        <v>77.2</v>
      </c>
      <c r="C4520" s="1">
        <v>20</v>
      </c>
      <c r="D4520" s="1" t="s">
        <v>2560</v>
      </c>
      <c r="E4520" s="1">
        <v>77</v>
      </c>
    </row>
    <row r="4521" spans="1:5" hidden="1" x14ac:dyDescent="0.25">
      <c r="A4521" s="115">
        <v>77.102999999999994</v>
      </c>
      <c r="B4521" s="115">
        <v>77.3</v>
      </c>
      <c r="C4521" s="1">
        <v>30</v>
      </c>
      <c r="D4521" s="1" t="s">
        <v>2561</v>
      </c>
      <c r="E4521" s="1">
        <v>77</v>
      </c>
    </row>
    <row r="4522" spans="1:5" hidden="1" x14ac:dyDescent="0.25">
      <c r="A4522" s="115">
        <v>77.103999999999999</v>
      </c>
      <c r="B4522" s="115">
        <v>77.400000000000006</v>
      </c>
      <c r="C4522" s="1">
        <v>40</v>
      </c>
      <c r="D4522" s="1" t="s">
        <v>2562</v>
      </c>
      <c r="E4522" s="1">
        <v>77</v>
      </c>
    </row>
    <row r="4523" spans="1:5" hidden="1" x14ac:dyDescent="0.25">
      <c r="A4523" s="115">
        <v>77.105000000000004</v>
      </c>
      <c r="B4523" s="115">
        <v>77.5</v>
      </c>
      <c r="C4523" s="1">
        <v>50</v>
      </c>
      <c r="D4523" s="1" t="s">
        <v>2563</v>
      </c>
      <c r="E4523" s="1">
        <v>77</v>
      </c>
    </row>
    <row r="4524" spans="1:5" hidden="1" x14ac:dyDescent="0.25">
      <c r="A4524" s="115">
        <v>77.105999999999995</v>
      </c>
      <c r="B4524" s="115">
        <v>77.599999999999994</v>
      </c>
      <c r="C4524" s="1">
        <v>60</v>
      </c>
      <c r="D4524" s="1" t="s">
        <v>2564</v>
      </c>
      <c r="E4524" s="1">
        <v>77</v>
      </c>
    </row>
    <row r="4525" spans="1:5" hidden="1" x14ac:dyDescent="0.25">
      <c r="A4525" s="115">
        <v>77.106999999999999</v>
      </c>
      <c r="B4525" s="115">
        <v>77.7</v>
      </c>
      <c r="C4525" s="1">
        <v>70</v>
      </c>
      <c r="D4525" s="1" t="s">
        <v>2565</v>
      </c>
      <c r="E4525" s="1">
        <v>77</v>
      </c>
    </row>
    <row r="4526" spans="1:5" hidden="1" x14ac:dyDescent="0.25">
      <c r="A4526" s="115">
        <v>77.108000000000004</v>
      </c>
      <c r="B4526" s="115">
        <v>77.8</v>
      </c>
      <c r="C4526" s="1">
        <v>80</v>
      </c>
      <c r="D4526" s="1" t="s">
        <v>2566</v>
      </c>
      <c r="E4526" s="1">
        <v>77</v>
      </c>
    </row>
    <row r="4527" spans="1:5" hidden="1" x14ac:dyDescent="0.25">
      <c r="A4527" s="115">
        <v>77.108999999999995</v>
      </c>
      <c r="B4527" s="115">
        <v>77.900000000000006</v>
      </c>
      <c r="C4527" s="1">
        <v>90</v>
      </c>
      <c r="D4527" s="1" t="s">
        <v>2567</v>
      </c>
      <c r="E4527" s="1">
        <v>77</v>
      </c>
    </row>
    <row r="4528" spans="1:5" hidden="1" x14ac:dyDescent="0.25">
      <c r="A4528" s="115">
        <v>77.11</v>
      </c>
      <c r="B4528" s="115">
        <v>77.099999999999994</v>
      </c>
      <c r="C4528" s="1">
        <v>100</v>
      </c>
      <c r="D4528" s="1" t="s">
        <v>2568</v>
      </c>
      <c r="E4528" s="1">
        <v>77</v>
      </c>
    </row>
    <row r="4529" spans="1:5" hidden="1" x14ac:dyDescent="0.25">
      <c r="A4529" s="115">
        <v>77.111000000000004</v>
      </c>
      <c r="B4529" s="115">
        <v>77.11</v>
      </c>
      <c r="C4529" s="1">
        <v>110</v>
      </c>
      <c r="D4529" s="1" t="s">
        <v>2569</v>
      </c>
      <c r="E4529" s="1">
        <v>77</v>
      </c>
    </row>
    <row r="4530" spans="1:5" hidden="1" x14ac:dyDescent="0.25">
      <c r="A4530" s="115">
        <v>77.111999999999995</v>
      </c>
      <c r="B4530" s="115">
        <v>77.12</v>
      </c>
      <c r="C4530" s="1">
        <v>120</v>
      </c>
      <c r="D4530" s="1" t="s">
        <v>2570</v>
      </c>
      <c r="E4530" s="1">
        <v>77</v>
      </c>
    </row>
    <row r="4531" spans="1:5" hidden="1" x14ac:dyDescent="0.25">
      <c r="A4531" s="115">
        <v>77.113</v>
      </c>
      <c r="B4531" s="115">
        <v>77.13</v>
      </c>
      <c r="C4531" s="1">
        <v>130</v>
      </c>
      <c r="D4531" s="1" t="s">
        <v>2571</v>
      </c>
      <c r="E4531" s="1">
        <v>77</v>
      </c>
    </row>
    <row r="4532" spans="1:5" hidden="1" x14ac:dyDescent="0.25">
      <c r="A4532" s="115">
        <v>77.114000000000004</v>
      </c>
      <c r="B4532" s="115">
        <v>77.14</v>
      </c>
      <c r="C4532" s="1">
        <v>140</v>
      </c>
      <c r="D4532" s="1" t="s">
        <v>2572</v>
      </c>
      <c r="E4532" s="1">
        <v>77</v>
      </c>
    </row>
    <row r="4533" spans="1:5" hidden="1" x14ac:dyDescent="0.25">
      <c r="A4533" s="115">
        <v>77.114999999999995</v>
      </c>
      <c r="B4533" s="115">
        <v>77.150000000000006</v>
      </c>
      <c r="C4533" s="1">
        <v>150</v>
      </c>
      <c r="D4533" s="1" t="s">
        <v>2573</v>
      </c>
      <c r="E4533" s="1">
        <v>77</v>
      </c>
    </row>
    <row r="4534" spans="1:5" hidden="1" x14ac:dyDescent="0.25">
      <c r="A4534" s="115">
        <v>77.116</v>
      </c>
      <c r="B4534" s="115">
        <v>77.16</v>
      </c>
      <c r="C4534" s="1">
        <v>160</v>
      </c>
      <c r="D4534" s="1" t="s">
        <v>2574</v>
      </c>
      <c r="E4534" s="1">
        <v>77</v>
      </c>
    </row>
    <row r="4535" spans="1:5" hidden="1" x14ac:dyDescent="0.25">
      <c r="A4535" s="115">
        <v>77.117000000000004</v>
      </c>
      <c r="B4535" s="115">
        <v>77.17</v>
      </c>
      <c r="C4535" s="1">
        <v>170</v>
      </c>
      <c r="D4535" s="1" t="s">
        <v>2575</v>
      </c>
      <c r="E4535" s="1">
        <v>77</v>
      </c>
    </row>
    <row r="4536" spans="1:5" hidden="1" x14ac:dyDescent="0.25">
      <c r="A4536" s="115">
        <v>77.117999999999995</v>
      </c>
      <c r="B4536" s="115">
        <v>77.180000000000007</v>
      </c>
      <c r="C4536" s="1">
        <v>180</v>
      </c>
      <c r="D4536" s="1" t="s">
        <v>2576</v>
      </c>
      <c r="E4536" s="1">
        <v>77</v>
      </c>
    </row>
    <row r="4537" spans="1:5" hidden="1" x14ac:dyDescent="0.25">
      <c r="A4537" s="115">
        <v>77.119</v>
      </c>
      <c r="B4537" s="115">
        <v>77.19</v>
      </c>
      <c r="C4537" s="1">
        <v>190</v>
      </c>
      <c r="D4537" s="1" t="s">
        <v>2577</v>
      </c>
      <c r="E4537" s="1">
        <v>77</v>
      </c>
    </row>
    <row r="4538" spans="1:5" hidden="1" x14ac:dyDescent="0.25">
      <c r="A4538" s="115">
        <v>77.12</v>
      </c>
      <c r="B4538" s="115">
        <v>77.2</v>
      </c>
      <c r="C4538" s="1">
        <v>200</v>
      </c>
      <c r="D4538" s="1" t="s">
        <v>2578</v>
      </c>
      <c r="E4538" s="1">
        <v>77</v>
      </c>
    </row>
    <row r="4539" spans="1:5" hidden="1" x14ac:dyDescent="0.25">
      <c r="A4539" s="115">
        <v>77.120999999999995</v>
      </c>
      <c r="B4539" s="115">
        <v>77.209999999999994</v>
      </c>
      <c r="C4539" s="1">
        <v>210</v>
      </c>
      <c r="D4539" s="1" t="s">
        <v>2579</v>
      </c>
      <c r="E4539" s="1">
        <v>77</v>
      </c>
    </row>
    <row r="4540" spans="1:5" hidden="1" x14ac:dyDescent="0.25">
      <c r="A4540" s="115">
        <v>77.122</v>
      </c>
      <c r="B4540" s="115">
        <v>77.22</v>
      </c>
      <c r="C4540" s="1">
        <v>220</v>
      </c>
      <c r="D4540" s="1" t="s">
        <v>2580</v>
      </c>
      <c r="E4540" s="1">
        <v>77</v>
      </c>
    </row>
    <row r="4541" spans="1:5" hidden="1" x14ac:dyDescent="0.25">
      <c r="A4541" s="115">
        <v>77.123000000000005</v>
      </c>
      <c r="B4541" s="115">
        <v>77.23</v>
      </c>
      <c r="C4541" s="1">
        <v>230</v>
      </c>
      <c r="D4541" s="1" t="s">
        <v>2581</v>
      </c>
      <c r="E4541" s="1">
        <v>77</v>
      </c>
    </row>
    <row r="4542" spans="1:5" hidden="1" x14ac:dyDescent="0.25">
      <c r="A4542" s="115">
        <v>77.123999999999995</v>
      </c>
      <c r="B4542" s="115">
        <v>77.239999999999995</v>
      </c>
      <c r="C4542" s="1">
        <v>240</v>
      </c>
      <c r="D4542" s="1" t="s">
        <v>2582</v>
      </c>
      <c r="E4542" s="1">
        <v>77</v>
      </c>
    </row>
    <row r="4543" spans="1:5" hidden="1" x14ac:dyDescent="0.25">
      <c r="A4543" s="115">
        <v>77.125</v>
      </c>
      <c r="B4543" s="115">
        <v>77.25</v>
      </c>
      <c r="C4543" s="1">
        <v>250</v>
      </c>
      <c r="D4543" s="1" t="s">
        <v>2583</v>
      </c>
      <c r="E4543" s="1">
        <v>77</v>
      </c>
    </row>
    <row r="4544" spans="1:5" hidden="1" x14ac:dyDescent="0.25">
      <c r="A4544" s="115">
        <v>77.126000000000005</v>
      </c>
      <c r="B4544" s="115">
        <v>77.260000000000005</v>
      </c>
      <c r="C4544" s="1">
        <v>260</v>
      </c>
      <c r="D4544" s="1" t="s">
        <v>2584</v>
      </c>
      <c r="E4544" s="1">
        <v>77</v>
      </c>
    </row>
    <row r="4545" spans="1:5" hidden="1" x14ac:dyDescent="0.25">
      <c r="A4545" s="115">
        <v>77.126999999999995</v>
      </c>
      <c r="B4545" s="115">
        <v>77.27</v>
      </c>
      <c r="C4545" s="1">
        <v>270</v>
      </c>
      <c r="D4545" s="1" t="s">
        <v>2585</v>
      </c>
      <c r="E4545" s="1">
        <v>77</v>
      </c>
    </row>
    <row r="4546" spans="1:5" hidden="1" x14ac:dyDescent="0.25">
      <c r="A4546" s="115">
        <v>77.128</v>
      </c>
      <c r="B4546" s="115">
        <v>77.28</v>
      </c>
      <c r="C4546" s="1">
        <v>280</v>
      </c>
      <c r="D4546" s="1" t="s">
        <v>2586</v>
      </c>
      <c r="E4546" s="1">
        <v>77</v>
      </c>
    </row>
    <row r="4547" spans="1:5" hidden="1" x14ac:dyDescent="0.25">
      <c r="A4547" s="115">
        <v>77.129000000000005</v>
      </c>
      <c r="B4547" s="115">
        <v>77.290000000000006</v>
      </c>
      <c r="C4547" s="1">
        <v>290</v>
      </c>
      <c r="D4547" s="1" t="s">
        <v>2587</v>
      </c>
      <c r="E4547" s="1">
        <v>77</v>
      </c>
    </row>
    <row r="4548" spans="1:5" hidden="1" x14ac:dyDescent="0.25">
      <c r="A4548" s="115">
        <v>77.13</v>
      </c>
      <c r="B4548" s="115">
        <v>77.3</v>
      </c>
      <c r="C4548" s="1">
        <v>300</v>
      </c>
      <c r="D4548" s="1" t="s">
        <v>2588</v>
      </c>
      <c r="E4548" s="1">
        <v>77</v>
      </c>
    </row>
    <row r="4549" spans="1:5" hidden="1" x14ac:dyDescent="0.25">
      <c r="A4549" s="115">
        <v>77.131</v>
      </c>
      <c r="B4549" s="115">
        <v>77.31</v>
      </c>
      <c r="C4549" s="1">
        <v>310</v>
      </c>
      <c r="D4549" s="1" t="s">
        <v>2589</v>
      </c>
      <c r="E4549" s="1">
        <v>77</v>
      </c>
    </row>
    <row r="4550" spans="1:5" hidden="1" x14ac:dyDescent="0.25">
      <c r="A4550" s="115">
        <v>77.132000000000005</v>
      </c>
      <c r="B4550" s="115">
        <v>77.319999999999993</v>
      </c>
      <c r="C4550" s="1">
        <v>320</v>
      </c>
      <c r="D4550" s="1" t="s">
        <v>2590</v>
      </c>
      <c r="E4550" s="1">
        <v>77</v>
      </c>
    </row>
    <row r="4551" spans="1:5" hidden="1" x14ac:dyDescent="0.25">
      <c r="A4551" s="115">
        <v>77.132999999999996</v>
      </c>
      <c r="B4551" s="115">
        <v>77.33</v>
      </c>
      <c r="C4551" s="1">
        <v>330</v>
      </c>
      <c r="D4551" s="1" t="s">
        <v>2591</v>
      </c>
      <c r="E4551" s="1">
        <v>77</v>
      </c>
    </row>
    <row r="4552" spans="1:5" hidden="1" x14ac:dyDescent="0.25">
      <c r="A4552" s="115">
        <v>77.134</v>
      </c>
      <c r="B4552" s="115">
        <v>77.34</v>
      </c>
      <c r="C4552" s="1">
        <v>340</v>
      </c>
      <c r="D4552" s="1" t="s">
        <v>2592</v>
      </c>
      <c r="E4552" s="1">
        <v>77</v>
      </c>
    </row>
    <row r="4553" spans="1:5" hidden="1" x14ac:dyDescent="0.25">
      <c r="A4553" s="115">
        <v>77.135000000000005</v>
      </c>
      <c r="B4553" s="115">
        <v>77.349999999999994</v>
      </c>
      <c r="C4553" s="1">
        <v>350</v>
      </c>
      <c r="D4553" s="1" t="s">
        <v>2593</v>
      </c>
      <c r="E4553" s="1">
        <v>77</v>
      </c>
    </row>
    <row r="4554" spans="1:5" hidden="1" x14ac:dyDescent="0.25">
      <c r="A4554" s="115">
        <v>77.135999999999996</v>
      </c>
      <c r="B4554" s="115">
        <v>77.36</v>
      </c>
      <c r="C4554" s="1">
        <v>360</v>
      </c>
      <c r="D4554" s="1" t="s">
        <v>2594</v>
      </c>
      <c r="E4554" s="1">
        <v>77</v>
      </c>
    </row>
    <row r="4555" spans="1:5" hidden="1" x14ac:dyDescent="0.25">
      <c r="A4555" s="115">
        <v>77.137</v>
      </c>
      <c r="B4555" s="115">
        <v>77.37</v>
      </c>
      <c r="C4555" s="1">
        <v>370</v>
      </c>
      <c r="D4555" s="1" t="s">
        <v>2595</v>
      </c>
      <c r="E4555" s="1">
        <v>77</v>
      </c>
    </row>
    <row r="4556" spans="1:5" hidden="1" x14ac:dyDescent="0.25">
      <c r="A4556" s="115">
        <v>77.138000000000005</v>
      </c>
      <c r="B4556" s="115">
        <v>77.38</v>
      </c>
      <c r="C4556" s="1">
        <v>380</v>
      </c>
      <c r="D4556" s="1" t="s">
        <v>2596</v>
      </c>
      <c r="E4556" s="1">
        <v>77</v>
      </c>
    </row>
    <row r="4557" spans="1:5" hidden="1" x14ac:dyDescent="0.25">
      <c r="A4557" s="115">
        <v>77.138999999999996</v>
      </c>
      <c r="B4557" s="115">
        <v>77.39</v>
      </c>
      <c r="C4557" s="1">
        <v>390</v>
      </c>
      <c r="D4557" s="1" t="s">
        <v>2597</v>
      </c>
      <c r="E4557" s="1">
        <v>77</v>
      </c>
    </row>
    <row r="4558" spans="1:5" hidden="1" x14ac:dyDescent="0.25">
      <c r="A4558" s="115">
        <v>77.14</v>
      </c>
      <c r="B4558" s="115">
        <v>77.400000000000006</v>
      </c>
      <c r="C4558" s="1">
        <v>400</v>
      </c>
      <c r="D4558" s="1" t="s">
        <v>2598</v>
      </c>
      <c r="E4558" s="1">
        <v>77</v>
      </c>
    </row>
    <row r="4559" spans="1:5" hidden="1" x14ac:dyDescent="0.25">
      <c r="A4559" s="115">
        <v>77.141000000000005</v>
      </c>
      <c r="B4559" s="115">
        <v>77.41</v>
      </c>
      <c r="C4559" s="1">
        <v>410</v>
      </c>
      <c r="D4559" s="1" t="s">
        <v>2599</v>
      </c>
      <c r="E4559" s="1">
        <v>77</v>
      </c>
    </row>
    <row r="4560" spans="1:5" hidden="1" x14ac:dyDescent="0.25">
      <c r="A4560" s="115">
        <v>77.141999999999996</v>
      </c>
      <c r="B4560" s="115">
        <v>77.42</v>
      </c>
      <c r="C4560" s="1">
        <v>420</v>
      </c>
      <c r="D4560" s="1" t="s">
        <v>2600</v>
      </c>
      <c r="E4560" s="1">
        <v>77</v>
      </c>
    </row>
    <row r="4561" spans="1:5" hidden="1" x14ac:dyDescent="0.25">
      <c r="A4561" s="115">
        <v>77.143000000000001</v>
      </c>
      <c r="B4561" s="115">
        <v>77.430000000000007</v>
      </c>
      <c r="C4561" s="1">
        <v>430</v>
      </c>
      <c r="D4561" s="1" t="s">
        <v>2601</v>
      </c>
      <c r="E4561" s="1">
        <v>77</v>
      </c>
    </row>
    <row r="4562" spans="1:5" hidden="1" x14ac:dyDescent="0.25">
      <c r="A4562" s="115">
        <v>77.144000000000005</v>
      </c>
      <c r="B4562" s="115">
        <v>77.44</v>
      </c>
      <c r="C4562" s="1">
        <v>440</v>
      </c>
      <c r="D4562" s="1" t="s">
        <v>2602</v>
      </c>
      <c r="E4562" s="1">
        <v>77</v>
      </c>
    </row>
    <row r="4563" spans="1:5" hidden="1" x14ac:dyDescent="0.25">
      <c r="A4563" s="115">
        <v>77.144999999999996</v>
      </c>
      <c r="B4563" s="115">
        <v>77.444999999999993</v>
      </c>
      <c r="C4563" s="1">
        <v>445</v>
      </c>
      <c r="D4563" s="1" t="s">
        <v>2603</v>
      </c>
      <c r="E4563" s="1">
        <v>77</v>
      </c>
    </row>
    <row r="4564" spans="1:5" hidden="1" x14ac:dyDescent="0.25">
      <c r="A4564" s="115">
        <v>77.146000000000001</v>
      </c>
      <c r="B4564" s="115">
        <v>77.45</v>
      </c>
      <c r="C4564" s="1">
        <v>450</v>
      </c>
      <c r="D4564" s="1" t="s">
        <v>2604</v>
      </c>
      <c r="E4564" s="1">
        <v>77</v>
      </c>
    </row>
    <row r="4565" spans="1:5" hidden="1" x14ac:dyDescent="0.25">
      <c r="A4565" s="115">
        <v>77.147000000000006</v>
      </c>
      <c r="B4565" s="115">
        <v>77.459999999999994</v>
      </c>
      <c r="C4565" s="1">
        <v>460</v>
      </c>
      <c r="D4565" s="1" t="s">
        <v>2605</v>
      </c>
      <c r="E4565" s="1">
        <v>77</v>
      </c>
    </row>
    <row r="4566" spans="1:5" hidden="1" x14ac:dyDescent="0.25">
      <c r="A4566" s="115">
        <v>77.147999999999996</v>
      </c>
      <c r="B4566" s="115">
        <v>77.47</v>
      </c>
      <c r="C4566" s="1">
        <v>470</v>
      </c>
      <c r="D4566" s="1" t="s">
        <v>2606</v>
      </c>
      <c r="E4566" s="1">
        <v>77</v>
      </c>
    </row>
    <row r="4567" spans="1:5" hidden="1" x14ac:dyDescent="0.25">
      <c r="A4567" s="115">
        <v>77.149000000000001</v>
      </c>
      <c r="B4567" s="115">
        <v>77.48</v>
      </c>
      <c r="C4567" s="1">
        <v>480</v>
      </c>
      <c r="D4567" s="1" t="s">
        <v>2607</v>
      </c>
      <c r="E4567" s="1">
        <v>77</v>
      </c>
    </row>
    <row r="4568" spans="1:5" hidden="1" x14ac:dyDescent="0.25">
      <c r="A4568" s="115">
        <v>77.150000000000006</v>
      </c>
      <c r="B4568" s="115">
        <v>77.489999999999995</v>
      </c>
      <c r="C4568" s="1">
        <v>490</v>
      </c>
      <c r="D4568" s="1" t="s">
        <v>2608</v>
      </c>
      <c r="E4568" s="1">
        <v>77</v>
      </c>
    </row>
    <row r="4569" spans="1:5" hidden="1" x14ac:dyDescent="0.25">
      <c r="A4569" s="115">
        <v>77.150999999999996</v>
      </c>
      <c r="B4569" s="115">
        <v>77.5</v>
      </c>
      <c r="C4569" s="1">
        <v>500</v>
      </c>
      <c r="D4569" s="1" t="s">
        <v>2609</v>
      </c>
      <c r="E4569" s="1">
        <v>77</v>
      </c>
    </row>
    <row r="4570" spans="1:5" hidden="1" x14ac:dyDescent="0.25">
      <c r="A4570" s="115">
        <v>77.152000000000001</v>
      </c>
      <c r="B4570" s="115">
        <v>77.510000000000005</v>
      </c>
      <c r="C4570" s="1">
        <v>510</v>
      </c>
      <c r="D4570" s="1" t="s">
        <v>2610</v>
      </c>
      <c r="E4570" s="1">
        <v>77</v>
      </c>
    </row>
    <row r="4571" spans="1:5" hidden="1" x14ac:dyDescent="0.25">
      <c r="A4571" s="115">
        <v>77.153000000000006</v>
      </c>
      <c r="B4571" s="115">
        <v>77.52</v>
      </c>
      <c r="C4571" s="1">
        <v>520</v>
      </c>
      <c r="D4571" s="1" t="s">
        <v>2688</v>
      </c>
      <c r="E4571" s="1">
        <v>77</v>
      </c>
    </row>
    <row r="4572" spans="1:5" hidden="1" x14ac:dyDescent="0.25">
      <c r="A4572" s="115">
        <v>77.153999999999996</v>
      </c>
      <c r="B4572" s="115">
        <v>77.53</v>
      </c>
      <c r="C4572" s="1">
        <v>530</v>
      </c>
      <c r="D4572" s="1" t="s">
        <v>2612</v>
      </c>
      <c r="E4572" s="1">
        <v>77</v>
      </c>
    </row>
    <row r="4573" spans="1:5" hidden="1" x14ac:dyDescent="0.25">
      <c r="A4573" s="115">
        <v>77.155000000000001</v>
      </c>
      <c r="B4573" s="115">
        <v>77.540000000000006</v>
      </c>
      <c r="C4573" s="1">
        <v>540</v>
      </c>
      <c r="D4573" s="1" t="s">
        <v>2613</v>
      </c>
      <c r="E4573" s="1">
        <v>77</v>
      </c>
    </row>
    <row r="4574" spans="1:5" hidden="1" x14ac:dyDescent="0.25">
      <c r="A4574" s="115">
        <v>77.156000000000006</v>
      </c>
      <c r="B4574" s="115">
        <v>77.55</v>
      </c>
      <c r="C4574" s="1">
        <v>550</v>
      </c>
      <c r="D4574" s="1" t="s">
        <v>2614</v>
      </c>
      <c r="E4574" s="1">
        <v>77</v>
      </c>
    </row>
    <row r="4575" spans="1:5" hidden="1" x14ac:dyDescent="0.25">
      <c r="A4575" s="115">
        <v>77.156999999999996</v>
      </c>
      <c r="B4575" s="115">
        <v>77.56</v>
      </c>
      <c r="C4575" s="1">
        <v>560</v>
      </c>
      <c r="D4575" s="1" t="s">
        <v>2615</v>
      </c>
      <c r="E4575" s="1">
        <v>77</v>
      </c>
    </row>
    <row r="4576" spans="1:5" hidden="1" x14ac:dyDescent="0.25">
      <c r="A4576" s="115">
        <v>77.158000000000001</v>
      </c>
      <c r="B4576" s="115">
        <v>77.569999999999993</v>
      </c>
      <c r="C4576" s="1">
        <v>570</v>
      </c>
      <c r="D4576" s="1" t="s">
        <v>2616</v>
      </c>
      <c r="E4576" s="1">
        <v>77</v>
      </c>
    </row>
    <row r="4577" spans="1:5" hidden="1" x14ac:dyDescent="0.25">
      <c r="A4577" s="115">
        <v>77.159000000000006</v>
      </c>
      <c r="B4577" s="115">
        <v>77.575000000000003</v>
      </c>
      <c r="C4577" s="1">
        <v>575</v>
      </c>
      <c r="D4577" s="1" t="s">
        <v>2617</v>
      </c>
      <c r="E4577" s="1">
        <v>77</v>
      </c>
    </row>
    <row r="4578" spans="1:5" hidden="1" x14ac:dyDescent="0.25">
      <c r="A4578" s="115">
        <v>77.16</v>
      </c>
      <c r="B4578" s="115">
        <v>77.575999999999993</v>
      </c>
      <c r="C4578" s="1">
        <v>576</v>
      </c>
      <c r="D4578" s="1" t="s">
        <v>2618</v>
      </c>
      <c r="E4578" s="1">
        <v>77</v>
      </c>
    </row>
    <row r="4579" spans="1:5" hidden="1" x14ac:dyDescent="0.25">
      <c r="A4579" s="115">
        <v>77.161000000000001</v>
      </c>
      <c r="B4579" s="115">
        <v>77.58</v>
      </c>
      <c r="C4579" s="1">
        <v>580</v>
      </c>
      <c r="D4579" s="1" t="s">
        <v>2619</v>
      </c>
      <c r="E4579" s="1">
        <v>77</v>
      </c>
    </row>
    <row r="4580" spans="1:5" hidden="1" x14ac:dyDescent="0.25">
      <c r="A4580" s="115">
        <v>77.162000000000006</v>
      </c>
      <c r="B4580" s="115">
        <v>77.59</v>
      </c>
      <c r="C4580" s="1">
        <v>590</v>
      </c>
      <c r="D4580" s="1" t="s">
        <v>1099</v>
      </c>
      <c r="E4580" s="1">
        <v>77</v>
      </c>
    </row>
    <row r="4581" spans="1:5" hidden="1" x14ac:dyDescent="0.25">
      <c r="A4581" s="115">
        <v>77.162999999999997</v>
      </c>
      <c r="B4581" s="115">
        <v>77.599999999999994</v>
      </c>
      <c r="C4581" s="1">
        <v>600</v>
      </c>
      <c r="D4581" s="1" t="s">
        <v>2620</v>
      </c>
      <c r="E4581" s="1">
        <v>77</v>
      </c>
    </row>
    <row r="4582" spans="1:5" hidden="1" x14ac:dyDescent="0.25">
      <c r="A4582" s="115">
        <v>77.164000000000001</v>
      </c>
      <c r="B4582" s="115">
        <v>77.61</v>
      </c>
      <c r="C4582" s="1">
        <v>610</v>
      </c>
      <c r="D4582" s="1" t="s">
        <v>2621</v>
      </c>
      <c r="E4582" s="1">
        <v>77</v>
      </c>
    </row>
    <row r="4583" spans="1:5" hidden="1" x14ac:dyDescent="0.25">
      <c r="A4583" s="115">
        <v>77.165000000000006</v>
      </c>
      <c r="B4583" s="115">
        <v>77.62</v>
      </c>
      <c r="C4583" s="1">
        <v>620</v>
      </c>
      <c r="D4583" s="1" t="s">
        <v>2622</v>
      </c>
      <c r="E4583" s="1">
        <v>77</v>
      </c>
    </row>
    <row r="4584" spans="1:5" hidden="1" x14ac:dyDescent="0.25">
      <c r="A4584" s="115">
        <v>77.165999999999997</v>
      </c>
      <c r="B4584" s="115">
        <v>77.63</v>
      </c>
      <c r="C4584" s="1">
        <v>630</v>
      </c>
      <c r="D4584" s="1" t="s">
        <v>2623</v>
      </c>
      <c r="E4584" s="1">
        <v>77</v>
      </c>
    </row>
    <row r="4585" spans="1:5" hidden="1" x14ac:dyDescent="0.25">
      <c r="A4585" s="115">
        <v>77.167000000000002</v>
      </c>
      <c r="B4585" s="115">
        <v>77.64</v>
      </c>
      <c r="C4585" s="1">
        <v>640</v>
      </c>
      <c r="D4585" s="1" t="s">
        <v>2624</v>
      </c>
      <c r="E4585" s="1">
        <v>77</v>
      </c>
    </row>
    <row r="4586" spans="1:5" hidden="1" x14ac:dyDescent="0.25">
      <c r="A4586" s="115">
        <v>77.168000000000006</v>
      </c>
      <c r="B4586" s="115">
        <v>77.650000000000006</v>
      </c>
      <c r="C4586" s="1">
        <v>650</v>
      </c>
      <c r="D4586" s="1" t="s">
        <v>2625</v>
      </c>
      <c r="E4586" s="1">
        <v>77</v>
      </c>
    </row>
    <row r="4587" spans="1:5" hidden="1" x14ac:dyDescent="0.25">
      <c r="A4587" s="115">
        <v>77.168999999999997</v>
      </c>
      <c r="B4587" s="115">
        <v>77.66</v>
      </c>
      <c r="C4587" s="1">
        <v>660</v>
      </c>
      <c r="D4587" s="1" t="s">
        <v>2626</v>
      </c>
      <c r="E4587" s="1">
        <v>77</v>
      </c>
    </row>
    <row r="4588" spans="1:5" hidden="1" x14ac:dyDescent="0.25">
      <c r="A4588" s="115">
        <v>77.17</v>
      </c>
      <c r="B4588" s="115">
        <v>77.67</v>
      </c>
      <c r="C4588" s="1">
        <v>670</v>
      </c>
      <c r="D4588" s="1" t="s">
        <v>2627</v>
      </c>
      <c r="E4588" s="1">
        <v>77</v>
      </c>
    </row>
    <row r="4589" spans="1:5" hidden="1" x14ac:dyDescent="0.25">
      <c r="A4589" s="115">
        <v>77.171000000000006</v>
      </c>
      <c r="B4589" s="115">
        <v>77.680000000000007</v>
      </c>
      <c r="C4589" s="1">
        <v>680</v>
      </c>
      <c r="D4589" s="1" t="s">
        <v>2628</v>
      </c>
      <c r="E4589" s="1">
        <v>77</v>
      </c>
    </row>
    <row r="4590" spans="1:5" hidden="1" x14ac:dyDescent="0.25">
      <c r="A4590" s="115">
        <v>77.171999999999997</v>
      </c>
      <c r="B4590" s="115">
        <v>77.69</v>
      </c>
      <c r="C4590" s="1">
        <v>690</v>
      </c>
      <c r="D4590" s="1" t="s">
        <v>2629</v>
      </c>
      <c r="E4590" s="1">
        <v>77</v>
      </c>
    </row>
    <row r="4591" spans="1:5" hidden="1" x14ac:dyDescent="0.25">
      <c r="A4591" s="115">
        <v>77.173000000000002</v>
      </c>
      <c r="B4591" s="115">
        <v>77.7</v>
      </c>
      <c r="C4591" s="1">
        <v>700</v>
      </c>
      <c r="D4591" s="1" t="s">
        <v>2630</v>
      </c>
      <c r="E4591" s="1">
        <v>77</v>
      </c>
    </row>
    <row r="4592" spans="1:5" hidden="1" x14ac:dyDescent="0.25">
      <c r="A4592" s="115">
        <v>77.174000000000007</v>
      </c>
      <c r="B4592" s="115">
        <v>77.709999999999994</v>
      </c>
      <c r="C4592" s="1">
        <v>710</v>
      </c>
      <c r="D4592" s="1" t="s">
        <v>2631</v>
      </c>
      <c r="E4592" s="1">
        <v>77</v>
      </c>
    </row>
    <row r="4593" spans="1:5" hidden="1" x14ac:dyDescent="0.25">
      <c r="A4593" s="115">
        <v>77.174999999999997</v>
      </c>
      <c r="B4593" s="115">
        <v>77.72</v>
      </c>
      <c r="C4593" s="1">
        <v>720</v>
      </c>
      <c r="D4593" s="1" t="s">
        <v>2632</v>
      </c>
      <c r="E4593" s="1">
        <v>77</v>
      </c>
    </row>
    <row r="4594" spans="1:5" hidden="1" x14ac:dyDescent="0.25">
      <c r="A4594" s="115">
        <v>77.176000000000002</v>
      </c>
      <c r="B4594" s="115">
        <v>77.73</v>
      </c>
      <c r="C4594" s="1">
        <v>730</v>
      </c>
      <c r="D4594" s="1" t="s">
        <v>2633</v>
      </c>
      <c r="E4594" s="1">
        <v>77</v>
      </c>
    </row>
    <row r="4595" spans="1:5" hidden="1" x14ac:dyDescent="0.25">
      <c r="A4595" s="115">
        <v>77.177000000000007</v>
      </c>
      <c r="B4595" s="115">
        <v>77.739999999999995</v>
      </c>
      <c r="C4595" s="1">
        <v>740</v>
      </c>
      <c r="D4595" s="1" t="s">
        <v>2634</v>
      </c>
      <c r="E4595" s="1">
        <v>77</v>
      </c>
    </row>
    <row r="4596" spans="1:5" hidden="1" x14ac:dyDescent="0.25">
      <c r="A4596" s="115">
        <v>77.177999999999997</v>
      </c>
      <c r="B4596" s="115">
        <v>77.75</v>
      </c>
      <c r="C4596" s="1">
        <v>750</v>
      </c>
      <c r="D4596" s="1" t="s">
        <v>2635</v>
      </c>
      <c r="E4596" s="1">
        <v>77</v>
      </c>
    </row>
    <row r="4597" spans="1:5" hidden="1" x14ac:dyDescent="0.25">
      <c r="A4597" s="115">
        <v>77.179000000000002</v>
      </c>
      <c r="B4597" s="115">
        <v>77.754999999999995</v>
      </c>
      <c r="C4597" s="1">
        <v>755</v>
      </c>
      <c r="D4597" s="1" t="s">
        <v>1466</v>
      </c>
      <c r="E4597" s="1">
        <v>77</v>
      </c>
    </row>
    <row r="4598" spans="1:5" hidden="1" x14ac:dyDescent="0.25">
      <c r="A4598" s="115">
        <v>77.180000000000007</v>
      </c>
      <c r="B4598" s="115">
        <v>77.760000000000005</v>
      </c>
      <c r="C4598" s="1">
        <v>760</v>
      </c>
      <c r="D4598" s="1" t="s">
        <v>2636</v>
      </c>
      <c r="E4598" s="1">
        <v>77</v>
      </c>
    </row>
    <row r="4599" spans="1:5" hidden="1" x14ac:dyDescent="0.25">
      <c r="A4599" s="115">
        <v>77.180999999999997</v>
      </c>
      <c r="B4599" s="115">
        <v>77.77</v>
      </c>
      <c r="C4599" s="1">
        <v>770</v>
      </c>
      <c r="D4599" s="1" t="s">
        <v>2637</v>
      </c>
      <c r="E4599" s="1">
        <v>77</v>
      </c>
    </row>
    <row r="4600" spans="1:5" hidden="1" x14ac:dyDescent="0.25">
      <c r="A4600" s="115">
        <v>77.182000000000002</v>
      </c>
      <c r="B4600" s="115">
        <v>77.78</v>
      </c>
      <c r="C4600" s="1">
        <v>780</v>
      </c>
      <c r="D4600" s="1" t="s">
        <v>2638</v>
      </c>
      <c r="E4600" s="1">
        <v>77</v>
      </c>
    </row>
    <row r="4601" spans="1:5" hidden="1" x14ac:dyDescent="0.25">
      <c r="A4601" s="115">
        <v>77.183000000000007</v>
      </c>
      <c r="B4601" s="115">
        <v>77.790000000000006</v>
      </c>
      <c r="C4601" s="1">
        <v>790</v>
      </c>
      <c r="D4601" s="1" t="s">
        <v>2639</v>
      </c>
      <c r="E4601" s="1">
        <v>77</v>
      </c>
    </row>
    <row r="4602" spans="1:5" hidden="1" x14ac:dyDescent="0.25">
      <c r="A4602" s="115">
        <v>77.183999999999997</v>
      </c>
      <c r="B4602" s="115">
        <v>77.8</v>
      </c>
      <c r="C4602" s="1">
        <v>800</v>
      </c>
      <c r="D4602" s="1" t="s">
        <v>2640</v>
      </c>
      <c r="E4602" s="1">
        <v>77</v>
      </c>
    </row>
    <row r="4603" spans="1:5" hidden="1" x14ac:dyDescent="0.25">
      <c r="A4603" s="115">
        <v>77.185000000000002</v>
      </c>
      <c r="B4603" s="115">
        <v>77.805000000000007</v>
      </c>
      <c r="C4603" s="1">
        <v>805</v>
      </c>
      <c r="D4603" s="1" t="s">
        <v>2641</v>
      </c>
      <c r="E4603" s="1">
        <v>77</v>
      </c>
    </row>
    <row r="4604" spans="1:5" hidden="1" x14ac:dyDescent="0.25">
      <c r="A4604" s="115">
        <v>77.186000000000007</v>
      </c>
      <c r="B4604" s="115">
        <v>77.81</v>
      </c>
      <c r="C4604" s="1">
        <v>810</v>
      </c>
      <c r="D4604" s="1" t="s">
        <v>2642</v>
      </c>
      <c r="E4604" s="1">
        <v>77</v>
      </c>
    </row>
    <row r="4605" spans="1:5" hidden="1" x14ac:dyDescent="0.25">
      <c r="A4605" s="115">
        <v>77.186999999999998</v>
      </c>
      <c r="B4605" s="115">
        <v>77.819999999999993</v>
      </c>
      <c r="C4605" s="1">
        <v>820</v>
      </c>
      <c r="D4605" s="1" t="s">
        <v>2643</v>
      </c>
      <c r="E4605" s="1">
        <v>77</v>
      </c>
    </row>
    <row r="4606" spans="1:5" hidden="1" x14ac:dyDescent="0.25">
      <c r="A4606" s="115">
        <v>77.188000000000002</v>
      </c>
      <c r="B4606" s="115">
        <v>77.83</v>
      </c>
      <c r="C4606" s="1">
        <v>830</v>
      </c>
      <c r="D4606" s="1" t="s">
        <v>2644</v>
      </c>
      <c r="E4606" s="1">
        <v>77</v>
      </c>
    </row>
    <row r="4607" spans="1:5" hidden="1" x14ac:dyDescent="0.25">
      <c r="A4607" s="115">
        <v>77.188999999999993</v>
      </c>
      <c r="B4607" s="115">
        <v>77.84</v>
      </c>
      <c r="C4607" s="1">
        <v>840</v>
      </c>
      <c r="D4607" s="1" t="s">
        <v>2645</v>
      </c>
      <c r="E4607" s="1">
        <v>77</v>
      </c>
    </row>
    <row r="4608" spans="1:5" hidden="1" x14ac:dyDescent="0.25">
      <c r="A4608" s="115">
        <v>77.19</v>
      </c>
      <c r="B4608" s="115">
        <v>77.849999999999994</v>
      </c>
      <c r="C4608" s="1">
        <v>850</v>
      </c>
      <c r="D4608" s="1" t="s">
        <v>2646</v>
      </c>
      <c r="E4608" s="1">
        <v>77</v>
      </c>
    </row>
    <row r="4609" spans="1:5" hidden="1" x14ac:dyDescent="0.25">
      <c r="A4609" s="115">
        <v>77.191000000000003</v>
      </c>
      <c r="B4609" s="115">
        <v>77.86</v>
      </c>
      <c r="C4609" s="1">
        <v>860</v>
      </c>
      <c r="D4609" s="1" t="s">
        <v>2647</v>
      </c>
      <c r="E4609" s="1">
        <v>77</v>
      </c>
    </row>
    <row r="4610" spans="1:5" hidden="1" x14ac:dyDescent="0.25">
      <c r="A4610" s="115">
        <v>77.191999999999993</v>
      </c>
      <c r="B4610" s="115">
        <v>77.87</v>
      </c>
      <c r="C4610" s="1">
        <v>870</v>
      </c>
      <c r="D4610" s="1" t="s">
        <v>2648</v>
      </c>
      <c r="E4610" s="1">
        <v>77</v>
      </c>
    </row>
    <row r="4611" spans="1:5" hidden="1" x14ac:dyDescent="0.25">
      <c r="A4611" s="115">
        <v>77.192999999999998</v>
      </c>
      <c r="B4611" s="115">
        <v>77.88</v>
      </c>
      <c r="C4611" s="1">
        <v>880</v>
      </c>
      <c r="D4611" s="1" t="s">
        <v>2649</v>
      </c>
      <c r="E4611" s="1">
        <v>77</v>
      </c>
    </row>
    <row r="4612" spans="1:5" hidden="1" x14ac:dyDescent="0.25">
      <c r="A4612" s="115">
        <v>77.194000000000003</v>
      </c>
      <c r="B4612" s="115">
        <v>77.89</v>
      </c>
      <c r="C4612" s="1">
        <v>890</v>
      </c>
      <c r="D4612" s="1" t="s">
        <v>2650</v>
      </c>
      <c r="E4612" s="1">
        <v>77</v>
      </c>
    </row>
    <row r="4613" spans="1:5" hidden="1" x14ac:dyDescent="0.25">
      <c r="A4613" s="115">
        <v>77.194999999999993</v>
      </c>
      <c r="B4613" s="115">
        <v>77.894999999999996</v>
      </c>
      <c r="C4613" s="1">
        <v>895</v>
      </c>
      <c r="D4613" s="1" t="s">
        <v>2651</v>
      </c>
      <c r="E4613" s="1">
        <v>77</v>
      </c>
    </row>
    <row r="4614" spans="1:5" hidden="1" x14ac:dyDescent="0.25">
      <c r="A4614" s="115">
        <v>77.195999999999998</v>
      </c>
      <c r="B4614" s="115">
        <v>77.900000000000006</v>
      </c>
      <c r="C4614" s="1">
        <v>900</v>
      </c>
      <c r="D4614" s="1" t="s">
        <v>2652</v>
      </c>
      <c r="E4614" s="1">
        <v>77</v>
      </c>
    </row>
    <row r="4615" spans="1:5" hidden="1" x14ac:dyDescent="0.25">
      <c r="A4615" s="115">
        <v>77.197000000000003</v>
      </c>
      <c r="B4615" s="115">
        <v>77.91</v>
      </c>
      <c r="C4615" s="1">
        <v>910</v>
      </c>
      <c r="D4615" s="1" t="s">
        <v>2653</v>
      </c>
      <c r="E4615" s="1">
        <v>77</v>
      </c>
    </row>
    <row r="4616" spans="1:5" hidden="1" x14ac:dyDescent="0.25">
      <c r="A4616" s="115">
        <v>77.197999999999993</v>
      </c>
      <c r="B4616" s="115">
        <v>77.92</v>
      </c>
      <c r="C4616" s="1">
        <v>920</v>
      </c>
      <c r="D4616" s="1" t="s">
        <v>2654</v>
      </c>
      <c r="E4616" s="1">
        <v>77</v>
      </c>
    </row>
    <row r="4617" spans="1:5" hidden="1" x14ac:dyDescent="0.25">
      <c r="A4617" s="115">
        <v>77.198999999999998</v>
      </c>
      <c r="B4617" s="115">
        <v>77.924999999999997</v>
      </c>
      <c r="C4617" s="1">
        <v>925</v>
      </c>
      <c r="D4617" s="1" t="s">
        <v>2655</v>
      </c>
      <c r="E4617" s="1">
        <v>77</v>
      </c>
    </row>
    <row r="4618" spans="1:5" hidden="1" x14ac:dyDescent="0.25">
      <c r="A4618" s="115">
        <v>77.2</v>
      </c>
      <c r="B4618" s="115">
        <v>77.930000000000007</v>
      </c>
      <c r="C4618" s="1">
        <v>930</v>
      </c>
      <c r="D4618" s="1" t="s">
        <v>2656</v>
      </c>
      <c r="E4618" s="1">
        <v>77</v>
      </c>
    </row>
    <row r="4619" spans="1:5" hidden="1" x14ac:dyDescent="0.25">
      <c r="A4619" s="115">
        <v>77.200999999999993</v>
      </c>
      <c r="B4619" s="115">
        <v>77.935000000000002</v>
      </c>
      <c r="C4619" s="1">
        <v>935</v>
      </c>
      <c r="D4619" s="1" t="s">
        <v>2657</v>
      </c>
      <c r="E4619" s="1">
        <v>77</v>
      </c>
    </row>
    <row r="4620" spans="1:5" hidden="1" x14ac:dyDescent="0.25">
      <c r="A4620" s="115">
        <v>77.201999999999998</v>
      </c>
      <c r="B4620" s="115">
        <v>77.94</v>
      </c>
      <c r="C4620" s="1">
        <v>940</v>
      </c>
      <c r="D4620" s="1" t="s">
        <v>2658</v>
      </c>
      <c r="E4620" s="1">
        <v>77</v>
      </c>
    </row>
    <row r="4621" spans="1:5" hidden="1" x14ac:dyDescent="0.25">
      <c r="A4621" s="115">
        <v>77.203000000000003</v>
      </c>
      <c r="B4621" s="115">
        <v>77.95</v>
      </c>
      <c r="C4621" s="1">
        <v>950</v>
      </c>
      <c r="D4621" s="1" t="s">
        <v>2659</v>
      </c>
      <c r="E4621" s="1">
        <v>77</v>
      </c>
    </row>
    <row r="4622" spans="1:5" hidden="1" x14ac:dyDescent="0.25">
      <c r="A4622" s="115">
        <v>77.203999999999994</v>
      </c>
      <c r="B4622" s="115">
        <v>77.954999999999998</v>
      </c>
      <c r="C4622" s="1">
        <v>955</v>
      </c>
      <c r="D4622" s="1" t="s">
        <v>2660</v>
      </c>
      <c r="E4622" s="1">
        <v>77</v>
      </c>
    </row>
    <row r="4623" spans="1:5" hidden="1" x14ac:dyDescent="0.25">
      <c r="A4623" s="115">
        <v>77.204999999999998</v>
      </c>
      <c r="B4623" s="115">
        <v>77.959999999999994</v>
      </c>
      <c r="C4623" s="1">
        <v>960</v>
      </c>
      <c r="D4623" s="1" t="s">
        <v>2661</v>
      </c>
      <c r="E4623" s="1">
        <v>77</v>
      </c>
    </row>
    <row r="4624" spans="1:5" hidden="1" x14ac:dyDescent="0.25">
      <c r="A4624" s="115">
        <v>77.206000000000003</v>
      </c>
      <c r="B4624" s="115">
        <v>77.97</v>
      </c>
      <c r="C4624" s="1">
        <v>970</v>
      </c>
      <c r="D4624" s="1" t="s">
        <v>2662</v>
      </c>
      <c r="E4624" s="1">
        <v>77</v>
      </c>
    </row>
    <row r="4625" spans="1:5" hidden="1" x14ac:dyDescent="0.25">
      <c r="A4625" s="115">
        <v>77.206999999999994</v>
      </c>
      <c r="B4625" s="115">
        <v>77.98</v>
      </c>
      <c r="C4625" s="1">
        <v>980</v>
      </c>
      <c r="D4625" s="1" t="s">
        <v>2663</v>
      </c>
      <c r="E4625" s="1">
        <v>77</v>
      </c>
    </row>
    <row r="4626" spans="1:5" hidden="1" x14ac:dyDescent="0.25">
      <c r="A4626" s="115">
        <v>77.207999999999998</v>
      </c>
      <c r="B4626" s="115">
        <v>77.989999999999995</v>
      </c>
      <c r="C4626" s="1">
        <v>990</v>
      </c>
      <c r="D4626" s="1" t="s">
        <v>2664</v>
      </c>
      <c r="E4626" s="1">
        <v>77</v>
      </c>
    </row>
    <row r="4627" spans="1:5" hidden="1" x14ac:dyDescent="0.25">
      <c r="A4627" s="115">
        <v>77.209000000000003</v>
      </c>
      <c r="B4627" s="115">
        <v>77.099999999999994</v>
      </c>
      <c r="C4627" s="1">
        <v>1000</v>
      </c>
      <c r="D4627" s="1" t="s">
        <v>2665</v>
      </c>
      <c r="E4627" s="1">
        <v>77</v>
      </c>
    </row>
    <row r="4628" spans="1:5" hidden="1" x14ac:dyDescent="0.25">
      <c r="A4628" s="115">
        <v>77.209999999999994</v>
      </c>
      <c r="B4628" s="115">
        <v>77.11</v>
      </c>
      <c r="C4628" s="1">
        <v>1100</v>
      </c>
      <c r="D4628" s="1" t="s">
        <v>2666</v>
      </c>
      <c r="E4628" s="1">
        <v>77</v>
      </c>
    </row>
    <row r="4629" spans="1:5" hidden="1" x14ac:dyDescent="0.25">
      <c r="A4629" s="115">
        <v>77.210999999999999</v>
      </c>
      <c r="B4629" s="115">
        <v>77.111000000000004</v>
      </c>
      <c r="C4629" s="1">
        <v>1110</v>
      </c>
      <c r="D4629" s="1" t="s">
        <v>2667</v>
      </c>
      <c r="E4629" s="1">
        <v>77</v>
      </c>
    </row>
    <row r="4630" spans="1:5" hidden="1" x14ac:dyDescent="0.25">
      <c r="A4630" s="115">
        <v>77.212000000000003</v>
      </c>
      <c r="B4630" s="115">
        <v>77.111999999999995</v>
      </c>
      <c r="C4630" s="1">
        <v>1120</v>
      </c>
      <c r="D4630" s="1" t="s">
        <v>2668</v>
      </c>
      <c r="E4630" s="1">
        <v>77</v>
      </c>
    </row>
    <row r="4631" spans="1:5" hidden="1" x14ac:dyDescent="0.25">
      <c r="A4631" s="115">
        <v>77.212999999999994</v>
      </c>
      <c r="B4631" s="115">
        <v>77.113</v>
      </c>
      <c r="C4631" s="1">
        <v>1130</v>
      </c>
      <c r="D4631" s="1" t="s">
        <v>2669</v>
      </c>
      <c r="E4631" s="1">
        <v>77</v>
      </c>
    </row>
    <row r="4632" spans="1:5" hidden="1" x14ac:dyDescent="0.25">
      <c r="A4632" s="115">
        <v>77.213999999999999</v>
      </c>
      <c r="B4632" s="115">
        <v>77.114000000000004</v>
      </c>
      <c r="C4632" s="1">
        <v>1140</v>
      </c>
      <c r="D4632" s="1" t="s">
        <v>2670</v>
      </c>
      <c r="E4632" s="1">
        <v>77</v>
      </c>
    </row>
    <row r="4633" spans="1:5" hidden="1" x14ac:dyDescent="0.25">
      <c r="A4633" s="115">
        <v>77.215000000000003</v>
      </c>
      <c r="B4633" s="115">
        <v>77.114999999999995</v>
      </c>
      <c r="C4633" s="1">
        <v>1150</v>
      </c>
      <c r="D4633" s="1" t="s">
        <v>2671</v>
      </c>
      <c r="E4633" s="1">
        <v>77</v>
      </c>
    </row>
    <row r="4634" spans="1:5" hidden="1" x14ac:dyDescent="0.25">
      <c r="A4634" s="115">
        <v>77.215999999999994</v>
      </c>
      <c r="B4634" s="115">
        <v>77.116</v>
      </c>
      <c r="C4634" s="1">
        <v>1160</v>
      </c>
      <c r="D4634" s="1" t="s">
        <v>2672</v>
      </c>
      <c r="E4634" s="1">
        <v>77</v>
      </c>
    </row>
    <row r="4635" spans="1:5" hidden="1" x14ac:dyDescent="0.25">
      <c r="A4635" s="115">
        <v>77.216999999999999</v>
      </c>
      <c r="B4635" s="115">
        <v>77.117000000000004</v>
      </c>
      <c r="C4635" s="1">
        <v>1170</v>
      </c>
      <c r="D4635" s="1" t="s">
        <v>2673</v>
      </c>
      <c r="E4635" s="1">
        <v>77</v>
      </c>
    </row>
    <row r="4636" spans="1:5" hidden="1" x14ac:dyDescent="0.25">
      <c r="A4636" s="115">
        <v>77.218000000000004</v>
      </c>
      <c r="B4636" s="115">
        <v>77.117999999999995</v>
      </c>
      <c r="C4636" s="1">
        <v>1180</v>
      </c>
      <c r="D4636" s="1" t="s">
        <v>2674</v>
      </c>
      <c r="E4636" s="1">
        <v>77</v>
      </c>
    </row>
    <row r="4637" spans="1:5" hidden="1" x14ac:dyDescent="0.25">
      <c r="A4637" s="115">
        <v>77.218999999999994</v>
      </c>
      <c r="B4637" s="115">
        <v>77.119</v>
      </c>
      <c r="C4637" s="1">
        <v>1190</v>
      </c>
      <c r="D4637" s="1" t="s">
        <v>2675</v>
      </c>
      <c r="E4637" s="1">
        <v>77</v>
      </c>
    </row>
    <row r="4638" spans="1:5" hidden="1" x14ac:dyDescent="0.25">
      <c r="A4638" s="115">
        <v>77.22</v>
      </c>
      <c r="B4638" s="115">
        <v>77.12</v>
      </c>
      <c r="C4638" s="1">
        <v>1200</v>
      </c>
      <c r="D4638" s="1" t="s">
        <v>2676</v>
      </c>
      <c r="E4638" s="1">
        <v>77</v>
      </c>
    </row>
    <row r="4639" spans="1:5" hidden="1" x14ac:dyDescent="0.25">
      <c r="A4639" s="115">
        <v>77.221000000000004</v>
      </c>
      <c r="B4639" s="115">
        <v>77.120999999999995</v>
      </c>
      <c r="C4639" s="1">
        <v>1210</v>
      </c>
      <c r="D4639" s="1" t="s">
        <v>2677</v>
      </c>
      <c r="E4639" s="1">
        <v>77</v>
      </c>
    </row>
    <row r="4640" spans="1:5" hidden="1" x14ac:dyDescent="0.25">
      <c r="A4640" s="115">
        <v>77.221999999999994</v>
      </c>
      <c r="B4640" s="115">
        <v>77.122</v>
      </c>
      <c r="C4640" s="1">
        <v>1220</v>
      </c>
      <c r="D4640" s="1" t="s">
        <v>2678</v>
      </c>
      <c r="E4640" s="1">
        <v>77</v>
      </c>
    </row>
    <row r="4641" spans="1:5" hidden="1" x14ac:dyDescent="0.25">
      <c r="A4641" s="115">
        <v>77.222999999999999</v>
      </c>
      <c r="B4641" s="115">
        <v>77.123000000000005</v>
      </c>
      <c r="C4641" s="1">
        <v>1230</v>
      </c>
      <c r="D4641" s="1" t="s">
        <v>2679</v>
      </c>
      <c r="E4641" s="1">
        <v>77</v>
      </c>
    </row>
    <row r="4642" spans="1:5" hidden="1" x14ac:dyDescent="0.25">
      <c r="A4642" s="115">
        <v>77.224000000000004</v>
      </c>
      <c r="B4642" s="115">
        <v>77.123999999999995</v>
      </c>
      <c r="C4642" s="1">
        <v>1240</v>
      </c>
      <c r="D4642" s="1" t="s">
        <v>2680</v>
      </c>
      <c r="E4642" s="1">
        <v>77</v>
      </c>
    </row>
    <row r="4643" spans="1:5" hidden="1" x14ac:dyDescent="0.25">
      <c r="A4643" s="115">
        <v>77.224999999999994</v>
      </c>
      <c r="B4643" s="115">
        <v>77.125</v>
      </c>
      <c r="C4643" s="1">
        <v>1250</v>
      </c>
      <c r="D4643" s="1" t="s">
        <v>2681</v>
      </c>
      <c r="E4643" s="1">
        <v>77</v>
      </c>
    </row>
    <row r="4644" spans="1:5" hidden="1" x14ac:dyDescent="0.25">
      <c r="A4644" s="115">
        <v>77.225999999999999</v>
      </c>
      <c r="B4644" s="115">
        <v>77.126000000000005</v>
      </c>
      <c r="C4644" s="1">
        <v>1260</v>
      </c>
      <c r="D4644" s="1" t="s">
        <v>2682</v>
      </c>
      <c r="E4644" s="1">
        <v>77</v>
      </c>
    </row>
    <row r="4645" spans="1:5" hidden="1" x14ac:dyDescent="0.25">
      <c r="A4645" s="115">
        <v>77.227000000000004</v>
      </c>
      <c r="B4645" s="115">
        <v>77.126999999999995</v>
      </c>
      <c r="C4645" s="1">
        <v>1270</v>
      </c>
      <c r="D4645" s="1" t="s">
        <v>2683</v>
      </c>
      <c r="E4645" s="1">
        <v>77</v>
      </c>
    </row>
    <row r="4646" spans="1:5" hidden="1" x14ac:dyDescent="0.25">
      <c r="A4646" s="115">
        <v>77.227999999999994</v>
      </c>
      <c r="B4646" s="115">
        <v>77.128</v>
      </c>
      <c r="C4646" s="1">
        <v>1280</v>
      </c>
      <c r="D4646" s="1" t="s">
        <v>2684</v>
      </c>
      <c r="E4646" s="1">
        <v>77</v>
      </c>
    </row>
    <row r="4647" spans="1:5" hidden="1" x14ac:dyDescent="0.25">
      <c r="A4647" s="115">
        <v>77.228999999999999</v>
      </c>
      <c r="B4647" s="115">
        <v>77.13</v>
      </c>
      <c r="C4647" s="1">
        <v>1300</v>
      </c>
      <c r="D4647" s="1" t="s">
        <v>2685</v>
      </c>
      <c r="E4647" s="1">
        <v>77</v>
      </c>
    </row>
    <row r="4648" spans="1:5" hidden="1" x14ac:dyDescent="0.25">
      <c r="A4648" s="115">
        <v>77.23</v>
      </c>
      <c r="B4648" s="115">
        <v>77.131</v>
      </c>
      <c r="C4648" s="1">
        <v>1310</v>
      </c>
      <c r="D4648" s="1" t="s">
        <v>2686</v>
      </c>
      <c r="E4648" s="1">
        <v>77</v>
      </c>
    </row>
    <row r="4649" spans="1:5" hidden="1" x14ac:dyDescent="0.25">
      <c r="A4649" s="115">
        <v>77.230999999999995</v>
      </c>
      <c r="B4649" s="115">
        <v>77.132000000000005</v>
      </c>
      <c r="C4649" s="1">
        <v>1320</v>
      </c>
      <c r="D4649" s="1" t="s">
        <v>2687</v>
      </c>
      <c r="E4649" s="1">
        <v>77</v>
      </c>
    </row>
    <row r="4650" spans="1:5" hidden="1" x14ac:dyDescent="0.25">
      <c r="A4650" s="115">
        <v>78.100999999999999</v>
      </c>
      <c r="B4650" s="115">
        <v>78.44</v>
      </c>
      <c r="C4650" s="1">
        <v>440</v>
      </c>
      <c r="D4650" s="1" t="s">
        <v>2602</v>
      </c>
      <c r="E4650" s="1">
        <v>78</v>
      </c>
    </row>
    <row r="4651" spans="1:5" hidden="1" x14ac:dyDescent="0.25">
      <c r="A4651" s="115">
        <v>79.100999999999999</v>
      </c>
      <c r="B4651" s="115">
        <v>0</v>
      </c>
      <c r="C4651" s="1">
        <v>0</v>
      </c>
      <c r="D4651" s="1" t="s">
        <v>2545</v>
      </c>
      <c r="E4651" s="1">
        <v>79</v>
      </c>
    </row>
    <row r="4652" spans="1:5" hidden="1" x14ac:dyDescent="0.25"/>
    <row r="4653" spans="1:5" hidden="1" x14ac:dyDescent="0.25">
      <c r="B4653" s="115" t="s">
        <v>2692</v>
      </c>
    </row>
    <row r="4654" spans="1:5" hidden="1" x14ac:dyDescent="0.25">
      <c r="B4654" s="115" t="s">
        <v>2693</v>
      </c>
    </row>
    <row r="4655" spans="1:5" hidden="1" x14ac:dyDescent="0.25">
      <c r="B4655" s="115" t="s">
        <v>2694</v>
      </c>
    </row>
    <row r="4656" spans="1:5" hidden="1" x14ac:dyDescent="0.25">
      <c r="B4656" s="115" t="s">
        <v>2695</v>
      </c>
    </row>
    <row r="4657" spans="2:2" hidden="1" x14ac:dyDescent="0.25">
      <c r="B4657" s="115" t="s">
        <v>2696</v>
      </c>
    </row>
    <row r="4658" spans="2:2" hidden="1" x14ac:dyDescent="0.25">
      <c r="B4658" s="115" t="s">
        <v>2697</v>
      </c>
    </row>
    <row r="4659" spans="2:2" hidden="1" x14ac:dyDescent="0.25">
      <c r="B4659" s="115" t="s">
        <v>2698</v>
      </c>
    </row>
    <row r="4660" spans="2:2" hidden="1" x14ac:dyDescent="0.25">
      <c r="B4660" s="115" t="s">
        <v>2699</v>
      </c>
    </row>
    <row r="4661" spans="2:2" hidden="1" x14ac:dyDescent="0.25">
      <c r="B4661" s="115" t="s">
        <v>2700</v>
      </c>
    </row>
    <row r="4662" spans="2:2" hidden="1" x14ac:dyDescent="0.25">
      <c r="B4662" s="115" t="s">
        <v>2701</v>
      </c>
    </row>
    <row r="4663" spans="2:2" hidden="1" x14ac:dyDescent="0.25">
      <c r="B4663" s="115" t="s">
        <v>2702</v>
      </c>
    </row>
    <row r="4664" spans="2:2" hidden="1" x14ac:dyDescent="0.25">
      <c r="B4664" s="115" t="s">
        <v>2703</v>
      </c>
    </row>
    <row r="4665" spans="2:2" hidden="1" x14ac:dyDescent="0.25">
      <c r="B4665" s="115" t="s">
        <v>2704</v>
      </c>
    </row>
    <row r="4666" spans="2:2" hidden="1" x14ac:dyDescent="0.25">
      <c r="B4666" s="115" t="s">
        <v>2705</v>
      </c>
    </row>
    <row r="4667" spans="2:2" hidden="1" x14ac:dyDescent="0.25">
      <c r="B4667" s="115" t="s">
        <v>2706</v>
      </c>
    </row>
    <row r="4668" spans="2:2" hidden="1" x14ac:dyDescent="0.25">
      <c r="B4668" s="115" t="s">
        <v>2707</v>
      </c>
    </row>
    <row r="4669" spans="2:2" hidden="1" x14ac:dyDescent="0.25">
      <c r="B4669" s="115" t="s">
        <v>2708</v>
      </c>
    </row>
    <row r="4670" spans="2:2" hidden="1" x14ac:dyDescent="0.25">
      <c r="B4670" s="115" t="s">
        <v>2709</v>
      </c>
    </row>
    <row r="4671" spans="2:2" hidden="1" x14ac:dyDescent="0.25">
      <c r="B4671" s="115" t="s">
        <v>2710</v>
      </c>
    </row>
    <row r="4672" spans="2:2" hidden="1" x14ac:dyDescent="0.25">
      <c r="B4672" s="115" t="s">
        <v>1095</v>
      </c>
    </row>
    <row r="4673" spans="2:2" hidden="1" x14ac:dyDescent="0.25">
      <c r="B4673" s="115" t="s">
        <v>2711</v>
      </c>
    </row>
    <row r="4674" spans="2:2" hidden="1" x14ac:dyDescent="0.25">
      <c r="B4674" s="115" t="s">
        <v>2712</v>
      </c>
    </row>
    <row r="4675" spans="2:2" hidden="1" x14ac:dyDescent="0.25">
      <c r="B4675" s="115" t="s">
        <v>2713</v>
      </c>
    </row>
    <row r="4676" spans="2:2" hidden="1" x14ac:dyDescent="0.25">
      <c r="B4676" s="115" t="s">
        <v>2714</v>
      </c>
    </row>
    <row r="4677" spans="2:2" hidden="1" x14ac:dyDescent="0.25">
      <c r="B4677" s="115" t="s">
        <v>2715</v>
      </c>
    </row>
    <row r="4678" spans="2:2" hidden="1" x14ac:dyDescent="0.25">
      <c r="B4678" s="115" t="s">
        <v>2716</v>
      </c>
    </row>
    <row r="4679" spans="2:2" hidden="1" x14ac:dyDescent="0.25">
      <c r="B4679" s="115" t="s">
        <v>1465</v>
      </c>
    </row>
    <row r="4680" spans="2:2" hidden="1" x14ac:dyDescent="0.25">
      <c r="B4680" s="115" t="s">
        <v>2717</v>
      </c>
    </row>
    <row r="4681" spans="2:2" hidden="1" x14ac:dyDescent="0.25">
      <c r="B4681" s="115" t="s">
        <v>2718</v>
      </c>
    </row>
    <row r="4682" spans="2:2" hidden="1" x14ac:dyDescent="0.25">
      <c r="B4682" s="115" t="s">
        <v>2719</v>
      </c>
    </row>
    <row r="4683" spans="2:2" hidden="1" x14ac:dyDescent="0.25">
      <c r="B4683" s="115" t="s">
        <v>2720</v>
      </c>
    </row>
    <row r="4684" spans="2:2" hidden="1" x14ac:dyDescent="0.25">
      <c r="B4684" s="115" t="s">
        <v>2721</v>
      </c>
    </row>
    <row r="4685" spans="2:2" hidden="1" x14ac:dyDescent="0.25">
      <c r="B4685" s="115" t="s">
        <v>2722</v>
      </c>
    </row>
    <row r="4686" spans="2:2" hidden="1" x14ac:dyDescent="0.25">
      <c r="B4686" s="115" t="s">
        <v>2723</v>
      </c>
    </row>
    <row r="4687" spans="2:2" hidden="1" x14ac:dyDescent="0.25">
      <c r="B4687" s="115" t="s">
        <v>2724</v>
      </c>
    </row>
    <row r="4688" spans="2:2" hidden="1" x14ac:dyDescent="0.25">
      <c r="B4688" s="115" t="s">
        <v>2725</v>
      </c>
    </row>
    <row r="4689" spans="2:2" hidden="1" x14ac:dyDescent="0.25">
      <c r="B4689" s="115" t="s">
        <v>2726</v>
      </c>
    </row>
    <row r="4690" spans="2:2" hidden="1" x14ac:dyDescent="0.25">
      <c r="B4690" s="115" t="s">
        <v>2727</v>
      </c>
    </row>
    <row r="4691" spans="2:2" hidden="1" x14ac:dyDescent="0.25">
      <c r="B4691" s="115" t="s">
        <v>2728</v>
      </c>
    </row>
    <row r="4692" spans="2:2" hidden="1" x14ac:dyDescent="0.25">
      <c r="B4692" s="115" t="s">
        <v>2729</v>
      </c>
    </row>
    <row r="4693" spans="2:2" hidden="1" x14ac:dyDescent="0.25">
      <c r="B4693" s="115" t="s">
        <v>2730</v>
      </c>
    </row>
    <row r="4694" spans="2:2" hidden="1" x14ac:dyDescent="0.25">
      <c r="B4694" s="115" t="s">
        <v>2731</v>
      </c>
    </row>
    <row r="4695" spans="2:2" hidden="1" x14ac:dyDescent="0.25">
      <c r="B4695" s="115" t="s">
        <v>2732</v>
      </c>
    </row>
    <row r="4696" spans="2:2" hidden="1" x14ac:dyDescent="0.25">
      <c r="B4696" s="115" t="s">
        <v>2733</v>
      </c>
    </row>
    <row r="4697" spans="2:2" hidden="1" x14ac:dyDescent="0.25">
      <c r="B4697" s="115" t="s">
        <v>2734</v>
      </c>
    </row>
    <row r="4698" spans="2:2" hidden="1" x14ac:dyDescent="0.25">
      <c r="B4698" s="115" t="s">
        <v>2735</v>
      </c>
    </row>
    <row r="4699" spans="2:2" hidden="1" x14ac:dyDescent="0.25">
      <c r="B4699" s="115" t="s">
        <v>2736</v>
      </c>
    </row>
    <row r="4700" spans="2:2" hidden="1" x14ac:dyDescent="0.25">
      <c r="B4700" s="115" t="s">
        <v>2737</v>
      </c>
    </row>
    <row r="4701" spans="2:2" hidden="1" x14ac:dyDescent="0.25">
      <c r="B4701" s="115" t="s">
        <v>2738</v>
      </c>
    </row>
    <row r="4702" spans="2:2" hidden="1" x14ac:dyDescent="0.25">
      <c r="B4702" s="115" t="s">
        <v>2739</v>
      </c>
    </row>
    <row r="4703" spans="2:2" hidden="1" x14ac:dyDescent="0.25">
      <c r="B4703" s="115" t="s">
        <v>2740</v>
      </c>
    </row>
    <row r="4704" spans="2:2" hidden="1" x14ac:dyDescent="0.25">
      <c r="B4704" s="115" t="s">
        <v>2741</v>
      </c>
    </row>
    <row r="4705" spans="2:2" hidden="1" x14ac:dyDescent="0.25">
      <c r="B4705" s="115" t="s">
        <v>2742</v>
      </c>
    </row>
    <row r="4706" spans="2:2" hidden="1" x14ac:dyDescent="0.25">
      <c r="B4706" s="115" t="s">
        <v>2743</v>
      </c>
    </row>
    <row r="4707" spans="2:2" hidden="1" x14ac:dyDescent="0.25">
      <c r="B4707" s="115" t="s">
        <v>2744</v>
      </c>
    </row>
    <row r="4708" spans="2:2" hidden="1" x14ac:dyDescent="0.25">
      <c r="B4708" s="115" t="s">
        <v>2745</v>
      </c>
    </row>
    <row r="4709" spans="2:2" hidden="1" x14ac:dyDescent="0.25">
      <c r="B4709" s="115" t="s">
        <v>2746</v>
      </c>
    </row>
    <row r="4710" spans="2:2" hidden="1" x14ac:dyDescent="0.25">
      <c r="B4710" s="115" t="s">
        <v>2747</v>
      </c>
    </row>
    <row r="4711" spans="2:2" hidden="1" x14ac:dyDescent="0.25">
      <c r="B4711" s="115" t="s">
        <v>2748</v>
      </c>
    </row>
    <row r="4712" spans="2:2" hidden="1" x14ac:dyDescent="0.25">
      <c r="B4712" s="115" t="s">
        <v>2749</v>
      </c>
    </row>
    <row r="4713" spans="2:2" hidden="1" x14ac:dyDescent="0.25">
      <c r="B4713" s="115" t="s">
        <v>2750</v>
      </c>
    </row>
    <row r="4714" spans="2:2" hidden="1" x14ac:dyDescent="0.25">
      <c r="B4714" s="115" t="s">
        <v>2751</v>
      </c>
    </row>
    <row r="4715" spans="2:2" hidden="1" x14ac:dyDescent="0.25">
      <c r="B4715" s="115" t="s">
        <v>2752</v>
      </c>
    </row>
    <row r="4716" spans="2:2" hidden="1" x14ac:dyDescent="0.25">
      <c r="B4716" s="115" t="s">
        <v>2753</v>
      </c>
    </row>
    <row r="4717" spans="2:2" hidden="1" x14ac:dyDescent="0.25">
      <c r="B4717" s="115" t="s">
        <v>2754</v>
      </c>
    </row>
    <row r="4718" spans="2:2" hidden="1" x14ac:dyDescent="0.25">
      <c r="B4718" s="115" t="s">
        <v>2755</v>
      </c>
    </row>
    <row r="4719" spans="2:2" hidden="1" x14ac:dyDescent="0.25">
      <c r="B4719" s="115" t="s">
        <v>2756</v>
      </c>
    </row>
    <row r="4720" spans="2:2" hidden="1" x14ac:dyDescent="0.25">
      <c r="B4720" s="115" t="s">
        <v>2757</v>
      </c>
    </row>
    <row r="4721" spans="2:2" hidden="1" x14ac:dyDescent="0.25">
      <c r="B4721" s="115" t="s">
        <v>2758</v>
      </c>
    </row>
    <row r="4722" spans="2:2" hidden="1" x14ac:dyDescent="0.25">
      <c r="B4722" s="115" t="s">
        <v>2759</v>
      </c>
    </row>
    <row r="4723" spans="2:2" hidden="1" x14ac:dyDescent="0.25">
      <c r="B4723" s="115" t="s">
        <v>2760</v>
      </c>
    </row>
    <row r="4724" spans="2:2" hidden="1" x14ac:dyDescent="0.25">
      <c r="B4724" s="115" t="s">
        <v>2761</v>
      </c>
    </row>
    <row r="4725" spans="2:2" hidden="1" x14ac:dyDescent="0.25">
      <c r="B4725" s="115" t="s">
        <v>2762</v>
      </c>
    </row>
    <row r="4726" spans="2:2" hidden="1" x14ac:dyDescent="0.25">
      <c r="B4726" s="115" t="s">
        <v>2763</v>
      </c>
    </row>
    <row r="4727" spans="2:2" hidden="1" x14ac:dyDescent="0.25">
      <c r="B4727" s="115" t="s">
        <v>2764</v>
      </c>
    </row>
    <row r="4728" spans="2:2" hidden="1" x14ac:dyDescent="0.25">
      <c r="B4728" s="115" t="s">
        <v>2765</v>
      </c>
    </row>
    <row r="4729" spans="2:2" hidden="1" x14ac:dyDescent="0.25">
      <c r="B4729" s="115" t="s">
        <v>2766</v>
      </c>
    </row>
    <row r="4730" spans="2:2" hidden="1" x14ac:dyDescent="0.25">
      <c r="B4730" s="115" t="s">
        <v>2767</v>
      </c>
    </row>
    <row r="4731" spans="2:2" hidden="1" x14ac:dyDescent="0.25"/>
    <row r="4732" spans="2:2" hidden="1" x14ac:dyDescent="0.25"/>
    <row r="4733" spans="2:2" hidden="1" x14ac:dyDescent="0.25"/>
    <row r="4734" spans="2:2" hidden="1" x14ac:dyDescent="0.25"/>
    <row r="4735" spans="2:2" hidden="1" x14ac:dyDescent="0.25"/>
    <row r="4736" spans="2:2" hidden="1" x14ac:dyDescent="0.25"/>
    <row r="4737" s="1" customFormat="1" hidden="1" x14ac:dyDescent="0.25"/>
    <row r="4738" s="1" customFormat="1" hidden="1" x14ac:dyDescent="0.25"/>
    <row r="4739" s="1" customFormat="1" hidden="1" x14ac:dyDescent="0.25"/>
    <row r="4740" s="1" customFormat="1" hidden="1" x14ac:dyDescent="0.25"/>
    <row r="4741" s="1" customFormat="1" hidden="1" x14ac:dyDescent="0.25"/>
    <row r="4742" s="1" customFormat="1" hidden="1" x14ac:dyDescent="0.25"/>
    <row r="4743" s="1" customFormat="1" hidden="1" x14ac:dyDescent="0.25"/>
    <row r="4744" s="1" customFormat="1" hidden="1" x14ac:dyDescent="0.25"/>
    <row r="4745" s="1" customFormat="1" hidden="1" x14ac:dyDescent="0.25"/>
    <row r="4746" s="1" customFormat="1" hidden="1" x14ac:dyDescent="0.25"/>
    <row r="4747" s="1" customFormat="1" hidden="1" x14ac:dyDescent="0.25"/>
    <row r="4748" s="1" customFormat="1" hidden="1" x14ac:dyDescent="0.25"/>
    <row r="4749" s="1" customFormat="1" hidden="1" x14ac:dyDescent="0.25"/>
    <row r="4750" s="1" customFormat="1" hidden="1" x14ac:dyDescent="0.25"/>
    <row r="4751" s="1" customFormat="1" hidden="1" x14ac:dyDescent="0.25"/>
    <row r="4752" s="1" customFormat="1" hidden="1" x14ac:dyDescent="0.25"/>
    <row r="4753" s="1" customFormat="1" hidden="1" x14ac:dyDescent="0.25"/>
    <row r="4754" s="1" customFormat="1" hidden="1" x14ac:dyDescent="0.25"/>
    <row r="4755" s="1" customFormat="1" hidden="1" x14ac:dyDescent="0.25"/>
    <row r="4756" s="1" customFormat="1" hidden="1" x14ac:dyDescent="0.25"/>
    <row r="4757" s="1" customFormat="1" hidden="1" x14ac:dyDescent="0.25"/>
    <row r="4758" s="1" customFormat="1" hidden="1" x14ac:dyDescent="0.25"/>
    <row r="4759" s="1" customFormat="1" hidden="1" x14ac:dyDescent="0.25"/>
    <row r="4760" s="1" customFormat="1" hidden="1" x14ac:dyDescent="0.25"/>
    <row r="4761" s="1" customFormat="1" hidden="1" x14ac:dyDescent="0.25"/>
    <row r="4762" s="1" customFormat="1" hidden="1" x14ac:dyDescent="0.25"/>
    <row r="4763" s="1" customFormat="1" hidden="1" x14ac:dyDescent="0.25"/>
    <row r="4764" s="1" customFormat="1" hidden="1" x14ac:dyDescent="0.25"/>
    <row r="4765" s="1" customFormat="1" hidden="1" x14ac:dyDescent="0.25"/>
    <row r="4766" s="1" customFormat="1" hidden="1" x14ac:dyDescent="0.25"/>
    <row r="4767" s="1" customFormat="1" hidden="1" x14ac:dyDescent="0.25"/>
    <row r="4768" s="1" customFormat="1" hidden="1" x14ac:dyDescent="0.25"/>
    <row r="4769" s="1" customFormat="1" hidden="1" x14ac:dyDescent="0.25"/>
    <row r="4770" s="1" customFormat="1" hidden="1" x14ac:dyDescent="0.25"/>
    <row r="4771" s="1" customFormat="1" hidden="1" x14ac:dyDescent="0.25"/>
    <row r="4772" s="1" customFormat="1" hidden="1" x14ac:dyDescent="0.25"/>
    <row r="4773" s="1" customFormat="1" hidden="1" x14ac:dyDescent="0.25"/>
    <row r="4774" s="1" customFormat="1" hidden="1" x14ac:dyDescent="0.25"/>
    <row r="4775" s="1" customFormat="1" hidden="1" x14ac:dyDescent="0.25"/>
    <row r="4776" s="1" customFormat="1" hidden="1" x14ac:dyDescent="0.25"/>
    <row r="4777" s="1" customFormat="1" hidden="1" x14ac:dyDescent="0.25"/>
    <row r="4778" s="1" customFormat="1" hidden="1" x14ac:dyDescent="0.25"/>
    <row r="4779" s="1" customFormat="1" hidden="1" x14ac:dyDescent="0.25"/>
    <row r="4780" s="1" customFormat="1" hidden="1" x14ac:dyDescent="0.25"/>
    <row r="4781" s="1" customFormat="1" hidden="1" x14ac:dyDescent="0.25"/>
    <row r="4782" s="1" customFormat="1" hidden="1" x14ac:dyDescent="0.25"/>
    <row r="4783" s="1" customFormat="1" hidden="1" x14ac:dyDescent="0.25"/>
    <row r="4784" s="1" customFormat="1" hidden="1" x14ac:dyDescent="0.25"/>
    <row r="4785" s="1" customFormat="1" hidden="1" x14ac:dyDescent="0.25"/>
    <row r="4786" s="1" customFormat="1" hidden="1" x14ac:dyDescent="0.25"/>
    <row r="4787" s="1" customFormat="1" hidden="1" x14ac:dyDescent="0.25"/>
    <row r="4788" s="1" customFormat="1" hidden="1" x14ac:dyDescent="0.25"/>
    <row r="4789" s="1" customFormat="1" hidden="1" x14ac:dyDescent="0.25"/>
    <row r="4790" s="1" customFormat="1" hidden="1" x14ac:dyDescent="0.25"/>
    <row r="4791" s="1" customFormat="1" hidden="1" x14ac:dyDescent="0.25"/>
    <row r="4792" s="1" customFormat="1" hidden="1" x14ac:dyDescent="0.25"/>
    <row r="4793" s="1" customFormat="1" hidden="1" x14ac:dyDescent="0.25"/>
    <row r="4794" s="1" customFormat="1" hidden="1" x14ac:dyDescent="0.25"/>
    <row r="4795" s="1" customFormat="1" hidden="1" x14ac:dyDescent="0.25"/>
    <row r="4796" s="1" customFormat="1" hidden="1" x14ac:dyDescent="0.25"/>
    <row r="4797" s="1" customFormat="1" hidden="1" x14ac:dyDescent="0.25"/>
    <row r="4798" s="1" customFormat="1" hidden="1" x14ac:dyDescent="0.25"/>
    <row r="4799" s="1" customFormat="1" hidden="1" x14ac:dyDescent="0.25"/>
    <row r="4800" s="1" customFormat="1" hidden="1" x14ac:dyDescent="0.25"/>
    <row r="4801" s="1" customFormat="1" hidden="1" x14ac:dyDescent="0.25"/>
    <row r="4802" s="1" customFormat="1" hidden="1" x14ac:dyDescent="0.25"/>
    <row r="4803" s="1" customFormat="1" hidden="1" x14ac:dyDescent="0.25"/>
    <row r="4804" s="1" customFormat="1" hidden="1" x14ac:dyDescent="0.25"/>
    <row r="4805" s="1" customFormat="1" hidden="1" x14ac:dyDescent="0.25"/>
    <row r="4806" s="1" customFormat="1" hidden="1" x14ac:dyDescent="0.25"/>
    <row r="4807" s="1" customFormat="1" hidden="1" x14ac:dyDescent="0.25"/>
    <row r="4808" s="1" customFormat="1" hidden="1" x14ac:dyDescent="0.25"/>
    <row r="4809" s="1" customFormat="1" hidden="1" x14ac:dyDescent="0.25"/>
    <row r="4810" s="1" customFormat="1" hidden="1" x14ac:dyDescent="0.25"/>
    <row r="4811" s="1" customFormat="1" hidden="1" x14ac:dyDescent="0.25"/>
    <row r="4812" s="1" customFormat="1" hidden="1" x14ac:dyDescent="0.25"/>
    <row r="4813" s="1" customFormat="1" hidden="1" x14ac:dyDescent="0.25"/>
    <row r="4814" s="1" customFormat="1" hidden="1" x14ac:dyDescent="0.25"/>
    <row r="4815" s="1" customFormat="1" hidden="1" x14ac:dyDescent="0.25"/>
    <row r="4816" s="1" customFormat="1" hidden="1" x14ac:dyDescent="0.25"/>
    <row r="4817" s="1" customFormat="1" hidden="1" x14ac:dyDescent="0.25"/>
    <row r="4818" s="1" customFormat="1" hidden="1" x14ac:dyDescent="0.25"/>
    <row r="4819" s="1" customFormat="1" hidden="1" x14ac:dyDescent="0.25"/>
    <row r="4820" s="1" customFormat="1" hidden="1" x14ac:dyDescent="0.25"/>
    <row r="4821" s="1" customFormat="1" hidden="1" x14ac:dyDescent="0.25"/>
    <row r="4822" s="1" customFormat="1" hidden="1" x14ac:dyDescent="0.25"/>
    <row r="4823" s="1" customFormat="1" hidden="1" x14ac:dyDescent="0.25"/>
    <row r="4824" s="1" customFormat="1" hidden="1" x14ac:dyDescent="0.25"/>
    <row r="4825" s="1" customFormat="1" hidden="1" x14ac:dyDescent="0.25"/>
    <row r="4826" s="1" customFormat="1" hidden="1" x14ac:dyDescent="0.25"/>
    <row r="4827" s="1" customFormat="1" hidden="1" x14ac:dyDescent="0.25"/>
    <row r="4828" s="1" customFormat="1" hidden="1" x14ac:dyDescent="0.25"/>
    <row r="4829" s="1" customFormat="1" hidden="1" x14ac:dyDescent="0.25"/>
    <row r="4830" s="1" customFormat="1" hidden="1" x14ac:dyDescent="0.25"/>
    <row r="4831" s="1" customFormat="1" hidden="1" x14ac:dyDescent="0.25"/>
    <row r="4832" s="1" customFormat="1" hidden="1" x14ac:dyDescent="0.25"/>
    <row r="4833" s="1" customFormat="1" hidden="1" x14ac:dyDescent="0.25"/>
    <row r="4834" s="1" customFormat="1" hidden="1" x14ac:dyDescent="0.25"/>
    <row r="4835" s="1" customFormat="1" hidden="1" x14ac:dyDescent="0.25"/>
    <row r="4836" s="1" customFormat="1" hidden="1" x14ac:dyDescent="0.25"/>
    <row r="4837" s="1" customFormat="1" hidden="1" x14ac:dyDescent="0.25"/>
    <row r="4838" s="1" customFormat="1" hidden="1" x14ac:dyDescent="0.25"/>
    <row r="4839" s="1" customFormat="1" hidden="1" x14ac:dyDescent="0.25"/>
    <row r="4840" s="1" customFormat="1" hidden="1" x14ac:dyDescent="0.25"/>
    <row r="4841" s="1" customFormat="1" hidden="1" x14ac:dyDescent="0.25"/>
    <row r="4842" s="1" customFormat="1" hidden="1" x14ac:dyDescent="0.25"/>
    <row r="4843" s="1" customFormat="1" hidden="1" x14ac:dyDescent="0.25"/>
    <row r="4844" s="1" customFormat="1" hidden="1" x14ac:dyDescent="0.25"/>
    <row r="4845" s="1" customFormat="1" hidden="1" x14ac:dyDescent="0.25"/>
    <row r="4846" s="1" customFormat="1" hidden="1" x14ac:dyDescent="0.25"/>
    <row r="4847" s="1" customFormat="1" hidden="1" x14ac:dyDescent="0.25"/>
    <row r="4848" s="1" customFormat="1" hidden="1" x14ac:dyDescent="0.25"/>
    <row r="4849" s="1" customFormat="1" hidden="1" x14ac:dyDescent="0.25"/>
    <row r="4850" s="1" customFormat="1" hidden="1" x14ac:dyDescent="0.25"/>
    <row r="4851" s="1" customFormat="1" hidden="1" x14ac:dyDescent="0.25"/>
    <row r="4852" s="1" customFormat="1" hidden="1" x14ac:dyDescent="0.25"/>
    <row r="4853" s="1" customFormat="1" hidden="1" x14ac:dyDescent="0.25"/>
    <row r="4854" s="1" customFormat="1" hidden="1" x14ac:dyDescent="0.25"/>
    <row r="4855" s="1" customFormat="1" hidden="1" x14ac:dyDescent="0.25"/>
    <row r="4856" s="1" customFormat="1" hidden="1" x14ac:dyDescent="0.25"/>
    <row r="4857" s="1" customFormat="1" hidden="1" x14ac:dyDescent="0.25"/>
    <row r="4858" s="1" customFormat="1" hidden="1" x14ac:dyDescent="0.25"/>
    <row r="4859" s="1" customFormat="1" hidden="1" x14ac:dyDescent="0.25"/>
    <row r="4860" s="1" customFormat="1" hidden="1" x14ac:dyDescent="0.25"/>
    <row r="4861" s="1" customFormat="1" hidden="1" x14ac:dyDescent="0.25"/>
    <row r="4862" s="1" customFormat="1" hidden="1" x14ac:dyDescent="0.25"/>
    <row r="4863" s="1" customFormat="1" hidden="1" x14ac:dyDescent="0.25"/>
    <row r="4864" s="1" customFormat="1" hidden="1" x14ac:dyDescent="0.25"/>
    <row r="4865" s="1" customFormat="1" hidden="1" x14ac:dyDescent="0.25"/>
    <row r="4866" s="1" customFormat="1" hidden="1" x14ac:dyDescent="0.25"/>
    <row r="4867" s="1" customFormat="1" hidden="1" x14ac:dyDescent="0.25"/>
    <row r="4868" s="1" customFormat="1" hidden="1" x14ac:dyDescent="0.25"/>
    <row r="4869" s="1" customFormat="1" hidden="1" x14ac:dyDescent="0.25"/>
    <row r="4870" s="1" customFormat="1" hidden="1" x14ac:dyDescent="0.25"/>
    <row r="4871" s="1" customFormat="1" hidden="1" x14ac:dyDescent="0.25"/>
    <row r="4872" s="1" customFormat="1" hidden="1" x14ac:dyDescent="0.25"/>
    <row r="4873" s="1" customFormat="1" hidden="1" x14ac:dyDescent="0.25"/>
    <row r="4874" s="1" customFormat="1" hidden="1" x14ac:dyDescent="0.25"/>
    <row r="4875" s="1" customFormat="1" hidden="1" x14ac:dyDescent="0.25"/>
    <row r="4876" s="1" customFormat="1" hidden="1" x14ac:dyDescent="0.25"/>
    <row r="4877" s="1" customFormat="1" hidden="1" x14ac:dyDescent="0.25"/>
    <row r="4878" s="1" customFormat="1" hidden="1" x14ac:dyDescent="0.25"/>
    <row r="4879" s="1" customFormat="1" hidden="1" x14ac:dyDescent="0.25"/>
    <row r="4880" s="1" customFormat="1" hidden="1" x14ac:dyDescent="0.25"/>
    <row r="4881" s="1" customFormat="1" hidden="1" x14ac:dyDescent="0.25"/>
    <row r="4882" s="1" customFormat="1" hidden="1" x14ac:dyDescent="0.25"/>
    <row r="4883" s="1" customFormat="1" hidden="1" x14ac:dyDescent="0.25"/>
    <row r="4884" s="1" customFormat="1" hidden="1" x14ac:dyDescent="0.25"/>
    <row r="4885" s="1" customFormat="1" hidden="1" x14ac:dyDescent="0.25"/>
    <row r="4886" s="1" customFormat="1" hidden="1" x14ac:dyDescent="0.25"/>
    <row r="4887" s="1" customFormat="1" hidden="1" x14ac:dyDescent="0.25"/>
    <row r="4888" s="1" customFormat="1" hidden="1" x14ac:dyDescent="0.25"/>
    <row r="4889" s="1" customFormat="1" hidden="1" x14ac:dyDescent="0.25"/>
    <row r="4890" s="1" customFormat="1" hidden="1" x14ac:dyDescent="0.25"/>
    <row r="4891" s="1" customFormat="1" hidden="1" x14ac:dyDescent="0.25"/>
    <row r="4892" s="1" customFormat="1" hidden="1" x14ac:dyDescent="0.25"/>
    <row r="4893" s="1" customFormat="1" hidden="1" x14ac:dyDescent="0.25"/>
    <row r="4894" s="1" customFormat="1" hidden="1" x14ac:dyDescent="0.25"/>
    <row r="4895" s="1" customFormat="1" hidden="1" x14ac:dyDescent="0.25"/>
    <row r="4896" s="1" customFormat="1" hidden="1" x14ac:dyDescent="0.25"/>
    <row r="4897" s="1" customFormat="1" hidden="1" x14ac:dyDescent="0.25"/>
    <row r="4898" s="1" customFormat="1" hidden="1" x14ac:dyDescent="0.25"/>
    <row r="4899" s="1" customFormat="1" hidden="1" x14ac:dyDescent="0.25"/>
    <row r="4900" s="1" customFormat="1" hidden="1" x14ac:dyDescent="0.25"/>
    <row r="4901" s="1" customFormat="1" hidden="1" x14ac:dyDescent="0.25"/>
    <row r="4902" s="1" customFormat="1" hidden="1" x14ac:dyDescent="0.25"/>
    <row r="4903" s="1" customFormat="1" hidden="1" x14ac:dyDescent="0.25"/>
    <row r="4904" s="1" customFormat="1" hidden="1" x14ac:dyDescent="0.25"/>
    <row r="4905" s="1" customFormat="1" hidden="1" x14ac:dyDescent="0.25"/>
    <row r="4906" s="1" customFormat="1" hidden="1" x14ac:dyDescent="0.25"/>
    <row r="4907" s="1" customFormat="1" hidden="1" x14ac:dyDescent="0.25"/>
    <row r="4908" s="1" customFormat="1" hidden="1" x14ac:dyDescent="0.25"/>
    <row r="4909" s="1" customFormat="1" hidden="1" x14ac:dyDescent="0.25"/>
    <row r="4910" s="1" customFormat="1" hidden="1" x14ac:dyDescent="0.25"/>
    <row r="4911" s="1" customFormat="1" hidden="1" x14ac:dyDescent="0.25"/>
    <row r="4912" s="1" customFormat="1" hidden="1" x14ac:dyDescent="0.25"/>
    <row r="4913" s="1" customFormat="1" hidden="1" x14ac:dyDescent="0.25"/>
    <row r="4914" s="1" customFormat="1" hidden="1" x14ac:dyDescent="0.25"/>
    <row r="4915" s="1" customFormat="1" hidden="1" x14ac:dyDescent="0.25"/>
    <row r="4916" s="1" customFormat="1" hidden="1" x14ac:dyDescent="0.25"/>
    <row r="4917" s="1" customFormat="1" hidden="1" x14ac:dyDescent="0.25"/>
    <row r="4918" s="1" customFormat="1" hidden="1" x14ac:dyDescent="0.25"/>
    <row r="4919" s="1" customFormat="1" hidden="1" x14ac:dyDescent="0.25"/>
    <row r="4920" s="1" customFormat="1" hidden="1" x14ac:dyDescent="0.25"/>
    <row r="4921" s="1" customFormat="1" hidden="1" x14ac:dyDescent="0.25"/>
    <row r="4922" s="1" customFormat="1" hidden="1" x14ac:dyDescent="0.25"/>
    <row r="4923" s="1" customFormat="1" hidden="1" x14ac:dyDescent="0.25"/>
    <row r="4924" s="1" customFormat="1" hidden="1" x14ac:dyDescent="0.25"/>
    <row r="4925" s="1" customFormat="1" hidden="1" x14ac:dyDescent="0.25"/>
    <row r="4926" s="1" customFormat="1" hidden="1" x14ac:dyDescent="0.25"/>
    <row r="4927" s="1" customFormat="1" hidden="1" x14ac:dyDescent="0.25"/>
    <row r="4928" s="1" customFormat="1" hidden="1" x14ac:dyDescent="0.25"/>
    <row r="4929" s="1" customFormat="1" hidden="1" x14ac:dyDescent="0.25"/>
    <row r="4930" s="1" customFormat="1" hidden="1" x14ac:dyDescent="0.25"/>
    <row r="4931" s="1" customFormat="1" hidden="1" x14ac:dyDescent="0.25"/>
    <row r="4932" s="1" customFormat="1" hidden="1" x14ac:dyDescent="0.25"/>
    <row r="4933" s="1" customFormat="1" hidden="1" x14ac:dyDescent="0.25"/>
    <row r="4934" s="1" customFormat="1" hidden="1" x14ac:dyDescent="0.25"/>
    <row r="4935" s="1" customFormat="1" hidden="1" x14ac:dyDescent="0.25"/>
    <row r="4936" s="1" customFormat="1" hidden="1" x14ac:dyDescent="0.25"/>
    <row r="4937" s="1" customFormat="1" hidden="1" x14ac:dyDescent="0.25"/>
    <row r="4938" s="1" customFormat="1" hidden="1" x14ac:dyDescent="0.25"/>
    <row r="4939" s="1" customFormat="1" hidden="1" x14ac:dyDescent="0.25"/>
    <row r="4940" s="1" customFormat="1" hidden="1" x14ac:dyDescent="0.25"/>
    <row r="4941" s="1" customFormat="1" hidden="1" x14ac:dyDescent="0.25"/>
    <row r="4942" s="1" customFormat="1" hidden="1" x14ac:dyDescent="0.25"/>
    <row r="4943" s="1" customFormat="1" hidden="1" x14ac:dyDescent="0.25"/>
    <row r="4944" s="1" customFormat="1" hidden="1" x14ac:dyDescent="0.25"/>
    <row r="4945" s="1" customFormat="1" hidden="1" x14ac:dyDescent="0.25"/>
    <row r="4946" s="1" customFormat="1" hidden="1" x14ac:dyDescent="0.25"/>
    <row r="4947" s="1" customFormat="1" hidden="1" x14ac:dyDescent="0.25"/>
    <row r="4948" s="1" customFormat="1" hidden="1" x14ac:dyDescent="0.25"/>
    <row r="4949" s="1" customFormat="1" hidden="1" x14ac:dyDescent="0.25"/>
    <row r="4950" s="1" customFormat="1" hidden="1" x14ac:dyDescent="0.25"/>
    <row r="4951" s="1" customFormat="1" hidden="1" x14ac:dyDescent="0.25"/>
    <row r="4952" s="1" customFormat="1" hidden="1" x14ac:dyDescent="0.25"/>
    <row r="4953" s="1" customFormat="1" hidden="1" x14ac:dyDescent="0.25"/>
    <row r="4954" s="1" customFormat="1" hidden="1" x14ac:dyDescent="0.25"/>
    <row r="4955" s="1" customFormat="1" hidden="1" x14ac:dyDescent="0.25"/>
    <row r="4956" s="1" customFormat="1" hidden="1" x14ac:dyDescent="0.25"/>
    <row r="4957" s="1" customFormat="1" hidden="1" x14ac:dyDescent="0.25"/>
    <row r="4958" s="1" customFormat="1" hidden="1" x14ac:dyDescent="0.25"/>
    <row r="4959" s="1" customFormat="1" hidden="1" x14ac:dyDescent="0.25"/>
    <row r="4960" s="1" customFormat="1" hidden="1" x14ac:dyDescent="0.25"/>
    <row r="4961" s="1" customFormat="1" hidden="1" x14ac:dyDescent="0.25"/>
    <row r="4962" s="1" customFormat="1" hidden="1" x14ac:dyDescent="0.25"/>
    <row r="4963" s="1" customFormat="1" hidden="1" x14ac:dyDescent="0.25"/>
    <row r="4964" s="1" customFormat="1" hidden="1" x14ac:dyDescent="0.25"/>
    <row r="4965" s="1" customFormat="1" hidden="1" x14ac:dyDescent="0.25"/>
    <row r="4966" s="1" customFormat="1" hidden="1" x14ac:dyDescent="0.25"/>
    <row r="4967" s="1" customFormat="1" hidden="1" x14ac:dyDescent="0.25"/>
    <row r="4968" s="1" customFormat="1" hidden="1" x14ac:dyDescent="0.25"/>
    <row r="4969" s="1" customFormat="1" hidden="1" x14ac:dyDescent="0.25"/>
    <row r="4970" s="1" customFormat="1" hidden="1" x14ac:dyDescent="0.25"/>
    <row r="4971" s="1" customFormat="1" hidden="1" x14ac:dyDescent="0.25"/>
    <row r="4972" s="1" customFormat="1" hidden="1" x14ac:dyDescent="0.25"/>
    <row r="4973" s="1" customFormat="1" hidden="1" x14ac:dyDescent="0.25"/>
    <row r="4974" s="1" customFormat="1" hidden="1" x14ac:dyDescent="0.25"/>
    <row r="4975" s="1" customFormat="1" hidden="1" x14ac:dyDescent="0.25"/>
    <row r="4976" s="1" customFormat="1" hidden="1" x14ac:dyDescent="0.25"/>
    <row r="4977" s="1" customFormat="1" hidden="1" x14ac:dyDescent="0.25"/>
    <row r="4978" s="1" customFormat="1" hidden="1" x14ac:dyDescent="0.25"/>
    <row r="4979" s="1" customFormat="1" hidden="1" x14ac:dyDescent="0.25"/>
    <row r="4980" s="1" customFormat="1" hidden="1" x14ac:dyDescent="0.25"/>
    <row r="4981" s="1" customFormat="1" hidden="1" x14ac:dyDescent="0.25"/>
  </sheetData>
  <sheetProtection password="D657" sheet="1" objects="1" scenarios="1"/>
  <sortState xmlns:xlrd2="http://schemas.microsoft.com/office/spreadsheetml/2017/richdata2" ref="C10:F4658">
    <sortCondition ref="E10:E4658"/>
  </sortState>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0"/>
  <dimension ref="A1:G1298"/>
  <sheetViews>
    <sheetView topLeftCell="A1299" workbookViewId="0">
      <selection sqref="A1:XFD1298"/>
    </sheetView>
  </sheetViews>
  <sheetFormatPr baseColWidth="10" defaultColWidth="11.44140625" defaultRowHeight="12" x14ac:dyDescent="0.25"/>
  <cols>
    <col min="1" max="1" width="11.44140625" style="1"/>
    <col min="2" max="2" width="7.44140625" style="1" bestFit="1" customWidth="1"/>
    <col min="3" max="3" width="72.33203125" style="1" customWidth="1"/>
    <col min="4" max="4" width="7.6640625" style="1" bestFit="1" customWidth="1"/>
    <col min="5" max="5" width="71" style="1" bestFit="1" customWidth="1"/>
    <col min="6" max="6" width="44.109375" style="1" customWidth="1"/>
    <col min="7" max="16384" width="11.44140625" style="1"/>
  </cols>
  <sheetData>
    <row r="1" spans="1:7" hidden="1" x14ac:dyDescent="0.25">
      <c r="A1" s="1" t="s">
        <v>2768</v>
      </c>
      <c r="C1" s="1" t="str">
        <f>'Hoja Contable'!C8</f>
        <v>0590-ESPECTÁCULOS PÚBLICOS, CINES, TEATROS, PARQUES DE DIVERSIÓN, CASINOS Y/O SIMILARES</v>
      </c>
      <c r="D1" s="1">
        <f>MID(C1,1,4)*1</f>
        <v>590</v>
      </c>
      <c r="E1" s="1" t="str">
        <f>'Hoja Contable'!G8</f>
        <v>0590.05-Cines</v>
      </c>
    </row>
    <row r="2" spans="1:7" hidden="1" x14ac:dyDescent="0.25">
      <c r="A2" s="1" t="s">
        <v>1094</v>
      </c>
      <c r="B2" s="2">
        <f>MID(C2,1,7)*1</f>
        <v>10.01</v>
      </c>
      <c r="C2" s="1" t="s">
        <v>2769</v>
      </c>
      <c r="D2" s="2">
        <f>$D$1+G2</f>
        <v>590.01</v>
      </c>
      <c r="E2" s="1" t="str">
        <f>VLOOKUP(D2,B2:C1048,2)</f>
        <v>0590.01-Espectáculos públicos al aire libre con material incombustible</v>
      </c>
      <c r="F2" s="1" t="str">
        <f>E2</f>
        <v>0590.01-Espectáculos públicos al aire libre con material incombustible</v>
      </c>
      <c r="G2" s="2">
        <v>0.01</v>
      </c>
    </row>
    <row r="3" spans="1:7" hidden="1" x14ac:dyDescent="0.25">
      <c r="A3" s="1">
        <f>'Hoja Contable'!K7</f>
        <v>20</v>
      </c>
      <c r="B3" s="2">
        <f t="shared" ref="B3:B66" si="0">MID(C3,1,7)*1</f>
        <v>10.02</v>
      </c>
      <c r="C3" s="1" t="s">
        <v>2770</v>
      </c>
      <c r="D3" s="2">
        <f t="shared" ref="D3:D39" si="1">$D$1+G3</f>
        <v>590.02</v>
      </c>
      <c r="E3" s="1" t="str">
        <f t="shared" ref="E3:E39" si="2">VLOOKUP(D3,B3:C1049,2)</f>
        <v>0590.02-Espectáculos públicos al aire libre con material combustible</v>
      </c>
      <c r="F3" s="1" t="str">
        <f>IF(E3=E2,"",E3)</f>
        <v>0590.02-Espectáculos públicos al aire libre con material combustible</v>
      </c>
      <c r="G3" s="2">
        <v>0.02</v>
      </c>
    </row>
    <row r="4" spans="1:7" hidden="1" x14ac:dyDescent="0.25">
      <c r="A4" s="1">
        <f>D1</f>
        <v>590</v>
      </c>
      <c r="B4" s="2">
        <f t="shared" si="0"/>
        <v>20.010000000000002</v>
      </c>
      <c r="C4" s="1" t="s">
        <v>2771</v>
      </c>
      <c r="D4" s="2">
        <f t="shared" si="1"/>
        <v>590.03</v>
      </c>
      <c r="E4" s="1" t="str">
        <f t="shared" si="2"/>
        <v>0590.03-Espectáculos públicos cubiertos con material incombustible</v>
      </c>
      <c r="F4" s="1" t="str">
        <f t="shared" ref="F4:F39" si="3">IF(E4=E3,"",E4)</f>
        <v>0590.03-Espectáculos públicos cubiertos con material incombustible</v>
      </c>
      <c r="G4" s="2">
        <v>0.03</v>
      </c>
    </row>
    <row r="5" spans="1:7" hidden="1" x14ac:dyDescent="0.25">
      <c r="A5" s="1">
        <f>VLOOKUP(A4,Hoja1!K2:K134,1)</f>
        <v>590</v>
      </c>
      <c r="B5" s="2">
        <f t="shared" si="0"/>
        <v>20.02</v>
      </c>
      <c r="C5" s="1" t="s">
        <v>2772</v>
      </c>
      <c r="D5" s="2">
        <f t="shared" si="1"/>
        <v>590.04</v>
      </c>
      <c r="E5" s="1" t="str">
        <f t="shared" si="2"/>
        <v>0590.04-Espectáculos públicos cubiertos con material combustible</v>
      </c>
      <c r="F5" s="1" t="str">
        <f t="shared" si="3"/>
        <v>0590.04-Espectáculos públicos cubiertos con material combustible</v>
      </c>
      <c r="G5" s="2">
        <v>0.04</v>
      </c>
    </row>
    <row r="6" spans="1:7" hidden="1" x14ac:dyDescent="0.25">
      <c r="A6" s="1">
        <f>MID(E1,1,4)*1</f>
        <v>590</v>
      </c>
      <c r="B6" s="2">
        <f t="shared" si="0"/>
        <v>20.03</v>
      </c>
      <c r="C6" s="1" t="s">
        <v>2773</v>
      </c>
      <c r="D6" s="2">
        <f t="shared" si="1"/>
        <v>590.04999999999995</v>
      </c>
      <c r="E6" s="1" t="str">
        <f t="shared" si="2"/>
        <v>0590.05-Cines</v>
      </c>
      <c r="F6" s="1" t="str">
        <f t="shared" si="3"/>
        <v>0590.05-Cines</v>
      </c>
      <c r="G6" s="2">
        <v>0.05</v>
      </c>
    </row>
    <row r="7" spans="1:7" hidden="1" x14ac:dyDescent="0.25">
      <c r="A7" s="1">
        <f>IF(A5=A4,IF(A4=A6,1,2),2)</f>
        <v>1</v>
      </c>
      <c r="B7" s="2">
        <f t="shared" si="0"/>
        <v>30.01</v>
      </c>
      <c r="C7" s="1" t="s">
        <v>2774</v>
      </c>
      <c r="D7" s="2">
        <f t="shared" si="1"/>
        <v>590.05999999999995</v>
      </c>
      <c r="E7" s="1" t="str">
        <f t="shared" si="2"/>
        <v>0590.06-Teatros o auditorios</v>
      </c>
      <c r="F7" s="1" t="str">
        <f t="shared" si="3"/>
        <v>0590.06-Teatros o auditorios</v>
      </c>
      <c r="G7" s="2">
        <v>0.06</v>
      </c>
    </row>
    <row r="8" spans="1:7" hidden="1" x14ac:dyDescent="0.25">
      <c r="A8" s="1" t="str">
        <f>IF(A7&lt;&gt;1,"EL GIRO Y SUBGIRO - NO APLICAN PARA EL RAMO COMERCIAL","")</f>
        <v/>
      </c>
      <c r="B8" s="2">
        <f t="shared" si="0"/>
        <v>30.02</v>
      </c>
      <c r="C8" s="1" t="s">
        <v>2775</v>
      </c>
      <c r="D8" s="2">
        <f t="shared" si="1"/>
        <v>590.07000000000005</v>
      </c>
      <c r="E8" s="1" t="str">
        <f t="shared" si="2"/>
        <v>0590.07-Industria fílmica y del video</v>
      </c>
      <c r="F8" s="1" t="str">
        <f t="shared" si="3"/>
        <v>0590.07-Industria fílmica y del video</v>
      </c>
      <c r="G8" s="2">
        <v>7.0000000000000007E-2</v>
      </c>
    </row>
    <row r="9" spans="1:7" hidden="1" x14ac:dyDescent="0.25">
      <c r="B9" s="2">
        <f t="shared" si="0"/>
        <v>30.03</v>
      </c>
      <c r="C9" s="1" t="s">
        <v>2776</v>
      </c>
      <c r="D9" s="2">
        <f t="shared" si="1"/>
        <v>590.08000000000004</v>
      </c>
      <c r="E9" s="1" t="str">
        <f t="shared" si="2"/>
        <v>0590.08-Industria del sonido</v>
      </c>
      <c r="F9" s="1" t="str">
        <f t="shared" si="3"/>
        <v>0590.08-Industria del sonido</v>
      </c>
      <c r="G9" s="2">
        <v>0.08</v>
      </c>
    </row>
    <row r="10" spans="1:7" hidden="1" x14ac:dyDescent="0.25">
      <c r="B10" s="2">
        <f t="shared" si="0"/>
        <v>30.04</v>
      </c>
      <c r="C10" s="1" t="s">
        <v>2777</v>
      </c>
      <c r="D10" s="2">
        <f t="shared" si="1"/>
        <v>590.09</v>
      </c>
      <c r="E10" s="1" t="str">
        <f t="shared" si="2"/>
        <v>0590.09-Parques con instalaciones recreativas y casas de juegos electrónicos</v>
      </c>
      <c r="F10" s="1" t="str">
        <f t="shared" si="3"/>
        <v>0590.09-Parques con instalaciones recreativas y casas de juegos electrónicos</v>
      </c>
      <c r="G10" s="2">
        <v>0.09</v>
      </c>
    </row>
    <row r="11" spans="1:7" hidden="1" x14ac:dyDescent="0.25">
      <c r="B11" s="2">
        <f t="shared" si="0"/>
        <v>40.01</v>
      </c>
      <c r="C11" s="1" t="s">
        <v>2778</v>
      </c>
      <c r="D11" s="2">
        <f t="shared" si="1"/>
        <v>590.1</v>
      </c>
      <c r="E11" s="1" t="str">
        <f t="shared" si="2"/>
        <v>0590.10-Casinos, loterías y otros juegos de azar</v>
      </c>
      <c r="F11" s="1" t="str">
        <f t="shared" si="3"/>
        <v>0590.10-Casinos, loterías y otros juegos de azar</v>
      </c>
      <c r="G11" s="2">
        <v>0.1</v>
      </c>
    </row>
    <row r="12" spans="1:7" hidden="1" x14ac:dyDescent="0.25">
      <c r="B12" s="2">
        <f t="shared" si="0"/>
        <v>40.020000000000003</v>
      </c>
      <c r="C12" s="1" t="s">
        <v>2779</v>
      </c>
      <c r="D12" s="2">
        <f t="shared" si="1"/>
        <v>590.11</v>
      </c>
      <c r="E12" s="1" t="str">
        <f t="shared" si="2"/>
        <v>0590.11-Otros servicios recreativos</v>
      </c>
      <c r="F12" s="1" t="str">
        <f t="shared" si="3"/>
        <v>0590.11-Otros servicios recreativos</v>
      </c>
      <c r="G12" s="2">
        <v>0.11</v>
      </c>
    </row>
    <row r="13" spans="1:7" hidden="1" x14ac:dyDescent="0.25">
      <c r="B13" s="2">
        <f t="shared" si="0"/>
        <v>40.03</v>
      </c>
      <c r="C13" s="1" t="s">
        <v>2780</v>
      </c>
      <c r="D13" s="2">
        <f t="shared" si="1"/>
        <v>590.12</v>
      </c>
      <c r="E13" s="1" t="str">
        <f t="shared" si="2"/>
        <v>0590.11-Otros servicios recreativos</v>
      </c>
      <c r="F13" s="1" t="str">
        <f t="shared" si="3"/>
        <v/>
      </c>
      <c r="G13" s="2">
        <v>0.12</v>
      </c>
    </row>
    <row r="14" spans="1:7" hidden="1" x14ac:dyDescent="0.25">
      <c r="B14" s="2">
        <f t="shared" si="0"/>
        <v>40.04</v>
      </c>
      <c r="C14" s="1" t="s">
        <v>2781</v>
      </c>
      <c r="D14" s="2">
        <f t="shared" si="1"/>
        <v>590.13</v>
      </c>
      <c r="E14" s="1" t="str">
        <f t="shared" si="2"/>
        <v>0590.11-Otros servicios recreativos</v>
      </c>
      <c r="F14" s="1" t="str">
        <f t="shared" si="3"/>
        <v/>
      </c>
      <c r="G14" s="2">
        <v>0.13</v>
      </c>
    </row>
    <row r="15" spans="1:7" hidden="1" x14ac:dyDescent="0.25">
      <c r="B15" s="2">
        <f t="shared" si="0"/>
        <v>40.049999999999997</v>
      </c>
      <c r="C15" s="1" t="s">
        <v>2782</v>
      </c>
      <c r="D15" s="2">
        <f t="shared" si="1"/>
        <v>590.14</v>
      </c>
      <c r="E15" s="1" t="str">
        <f t="shared" si="2"/>
        <v>0590.11-Otros servicios recreativos</v>
      </c>
      <c r="F15" s="1" t="str">
        <f t="shared" si="3"/>
        <v/>
      </c>
      <c r="G15" s="2">
        <v>0.14000000000000001</v>
      </c>
    </row>
    <row r="16" spans="1:7" hidden="1" x14ac:dyDescent="0.25">
      <c r="B16" s="2">
        <f t="shared" si="0"/>
        <v>50.01</v>
      </c>
      <c r="C16" s="1" t="s">
        <v>2783</v>
      </c>
      <c r="D16" s="2">
        <f t="shared" si="1"/>
        <v>590.15</v>
      </c>
      <c r="E16" s="1" t="str">
        <f t="shared" si="2"/>
        <v>0590.11-Otros servicios recreativos</v>
      </c>
      <c r="F16" s="1" t="str">
        <f t="shared" si="3"/>
        <v/>
      </c>
      <c r="G16" s="2">
        <v>0.15</v>
      </c>
    </row>
    <row r="17" spans="2:7" hidden="1" x14ac:dyDescent="0.25">
      <c r="B17" s="2">
        <f t="shared" si="0"/>
        <v>60.01</v>
      </c>
      <c r="C17" s="1" t="s">
        <v>2784</v>
      </c>
      <c r="D17" s="2">
        <f t="shared" si="1"/>
        <v>590.16</v>
      </c>
      <c r="E17" s="1" t="str">
        <f t="shared" si="2"/>
        <v>0590.11-Otros servicios recreativos</v>
      </c>
      <c r="F17" s="1" t="str">
        <f t="shared" si="3"/>
        <v/>
      </c>
      <c r="G17" s="2">
        <v>0.16</v>
      </c>
    </row>
    <row r="18" spans="2:7" hidden="1" x14ac:dyDescent="0.25">
      <c r="B18" s="2">
        <f t="shared" si="0"/>
        <v>60.02</v>
      </c>
      <c r="C18" s="1" t="s">
        <v>2785</v>
      </c>
      <c r="D18" s="2">
        <f t="shared" si="1"/>
        <v>590.16999999999996</v>
      </c>
      <c r="E18" s="1" t="str">
        <f t="shared" si="2"/>
        <v>0590.11-Otros servicios recreativos</v>
      </c>
      <c r="F18" s="1" t="str">
        <f t="shared" si="3"/>
        <v/>
      </c>
      <c r="G18" s="2">
        <v>0.17</v>
      </c>
    </row>
    <row r="19" spans="2:7" hidden="1" x14ac:dyDescent="0.25">
      <c r="B19" s="2">
        <f t="shared" si="0"/>
        <v>60.03</v>
      </c>
      <c r="C19" s="1" t="s">
        <v>2786</v>
      </c>
      <c r="D19" s="2">
        <f t="shared" si="1"/>
        <v>590.17999999999995</v>
      </c>
      <c r="E19" s="1" t="str">
        <f t="shared" si="2"/>
        <v>0590.11-Otros servicios recreativos</v>
      </c>
      <c r="F19" s="1" t="str">
        <f t="shared" si="3"/>
        <v/>
      </c>
      <c r="G19" s="2">
        <v>0.18</v>
      </c>
    </row>
    <row r="20" spans="2:7" hidden="1" x14ac:dyDescent="0.25">
      <c r="B20" s="2">
        <f t="shared" si="0"/>
        <v>60.04</v>
      </c>
      <c r="C20" s="1" t="s">
        <v>2787</v>
      </c>
      <c r="D20" s="2">
        <f t="shared" si="1"/>
        <v>590.19000000000005</v>
      </c>
      <c r="E20" s="1" t="str">
        <f t="shared" si="2"/>
        <v>0590.11-Otros servicios recreativos</v>
      </c>
      <c r="F20" s="1" t="str">
        <f t="shared" si="3"/>
        <v/>
      </c>
      <c r="G20" s="2">
        <v>0.19</v>
      </c>
    </row>
    <row r="21" spans="2:7" hidden="1" x14ac:dyDescent="0.25">
      <c r="B21" s="2">
        <f t="shared" si="0"/>
        <v>60.05</v>
      </c>
      <c r="C21" s="1" t="s">
        <v>2788</v>
      </c>
      <c r="D21" s="2">
        <f t="shared" si="1"/>
        <v>590.20000000000005</v>
      </c>
      <c r="E21" s="1" t="str">
        <f t="shared" si="2"/>
        <v>0590.11-Otros servicios recreativos</v>
      </c>
      <c r="F21" s="1" t="str">
        <f t="shared" si="3"/>
        <v/>
      </c>
      <c r="G21" s="2">
        <v>0.2</v>
      </c>
    </row>
    <row r="22" spans="2:7" hidden="1" x14ac:dyDescent="0.25">
      <c r="B22" s="2">
        <f t="shared" si="0"/>
        <v>60.06</v>
      </c>
      <c r="C22" s="1" t="s">
        <v>2789</v>
      </c>
      <c r="D22" s="2">
        <f t="shared" si="1"/>
        <v>590.21</v>
      </c>
      <c r="E22" s="1" t="str">
        <f t="shared" si="2"/>
        <v>0590.11-Otros servicios recreativos</v>
      </c>
      <c r="F22" s="1" t="str">
        <f t="shared" si="3"/>
        <v/>
      </c>
      <c r="G22" s="2">
        <v>0.21</v>
      </c>
    </row>
    <row r="23" spans="2:7" hidden="1" x14ac:dyDescent="0.25">
      <c r="B23" s="2">
        <f t="shared" si="0"/>
        <v>70.010000000000005</v>
      </c>
      <c r="C23" s="1" t="s">
        <v>2790</v>
      </c>
      <c r="D23" s="2">
        <f t="shared" si="1"/>
        <v>590.22</v>
      </c>
      <c r="E23" s="1" t="str">
        <f t="shared" si="2"/>
        <v>0590.11-Otros servicios recreativos</v>
      </c>
      <c r="F23" s="1" t="str">
        <f t="shared" si="3"/>
        <v/>
      </c>
      <c r="G23" s="2">
        <v>0.22</v>
      </c>
    </row>
    <row r="24" spans="2:7" hidden="1" x14ac:dyDescent="0.25">
      <c r="B24" s="2">
        <f t="shared" si="0"/>
        <v>70.02</v>
      </c>
      <c r="C24" s="1" t="s">
        <v>2791</v>
      </c>
      <c r="D24" s="2">
        <f t="shared" si="1"/>
        <v>590.23</v>
      </c>
      <c r="E24" s="1" t="str">
        <f t="shared" si="2"/>
        <v>0590.11-Otros servicios recreativos</v>
      </c>
      <c r="F24" s="1" t="str">
        <f t="shared" si="3"/>
        <v/>
      </c>
      <c r="G24" s="2">
        <v>0.23</v>
      </c>
    </row>
    <row r="25" spans="2:7" hidden="1" x14ac:dyDescent="0.25">
      <c r="B25" s="2">
        <f t="shared" si="0"/>
        <v>70.03</v>
      </c>
      <c r="C25" s="1" t="s">
        <v>2792</v>
      </c>
      <c r="D25" s="2">
        <f t="shared" si="1"/>
        <v>590.24</v>
      </c>
      <c r="E25" s="1" t="str">
        <f t="shared" si="2"/>
        <v>0590.11-Otros servicios recreativos</v>
      </c>
      <c r="F25" s="1" t="str">
        <f t="shared" si="3"/>
        <v/>
      </c>
      <c r="G25" s="2">
        <v>0.24</v>
      </c>
    </row>
    <row r="26" spans="2:7" hidden="1" x14ac:dyDescent="0.25">
      <c r="B26" s="2">
        <f t="shared" si="0"/>
        <v>80.010000000000005</v>
      </c>
      <c r="C26" s="1" t="s">
        <v>2793</v>
      </c>
      <c r="D26" s="2">
        <f t="shared" si="1"/>
        <v>590.25</v>
      </c>
      <c r="E26" s="1" t="str">
        <f t="shared" si="2"/>
        <v>0590.11-Otros servicios recreativos</v>
      </c>
      <c r="F26" s="1" t="str">
        <f t="shared" si="3"/>
        <v/>
      </c>
      <c r="G26" s="2">
        <v>0.25</v>
      </c>
    </row>
    <row r="27" spans="2:7" hidden="1" x14ac:dyDescent="0.25">
      <c r="B27" s="2">
        <f t="shared" si="0"/>
        <v>80.02</v>
      </c>
      <c r="C27" s="1" t="s">
        <v>2794</v>
      </c>
      <c r="D27" s="2">
        <f t="shared" si="1"/>
        <v>590.26</v>
      </c>
      <c r="E27" s="1" t="str">
        <f t="shared" si="2"/>
        <v>0590.11-Otros servicios recreativos</v>
      </c>
      <c r="F27" s="1" t="str">
        <f t="shared" si="3"/>
        <v/>
      </c>
      <c r="G27" s="2">
        <v>0.26</v>
      </c>
    </row>
    <row r="28" spans="2:7" hidden="1" x14ac:dyDescent="0.25">
      <c r="B28" s="2">
        <f t="shared" si="0"/>
        <v>80.03</v>
      </c>
      <c r="C28" s="1" t="s">
        <v>2795</v>
      </c>
      <c r="D28" s="2">
        <f t="shared" si="1"/>
        <v>590.27</v>
      </c>
      <c r="E28" s="1" t="str">
        <f t="shared" si="2"/>
        <v>0590.11-Otros servicios recreativos</v>
      </c>
      <c r="F28" s="1" t="str">
        <f t="shared" si="3"/>
        <v/>
      </c>
      <c r="G28" s="2">
        <v>0.27</v>
      </c>
    </row>
    <row r="29" spans="2:7" hidden="1" x14ac:dyDescent="0.25">
      <c r="B29" s="2">
        <f t="shared" si="0"/>
        <v>80.040000000000006</v>
      </c>
      <c r="C29" s="1" t="s">
        <v>2796</v>
      </c>
      <c r="D29" s="2">
        <f t="shared" si="1"/>
        <v>590.28</v>
      </c>
      <c r="E29" s="1" t="str">
        <f t="shared" si="2"/>
        <v>0590.11-Otros servicios recreativos</v>
      </c>
      <c r="F29" s="1" t="str">
        <f t="shared" si="3"/>
        <v/>
      </c>
      <c r="G29" s="2">
        <v>0.28000000000000003</v>
      </c>
    </row>
    <row r="30" spans="2:7" hidden="1" x14ac:dyDescent="0.25">
      <c r="B30" s="2">
        <f t="shared" si="0"/>
        <v>90.01</v>
      </c>
      <c r="C30" s="1" t="s">
        <v>2797</v>
      </c>
      <c r="D30" s="2">
        <f t="shared" si="1"/>
        <v>590.29</v>
      </c>
      <c r="E30" s="1" t="str">
        <f t="shared" si="2"/>
        <v>0590.11-Otros servicios recreativos</v>
      </c>
      <c r="F30" s="1" t="str">
        <f t="shared" si="3"/>
        <v/>
      </c>
      <c r="G30" s="2">
        <v>0.28999999999999998</v>
      </c>
    </row>
    <row r="31" spans="2:7" hidden="1" x14ac:dyDescent="0.25">
      <c r="B31" s="2">
        <f t="shared" si="0"/>
        <v>90.02</v>
      </c>
      <c r="C31" s="1" t="s">
        <v>2798</v>
      </c>
      <c r="D31" s="2">
        <f t="shared" si="1"/>
        <v>590.29999999999995</v>
      </c>
      <c r="E31" s="1" t="str">
        <f t="shared" si="2"/>
        <v>0590.11-Otros servicios recreativos</v>
      </c>
      <c r="F31" s="1" t="str">
        <f t="shared" si="3"/>
        <v/>
      </c>
      <c r="G31" s="2">
        <v>0.3</v>
      </c>
    </row>
    <row r="32" spans="2:7" hidden="1" x14ac:dyDescent="0.25">
      <c r="B32" s="2">
        <f t="shared" si="0"/>
        <v>90.03</v>
      </c>
      <c r="C32" s="1" t="s">
        <v>2799</v>
      </c>
      <c r="D32" s="2">
        <f t="shared" si="1"/>
        <v>590.30999999999995</v>
      </c>
      <c r="E32" s="1" t="str">
        <f t="shared" si="2"/>
        <v>0590.11-Otros servicios recreativos</v>
      </c>
      <c r="F32" s="1" t="str">
        <f t="shared" si="3"/>
        <v/>
      </c>
      <c r="G32" s="2">
        <v>0.31</v>
      </c>
    </row>
    <row r="33" spans="2:7" hidden="1" x14ac:dyDescent="0.25">
      <c r="B33" s="2">
        <f t="shared" si="0"/>
        <v>90.04</v>
      </c>
      <c r="C33" s="1" t="s">
        <v>2800</v>
      </c>
      <c r="D33" s="2">
        <f t="shared" si="1"/>
        <v>590.32000000000005</v>
      </c>
      <c r="E33" s="1" t="str">
        <f t="shared" si="2"/>
        <v>0590.11-Otros servicios recreativos</v>
      </c>
      <c r="F33" s="1" t="str">
        <f t="shared" si="3"/>
        <v/>
      </c>
      <c r="G33" s="2">
        <v>0.32</v>
      </c>
    </row>
    <row r="34" spans="2:7" hidden="1" x14ac:dyDescent="0.25">
      <c r="B34" s="2">
        <f t="shared" si="0"/>
        <v>100.01</v>
      </c>
      <c r="C34" s="1" t="s">
        <v>2801</v>
      </c>
      <c r="D34" s="2">
        <f t="shared" si="1"/>
        <v>590.33000000000004</v>
      </c>
      <c r="E34" s="1" t="str">
        <f t="shared" si="2"/>
        <v>0590.11-Otros servicios recreativos</v>
      </c>
      <c r="F34" s="1" t="str">
        <f t="shared" si="3"/>
        <v/>
      </c>
      <c r="G34" s="2">
        <v>0.33</v>
      </c>
    </row>
    <row r="35" spans="2:7" hidden="1" x14ac:dyDescent="0.25">
      <c r="B35" s="2">
        <f t="shared" si="0"/>
        <v>100.02</v>
      </c>
      <c r="C35" s="1" t="s">
        <v>2802</v>
      </c>
      <c r="D35" s="2">
        <f t="shared" si="1"/>
        <v>590.34</v>
      </c>
      <c r="E35" s="1" t="str">
        <f t="shared" si="2"/>
        <v>0590.11-Otros servicios recreativos</v>
      </c>
      <c r="F35" s="1" t="str">
        <f t="shared" si="3"/>
        <v/>
      </c>
      <c r="G35" s="2">
        <v>0.34</v>
      </c>
    </row>
    <row r="36" spans="2:7" hidden="1" x14ac:dyDescent="0.25">
      <c r="B36" s="2">
        <f t="shared" si="0"/>
        <v>110.01</v>
      </c>
      <c r="C36" s="1" t="s">
        <v>2803</v>
      </c>
      <c r="D36" s="2">
        <f t="shared" si="1"/>
        <v>590.35</v>
      </c>
      <c r="E36" s="1" t="str">
        <f t="shared" si="2"/>
        <v>0590.11-Otros servicios recreativos</v>
      </c>
      <c r="F36" s="1" t="str">
        <f t="shared" si="3"/>
        <v/>
      </c>
      <c r="G36" s="2">
        <v>0.35</v>
      </c>
    </row>
    <row r="37" spans="2:7" hidden="1" x14ac:dyDescent="0.25">
      <c r="B37" s="2">
        <f t="shared" si="0"/>
        <v>110.02</v>
      </c>
      <c r="C37" s="1" t="s">
        <v>2804</v>
      </c>
      <c r="D37" s="2">
        <f t="shared" si="1"/>
        <v>590.36</v>
      </c>
      <c r="E37" s="1" t="str">
        <f t="shared" si="2"/>
        <v>0590.11-Otros servicios recreativos</v>
      </c>
      <c r="F37" s="1" t="str">
        <f t="shared" si="3"/>
        <v/>
      </c>
      <c r="G37" s="2">
        <v>0.36</v>
      </c>
    </row>
    <row r="38" spans="2:7" hidden="1" x14ac:dyDescent="0.25">
      <c r="B38" s="2">
        <f t="shared" si="0"/>
        <v>110.03</v>
      </c>
      <c r="C38" s="1" t="s">
        <v>2805</v>
      </c>
      <c r="D38" s="2">
        <f t="shared" si="1"/>
        <v>590.37</v>
      </c>
      <c r="E38" s="1" t="str">
        <f t="shared" si="2"/>
        <v>0590.11-Otros servicios recreativos</v>
      </c>
      <c r="F38" s="1" t="str">
        <f t="shared" si="3"/>
        <v/>
      </c>
      <c r="G38" s="2">
        <v>0.37</v>
      </c>
    </row>
    <row r="39" spans="2:7" hidden="1" x14ac:dyDescent="0.25">
      <c r="B39" s="2">
        <f t="shared" si="0"/>
        <v>110.04</v>
      </c>
      <c r="C39" s="1" t="s">
        <v>2806</v>
      </c>
      <c r="D39" s="2">
        <f t="shared" si="1"/>
        <v>590.38</v>
      </c>
      <c r="E39" s="1" t="str">
        <f t="shared" si="2"/>
        <v>0590.11-Otros servicios recreativos</v>
      </c>
      <c r="F39" s="1" t="str">
        <f t="shared" si="3"/>
        <v/>
      </c>
      <c r="G39" s="2">
        <v>0.38</v>
      </c>
    </row>
    <row r="40" spans="2:7" hidden="1" x14ac:dyDescent="0.25">
      <c r="B40" s="2">
        <f t="shared" si="0"/>
        <v>110.05</v>
      </c>
      <c r="C40" s="1" t="s">
        <v>2807</v>
      </c>
    </row>
    <row r="41" spans="2:7" hidden="1" x14ac:dyDescent="0.25">
      <c r="B41" s="2">
        <f t="shared" si="0"/>
        <v>110.06</v>
      </c>
      <c r="C41" s="1" t="s">
        <v>2808</v>
      </c>
    </row>
    <row r="42" spans="2:7" hidden="1" x14ac:dyDescent="0.25">
      <c r="B42" s="2">
        <f t="shared" si="0"/>
        <v>110.07</v>
      </c>
      <c r="C42" s="1" t="s">
        <v>2809</v>
      </c>
    </row>
    <row r="43" spans="2:7" hidden="1" x14ac:dyDescent="0.25">
      <c r="B43" s="2">
        <f t="shared" si="0"/>
        <v>110.08</v>
      </c>
      <c r="C43" s="1" t="s">
        <v>2810</v>
      </c>
    </row>
    <row r="44" spans="2:7" hidden="1" x14ac:dyDescent="0.25">
      <c r="B44" s="2">
        <f t="shared" si="0"/>
        <v>120.01</v>
      </c>
      <c r="C44" s="1" t="s">
        <v>2811</v>
      </c>
    </row>
    <row r="45" spans="2:7" hidden="1" x14ac:dyDescent="0.25">
      <c r="B45" s="2">
        <f t="shared" si="0"/>
        <v>120.02</v>
      </c>
      <c r="C45" s="1" t="s">
        <v>2812</v>
      </c>
    </row>
    <row r="46" spans="2:7" hidden="1" x14ac:dyDescent="0.25">
      <c r="B46" s="2">
        <f t="shared" si="0"/>
        <v>130.01</v>
      </c>
      <c r="C46" s="1" t="s">
        <v>2813</v>
      </c>
    </row>
    <row r="47" spans="2:7" hidden="1" x14ac:dyDescent="0.25">
      <c r="B47" s="2">
        <f t="shared" si="0"/>
        <v>130.02000000000001</v>
      </c>
      <c r="C47" s="1" t="s">
        <v>2814</v>
      </c>
    </row>
    <row r="48" spans="2:7" hidden="1" x14ac:dyDescent="0.25">
      <c r="B48" s="2">
        <f t="shared" si="0"/>
        <v>130.03</v>
      </c>
      <c r="C48" s="1" t="s">
        <v>2815</v>
      </c>
    </row>
    <row r="49" spans="2:3" hidden="1" x14ac:dyDescent="0.25">
      <c r="B49" s="2">
        <f t="shared" si="0"/>
        <v>130.04</v>
      </c>
      <c r="C49" s="1" t="s">
        <v>2816</v>
      </c>
    </row>
    <row r="50" spans="2:3" hidden="1" x14ac:dyDescent="0.25">
      <c r="B50" s="2">
        <f t="shared" si="0"/>
        <v>130.05000000000001</v>
      </c>
      <c r="C50" s="1" t="s">
        <v>2817</v>
      </c>
    </row>
    <row r="51" spans="2:3" hidden="1" x14ac:dyDescent="0.25">
      <c r="B51" s="2">
        <f t="shared" si="0"/>
        <v>130.06</v>
      </c>
      <c r="C51" s="1" t="s">
        <v>2818</v>
      </c>
    </row>
    <row r="52" spans="2:3" hidden="1" x14ac:dyDescent="0.25">
      <c r="B52" s="2">
        <f t="shared" si="0"/>
        <v>130.07</v>
      </c>
      <c r="C52" s="1" t="s">
        <v>2819</v>
      </c>
    </row>
    <row r="53" spans="2:3" hidden="1" x14ac:dyDescent="0.25">
      <c r="B53" s="2">
        <f t="shared" si="0"/>
        <v>130.08000000000001</v>
      </c>
      <c r="C53" s="1" t="s">
        <v>2820</v>
      </c>
    </row>
    <row r="54" spans="2:3" hidden="1" x14ac:dyDescent="0.25">
      <c r="B54" s="2">
        <f t="shared" si="0"/>
        <v>130.09</v>
      </c>
      <c r="C54" s="1" t="s">
        <v>2821</v>
      </c>
    </row>
    <row r="55" spans="2:3" hidden="1" x14ac:dyDescent="0.25">
      <c r="B55" s="2">
        <f t="shared" si="0"/>
        <v>130.1</v>
      </c>
      <c r="C55" s="1" t="s">
        <v>2822</v>
      </c>
    </row>
    <row r="56" spans="2:3" hidden="1" x14ac:dyDescent="0.25">
      <c r="B56" s="2">
        <f t="shared" si="0"/>
        <v>130.11000000000001</v>
      </c>
      <c r="C56" s="1" t="s">
        <v>2823</v>
      </c>
    </row>
    <row r="57" spans="2:3" hidden="1" x14ac:dyDescent="0.25">
      <c r="B57" s="2">
        <f t="shared" si="0"/>
        <v>130.12</v>
      </c>
      <c r="C57" s="1" t="s">
        <v>2824</v>
      </c>
    </row>
    <row r="58" spans="2:3" hidden="1" x14ac:dyDescent="0.25">
      <c r="B58" s="2">
        <f t="shared" si="0"/>
        <v>130.13</v>
      </c>
      <c r="C58" s="1" t="s">
        <v>2825</v>
      </c>
    </row>
    <row r="59" spans="2:3" hidden="1" x14ac:dyDescent="0.25">
      <c r="B59" s="2">
        <f t="shared" si="0"/>
        <v>130.13999999999999</v>
      </c>
      <c r="C59" s="1" t="s">
        <v>2826</v>
      </c>
    </row>
    <row r="60" spans="2:3" hidden="1" x14ac:dyDescent="0.25">
      <c r="B60" s="2">
        <f t="shared" si="0"/>
        <v>130.15</v>
      </c>
      <c r="C60" s="1" t="s">
        <v>2827</v>
      </c>
    </row>
    <row r="61" spans="2:3" hidden="1" x14ac:dyDescent="0.25">
      <c r="B61" s="2">
        <f t="shared" si="0"/>
        <v>130.16</v>
      </c>
      <c r="C61" s="1" t="s">
        <v>2828</v>
      </c>
    </row>
    <row r="62" spans="2:3" hidden="1" x14ac:dyDescent="0.25">
      <c r="B62" s="2">
        <f t="shared" si="0"/>
        <v>130.16999999999999</v>
      </c>
      <c r="C62" s="1" t="s">
        <v>2829</v>
      </c>
    </row>
    <row r="63" spans="2:3" hidden="1" x14ac:dyDescent="0.25">
      <c r="B63" s="2">
        <f t="shared" si="0"/>
        <v>130.18</v>
      </c>
      <c r="C63" s="1" t="s">
        <v>2830</v>
      </c>
    </row>
    <row r="64" spans="2:3" hidden="1" x14ac:dyDescent="0.25">
      <c r="B64" s="2">
        <f t="shared" si="0"/>
        <v>130.19</v>
      </c>
      <c r="C64" s="1" t="s">
        <v>2831</v>
      </c>
    </row>
    <row r="65" spans="2:3" hidden="1" x14ac:dyDescent="0.25">
      <c r="B65" s="2">
        <f t="shared" si="0"/>
        <v>130.19999999999999</v>
      </c>
      <c r="C65" s="1" t="s">
        <v>2832</v>
      </c>
    </row>
    <row r="66" spans="2:3" hidden="1" x14ac:dyDescent="0.25">
      <c r="B66" s="2">
        <f t="shared" si="0"/>
        <v>130.21</v>
      </c>
      <c r="C66" s="1" t="s">
        <v>2833</v>
      </c>
    </row>
    <row r="67" spans="2:3" hidden="1" x14ac:dyDescent="0.25">
      <c r="B67" s="2">
        <f t="shared" ref="B67:B130" si="4">MID(C67,1,7)*1</f>
        <v>130.22</v>
      </c>
      <c r="C67" s="1" t="s">
        <v>2834</v>
      </c>
    </row>
    <row r="68" spans="2:3" hidden="1" x14ac:dyDescent="0.25">
      <c r="B68" s="2">
        <f t="shared" si="4"/>
        <v>135.01</v>
      </c>
      <c r="C68" s="1" t="s">
        <v>2835</v>
      </c>
    </row>
    <row r="69" spans="2:3" hidden="1" x14ac:dyDescent="0.25">
      <c r="B69" s="2">
        <f t="shared" si="4"/>
        <v>135.02000000000001</v>
      </c>
      <c r="C69" s="1" t="s">
        <v>2836</v>
      </c>
    </row>
    <row r="70" spans="2:3" hidden="1" x14ac:dyDescent="0.25">
      <c r="B70" s="2">
        <f t="shared" si="4"/>
        <v>135.03</v>
      </c>
      <c r="C70" s="1" t="s">
        <v>2837</v>
      </c>
    </row>
    <row r="71" spans="2:3" hidden="1" x14ac:dyDescent="0.25">
      <c r="B71" s="2">
        <f t="shared" si="4"/>
        <v>135.04</v>
      </c>
      <c r="C71" s="1" t="s">
        <v>2838</v>
      </c>
    </row>
    <row r="72" spans="2:3" hidden="1" x14ac:dyDescent="0.25">
      <c r="B72" s="2">
        <f t="shared" si="4"/>
        <v>135.05000000000001</v>
      </c>
      <c r="C72" s="1" t="s">
        <v>2839</v>
      </c>
    </row>
    <row r="73" spans="2:3" hidden="1" x14ac:dyDescent="0.25">
      <c r="B73" s="2">
        <f t="shared" si="4"/>
        <v>135.06</v>
      </c>
      <c r="C73" s="1" t="s">
        <v>2840</v>
      </c>
    </row>
    <row r="74" spans="2:3" hidden="1" x14ac:dyDescent="0.25">
      <c r="B74" s="2">
        <f t="shared" si="4"/>
        <v>135.07</v>
      </c>
      <c r="C74" s="1" t="s">
        <v>2841</v>
      </c>
    </row>
    <row r="75" spans="2:3" hidden="1" x14ac:dyDescent="0.25">
      <c r="B75" s="2">
        <f t="shared" si="4"/>
        <v>135.08000000000001</v>
      </c>
      <c r="C75" s="1" t="s">
        <v>2842</v>
      </c>
    </row>
    <row r="76" spans="2:3" hidden="1" x14ac:dyDescent="0.25">
      <c r="B76" s="2">
        <f t="shared" si="4"/>
        <v>135.09</v>
      </c>
      <c r="C76" s="1" t="s">
        <v>2843</v>
      </c>
    </row>
    <row r="77" spans="2:3" hidden="1" x14ac:dyDescent="0.25">
      <c r="B77" s="2">
        <f t="shared" si="4"/>
        <v>135.1</v>
      </c>
      <c r="C77" s="1" t="s">
        <v>2844</v>
      </c>
    </row>
    <row r="78" spans="2:3" hidden="1" x14ac:dyDescent="0.25">
      <c r="B78" s="2">
        <f t="shared" si="4"/>
        <v>135.11000000000001</v>
      </c>
      <c r="C78" s="1" t="s">
        <v>2845</v>
      </c>
    </row>
    <row r="79" spans="2:3" hidden="1" x14ac:dyDescent="0.25">
      <c r="B79" s="2">
        <f t="shared" si="4"/>
        <v>135.12</v>
      </c>
      <c r="C79" s="1" t="s">
        <v>2846</v>
      </c>
    </row>
    <row r="80" spans="2:3" hidden="1" x14ac:dyDescent="0.25">
      <c r="B80" s="2">
        <f t="shared" si="4"/>
        <v>135.13</v>
      </c>
      <c r="C80" s="1" t="s">
        <v>2847</v>
      </c>
    </row>
    <row r="81" spans="2:3" hidden="1" x14ac:dyDescent="0.25">
      <c r="B81" s="2">
        <f t="shared" si="4"/>
        <v>140.01</v>
      </c>
      <c r="C81" s="1" t="s">
        <v>2848</v>
      </c>
    </row>
    <row r="82" spans="2:3" hidden="1" x14ac:dyDescent="0.25">
      <c r="B82" s="2">
        <f t="shared" si="4"/>
        <v>140.02000000000001</v>
      </c>
      <c r="C82" s="1" t="s">
        <v>2849</v>
      </c>
    </row>
    <row r="83" spans="2:3" hidden="1" x14ac:dyDescent="0.25">
      <c r="B83" s="2">
        <f t="shared" si="4"/>
        <v>140.03</v>
      </c>
      <c r="C83" s="1" t="s">
        <v>2850</v>
      </c>
    </row>
    <row r="84" spans="2:3" hidden="1" x14ac:dyDescent="0.25">
      <c r="B84" s="2">
        <f t="shared" si="4"/>
        <v>140.04</v>
      </c>
      <c r="C84" s="1" t="s">
        <v>2851</v>
      </c>
    </row>
    <row r="85" spans="2:3" hidden="1" x14ac:dyDescent="0.25">
      <c r="B85" s="2">
        <f t="shared" si="4"/>
        <v>140.05000000000001</v>
      </c>
      <c r="C85" s="1" t="s">
        <v>2852</v>
      </c>
    </row>
    <row r="86" spans="2:3" hidden="1" x14ac:dyDescent="0.25">
      <c r="B86" s="2">
        <f t="shared" si="4"/>
        <v>150.01</v>
      </c>
      <c r="C86" s="1" t="s">
        <v>2853</v>
      </c>
    </row>
    <row r="87" spans="2:3" hidden="1" x14ac:dyDescent="0.25">
      <c r="B87" s="2">
        <f t="shared" si="4"/>
        <v>150.02000000000001</v>
      </c>
      <c r="C87" s="1" t="s">
        <v>2854</v>
      </c>
    </row>
    <row r="88" spans="2:3" hidden="1" x14ac:dyDescent="0.25">
      <c r="B88" s="2">
        <f t="shared" si="4"/>
        <v>160.01</v>
      </c>
      <c r="C88" s="1" t="s">
        <v>2855</v>
      </c>
    </row>
    <row r="89" spans="2:3" hidden="1" x14ac:dyDescent="0.25">
      <c r="B89" s="2">
        <f t="shared" si="4"/>
        <v>170.01</v>
      </c>
      <c r="C89" s="1" t="s">
        <v>2856</v>
      </c>
    </row>
    <row r="90" spans="2:3" hidden="1" x14ac:dyDescent="0.25">
      <c r="B90" s="2">
        <f t="shared" si="4"/>
        <v>180.01</v>
      </c>
      <c r="C90" s="1" t="s">
        <v>2857</v>
      </c>
    </row>
    <row r="91" spans="2:3" hidden="1" x14ac:dyDescent="0.25">
      <c r="B91" s="2">
        <f t="shared" si="4"/>
        <v>180.02</v>
      </c>
      <c r="C91" s="1" t="s">
        <v>2858</v>
      </c>
    </row>
    <row r="92" spans="2:3" hidden="1" x14ac:dyDescent="0.25">
      <c r="B92" s="2">
        <f t="shared" si="4"/>
        <v>180.03</v>
      </c>
      <c r="C92" s="1" t="s">
        <v>2859</v>
      </c>
    </row>
    <row r="93" spans="2:3" hidden="1" x14ac:dyDescent="0.25">
      <c r="B93" s="2">
        <f t="shared" si="4"/>
        <v>180.04</v>
      </c>
      <c r="C93" s="1" t="s">
        <v>2860</v>
      </c>
    </row>
    <row r="94" spans="2:3" hidden="1" x14ac:dyDescent="0.25">
      <c r="B94" s="2">
        <f t="shared" si="4"/>
        <v>190.01</v>
      </c>
      <c r="C94" s="1" t="s">
        <v>2861</v>
      </c>
    </row>
    <row r="95" spans="2:3" hidden="1" x14ac:dyDescent="0.25">
      <c r="B95" s="2">
        <f t="shared" si="4"/>
        <v>200.01</v>
      </c>
      <c r="C95" s="1" t="s">
        <v>2862</v>
      </c>
    </row>
    <row r="96" spans="2:3" hidden="1" x14ac:dyDescent="0.25">
      <c r="B96" s="2">
        <f t="shared" si="4"/>
        <v>210.01</v>
      </c>
      <c r="C96" s="1" t="s">
        <v>2863</v>
      </c>
    </row>
    <row r="97" spans="2:3" hidden="1" x14ac:dyDescent="0.25">
      <c r="B97" s="2">
        <f t="shared" si="4"/>
        <v>210.02</v>
      </c>
      <c r="C97" s="1" t="s">
        <v>2864</v>
      </c>
    </row>
    <row r="98" spans="2:3" hidden="1" x14ac:dyDescent="0.25">
      <c r="B98" s="2">
        <f t="shared" si="4"/>
        <v>210.03</v>
      </c>
      <c r="C98" s="1" t="s">
        <v>2865</v>
      </c>
    </row>
    <row r="99" spans="2:3" hidden="1" x14ac:dyDescent="0.25">
      <c r="B99" s="2">
        <f t="shared" si="4"/>
        <v>220.01</v>
      </c>
      <c r="C99" s="1" t="s">
        <v>2866</v>
      </c>
    </row>
    <row r="100" spans="2:3" hidden="1" x14ac:dyDescent="0.25">
      <c r="B100" s="2">
        <f t="shared" si="4"/>
        <v>220.02</v>
      </c>
      <c r="C100" s="1" t="s">
        <v>2867</v>
      </c>
    </row>
    <row r="101" spans="2:3" hidden="1" x14ac:dyDescent="0.25">
      <c r="B101" s="2">
        <f t="shared" si="4"/>
        <v>220.03</v>
      </c>
      <c r="C101" s="1" t="s">
        <v>2868</v>
      </c>
    </row>
    <row r="102" spans="2:3" hidden="1" x14ac:dyDescent="0.25">
      <c r="B102" s="2">
        <f t="shared" si="4"/>
        <v>220.04</v>
      </c>
      <c r="C102" s="1" t="s">
        <v>2869</v>
      </c>
    </row>
    <row r="103" spans="2:3" hidden="1" x14ac:dyDescent="0.25">
      <c r="B103" s="2">
        <f t="shared" si="4"/>
        <v>230.01</v>
      </c>
      <c r="C103" s="1" t="s">
        <v>2870</v>
      </c>
    </row>
    <row r="104" spans="2:3" hidden="1" x14ac:dyDescent="0.25">
      <c r="B104" s="2">
        <f t="shared" si="4"/>
        <v>230.02</v>
      </c>
      <c r="C104" s="1" t="s">
        <v>2871</v>
      </c>
    </row>
    <row r="105" spans="2:3" hidden="1" x14ac:dyDescent="0.25">
      <c r="B105" s="2">
        <f t="shared" si="4"/>
        <v>240.01</v>
      </c>
      <c r="C105" s="1" t="s">
        <v>2872</v>
      </c>
    </row>
    <row r="106" spans="2:3" hidden="1" x14ac:dyDescent="0.25">
      <c r="B106" s="2">
        <f t="shared" si="4"/>
        <v>250.01</v>
      </c>
      <c r="C106" s="1" t="s">
        <v>2873</v>
      </c>
    </row>
    <row r="107" spans="2:3" hidden="1" x14ac:dyDescent="0.25">
      <c r="B107" s="2">
        <f t="shared" si="4"/>
        <v>250.02</v>
      </c>
      <c r="C107" s="1" t="s">
        <v>2874</v>
      </c>
    </row>
    <row r="108" spans="2:3" hidden="1" x14ac:dyDescent="0.25">
      <c r="B108" s="2">
        <f t="shared" si="4"/>
        <v>250.03</v>
      </c>
      <c r="C108" s="1" t="s">
        <v>2875</v>
      </c>
    </row>
    <row r="109" spans="2:3" hidden="1" x14ac:dyDescent="0.25">
      <c r="B109" s="2">
        <f t="shared" si="4"/>
        <v>250.04</v>
      </c>
      <c r="C109" s="1" t="s">
        <v>2876</v>
      </c>
    </row>
    <row r="110" spans="2:3" hidden="1" x14ac:dyDescent="0.25">
      <c r="B110" s="2">
        <f t="shared" si="4"/>
        <v>260.01</v>
      </c>
      <c r="C110" s="1" t="s">
        <v>2877</v>
      </c>
    </row>
    <row r="111" spans="2:3" hidden="1" x14ac:dyDescent="0.25">
      <c r="B111" s="2">
        <f t="shared" si="4"/>
        <v>260.02</v>
      </c>
      <c r="C111" s="1" t="s">
        <v>2878</v>
      </c>
    </row>
    <row r="112" spans="2:3" hidden="1" x14ac:dyDescent="0.25">
      <c r="B112" s="2">
        <f t="shared" si="4"/>
        <v>260.02999999999997</v>
      </c>
      <c r="C112" s="1" t="s">
        <v>2879</v>
      </c>
    </row>
    <row r="113" spans="2:3" hidden="1" x14ac:dyDescent="0.25">
      <c r="B113" s="2">
        <f t="shared" si="4"/>
        <v>260.04000000000002</v>
      </c>
      <c r="C113" s="1" t="s">
        <v>2880</v>
      </c>
    </row>
    <row r="114" spans="2:3" hidden="1" x14ac:dyDescent="0.25">
      <c r="B114" s="2">
        <f t="shared" si="4"/>
        <v>260.05</v>
      </c>
      <c r="C114" s="1" t="s">
        <v>2881</v>
      </c>
    </row>
    <row r="115" spans="2:3" hidden="1" x14ac:dyDescent="0.25">
      <c r="B115" s="2">
        <f t="shared" si="4"/>
        <v>270.01</v>
      </c>
      <c r="C115" s="1" t="s">
        <v>2882</v>
      </c>
    </row>
    <row r="116" spans="2:3" hidden="1" x14ac:dyDescent="0.25">
      <c r="B116" s="2">
        <f t="shared" si="4"/>
        <v>270.02</v>
      </c>
      <c r="C116" s="1" t="s">
        <v>2883</v>
      </c>
    </row>
    <row r="117" spans="2:3" hidden="1" x14ac:dyDescent="0.25">
      <c r="B117" s="2">
        <f t="shared" si="4"/>
        <v>270.02999999999997</v>
      </c>
      <c r="C117" s="1" t="s">
        <v>2884</v>
      </c>
    </row>
    <row r="118" spans="2:3" hidden="1" x14ac:dyDescent="0.25">
      <c r="B118" s="2">
        <f t="shared" si="4"/>
        <v>270.04000000000002</v>
      </c>
      <c r="C118" s="1" t="s">
        <v>2885</v>
      </c>
    </row>
    <row r="119" spans="2:3" hidden="1" x14ac:dyDescent="0.25">
      <c r="B119" s="2">
        <f t="shared" si="4"/>
        <v>280.01</v>
      </c>
      <c r="C119" s="1" t="s">
        <v>2886</v>
      </c>
    </row>
    <row r="120" spans="2:3" hidden="1" x14ac:dyDescent="0.25">
      <c r="B120" s="2">
        <f t="shared" si="4"/>
        <v>290.01</v>
      </c>
      <c r="C120" s="1" t="s">
        <v>2887</v>
      </c>
    </row>
    <row r="121" spans="2:3" hidden="1" x14ac:dyDescent="0.25">
      <c r="B121" s="2">
        <f t="shared" si="4"/>
        <v>300.01</v>
      </c>
      <c r="C121" s="1" t="s">
        <v>2888</v>
      </c>
    </row>
    <row r="122" spans="2:3" hidden="1" x14ac:dyDescent="0.25">
      <c r="B122" s="2">
        <f t="shared" si="4"/>
        <v>300.02</v>
      </c>
      <c r="C122" s="1" t="s">
        <v>2889</v>
      </c>
    </row>
    <row r="123" spans="2:3" hidden="1" x14ac:dyDescent="0.25">
      <c r="B123" s="2">
        <f t="shared" si="4"/>
        <v>300.02999999999997</v>
      </c>
      <c r="C123" s="1" t="s">
        <v>2890</v>
      </c>
    </row>
    <row r="124" spans="2:3" hidden="1" x14ac:dyDescent="0.25">
      <c r="B124" s="2">
        <f t="shared" si="4"/>
        <v>300.04000000000002</v>
      </c>
      <c r="C124" s="1" t="s">
        <v>2891</v>
      </c>
    </row>
    <row r="125" spans="2:3" hidden="1" x14ac:dyDescent="0.25">
      <c r="B125" s="2">
        <f t="shared" si="4"/>
        <v>310.01</v>
      </c>
      <c r="C125" s="1" t="s">
        <v>2892</v>
      </c>
    </row>
    <row r="126" spans="2:3" hidden="1" x14ac:dyDescent="0.25">
      <c r="B126" s="2">
        <f t="shared" si="4"/>
        <v>310.02</v>
      </c>
      <c r="C126" s="1" t="s">
        <v>2893</v>
      </c>
    </row>
    <row r="127" spans="2:3" hidden="1" x14ac:dyDescent="0.25">
      <c r="B127" s="2">
        <f t="shared" si="4"/>
        <v>320.01</v>
      </c>
      <c r="C127" s="1" t="s">
        <v>2894</v>
      </c>
    </row>
    <row r="128" spans="2:3" hidden="1" x14ac:dyDescent="0.25">
      <c r="B128" s="2">
        <f t="shared" si="4"/>
        <v>320.02</v>
      </c>
      <c r="C128" s="1" t="s">
        <v>2895</v>
      </c>
    </row>
    <row r="129" spans="2:3" hidden="1" x14ac:dyDescent="0.25">
      <c r="B129" s="2">
        <f t="shared" si="4"/>
        <v>320.02999999999997</v>
      </c>
      <c r="C129" s="1" t="s">
        <v>2896</v>
      </c>
    </row>
    <row r="130" spans="2:3" hidden="1" x14ac:dyDescent="0.25">
      <c r="B130" s="2">
        <f t="shared" si="4"/>
        <v>330.01</v>
      </c>
      <c r="C130" s="1" t="s">
        <v>2897</v>
      </c>
    </row>
    <row r="131" spans="2:3" hidden="1" x14ac:dyDescent="0.25">
      <c r="B131" s="2">
        <f t="shared" ref="B131:B194" si="5">MID(C131,1,7)*1</f>
        <v>330.02</v>
      </c>
      <c r="C131" s="1" t="s">
        <v>2898</v>
      </c>
    </row>
    <row r="132" spans="2:3" hidden="1" x14ac:dyDescent="0.25">
      <c r="B132" s="2">
        <f t="shared" si="5"/>
        <v>330.03</v>
      </c>
      <c r="C132" s="1" t="s">
        <v>2899</v>
      </c>
    </row>
    <row r="133" spans="2:3" hidden="1" x14ac:dyDescent="0.25">
      <c r="B133" s="2">
        <f t="shared" si="5"/>
        <v>330.04</v>
      </c>
      <c r="C133" s="1" t="s">
        <v>2900</v>
      </c>
    </row>
    <row r="134" spans="2:3" hidden="1" x14ac:dyDescent="0.25">
      <c r="B134" s="2">
        <f t="shared" si="5"/>
        <v>330.05</v>
      </c>
      <c r="C134" s="1" t="s">
        <v>2901</v>
      </c>
    </row>
    <row r="135" spans="2:3" hidden="1" x14ac:dyDescent="0.25">
      <c r="B135" s="2">
        <f t="shared" si="5"/>
        <v>330.06</v>
      </c>
      <c r="C135" s="1" t="s">
        <v>2902</v>
      </c>
    </row>
    <row r="136" spans="2:3" hidden="1" x14ac:dyDescent="0.25">
      <c r="B136" s="2">
        <f t="shared" si="5"/>
        <v>340.01</v>
      </c>
      <c r="C136" s="1" t="s">
        <v>2903</v>
      </c>
    </row>
    <row r="137" spans="2:3" hidden="1" x14ac:dyDescent="0.25">
      <c r="B137" s="2">
        <f t="shared" si="5"/>
        <v>340.02</v>
      </c>
      <c r="C137" s="1" t="s">
        <v>2904</v>
      </c>
    </row>
    <row r="138" spans="2:3" hidden="1" x14ac:dyDescent="0.25">
      <c r="B138" s="2">
        <f t="shared" si="5"/>
        <v>340.03</v>
      </c>
      <c r="C138" s="1" t="s">
        <v>2905</v>
      </c>
    </row>
    <row r="139" spans="2:3" hidden="1" x14ac:dyDescent="0.25">
      <c r="B139" s="2">
        <f t="shared" si="5"/>
        <v>340.04</v>
      </c>
      <c r="C139" s="1" t="s">
        <v>2906</v>
      </c>
    </row>
    <row r="140" spans="2:3" hidden="1" x14ac:dyDescent="0.25">
      <c r="B140" s="2">
        <f t="shared" si="5"/>
        <v>340.05</v>
      </c>
      <c r="C140" s="1" t="s">
        <v>2907</v>
      </c>
    </row>
    <row r="141" spans="2:3" hidden="1" x14ac:dyDescent="0.25">
      <c r="B141" s="2">
        <f t="shared" si="5"/>
        <v>340.06</v>
      </c>
      <c r="C141" s="1" t="s">
        <v>2908</v>
      </c>
    </row>
    <row r="142" spans="2:3" hidden="1" x14ac:dyDescent="0.25">
      <c r="B142" s="2">
        <f t="shared" si="5"/>
        <v>350.01</v>
      </c>
      <c r="C142" s="1" t="s">
        <v>2909</v>
      </c>
    </row>
    <row r="143" spans="2:3" hidden="1" x14ac:dyDescent="0.25">
      <c r="B143" s="2">
        <f t="shared" si="5"/>
        <v>350.02</v>
      </c>
      <c r="C143" s="1" t="s">
        <v>2910</v>
      </c>
    </row>
    <row r="144" spans="2:3" hidden="1" x14ac:dyDescent="0.25">
      <c r="B144" s="2">
        <f t="shared" si="5"/>
        <v>350.03</v>
      </c>
      <c r="C144" s="1" t="s">
        <v>2911</v>
      </c>
    </row>
    <row r="145" spans="2:3" hidden="1" x14ac:dyDescent="0.25">
      <c r="B145" s="2">
        <f t="shared" si="5"/>
        <v>350.04</v>
      </c>
      <c r="C145" s="1" t="s">
        <v>2912</v>
      </c>
    </row>
    <row r="146" spans="2:3" hidden="1" x14ac:dyDescent="0.25">
      <c r="B146" s="2">
        <f t="shared" si="5"/>
        <v>360.01</v>
      </c>
      <c r="C146" s="1" t="s">
        <v>2913</v>
      </c>
    </row>
    <row r="147" spans="2:3" hidden="1" x14ac:dyDescent="0.25">
      <c r="B147" s="2">
        <f t="shared" si="5"/>
        <v>360.02</v>
      </c>
      <c r="C147" s="1" t="s">
        <v>2914</v>
      </c>
    </row>
    <row r="148" spans="2:3" hidden="1" x14ac:dyDescent="0.25">
      <c r="B148" s="2">
        <f t="shared" si="5"/>
        <v>360.03</v>
      </c>
      <c r="C148" s="1" t="s">
        <v>2915</v>
      </c>
    </row>
    <row r="149" spans="2:3" hidden="1" x14ac:dyDescent="0.25">
      <c r="B149" s="2">
        <f t="shared" si="5"/>
        <v>370.01</v>
      </c>
      <c r="C149" s="1" t="s">
        <v>2916</v>
      </c>
    </row>
    <row r="150" spans="2:3" hidden="1" x14ac:dyDescent="0.25">
      <c r="B150" s="2">
        <f t="shared" si="5"/>
        <v>370.02</v>
      </c>
      <c r="C150" s="1" t="s">
        <v>2917</v>
      </c>
    </row>
    <row r="151" spans="2:3" hidden="1" x14ac:dyDescent="0.25">
      <c r="B151" s="2">
        <f t="shared" si="5"/>
        <v>370.03</v>
      </c>
      <c r="C151" s="1" t="s">
        <v>2918</v>
      </c>
    </row>
    <row r="152" spans="2:3" hidden="1" x14ac:dyDescent="0.25">
      <c r="B152" s="2">
        <f t="shared" si="5"/>
        <v>370.04</v>
      </c>
      <c r="C152" s="1" t="s">
        <v>2919</v>
      </c>
    </row>
    <row r="153" spans="2:3" hidden="1" x14ac:dyDescent="0.25">
      <c r="B153" s="2">
        <f t="shared" si="5"/>
        <v>370.05</v>
      </c>
      <c r="C153" s="1" t="s">
        <v>2920</v>
      </c>
    </row>
    <row r="154" spans="2:3" hidden="1" x14ac:dyDescent="0.25">
      <c r="B154" s="2">
        <f t="shared" si="5"/>
        <v>380.01</v>
      </c>
      <c r="C154" s="1" t="s">
        <v>2921</v>
      </c>
    </row>
    <row r="155" spans="2:3" hidden="1" x14ac:dyDescent="0.25">
      <c r="B155" s="2">
        <f t="shared" si="5"/>
        <v>380.01</v>
      </c>
      <c r="C155" s="1" t="s">
        <v>2922</v>
      </c>
    </row>
    <row r="156" spans="2:3" hidden="1" x14ac:dyDescent="0.25">
      <c r="B156" s="2">
        <f t="shared" si="5"/>
        <v>390.01</v>
      </c>
      <c r="C156" s="1" t="s">
        <v>2923</v>
      </c>
    </row>
    <row r="157" spans="2:3" hidden="1" x14ac:dyDescent="0.25">
      <c r="B157" s="2">
        <f t="shared" si="5"/>
        <v>390.02</v>
      </c>
      <c r="C157" s="1" t="s">
        <v>2924</v>
      </c>
    </row>
    <row r="158" spans="2:3" hidden="1" x14ac:dyDescent="0.25">
      <c r="B158" s="2">
        <f t="shared" si="5"/>
        <v>390.03</v>
      </c>
      <c r="C158" s="1" t="s">
        <v>2925</v>
      </c>
    </row>
    <row r="159" spans="2:3" hidden="1" x14ac:dyDescent="0.25">
      <c r="B159" s="2">
        <f t="shared" si="5"/>
        <v>400.01</v>
      </c>
      <c r="C159" s="1" t="s">
        <v>2926</v>
      </c>
    </row>
    <row r="160" spans="2:3" hidden="1" x14ac:dyDescent="0.25">
      <c r="B160" s="2">
        <f t="shared" si="5"/>
        <v>400.02</v>
      </c>
      <c r="C160" s="1" t="s">
        <v>2927</v>
      </c>
    </row>
    <row r="161" spans="2:3" hidden="1" x14ac:dyDescent="0.25">
      <c r="B161" s="2">
        <f t="shared" si="5"/>
        <v>400.03</v>
      </c>
      <c r="C161" s="1" t="s">
        <v>2928</v>
      </c>
    </row>
    <row r="162" spans="2:3" hidden="1" x14ac:dyDescent="0.25">
      <c r="B162" s="2">
        <f t="shared" si="5"/>
        <v>410.01</v>
      </c>
      <c r="C162" s="1" t="s">
        <v>2929</v>
      </c>
    </row>
    <row r="163" spans="2:3" hidden="1" x14ac:dyDescent="0.25">
      <c r="B163" s="2">
        <f t="shared" si="5"/>
        <v>410.02</v>
      </c>
      <c r="C163" s="1" t="s">
        <v>2930</v>
      </c>
    </row>
    <row r="164" spans="2:3" hidden="1" x14ac:dyDescent="0.25">
      <c r="B164" s="2">
        <f t="shared" si="5"/>
        <v>410.03</v>
      </c>
      <c r="C164" s="1" t="s">
        <v>2931</v>
      </c>
    </row>
    <row r="165" spans="2:3" hidden="1" x14ac:dyDescent="0.25">
      <c r="B165" s="2">
        <f t="shared" si="5"/>
        <v>410.04</v>
      </c>
      <c r="C165" s="1" t="s">
        <v>2932</v>
      </c>
    </row>
    <row r="166" spans="2:3" hidden="1" x14ac:dyDescent="0.25">
      <c r="B166" s="2">
        <f t="shared" si="5"/>
        <v>420.01</v>
      </c>
      <c r="C166" s="1" t="s">
        <v>2933</v>
      </c>
    </row>
    <row r="167" spans="2:3" hidden="1" x14ac:dyDescent="0.25">
      <c r="B167" s="2">
        <f t="shared" si="5"/>
        <v>420.02</v>
      </c>
      <c r="C167" s="1" t="s">
        <v>2934</v>
      </c>
    </row>
    <row r="168" spans="2:3" hidden="1" x14ac:dyDescent="0.25">
      <c r="B168" s="2">
        <f t="shared" si="5"/>
        <v>420.03</v>
      </c>
      <c r="C168" s="1" t="s">
        <v>2935</v>
      </c>
    </row>
    <row r="169" spans="2:3" hidden="1" x14ac:dyDescent="0.25">
      <c r="B169" s="2">
        <f t="shared" si="5"/>
        <v>430.01</v>
      </c>
      <c r="C169" s="1" t="s">
        <v>2936</v>
      </c>
    </row>
    <row r="170" spans="2:3" hidden="1" x14ac:dyDescent="0.25">
      <c r="B170" s="2">
        <f t="shared" si="5"/>
        <v>430.02</v>
      </c>
      <c r="C170" s="1" t="s">
        <v>2937</v>
      </c>
    </row>
    <row r="171" spans="2:3" hidden="1" x14ac:dyDescent="0.25">
      <c r="B171" s="2">
        <f t="shared" si="5"/>
        <v>430.03</v>
      </c>
      <c r="C171" s="1" t="s">
        <v>2938</v>
      </c>
    </row>
    <row r="172" spans="2:3" hidden="1" x14ac:dyDescent="0.25">
      <c r="B172" s="2">
        <f t="shared" si="5"/>
        <v>430.04</v>
      </c>
      <c r="C172" s="1" t="s">
        <v>2939</v>
      </c>
    </row>
    <row r="173" spans="2:3" hidden="1" x14ac:dyDescent="0.25">
      <c r="B173" s="2">
        <f t="shared" si="5"/>
        <v>430.05</v>
      </c>
      <c r="C173" s="1" t="s">
        <v>2940</v>
      </c>
    </row>
    <row r="174" spans="2:3" hidden="1" x14ac:dyDescent="0.25">
      <c r="B174" s="2">
        <f t="shared" si="5"/>
        <v>430.06</v>
      </c>
      <c r="C174" s="1" t="s">
        <v>2941</v>
      </c>
    </row>
    <row r="175" spans="2:3" hidden="1" x14ac:dyDescent="0.25">
      <c r="B175" s="2">
        <f t="shared" si="5"/>
        <v>440.01</v>
      </c>
      <c r="C175" s="1" t="s">
        <v>2942</v>
      </c>
    </row>
    <row r="176" spans="2:3" hidden="1" x14ac:dyDescent="0.25">
      <c r="B176" s="2">
        <f t="shared" si="5"/>
        <v>440.02</v>
      </c>
      <c r="C176" s="1" t="s">
        <v>2943</v>
      </c>
    </row>
    <row r="177" spans="2:3" hidden="1" x14ac:dyDescent="0.25">
      <c r="B177" s="2">
        <f t="shared" si="5"/>
        <v>440.03</v>
      </c>
      <c r="C177" s="1" t="s">
        <v>2944</v>
      </c>
    </row>
    <row r="178" spans="2:3" hidden="1" x14ac:dyDescent="0.25">
      <c r="B178" s="2">
        <f t="shared" si="5"/>
        <v>440.04</v>
      </c>
      <c r="C178" s="1" t="s">
        <v>2945</v>
      </c>
    </row>
    <row r="179" spans="2:3" hidden="1" x14ac:dyDescent="0.25">
      <c r="B179" s="2">
        <f t="shared" si="5"/>
        <v>440.05</v>
      </c>
      <c r="C179" s="1" t="s">
        <v>2946</v>
      </c>
    </row>
    <row r="180" spans="2:3" hidden="1" x14ac:dyDescent="0.25">
      <c r="B180" s="2">
        <f t="shared" si="5"/>
        <v>440.06</v>
      </c>
      <c r="C180" s="1" t="s">
        <v>2947</v>
      </c>
    </row>
    <row r="181" spans="2:3" hidden="1" x14ac:dyDescent="0.25">
      <c r="B181" s="2">
        <f t="shared" si="5"/>
        <v>440.07</v>
      </c>
      <c r="C181" s="1" t="s">
        <v>2948</v>
      </c>
    </row>
    <row r="182" spans="2:3" hidden="1" x14ac:dyDescent="0.25">
      <c r="B182" s="2">
        <f t="shared" si="5"/>
        <v>440.08</v>
      </c>
      <c r="C182" s="1" t="s">
        <v>2949</v>
      </c>
    </row>
    <row r="183" spans="2:3" hidden="1" x14ac:dyDescent="0.25">
      <c r="B183" s="2">
        <f t="shared" si="5"/>
        <v>440.09</v>
      </c>
      <c r="C183" s="1" t="s">
        <v>2950</v>
      </c>
    </row>
    <row r="184" spans="2:3" hidden="1" x14ac:dyDescent="0.25">
      <c r="B184" s="2">
        <f t="shared" si="5"/>
        <v>440.1</v>
      </c>
      <c r="C184" s="1" t="s">
        <v>2951</v>
      </c>
    </row>
    <row r="185" spans="2:3" hidden="1" x14ac:dyDescent="0.25">
      <c r="B185" s="2">
        <f t="shared" si="5"/>
        <v>440.11</v>
      </c>
      <c r="C185" s="1" t="s">
        <v>2952</v>
      </c>
    </row>
    <row r="186" spans="2:3" hidden="1" x14ac:dyDescent="0.25">
      <c r="B186" s="2">
        <f t="shared" si="5"/>
        <v>440.12</v>
      </c>
      <c r="C186" s="1" t="s">
        <v>2953</v>
      </c>
    </row>
    <row r="187" spans="2:3" hidden="1" x14ac:dyDescent="0.25">
      <c r="B187" s="2">
        <f t="shared" si="5"/>
        <v>440.13</v>
      </c>
      <c r="C187" s="1" t="s">
        <v>2954</v>
      </c>
    </row>
    <row r="188" spans="2:3" hidden="1" x14ac:dyDescent="0.25">
      <c r="B188" s="2">
        <f t="shared" si="5"/>
        <v>440.14</v>
      </c>
      <c r="C188" s="1" t="s">
        <v>2955</v>
      </c>
    </row>
    <row r="189" spans="2:3" hidden="1" x14ac:dyDescent="0.25">
      <c r="B189" s="2">
        <f t="shared" si="5"/>
        <v>440.15</v>
      </c>
      <c r="C189" s="1" t="s">
        <v>2956</v>
      </c>
    </row>
    <row r="190" spans="2:3" hidden="1" x14ac:dyDescent="0.25">
      <c r="B190" s="2">
        <f t="shared" si="5"/>
        <v>440.16</v>
      </c>
      <c r="C190" s="1" t="s">
        <v>2957</v>
      </c>
    </row>
    <row r="191" spans="2:3" hidden="1" x14ac:dyDescent="0.25">
      <c r="B191" s="2">
        <f t="shared" si="5"/>
        <v>440.17</v>
      </c>
      <c r="C191" s="1" t="s">
        <v>2958</v>
      </c>
    </row>
    <row r="192" spans="2:3" hidden="1" x14ac:dyDescent="0.25">
      <c r="B192" s="2">
        <f t="shared" si="5"/>
        <v>440.18</v>
      </c>
      <c r="C192" s="1" t="s">
        <v>2959</v>
      </c>
    </row>
    <row r="193" spans="2:3" hidden="1" x14ac:dyDescent="0.25">
      <c r="B193" s="2">
        <f t="shared" si="5"/>
        <v>440.19</v>
      </c>
      <c r="C193" s="1" t="s">
        <v>2960</v>
      </c>
    </row>
    <row r="194" spans="2:3" hidden="1" x14ac:dyDescent="0.25">
      <c r="B194" s="2">
        <f t="shared" si="5"/>
        <v>440.2</v>
      </c>
      <c r="C194" s="1" t="s">
        <v>2961</v>
      </c>
    </row>
    <row r="195" spans="2:3" hidden="1" x14ac:dyDescent="0.25">
      <c r="B195" s="2">
        <f t="shared" ref="B195:B258" si="6">MID(C195,1,7)*1</f>
        <v>440.21</v>
      </c>
      <c r="C195" s="1" t="s">
        <v>2962</v>
      </c>
    </row>
    <row r="196" spans="2:3" hidden="1" x14ac:dyDescent="0.25">
      <c r="B196" s="2">
        <f t="shared" si="6"/>
        <v>440.21</v>
      </c>
      <c r="C196" s="1" t="s">
        <v>2963</v>
      </c>
    </row>
    <row r="197" spans="2:3" hidden="1" x14ac:dyDescent="0.25">
      <c r="B197" s="2">
        <f t="shared" si="6"/>
        <v>440.22</v>
      </c>
      <c r="C197" s="1" t="s">
        <v>2964</v>
      </c>
    </row>
    <row r="198" spans="2:3" hidden="1" x14ac:dyDescent="0.25">
      <c r="B198" s="2">
        <f t="shared" si="6"/>
        <v>440.23</v>
      </c>
      <c r="C198" s="1" t="s">
        <v>2965</v>
      </c>
    </row>
    <row r="199" spans="2:3" hidden="1" x14ac:dyDescent="0.25">
      <c r="B199" s="2">
        <f t="shared" si="6"/>
        <v>440.24</v>
      </c>
      <c r="C199" s="1" t="s">
        <v>2966</v>
      </c>
    </row>
    <row r="200" spans="2:3" hidden="1" x14ac:dyDescent="0.25">
      <c r="B200" s="2">
        <f t="shared" si="6"/>
        <v>440.25</v>
      </c>
      <c r="C200" s="1" t="s">
        <v>2967</v>
      </c>
    </row>
    <row r="201" spans="2:3" hidden="1" x14ac:dyDescent="0.25">
      <c r="B201" s="2">
        <f t="shared" si="6"/>
        <v>440.26</v>
      </c>
      <c r="C201" s="1" t="s">
        <v>2968</v>
      </c>
    </row>
    <row r="202" spans="2:3" hidden="1" x14ac:dyDescent="0.25">
      <c r="B202" s="2">
        <f t="shared" si="6"/>
        <v>440.27</v>
      </c>
      <c r="C202" s="1" t="s">
        <v>2969</v>
      </c>
    </row>
    <row r="203" spans="2:3" hidden="1" x14ac:dyDescent="0.25">
      <c r="B203" s="2">
        <f t="shared" si="6"/>
        <v>440.28</v>
      </c>
      <c r="C203" s="1" t="s">
        <v>2970</v>
      </c>
    </row>
    <row r="204" spans="2:3" hidden="1" x14ac:dyDescent="0.25">
      <c r="B204" s="2">
        <f t="shared" si="6"/>
        <v>440.29</v>
      </c>
      <c r="C204" s="1" t="s">
        <v>2971</v>
      </c>
    </row>
    <row r="205" spans="2:3" hidden="1" x14ac:dyDescent="0.25">
      <c r="B205" s="2">
        <f t="shared" si="6"/>
        <v>440.3</v>
      </c>
      <c r="C205" s="1" t="s">
        <v>2972</v>
      </c>
    </row>
    <row r="206" spans="2:3" hidden="1" x14ac:dyDescent="0.25">
      <c r="B206" s="2">
        <f t="shared" si="6"/>
        <v>440.31</v>
      </c>
      <c r="C206" s="1" t="s">
        <v>2973</v>
      </c>
    </row>
    <row r="207" spans="2:3" hidden="1" x14ac:dyDescent="0.25">
      <c r="B207" s="2">
        <f t="shared" si="6"/>
        <v>440.32</v>
      </c>
      <c r="C207" s="1" t="s">
        <v>2974</v>
      </c>
    </row>
    <row r="208" spans="2:3" hidden="1" x14ac:dyDescent="0.25">
      <c r="B208" s="2">
        <f t="shared" si="6"/>
        <v>440.33</v>
      </c>
      <c r="C208" s="1" t="s">
        <v>2975</v>
      </c>
    </row>
    <row r="209" spans="2:3" hidden="1" x14ac:dyDescent="0.25">
      <c r="B209" s="2">
        <f t="shared" si="6"/>
        <v>440.34</v>
      </c>
      <c r="C209" s="1" t="s">
        <v>2976</v>
      </c>
    </row>
    <row r="210" spans="2:3" hidden="1" x14ac:dyDescent="0.25">
      <c r="B210" s="2">
        <f t="shared" si="6"/>
        <v>440.35</v>
      </c>
      <c r="C210" s="1" t="s">
        <v>2977</v>
      </c>
    </row>
    <row r="211" spans="2:3" hidden="1" x14ac:dyDescent="0.25">
      <c r="B211" s="2">
        <f t="shared" si="6"/>
        <v>440.36</v>
      </c>
      <c r="C211" s="1" t="s">
        <v>2978</v>
      </c>
    </row>
    <row r="212" spans="2:3" hidden="1" x14ac:dyDescent="0.25">
      <c r="B212" s="2">
        <f t="shared" si="6"/>
        <v>440.37</v>
      </c>
      <c r="C212" s="1" t="s">
        <v>2979</v>
      </c>
    </row>
    <row r="213" spans="2:3" hidden="1" x14ac:dyDescent="0.25">
      <c r="B213" s="2">
        <f t="shared" si="6"/>
        <v>440.38</v>
      </c>
      <c r="C213" s="1" t="s">
        <v>2980</v>
      </c>
    </row>
    <row r="214" spans="2:3" hidden="1" x14ac:dyDescent="0.25">
      <c r="B214" s="2">
        <f t="shared" si="6"/>
        <v>440.39</v>
      </c>
      <c r="C214" s="1" t="s">
        <v>2981</v>
      </c>
    </row>
    <row r="215" spans="2:3" hidden="1" x14ac:dyDescent="0.25">
      <c r="B215" s="2">
        <f t="shared" si="6"/>
        <v>440.4</v>
      </c>
      <c r="C215" s="1" t="s">
        <v>2982</v>
      </c>
    </row>
    <row r="216" spans="2:3" hidden="1" x14ac:dyDescent="0.25">
      <c r="B216" s="2">
        <f t="shared" si="6"/>
        <v>440.41</v>
      </c>
      <c r="C216" s="1" t="s">
        <v>2983</v>
      </c>
    </row>
    <row r="217" spans="2:3" hidden="1" x14ac:dyDescent="0.25">
      <c r="B217" s="2">
        <f t="shared" si="6"/>
        <v>440.42</v>
      </c>
      <c r="C217" s="1" t="s">
        <v>2984</v>
      </c>
    </row>
    <row r="218" spans="2:3" hidden="1" x14ac:dyDescent="0.25">
      <c r="B218" s="2">
        <f t="shared" si="6"/>
        <v>440.43</v>
      </c>
      <c r="C218" s="1" t="s">
        <v>2985</v>
      </c>
    </row>
    <row r="219" spans="2:3" hidden="1" x14ac:dyDescent="0.25">
      <c r="B219" s="2">
        <f t="shared" si="6"/>
        <v>440.44</v>
      </c>
      <c r="C219" s="1" t="s">
        <v>2986</v>
      </c>
    </row>
    <row r="220" spans="2:3" hidden="1" x14ac:dyDescent="0.25">
      <c r="B220" s="2">
        <f t="shared" si="6"/>
        <v>440.45</v>
      </c>
      <c r="C220" s="1" t="s">
        <v>2987</v>
      </c>
    </row>
    <row r="221" spans="2:3" hidden="1" x14ac:dyDescent="0.25">
      <c r="B221" s="2">
        <f t="shared" si="6"/>
        <v>440.46</v>
      </c>
      <c r="C221" s="1" t="s">
        <v>2988</v>
      </c>
    </row>
    <row r="222" spans="2:3" hidden="1" x14ac:dyDescent="0.25">
      <c r="B222" s="2">
        <f t="shared" si="6"/>
        <v>440.47</v>
      </c>
      <c r="C222" s="1" t="s">
        <v>2989</v>
      </c>
    </row>
    <row r="223" spans="2:3" hidden="1" x14ac:dyDescent="0.25">
      <c r="B223" s="2">
        <f t="shared" si="6"/>
        <v>440.48</v>
      </c>
      <c r="C223" s="1" t="s">
        <v>2990</v>
      </c>
    </row>
    <row r="224" spans="2:3" hidden="1" x14ac:dyDescent="0.25">
      <c r="B224" s="2">
        <f t="shared" si="6"/>
        <v>440.49</v>
      </c>
      <c r="C224" s="1" t="s">
        <v>2991</v>
      </c>
    </row>
    <row r="225" spans="2:3" hidden="1" x14ac:dyDescent="0.25">
      <c r="B225" s="2">
        <f t="shared" si="6"/>
        <v>440.5</v>
      </c>
      <c r="C225" s="1" t="s">
        <v>2992</v>
      </c>
    </row>
    <row r="226" spans="2:3" hidden="1" x14ac:dyDescent="0.25">
      <c r="B226" s="2">
        <f t="shared" si="6"/>
        <v>440.51</v>
      </c>
      <c r="C226" s="1" t="s">
        <v>2993</v>
      </c>
    </row>
    <row r="227" spans="2:3" hidden="1" x14ac:dyDescent="0.25">
      <c r="B227" s="2">
        <f t="shared" si="6"/>
        <v>440.52</v>
      </c>
      <c r="C227" s="1" t="s">
        <v>2994</v>
      </c>
    </row>
    <row r="228" spans="2:3" hidden="1" x14ac:dyDescent="0.25">
      <c r="B228" s="2">
        <f t="shared" si="6"/>
        <v>440.53</v>
      </c>
      <c r="C228" s="1" t="s">
        <v>2995</v>
      </c>
    </row>
    <row r="229" spans="2:3" hidden="1" x14ac:dyDescent="0.25">
      <c r="B229" s="2">
        <f t="shared" si="6"/>
        <v>440.54</v>
      </c>
      <c r="C229" s="1" t="s">
        <v>2996</v>
      </c>
    </row>
    <row r="230" spans="2:3" hidden="1" x14ac:dyDescent="0.25">
      <c r="B230" s="2">
        <f t="shared" si="6"/>
        <v>440.55</v>
      </c>
      <c r="C230" s="1" t="s">
        <v>2997</v>
      </c>
    </row>
    <row r="231" spans="2:3" hidden="1" x14ac:dyDescent="0.25">
      <c r="B231" s="2">
        <f t="shared" si="6"/>
        <v>440.56</v>
      </c>
      <c r="C231" s="1" t="s">
        <v>2998</v>
      </c>
    </row>
    <row r="232" spans="2:3" hidden="1" x14ac:dyDescent="0.25">
      <c r="B232" s="2">
        <f t="shared" si="6"/>
        <v>440.57</v>
      </c>
      <c r="C232" s="1" t="s">
        <v>2999</v>
      </c>
    </row>
    <row r="233" spans="2:3" hidden="1" x14ac:dyDescent="0.25">
      <c r="B233" s="2">
        <f t="shared" si="6"/>
        <v>440.58</v>
      </c>
      <c r="C233" s="1" t="s">
        <v>3000</v>
      </c>
    </row>
    <row r="234" spans="2:3" hidden="1" x14ac:dyDescent="0.25">
      <c r="B234" s="2">
        <f t="shared" si="6"/>
        <v>440.59</v>
      </c>
      <c r="C234" s="1" t="s">
        <v>3001</v>
      </c>
    </row>
    <row r="235" spans="2:3" hidden="1" x14ac:dyDescent="0.25">
      <c r="B235" s="2">
        <f t="shared" si="6"/>
        <v>440.6</v>
      </c>
      <c r="C235" s="1" t="s">
        <v>3002</v>
      </c>
    </row>
    <row r="236" spans="2:3" hidden="1" x14ac:dyDescent="0.25">
      <c r="B236" s="2">
        <f t="shared" si="6"/>
        <v>440.61</v>
      </c>
      <c r="C236" s="1" t="s">
        <v>3003</v>
      </c>
    </row>
    <row r="237" spans="2:3" hidden="1" x14ac:dyDescent="0.25">
      <c r="B237" s="2">
        <f t="shared" si="6"/>
        <v>440.62</v>
      </c>
      <c r="C237" s="1" t="s">
        <v>3004</v>
      </c>
    </row>
    <row r="238" spans="2:3" hidden="1" x14ac:dyDescent="0.25">
      <c r="B238" s="2">
        <f t="shared" si="6"/>
        <v>440.63</v>
      </c>
      <c r="C238" s="1" t="s">
        <v>3005</v>
      </c>
    </row>
    <row r="239" spans="2:3" hidden="1" x14ac:dyDescent="0.25">
      <c r="B239" s="2">
        <f t="shared" si="6"/>
        <v>440.64</v>
      </c>
      <c r="C239" s="1" t="s">
        <v>3006</v>
      </c>
    </row>
    <row r="240" spans="2:3" hidden="1" x14ac:dyDescent="0.25">
      <c r="B240" s="2">
        <f t="shared" si="6"/>
        <v>440.65</v>
      </c>
      <c r="C240" s="1" t="s">
        <v>3007</v>
      </c>
    </row>
    <row r="241" spans="2:3" hidden="1" x14ac:dyDescent="0.25">
      <c r="B241" s="2">
        <f t="shared" si="6"/>
        <v>440.66</v>
      </c>
      <c r="C241" s="1" t="s">
        <v>3008</v>
      </c>
    </row>
    <row r="242" spans="2:3" hidden="1" x14ac:dyDescent="0.25">
      <c r="B242" s="2">
        <f t="shared" si="6"/>
        <v>440.67</v>
      </c>
      <c r="C242" s="1" t="s">
        <v>3009</v>
      </c>
    </row>
    <row r="243" spans="2:3" hidden="1" x14ac:dyDescent="0.25">
      <c r="B243" s="2">
        <f t="shared" si="6"/>
        <v>440.68</v>
      </c>
      <c r="C243" s="1" t="s">
        <v>3010</v>
      </c>
    </row>
    <row r="244" spans="2:3" hidden="1" x14ac:dyDescent="0.25">
      <c r="B244" s="2">
        <f t="shared" si="6"/>
        <v>440.69</v>
      </c>
      <c r="C244" s="1" t="s">
        <v>3011</v>
      </c>
    </row>
    <row r="245" spans="2:3" hidden="1" x14ac:dyDescent="0.25">
      <c r="B245" s="2">
        <f t="shared" si="6"/>
        <v>440.7</v>
      </c>
      <c r="C245" s="1" t="s">
        <v>3012</v>
      </c>
    </row>
    <row r="246" spans="2:3" hidden="1" x14ac:dyDescent="0.25">
      <c r="B246" s="2">
        <f t="shared" si="6"/>
        <v>440.71</v>
      </c>
      <c r="C246" s="1" t="s">
        <v>3013</v>
      </c>
    </row>
    <row r="247" spans="2:3" hidden="1" x14ac:dyDescent="0.25">
      <c r="B247" s="2">
        <f t="shared" si="6"/>
        <v>440.72</v>
      </c>
      <c r="C247" s="1" t="s">
        <v>3014</v>
      </c>
    </row>
    <row r="248" spans="2:3" hidden="1" x14ac:dyDescent="0.25">
      <c r="B248" s="2">
        <f t="shared" si="6"/>
        <v>440.73</v>
      </c>
      <c r="C248" s="1" t="s">
        <v>3015</v>
      </c>
    </row>
    <row r="249" spans="2:3" hidden="1" x14ac:dyDescent="0.25">
      <c r="B249" s="2">
        <f t="shared" si="6"/>
        <v>440.74</v>
      </c>
      <c r="C249" s="1" t="s">
        <v>3016</v>
      </c>
    </row>
    <row r="250" spans="2:3" hidden="1" x14ac:dyDescent="0.25">
      <c r="B250" s="2">
        <f t="shared" si="6"/>
        <v>440.75</v>
      </c>
      <c r="C250" s="1" t="s">
        <v>3017</v>
      </c>
    </row>
    <row r="251" spans="2:3" hidden="1" x14ac:dyDescent="0.25">
      <c r="B251" s="2">
        <f t="shared" si="6"/>
        <v>440.76</v>
      </c>
      <c r="C251" s="1" t="s">
        <v>3018</v>
      </c>
    </row>
    <row r="252" spans="2:3" hidden="1" x14ac:dyDescent="0.25">
      <c r="B252" s="2">
        <f t="shared" si="6"/>
        <v>440.77</v>
      </c>
      <c r="C252" s="1" t="s">
        <v>3019</v>
      </c>
    </row>
    <row r="253" spans="2:3" hidden="1" x14ac:dyDescent="0.25">
      <c r="B253" s="2">
        <f t="shared" si="6"/>
        <v>440.78</v>
      </c>
      <c r="C253" s="1" t="s">
        <v>3020</v>
      </c>
    </row>
    <row r="254" spans="2:3" hidden="1" x14ac:dyDescent="0.25">
      <c r="B254" s="2">
        <f t="shared" si="6"/>
        <v>440.79</v>
      </c>
      <c r="C254" s="1" t="s">
        <v>3021</v>
      </c>
    </row>
    <row r="255" spans="2:3" hidden="1" x14ac:dyDescent="0.25">
      <c r="B255" s="2">
        <f t="shared" si="6"/>
        <v>440.8</v>
      </c>
      <c r="C255" s="1" t="s">
        <v>3022</v>
      </c>
    </row>
    <row r="256" spans="2:3" hidden="1" x14ac:dyDescent="0.25">
      <c r="B256" s="2">
        <f t="shared" si="6"/>
        <v>440.81</v>
      </c>
      <c r="C256" s="1" t="s">
        <v>3023</v>
      </c>
    </row>
    <row r="257" spans="2:3" hidden="1" x14ac:dyDescent="0.25">
      <c r="B257" s="2">
        <f t="shared" si="6"/>
        <v>440.82</v>
      </c>
      <c r="C257" s="1" t="s">
        <v>3024</v>
      </c>
    </row>
    <row r="258" spans="2:3" hidden="1" x14ac:dyDescent="0.25">
      <c r="B258" s="2">
        <f t="shared" si="6"/>
        <v>440.83</v>
      </c>
      <c r="C258" s="1" t="s">
        <v>3025</v>
      </c>
    </row>
    <row r="259" spans="2:3" hidden="1" x14ac:dyDescent="0.25">
      <c r="B259" s="2">
        <f t="shared" ref="B259:B322" si="7">MID(C259,1,7)*1</f>
        <v>440.84</v>
      </c>
      <c r="C259" s="1" t="s">
        <v>3026</v>
      </c>
    </row>
    <row r="260" spans="2:3" hidden="1" x14ac:dyDescent="0.25">
      <c r="B260" s="2">
        <f t="shared" si="7"/>
        <v>440.85</v>
      </c>
      <c r="C260" s="1" t="s">
        <v>3027</v>
      </c>
    </row>
    <row r="261" spans="2:3" hidden="1" x14ac:dyDescent="0.25">
      <c r="B261" s="2">
        <f t="shared" si="7"/>
        <v>440.86</v>
      </c>
      <c r="C261" s="1" t="s">
        <v>3028</v>
      </c>
    </row>
    <row r="262" spans="2:3" hidden="1" x14ac:dyDescent="0.25">
      <c r="B262" s="2">
        <f t="shared" si="7"/>
        <v>440.87</v>
      </c>
      <c r="C262" s="1" t="s">
        <v>3029</v>
      </c>
    </row>
    <row r="263" spans="2:3" hidden="1" x14ac:dyDescent="0.25">
      <c r="B263" s="2">
        <f t="shared" si="7"/>
        <v>440.88</v>
      </c>
      <c r="C263" s="1" t="s">
        <v>3030</v>
      </c>
    </row>
    <row r="264" spans="2:3" hidden="1" x14ac:dyDescent="0.25">
      <c r="B264" s="2">
        <f t="shared" si="7"/>
        <v>440.89</v>
      </c>
      <c r="C264" s="1" t="s">
        <v>3031</v>
      </c>
    </row>
    <row r="265" spans="2:3" hidden="1" x14ac:dyDescent="0.25">
      <c r="B265" s="2">
        <f t="shared" si="7"/>
        <v>440.9</v>
      </c>
      <c r="C265" s="1" t="s">
        <v>3032</v>
      </c>
    </row>
    <row r="266" spans="2:3" hidden="1" x14ac:dyDescent="0.25">
      <c r="B266" s="2">
        <f t="shared" si="7"/>
        <v>440.91</v>
      </c>
      <c r="C266" s="1" t="s">
        <v>3033</v>
      </c>
    </row>
    <row r="267" spans="2:3" hidden="1" x14ac:dyDescent="0.25">
      <c r="B267" s="2">
        <f t="shared" si="7"/>
        <v>440.92</v>
      </c>
      <c r="C267" s="1" t="s">
        <v>3034</v>
      </c>
    </row>
    <row r="268" spans="2:3" hidden="1" x14ac:dyDescent="0.25">
      <c r="B268" s="2">
        <f t="shared" si="7"/>
        <v>440.93</v>
      </c>
      <c r="C268" s="1" t="s">
        <v>3035</v>
      </c>
    </row>
    <row r="269" spans="2:3" hidden="1" x14ac:dyDescent="0.25">
      <c r="B269" s="2">
        <f t="shared" si="7"/>
        <v>440.94</v>
      </c>
      <c r="C269" s="1" t="s">
        <v>3036</v>
      </c>
    </row>
    <row r="270" spans="2:3" hidden="1" x14ac:dyDescent="0.25">
      <c r="B270" s="2">
        <f t="shared" si="7"/>
        <v>440.95</v>
      </c>
      <c r="C270" s="1" t="s">
        <v>3037</v>
      </c>
    </row>
    <row r="271" spans="2:3" hidden="1" x14ac:dyDescent="0.25">
      <c r="B271" s="2">
        <f t="shared" si="7"/>
        <v>440.96</v>
      </c>
      <c r="C271" s="1" t="s">
        <v>3038</v>
      </c>
    </row>
    <row r="272" spans="2:3" hidden="1" x14ac:dyDescent="0.25">
      <c r="B272" s="2">
        <f t="shared" si="7"/>
        <v>440.97</v>
      </c>
      <c r="C272" s="1" t="s">
        <v>3039</v>
      </c>
    </row>
    <row r="273" spans="2:3" hidden="1" x14ac:dyDescent="0.25">
      <c r="B273" s="2">
        <f t="shared" si="7"/>
        <v>440.98</v>
      </c>
      <c r="C273" s="1" t="s">
        <v>3040</v>
      </c>
    </row>
    <row r="274" spans="2:3" hidden="1" x14ac:dyDescent="0.25">
      <c r="B274" s="2">
        <f t="shared" si="7"/>
        <v>440.99</v>
      </c>
      <c r="C274" s="1" t="s">
        <v>3041</v>
      </c>
    </row>
    <row r="275" spans="2:3" hidden="1" x14ac:dyDescent="0.25">
      <c r="B275" s="2">
        <f t="shared" si="7"/>
        <v>445.01</v>
      </c>
      <c r="C275" s="1" t="s">
        <v>3042</v>
      </c>
    </row>
    <row r="276" spans="2:3" hidden="1" x14ac:dyDescent="0.25">
      <c r="B276" s="2">
        <f t="shared" si="7"/>
        <v>445.02</v>
      </c>
      <c r="C276" s="1" t="s">
        <v>3043</v>
      </c>
    </row>
    <row r="277" spans="2:3" hidden="1" x14ac:dyDescent="0.25">
      <c r="B277" s="2">
        <f t="shared" si="7"/>
        <v>445.03</v>
      </c>
      <c r="C277" s="1" t="s">
        <v>3044</v>
      </c>
    </row>
    <row r="278" spans="2:3" hidden="1" x14ac:dyDescent="0.25">
      <c r="B278" s="2">
        <f t="shared" si="7"/>
        <v>445.04</v>
      </c>
      <c r="C278" s="1" t="s">
        <v>3045</v>
      </c>
    </row>
    <row r="279" spans="2:3" hidden="1" x14ac:dyDescent="0.25">
      <c r="B279" s="2">
        <f t="shared" si="7"/>
        <v>445.05</v>
      </c>
      <c r="C279" s="1" t="s">
        <v>3046</v>
      </c>
    </row>
    <row r="280" spans="2:3" hidden="1" x14ac:dyDescent="0.25">
      <c r="B280" s="2">
        <f t="shared" si="7"/>
        <v>445.06</v>
      </c>
      <c r="C280" s="1" t="s">
        <v>3047</v>
      </c>
    </row>
    <row r="281" spans="2:3" hidden="1" x14ac:dyDescent="0.25">
      <c r="B281" s="2">
        <f t="shared" si="7"/>
        <v>445.07</v>
      </c>
      <c r="C281" s="1" t="s">
        <v>3048</v>
      </c>
    </row>
    <row r="282" spans="2:3" hidden="1" x14ac:dyDescent="0.25">
      <c r="B282" s="2">
        <f t="shared" si="7"/>
        <v>445.08</v>
      </c>
      <c r="C282" s="1" t="s">
        <v>3049</v>
      </c>
    </row>
    <row r="283" spans="2:3" hidden="1" x14ac:dyDescent="0.25">
      <c r="B283" s="2">
        <f t="shared" si="7"/>
        <v>445.09</v>
      </c>
      <c r="C283" s="1" t="s">
        <v>3050</v>
      </c>
    </row>
    <row r="284" spans="2:3" hidden="1" x14ac:dyDescent="0.25">
      <c r="B284" s="2">
        <f t="shared" si="7"/>
        <v>445.1</v>
      </c>
      <c r="C284" s="1" t="s">
        <v>3051</v>
      </c>
    </row>
    <row r="285" spans="2:3" hidden="1" x14ac:dyDescent="0.25">
      <c r="B285" s="2">
        <f t="shared" si="7"/>
        <v>445.11</v>
      </c>
      <c r="C285" s="1" t="s">
        <v>3052</v>
      </c>
    </row>
    <row r="286" spans="2:3" hidden="1" x14ac:dyDescent="0.25">
      <c r="B286" s="2">
        <f t="shared" si="7"/>
        <v>445.12</v>
      </c>
      <c r="C286" s="1" t="s">
        <v>3053</v>
      </c>
    </row>
    <row r="287" spans="2:3" hidden="1" x14ac:dyDescent="0.25">
      <c r="B287" s="2">
        <f t="shared" si="7"/>
        <v>445.13</v>
      </c>
      <c r="C287" s="1" t="s">
        <v>3054</v>
      </c>
    </row>
    <row r="288" spans="2:3" hidden="1" x14ac:dyDescent="0.25">
      <c r="B288" s="2">
        <f t="shared" si="7"/>
        <v>445.14</v>
      </c>
      <c r="C288" s="1" t="s">
        <v>3055</v>
      </c>
    </row>
    <row r="289" spans="2:3" hidden="1" x14ac:dyDescent="0.25">
      <c r="B289" s="2">
        <f t="shared" si="7"/>
        <v>445.15</v>
      </c>
      <c r="C289" s="1" t="s">
        <v>3056</v>
      </c>
    </row>
    <row r="290" spans="2:3" hidden="1" x14ac:dyDescent="0.25">
      <c r="B290" s="2">
        <f t="shared" si="7"/>
        <v>445.16</v>
      </c>
      <c r="C290" s="1" t="s">
        <v>3057</v>
      </c>
    </row>
    <row r="291" spans="2:3" hidden="1" x14ac:dyDescent="0.25">
      <c r="B291" s="2">
        <f t="shared" si="7"/>
        <v>445.17</v>
      </c>
      <c r="C291" s="1" t="s">
        <v>3058</v>
      </c>
    </row>
    <row r="292" spans="2:3" hidden="1" x14ac:dyDescent="0.25">
      <c r="B292" s="2">
        <f t="shared" si="7"/>
        <v>445.18</v>
      </c>
      <c r="C292" s="1" t="s">
        <v>3059</v>
      </c>
    </row>
    <row r="293" spans="2:3" hidden="1" x14ac:dyDescent="0.25">
      <c r="B293" s="2">
        <f t="shared" si="7"/>
        <v>445.19</v>
      </c>
      <c r="C293" s="1" t="s">
        <v>3060</v>
      </c>
    </row>
    <row r="294" spans="2:3" hidden="1" x14ac:dyDescent="0.25">
      <c r="B294" s="2">
        <f t="shared" si="7"/>
        <v>445.2</v>
      </c>
      <c r="C294" s="1" t="s">
        <v>3061</v>
      </c>
    </row>
    <row r="295" spans="2:3" hidden="1" x14ac:dyDescent="0.25">
      <c r="B295" s="2">
        <f t="shared" si="7"/>
        <v>445.21</v>
      </c>
      <c r="C295" s="1" t="s">
        <v>3062</v>
      </c>
    </row>
    <row r="296" spans="2:3" hidden="1" x14ac:dyDescent="0.25">
      <c r="B296" s="2">
        <f t="shared" si="7"/>
        <v>445.22</v>
      </c>
      <c r="C296" s="1" t="s">
        <v>3063</v>
      </c>
    </row>
    <row r="297" spans="2:3" hidden="1" x14ac:dyDescent="0.25">
      <c r="B297" s="2">
        <f t="shared" si="7"/>
        <v>445.23</v>
      </c>
      <c r="C297" s="1" t="s">
        <v>3064</v>
      </c>
    </row>
    <row r="298" spans="2:3" hidden="1" x14ac:dyDescent="0.25">
      <c r="B298" s="2">
        <f t="shared" si="7"/>
        <v>445.24</v>
      </c>
      <c r="C298" s="1" t="s">
        <v>3065</v>
      </c>
    </row>
    <row r="299" spans="2:3" hidden="1" x14ac:dyDescent="0.25">
      <c r="B299" s="2">
        <f t="shared" si="7"/>
        <v>445.25</v>
      </c>
      <c r="C299" s="1" t="s">
        <v>3066</v>
      </c>
    </row>
    <row r="300" spans="2:3" hidden="1" x14ac:dyDescent="0.25">
      <c r="B300" s="2">
        <f t="shared" si="7"/>
        <v>445.26</v>
      </c>
      <c r="C300" s="1" t="s">
        <v>3067</v>
      </c>
    </row>
    <row r="301" spans="2:3" hidden="1" x14ac:dyDescent="0.25">
      <c r="B301" s="2">
        <f t="shared" si="7"/>
        <v>445.27</v>
      </c>
      <c r="C301" s="1" t="s">
        <v>3068</v>
      </c>
    </row>
    <row r="302" spans="2:3" hidden="1" x14ac:dyDescent="0.25">
      <c r="B302" s="2">
        <f t="shared" si="7"/>
        <v>445.28</v>
      </c>
      <c r="C302" s="1" t="s">
        <v>3069</v>
      </c>
    </row>
    <row r="303" spans="2:3" hidden="1" x14ac:dyDescent="0.25">
      <c r="B303" s="2">
        <f t="shared" si="7"/>
        <v>445.29</v>
      </c>
      <c r="C303" s="1" t="s">
        <v>3070</v>
      </c>
    </row>
    <row r="304" spans="2:3" hidden="1" x14ac:dyDescent="0.25">
      <c r="B304" s="2">
        <f t="shared" si="7"/>
        <v>445.3</v>
      </c>
      <c r="C304" s="1" t="s">
        <v>3071</v>
      </c>
    </row>
    <row r="305" spans="2:3" hidden="1" x14ac:dyDescent="0.25">
      <c r="B305" s="2">
        <f t="shared" si="7"/>
        <v>445.31</v>
      </c>
      <c r="C305" s="1" t="s">
        <v>3072</v>
      </c>
    </row>
    <row r="306" spans="2:3" hidden="1" x14ac:dyDescent="0.25">
      <c r="B306" s="2">
        <f t="shared" si="7"/>
        <v>445.32</v>
      </c>
      <c r="C306" s="1" t="s">
        <v>3073</v>
      </c>
    </row>
    <row r="307" spans="2:3" hidden="1" x14ac:dyDescent="0.25">
      <c r="B307" s="2">
        <f t="shared" si="7"/>
        <v>445.33</v>
      </c>
      <c r="C307" s="1" t="s">
        <v>3074</v>
      </c>
    </row>
    <row r="308" spans="2:3" hidden="1" x14ac:dyDescent="0.25">
      <c r="B308" s="2">
        <f t="shared" si="7"/>
        <v>445.34</v>
      </c>
      <c r="C308" s="1" t="s">
        <v>3075</v>
      </c>
    </row>
    <row r="309" spans="2:3" hidden="1" x14ac:dyDescent="0.25">
      <c r="B309" s="2">
        <f t="shared" si="7"/>
        <v>445.35</v>
      </c>
      <c r="C309" s="1" t="s">
        <v>3076</v>
      </c>
    </row>
    <row r="310" spans="2:3" hidden="1" x14ac:dyDescent="0.25">
      <c r="B310" s="2">
        <f t="shared" si="7"/>
        <v>445.36</v>
      </c>
      <c r="C310" s="1" t="s">
        <v>3077</v>
      </c>
    </row>
    <row r="311" spans="2:3" hidden="1" x14ac:dyDescent="0.25">
      <c r="B311" s="2">
        <f t="shared" si="7"/>
        <v>445.37</v>
      </c>
      <c r="C311" s="1" t="s">
        <v>3078</v>
      </c>
    </row>
    <row r="312" spans="2:3" hidden="1" x14ac:dyDescent="0.25">
      <c r="B312" s="2">
        <f t="shared" si="7"/>
        <v>445.38</v>
      </c>
      <c r="C312" s="1" t="s">
        <v>3079</v>
      </c>
    </row>
    <row r="313" spans="2:3" hidden="1" x14ac:dyDescent="0.25">
      <c r="B313" s="2">
        <f t="shared" si="7"/>
        <v>445.39</v>
      </c>
      <c r="C313" s="1" t="s">
        <v>3080</v>
      </c>
    </row>
    <row r="314" spans="2:3" hidden="1" x14ac:dyDescent="0.25">
      <c r="B314" s="2">
        <f t="shared" si="7"/>
        <v>445.4</v>
      </c>
      <c r="C314" s="1" t="s">
        <v>3081</v>
      </c>
    </row>
    <row r="315" spans="2:3" hidden="1" x14ac:dyDescent="0.25">
      <c r="B315" s="2">
        <f t="shared" si="7"/>
        <v>445.41</v>
      </c>
      <c r="C315" s="1" t="s">
        <v>3082</v>
      </c>
    </row>
    <row r="316" spans="2:3" hidden="1" x14ac:dyDescent="0.25">
      <c r="B316" s="2">
        <f t="shared" si="7"/>
        <v>445.42</v>
      </c>
      <c r="C316" s="1" t="s">
        <v>3083</v>
      </c>
    </row>
    <row r="317" spans="2:3" hidden="1" x14ac:dyDescent="0.25">
      <c r="B317" s="2">
        <f t="shared" si="7"/>
        <v>445.43</v>
      </c>
      <c r="C317" s="1" t="s">
        <v>3084</v>
      </c>
    </row>
    <row r="318" spans="2:3" hidden="1" x14ac:dyDescent="0.25">
      <c r="B318" s="2">
        <f t="shared" si="7"/>
        <v>445.44</v>
      </c>
      <c r="C318" s="1" t="s">
        <v>3085</v>
      </c>
    </row>
    <row r="319" spans="2:3" hidden="1" x14ac:dyDescent="0.25">
      <c r="B319" s="2">
        <f t="shared" si="7"/>
        <v>445.45</v>
      </c>
      <c r="C319" s="1" t="s">
        <v>3086</v>
      </c>
    </row>
    <row r="320" spans="2:3" hidden="1" x14ac:dyDescent="0.25">
      <c r="B320" s="2">
        <f t="shared" si="7"/>
        <v>445.46</v>
      </c>
      <c r="C320" s="1" t="s">
        <v>3087</v>
      </c>
    </row>
    <row r="321" spans="2:3" hidden="1" x14ac:dyDescent="0.25">
      <c r="B321" s="2">
        <f t="shared" si="7"/>
        <v>445.47</v>
      </c>
      <c r="C321" s="1" t="s">
        <v>3088</v>
      </c>
    </row>
    <row r="322" spans="2:3" hidden="1" x14ac:dyDescent="0.25">
      <c r="B322" s="2">
        <f t="shared" si="7"/>
        <v>445.48</v>
      </c>
      <c r="C322" s="1" t="s">
        <v>3089</v>
      </c>
    </row>
    <row r="323" spans="2:3" hidden="1" x14ac:dyDescent="0.25">
      <c r="B323" s="2">
        <f t="shared" ref="B323:B386" si="8">MID(C323,1,7)*1</f>
        <v>445.49</v>
      </c>
      <c r="C323" s="1" t="s">
        <v>3090</v>
      </c>
    </row>
    <row r="324" spans="2:3" hidden="1" x14ac:dyDescent="0.25">
      <c r="B324" s="2">
        <f t="shared" si="8"/>
        <v>445.5</v>
      </c>
      <c r="C324" s="1" t="s">
        <v>3091</v>
      </c>
    </row>
    <row r="325" spans="2:3" hidden="1" x14ac:dyDescent="0.25">
      <c r="B325" s="2">
        <f t="shared" si="8"/>
        <v>445.51</v>
      </c>
      <c r="C325" s="1" t="s">
        <v>3092</v>
      </c>
    </row>
    <row r="326" spans="2:3" hidden="1" x14ac:dyDescent="0.25">
      <c r="B326" s="2">
        <f t="shared" si="8"/>
        <v>445.52</v>
      </c>
      <c r="C326" s="1" t="s">
        <v>3093</v>
      </c>
    </row>
    <row r="327" spans="2:3" hidden="1" x14ac:dyDescent="0.25">
      <c r="B327" s="2">
        <f t="shared" si="8"/>
        <v>445.53</v>
      </c>
      <c r="C327" s="1" t="s">
        <v>3094</v>
      </c>
    </row>
    <row r="328" spans="2:3" hidden="1" x14ac:dyDescent="0.25">
      <c r="B328" s="2">
        <f t="shared" si="8"/>
        <v>445.54</v>
      </c>
      <c r="C328" s="1" t="s">
        <v>3095</v>
      </c>
    </row>
    <row r="329" spans="2:3" hidden="1" x14ac:dyDescent="0.25">
      <c r="B329" s="2">
        <f t="shared" si="8"/>
        <v>445.55</v>
      </c>
      <c r="C329" s="1" t="s">
        <v>3096</v>
      </c>
    </row>
    <row r="330" spans="2:3" hidden="1" x14ac:dyDescent="0.25">
      <c r="B330" s="2">
        <f t="shared" si="8"/>
        <v>445.56</v>
      </c>
      <c r="C330" s="1" t="s">
        <v>3097</v>
      </c>
    </row>
    <row r="331" spans="2:3" hidden="1" x14ac:dyDescent="0.25">
      <c r="B331" s="2">
        <f t="shared" si="8"/>
        <v>445.57</v>
      </c>
      <c r="C331" s="1" t="s">
        <v>3098</v>
      </c>
    </row>
    <row r="332" spans="2:3" hidden="1" x14ac:dyDescent="0.25">
      <c r="B332" s="2">
        <f t="shared" si="8"/>
        <v>445.58</v>
      </c>
      <c r="C332" s="1" t="s">
        <v>3099</v>
      </c>
    </row>
    <row r="333" spans="2:3" hidden="1" x14ac:dyDescent="0.25">
      <c r="B333" s="2">
        <f t="shared" si="8"/>
        <v>445.59</v>
      </c>
      <c r="C333" s="1" t="s">
        <v>3100</v>
      </c>
    </row>
    <row r="334" spans="2:3" hidden="1" x14ac:dyDescent="0.25">
      <c r="B334" s="2">
        <f t="shared" si="8"/>
        <v>445.6</v>
      </c>
      <c r="C334" s="1" t="s">
        <v>3101</v>
      </c>
    </row>
    <row r="335" spans="2:3" hidden="1" x14ac:dyDescent="0.25">
      <c r="B335" s="2">
        <f t="shared" si="8"/>
        <v>445.61</v>
      </c>
      <c r="C335" s="1" t="s">
        <v>3102</v>
      </c>
    </row>
    <row r="336" spans="2:3" hidden="1" x14ac:dyDescent="0.25">
      <c r="B336" s="2">
        <f t="shared" si="8"/>
        <v>445.62</v>
      </c>
      <c r="C336" s="1" t="s">
        <v>3103</v>
      </c>
    </row>
    <row r="337" spans="2:3" hidden="1" x14ac:dyDescent="0.25">
      <c r="B337" s="2">
        <f t="shared" si="8"/>
        <v>445.63</v>
      </c>
      <c r="C337" s="1" t="s">
        <v>3104</v>
      </c>
    </row>
    <row r="338" spans="2:3" hidden="1" x14ac:dyDescent="0.25">
      <c r="B338" s="2">
        <f t="shared" si="8"/>
        <v>445.64</v>
      </c>
      <c r="C338" s="1" t="s">
        <v>3105</v>
      </c>
    </row>
    <row r="339" spans="2:3" hidden="1" x14ac:dyDescent="0.25">
      <c r="B339" s="2">
        <f t="shared" si="8"/>
        <v>445.65</v>
      </c>
      <c r="C339" s="1" t="s">
        <v>3106</v>
      </c>
    </row>
    <row r="340" spans="2:3" hidden="1" x14ac:dyDescent="0.25">
      <c r="B340" s="2">
        <f t="shared" si="8"/>
        <v>445.66</v>
      </c>
      <c r="C340" s="1" t="s">
        <v>3107</v>
      </c>
    </row>
    <row r="341" spans="2:3" hidden="1" x14ac:dyDescent="0.25">
      <c r="B341" s="2">
        <f t="shared" si="8"/>
        <v>445.67</v>
      </c>
      <c r="C341" s="1" t="s">
        <v>3108</v>
      </c>
    </row>
    <row r="342" spans="2:3" hidden="1" x14ac:dyDescent="0.25">
      <c r="B342" s="2">
        <f t="shared" si="8"/>
        <v>445.68</v>
      </c>
      <c r="C342" s="1" t="s">
        <v>3109</v>
      </c>
    </row>
    <row r="343" spans="2:3" hidden="1" x14ac:dyDescent="0.25">
      <c r="B343" s="2">
        <f t="shared" si="8"/>
        <v>445.69</v>
      </c>
      <c r="C343" s="1" t="s">
        <v>3110</v>
      </c>
    </row>
    <row r="344" spans="2:3" hidden="1" x14ac:dyDescent="0.25">
      <c r="B344" s="2">
        <f t="shared" si="8"/>
        <v>445.7</v>
      </c>
      <c r="C344" s="1" t="s">
        <v>3111</v>
      </c>
    </row>
    <row r="345" spans="2:3" hidden="1" x14ac:dyDescent="0.25">
      <c r="B345" s="2">
        <f t="shared" si="8"/>
        <v>445.71</v>
      </c>
      <c r="C345" s="1" t="s">
        <v>3112</v>
      </c>
    </row>
    <row r="346" spans="2:3" hidden="1" x14ac:dyDescent="0.25">
      <c r="B346" s="2">
        <f t="shared" si="8"/>
        <v>445.72</v>
      </c>
      <c r="C346" s="1" t="s">
        <v>3113</v>
      </c>
    </row>
    <row r="347" spans="2:3" hidden="1" x14ac:dyDescent="0.25">
      <c r="B347" s="2">
        <f t="shared" si="8"/>
        <v>445.73</v>
      </c>
      <c r="C347" s="1" t="s">
        <v>3114</v>
      </c>
    </row>
    <row r="348" spans="2:3" hidden="1" x14ac:dyDescent="0.25">
      <c r="B348" s="2">
        <f t="shared" si="8"/>
        <v>445.74</v>
      </c>
      <c r="C348" s="1" t="s">
        <v>3115</v>
      </c>
    </row>
    <row r="349" spans="2:3" hidden="1" x14ac:dyDescent="0.25">
      <c r="B349" s="2">
        <f t="shared" si="8"/>
        <v>445.75</v>
      </c>
      <c r="C349" s="1" t="s">
        <v>3116</v>
      </c>
    </row>
    <row r="350" spans="2:3" hidden="1" x14ac:dyDescent="0.25">
      <c r="B350" s="2">
        <f t="shared" si="8"/>
        <v>445.76</v>
      </c>
      <c r="C350" s="1" t="s">
        <v>3117</v>
      </c>
    </row>
    <row r="351" spans="2:3" hidden="1" x14ac:dyDescent="0.25">
      <c r="B351" s="2">
        <f t="shared" si="8"/>
        <v>445.77</v>
      </c>
      <c r="C351" s="1" t="s">
        <v>3118</v>
      </c>
    </row>
    <row r="352" spans="2:3" hidden="1" x14ac:dyDescent="0.25">
      <c r="B352" s="2">
        <f t="shared" si="8"/>
        <v>445.78</v>
      </c>
      <c r="C352" s="1" t="s">
        <v>3119</v>
      </c>
    </row>
    <row r="353" spans="2:3" hidden="1" x14ac:dyDescent="0.25">
      <c r="B353" s="2">
        <f t="shared" si="8"/>
        <v>445.79</v>
      </c>
      <c r="C353" s="1" t="s">
        <v>3120</v>
      </c>
    </row>
    <row r="354" spans="2:3" hidden="1" x14ac:dyDescent="0.25">
      <c r="B354" s="2">
        <f t="shared" si="8"/>
        <v>445.8</v>
      </c>
      <c r="C354" s="1" t="s">
        <v>3121</v>
      </c>
    </row>
    <row r="355" spans="2:3" hidden="1" x14ac:dyDescent="0.25">
      <c r="B355" s="2">
        <f t="shared" si="8"/>
        <v>445.81</v>
      </c>
      <c r="C355" s="1" t="s">
        <v>3122</v>
      </c>
    </row>
    <row r="356" spans="2:3" hidden="1" x14ac:dyDescent="0.25">
      <c r="B356" s="2">
        <f t="shared" si="8"/>
        <v>445.82</v>
      </c>
      <c r="C356" s="1" t="s">
        <v>3123</v>
      </c>
    </row>
    <row r="357" spans="2:3" hidden="1" x14ac:dyDescent="0.25">
      <c r="B357" s="2">
        <f t="shared" si="8"/>
        <v>450.01</v>
      </c>
      <c r="C357" s="1" t="s">
        <v>3124</v>
      </c>
    </row>
    <row r="358" spans="2:3" hidden="1" x14ac:dyDescent="0.25">
      <c r="B358" s="2">
        <f t="shared" si="8"/>
        <v>450.02</v>
      </c>
      <c r="C358" s="1" t="s">
        <v>3125</v>
      </c>
    </row>
    <row r="359" spans="2:3" hidden="1" x14ac:dyDescent="0.25">
      <c r="B359" s="2">
        <f t="shared" si="8"/>
        <v>450.03</v>
      </c>
      <c r="C359" s="1" t="s">
        <v>3126</v>
      </c>
    </row>
    <row r="360" spans="2:3" hidden="1" x14ac:dyDescent="0.25">
      <c r="B360" s="2">
        <f t="shared" si="8"/>
        <v>460.01</v>
      </c>
      <c r="C360" s="1" t="s">
        <v>3127</v>
      </c>
    </row>
    <row r="361" spans="2:3" hidden="1" x14ac:dyDescent="0.25">
      <c r="B361" s="2">
        <f t="shared" si="8"/>
        <v>460.02</v>
      </c>
      <c r="C361" s="1" t="s">
        <v>3128</v>
      </c>
    </row>
    <row r="362" spans="2:3" hidden="1" x14ac:dyDescent="0.25">
      <c r="B362" s="2">
        <f t="shared" si="8"/>
        <v>460.03</v>
      </c>
      <c r="C362" s="1" t="s">
        <v>3129</v>
      </c>
    </row>
    <row r="363" spans="2:3" hidden="1" x14ac:dyDescent="0.25">
      <c r="B363" s="2">
        <f t="shared" si="8"/>
        <v>470.01</v>
      </c>
      <c r="C363" s="1" t="s">
        <v>3130</v>
      </c>
    </row>
    <row r="364" spans="2:3" hidden="1" x14ac:dyDescent="0.25">
      <c r="B364" s="2">
        <f t="shared" si="8"/>
        <v>470.02</v>
      </c>
      <c r="C364" s="1" t="s">
        <v>3131</v>
      </c>
    </row>
    <row r="365" spans="2:3" hidden="1" x14ac:dyDescent="0.25">
      <c r="B365" s="2">
        <f t="shared" si="8"/>
        <v>470.03</v>
      </c>
      <c r="C365" s="1" t="s">
        <v>3132</v>
      </c>
    </row>
    <row r="366" spans="2:3" hidden="1" x14ac:dyDescent="0.25">
      <c r="B366" s="2">
        <f t="shared" si="8"/>
        <v>480.01</v>
      </c>
      <c r="C366" s="1" t="s">
        <v>3133</v>
      </c>
    </row>
    <row r="367" spans="2:3" hidden="1" x14ac:dyDescent="0.25">
      <c r="B367" s="2">
        <f t="shared" si="8"/>
        <v>480.02</v>
      </c>
      <c r="C367" s="1" t="s">
        <v>3134</v>
      </c>
    </row>
    <row r="368" spans="2:3" hidden="1" x14ac:dyDescent="0.25">
      <c r="B368" s="2">
        <f t="shared" si="8"/>
        <v>480.03</v>
      </c>
      <c r="C368" s="1" t="s">
        <v>3135</v>
      </c>
    </row>
    <row r="369" spans="2:3" hidden="1" x14ac:dyDescent="0.25">
      <c r="B369" s="2">
        <f t="shared" si="8"/>
        <v>480.04</v>
      </c>
      <c r="C369" s="1" t="s">
        <v>3136</v>
      </c>
    </row>
    <row r="370" spans="2:3" hidden="1" x14ac:dyDescent="0.25">
      <c r="B370" s="2">
        <f t="shared" si="8"/>
        <v>480.05</v>
      </c>
      <c r="C370" s="1" t="s">
        <v>3137</v>
      </c>
    </row>
    <row r="371" spans="2:3" hidden="1" x14ac:dyDescent="0.25">
      <c r="B371" s="2">
        <f t="shared" si="8"/>
        <v>490.01</v>
      </c>
      <c r="C371" s="1" t="s">
        <v>3138</v>
      </c>
    </row>
    <row r="372" spans="2:3" hidden="1" x14ac:dyDescent="0.25">
      <c r="B372" s="2">
        <f t="shared" si="8"/>
        <v>490.02</v>
      </c>
      <c r="C372" s="1" t="s">
        <v>3139</v>
      </c>
    </row>
    <row r="373" spans="2:3" hidden="1" x14ac:dyDescent="0.25">
      <c r="B373" s="2">
        <f t="shared" si="8"/>
        <v>490.03</v>
      </c>
      <c r="C373" s="1" t="s">
        <v>3140</v>
      </c>
    </row>
    <row r="374" spans="2:3" hidden="1" x14ac:dyDescent="0.25">
      <c r="B374" s="2">
        <f t="shared" si="8"/>
        <v>490.04</v>
      </c>
      <c r="C374" s="1" t="s">
        <v>3141</v>
      </c>
    </row>
    <row r="375" spans="2:3" hidden="1" x14ac:dyDescent="0.25">
      <c r="B375" s="2">
        <f t="shared" si="8"/>
        <v>500.01</v>
      </c>
      <c r="C375" s="1" t="s">
        <v>3142</v>
      </c>
    </row>
    <row r="376" spans="2:3" hidden="1" x14ac:dyDescent="0.25">
      <c r="B376" s="2">
        <f t="shared" si="8"/>
        <v>500.02</v>
      </c>
      <c r="C376" s="1" t="s">
        <v>3143</v>
      </c>
    </row>
    <row r="377" spans="2:3" hidden="1" x14ac:dyDescent="0.25">
      <c r="B377" s="2">
        <f t="shared" si="8"/>
        <v>500.03</v>
      </c>
      <c r="C377" s="1" t="s">
        <v>3144</v>
      </c>
    </row>
    <row r="378" spans="2:3" hidden="1" x14ac:dyDescent="0.25">
      <c r="B378" s="2">
        <f t="shared" si="8"/>
        <v>500.04</v>
      </c>
      <c r="C378" s="1" t="s">
        <v>3145</v>
      </c>
    </row>
    <row r="379" spans="2:3" hidden="1" x14ac:dyDescent="0.25">
      <c r="B379" s="2">
        <f t="shared" si="8"/>
        <v>500.05</v>
      </c>
      <c r="C379" s="1" t="s">
        <v>3146</v>
      </c>
    </row>
    <row r="380" spans="2:3" hidden="1" x14ac:dyDescent="0.25">
      <c r="B380" s="2">
        <f t="shared" si="8"/>
        <v>500.06</v>
      </c>
      <c r="C380" s="1" t="s">
        <v>3147</v>
      </c>
    </row>
    <row r="381" spans="2:3" hidden="1" x14ac:dyDescent="0.25">
      <c r="B381" s="2">
        <f t="shared" si="8"/>
        <v>500.07</v>
      </c>
      <c r="C381" s="1" t="s">
        <v>3148</v>
      </c>
    </row>
    <row r="382" spans="2:3" hidden="1" x14ac:dyDescent="0.25">
      <c r="B382" s="2">
        <f t="shared" si="8"/>
        <v>500.08</v>
      </c>
      <c r="C382" s="1" t="s">
        <v>3149</v>
      </c>
    </row>
    <row r="383" spans="2:3" hidden="1" x14ac:dyDescent="0.25">
      <c r="B383" s="2">
        <f t="shared" si="8"/>
        <v>510.01</v>
      </c>
      <c r="C383" s="1" t="s">
        <v>3150</v>
      </c>
    </row>
    <row r="384" spans="2:3" hidden="1" x14ac:dyDescent="0.25">
      <c r="B384" s="2">
        <f t="shared" si="8"/>
        <v>510.02</v>
      </c>
      <c r="C384" s="1" t="s">
        <v>3151</v>
      </c>
    </row>
    <row r="385" spans="2:3" hidden="1" x14ac:dyDescent="0.25">
      <c r="B385" s="2">
        <f t="shared" si="8"/>
        <v>510.03</v>
      </c>
      <c r="C385" s="1" t="s">
        <v>3152</v>
      </c>
    </row>
    <row r="386" spans="2:3" hidden="1" x14ac:dyDescent="0.25">
      <c r="B386" s="2">
        <f t="shared" si="8"/>
        <v>510.04</v>
      </c>
      <c r="C386" s="1" t="s">
        <v>3153</v>
      </c>
    </row>
    <row r="387" spans="2:3" hidden="1" x14ac:dyDescent="0.25">
      <c r="B387" s="2">
        <f t="shared" ref="B387:B450" si="9">MID(C387,1,7)*1</f>
        <v>510.05</v>
      </c>
      <c r="C387" s="1" t="s">
        <v>3154</v>
      </c>
    </row>
    <row r="388" spans="2:3" hidden="1" x14ac:dyDescent="0.25">
      <c r="B388" s="2">
        <f t="shared" si="9"/>
        <v>510.06</v>
      </c>
      <c r="C388" s="1" t="s">
        <v>3155</v>
      </c>
    </row>
    <row r="389" spans="2:3" hidden="1" x14ac:dyDescent="0.25">
      <c r="B389" s="2">
        <f t="shared" si="9"/>
        <v>520.01</v>
      </c>
      <c r="C389" s="1" t="s">
        <v>3156</v>
      </c>
    </row>
    <row r="390" spans="2:3" hidden="1" x14ac:dyDescent="0.25">
      <c r="B390" s="2">
        <f t="shared" si="9"/>
        <v>520.02</v>
      </c>
      <c r="C390" s="1" t="s">
        <v>3157</v>
      </c>
    </row>
    <row r="391" spans="2:3" hidden="1" x14ac:dyDescent="0.25">
      <c r="B391" s="2">
        <f t="shared" si="9"/>
        <v>520.03</v>
      </c>
      <c r="C391" s="1" t="s">
        <v>3158</v>
      </c>
    </row>
    <row r="392" spans="2:3" hidden="1" x14ac:dyDescent="0.25">
      <c r="B392" s="2">
        <f t="shared" si="9"/>
        <v>520.04</v>
      </c>
      <c r="C392" s="1" t="s">
        <v>3159</v>
      </c>
    </row>
    <row r="393" spans="2:3" hidden="1" x14ac:dyDescent="0.25">
      <c r="B393" s="2">
        <f t="shared" si="9"/>
        <v>530.01</v>
      </c>
      <c r="C393" s="1" t="s">
        <v>3160</v>
      </c>
    </row>
    <row r="394" spans="2:3" hidden="1" x14ac:dyDescent="0.25">
      <c r="B394" s="2">
        <f t="shared" si="9"/>
        <v>540.01</v>
      </c>
      <c r="C394" s="1" t="s">
        <v>3161</v>
      </c>
    </row>
    <row r="395" spans="2:3" hidden="1" x14ac:dyDescent="0.25">
      <c r="B395" s="2">
        <f t="shared" si="9"/>
        <v>540.02</v>
      </c>
      <c r="C395" s="1" t="s">
        <v>3162</v>
      </c>
    </row>
    <row r="396" spans="2:3" hidden="1" x14ac:dyDescent="0.25">
      <c r="B396" s="2">
        <f t="shared" si="9"/>
        <v>540.03</v>
      </c>
      <c r="C396" s="1" t="s">
        <v>3163</v>
      </c>
    </row>
    <row r="397" spans="2:3" hidden="1" x14ac:dyDescent="0.25">
      <c r="B397" s="2">
        <f t="shared" si="9"/>
        <v>540.04</v>
      </c>
      <c r="C397" s="1" t="s">
        <v>3164</v>
      </c>
    </row>
    <row r="398" spans="2:3" hidden="1" x14ac:dyDescent="0.25">
      <c r="B398" s="2">
        <f t="shared" si="9"/>
        <v>550.01</v>
      </c>
      <c r="C398" s="1" t="s">
        <v>3165</v>
      </c>
    </row>
    <row r="399" spans="2:3" hidden="1" x14ac:dyDescent="0.25">
      <c r="B399" s="2">
        <f t="shared" si="9"/>
        <v>550.02</v>
      </c>
      <c r="C399" s="1" t="s">
        <v>3166</v>
      </c>
    </row>
    <row r="400" spans="2:3" hidden="1" x14ac:dyDescent="0.25">
      <c r="B400" s="2">
        <f t="shared" si="9"/>
        <v>550.03</v>
      </c>
      <c r="C400" s="1" t="s">
        <v>3167</v>
      </c>
    </row>
    <row r="401" spans="2:3" hidden="1" x14ac:dyDescent="0.25">
      <c r="B401" s="2">
        <f t="shared" si="9"/>
        <v>550.04</v>
      </c>
      <c r="C401" s="1" t="s">
        <v>3168</v>
      </c>
    </row>
    <row r="402" spans="2:3" hidden="1" x14ac:dyDescent="0.25">
      <c r="B402" s="2">
        <f t="shared" si="9"/>
        <v>560.01</v>
      </c>
      <c r="C402" s="1" t="s">
        <v>3169</v>
      </c>
    </row>
    <row r="403" spans="2:3" hidden="1" x14ac:dyDescent="0.25">
      <c r="B403" s="2">
        <f t="shared" si="9"/>
        <v>560.02</v>
      </c>
      <c r="C403" s="1" t="s">
        <v>3170</v>
      </c>
    </row>
    <row r="404" spans="2:3" hidden="1" x14ac:dyDescent="0.25">
      <c r="B404" s="2">
        <f t="shared" si="9"/>
        <v>560.03</v>
      </c>
      <c r="C404" s="1" t="s">
        <v>3171</v>
      </c>
    </row>
    <row r="405" spans="2:3" hidden="1" x14ac:dyDescent="0.25">
      <c r="B405" s="2">
        <f t="shared" si="9"/>
        <v>560.04</v>
      </c>
      <c r="C405" s="1" t="s">
        <v>3172</v>
      </c>
    </row>
    <row r="406" spans="2:3" hidden="1" x14ac:dyDescent="0.25">
      <c r="B406" s="2">
        <f t="shared" si="9"/>
        <v>560.04999999999995</v>
      </c>
      <c r="C406" s="1" t="s">
        <v>3173</v>
      </c>
    </row>
    <row r="407" spans="2:3" hidden="1" x14ac:dyDescent="0.25">
      <c r="B407" s="2">
        <f t="shared" si="9"/>
        <v>560.05999999999995</v>
      </c>
      <c r="C407" s="1" t="s">
        <v>3174</v>
      </c>
    </row>
    <row r="408" spans="2:3" hidden="1" x14ac:dyDescent="0.25">
      <c r="B408" s="2">
        <f t="shared" si="9"/>
        <v>560.07000000000005</v>
      </c>
      <c r="C408" s="1" t="s">
        <v>3175</v>
      </c>
    </row>
    <row r="409" spans="2:3" hidden="1" x14ac:dyDescent="0.25">
      <c r="B409" s="2">
        <f t="shared" si="9"/>
        <v>560.08000000000004</v>
      </c>
      <c r="C409" s="1" t="s">
        <v>3176</v>
      </c>
    </row>
    <row r="410" spans="2:3" hidden="1" x14ac:dyDescent="0.25">
      <c r="B410" s="2">
        <f t="shared" si="9"/>
        <v>560.09</v>
      </c>
      <c r="C410" s="1" t="s">
        <v>3177</v>
      </c>
    </row>
    <row r="411" spans="2:3" hidden="1" x14ac:dyDescent="0.25">
      <c r="B411" s="2">
        <f t="shared" si="9"/>
        <v>560.1</v>
      </c>
      <c r="C411" s="1" t="s">
        <v>3178</v>
      </c>
    </row>
    <row r="412" spans="2:3" hidden="1" x14ac:dyDescent="0.25">
      <c r="B412" s="2">
        <f t="shared" si="9"/>
        <v>560.11</v>
      </c>
      <c r="C412" s="1" t="s">
        <v>3179</v>
      </c>
    </row>
    <row r="413" spans="2:3" hidden="1" x14ac:dyDescent="0.25">
      <c r="B413" s="2">
        <f t="shared" si="9"/>
        <v>560.12</v>
      </c>
      <c r="C413" s="1" t="s">
        <v>3180</v>
      </c>
    </row>
    <row r="414" spans="2:3" hidden="1" x14ac:dyDescent="0.25">
      <c r="B414" s="2">
        <f t="shared" si="9"/>
        <v>560.13</v>
      </c>
      <c r="C414" s="1" t="s">
        <v>3181</v>
      </c>
    </row>
    <row r="415" spans="2:3" hidden="1" x14ac:dyDescent="0.25">
      <c r="B415" s="2">
        <f t="shared" si="9"/>
        <v>560.14</v>
      </c>
      <c r="C415" s="1" t="s">
        <v>3182</v>
      </c>
    </row>
    <row r="416" spans="2:3" hidden="1" x14ac:dyDescent="0.25">
      <c r="B416" s="2">
        <f t="shared" si="9"/>
        <v>570.01</v>
      </c>
      <c r="C416" s="1" t="s">
        <v>3183</v>
      </c>
    </row>
    <row r="417" spans="2:3" hidden="1" x14ac:dyDescent="0.25">
      <c r="B417" s="2">
        <f t="shared" si="9"/>
        <v>570.02</v>
      </c>
      <c r="C417" s="1" t="s">
        <v>3184</v>
      </c>
    </row>
    <row r="418" spans="2:3" hidden="1" x14ac:dyDescent="0.25">
      <c r="B418" s="2">
        <f t="shared" si="9"/>
        <v>570.03</v>
      </c>
      <c r="C418" s="1" t="s">
        <v>3185</v>
      </c>
    </row>
    <row r="419" spans="2:3" hidden="1" x14ac:dyDescent="0.25">
      <c r="B419" s="2">
        <f t="shared" si="9"/>
        <v>570.04</v>
      </c>
      <c r="C419" s="1" t="s">
        <v>3186</v>
      </c>
    </row>
    <row r="420" spans="2:3" hidden="1" x14ac:dyDescent="0.25">
      <c r="B420" s="2">
        <f t="shared" si="9"/>
        <v>570.04999999999995</v>
      </c>
      <c r="C420" s="1" t="s">
        <v>3187</v>
      </c>
    </row>
    <row r="421" spans="2:3" hidden="1" x14ac:dyDescent="0.25">
      <c r="B421" s="2">
        <f t="shared" si="9"/>
        <v>570.05999999999995</v>
      </c>
      <c r="C421" s="1" t="s">
        <v>3188</v>
      </c>
    </row>
    <row r="422" spans="2:3" hidden="1" x14ac:dyDescent="0.25">
      <c r="B422" s="2">
        <f t="shared" si="9"/>
        <v>570.07000000000005</v>
      </c>
      <c r="C422" s="1" t="s">
        <v>3189</v>
      </c>
    </row>
    <row r="423" spans="2:3" hidden="1" x14ac:dyDescent="0.25">
      <c r="B423" s="2">
        <f t="shared" si="9"/>
        <v>570.08000000000004</v>
      </c>
      <c r="C423" s="1" t="s">
        <v>3190</v>
      </c>
    </row>
    <row r="424" spans="2:3" hidden="1" x14ac:dyDescent="0.25">
      <c r="B424" s="2">
        <f t="shared" si="9"/>
        <v>570.09</v>
      </c>
      <c r="C424" s="1" t="s">
        <v>3191</v>
      </c>
    </row>
    <row r="425" spans="2:3" hidden="1" x14ac:dyDescent="0.25">
      <c r="B425" s="2">
        <f t="shared" si="9"/>
        <v>570.1</v>
      </c>
      <c r="C425" s="1" t="s">
        <v>3192</v>
      </c>
    </row>
    <row r="426" spans="2:3" hidden="1" x14ac:dyDescent="0.25">
      <c r="B426" s="2">
        <f t="shared" si="9"/>
        <v>570.11</v>
      </c>
      <c r="C426" s="1" t="s">
        <v>3193</v>
      </c>
    </row>
    <row r="427" spans="2:3" hidden="1" x14ac:dyDescent="0.25">
      <c r="B427" s="2">
        <f t="shared" si="9"/>
        <v>570.12</v>
      </c>
      <c r="C427" s="1" t="s">
        <v>3194</v>
      </c>
    </row>
    <row r="428" spans="2:3" hidden="1" x14ac:dyDescent="0.25">
      <c r="B428" s="2">
        <f t="shared" si="9"/>
        <v>575.01</v>
      </c>
      <c r="C428" s="1" t="s">
        <v>3195</v>
      </c>
    </row>
    <row r="429" spans="2:3" hidden="1" x14ac:dyDescent="0.25">
      <c r="B429" s="2">
        <f t="shared" si="9"/>
        <v>575.02</v>
      </c>
      <c r="C429" s="1" t="s">
        <v>3196</v>
      </c>
    </row>
    <row r="430" spans="2:3" hidden="1" x14ac:dyDescent="0.25">
      <c r="B430" s="2">
        <f t="shared" si="9"/>
        <v>575.03</v>
      </c>
      <c r="C430" s="1" t="s">
        <v>3197</v>
      </c>
    </row>
    <row r="431" spans="2:3" hidden="1" x14ac:dyDescent="0.25">
      <c r="B431" s="2">
        <f t="shared" si="9"/>
        <v>575.04</v>
      </c>
      <c r="C431" s="1" t="s">
        <v>3198</v>
      </c>
    </row>
    <row r="432" spans="2:3" hidden="1" x14ac:dyDescent="0.25">
      <c r="B432" s="2">
        <f t="shared" si="9"/>
        <v>575.04999999999995</v>
      </c>
      <c r="C432" s="1" t="s">
        <v>3199</v>
      </c>
    </row>
    <row r="433" spans="2:3" hidden="1" x14ac:dyDescent="0.25">
      <c r="B433" s="2">
        <f t="shared" si="9"/>
        <v>575.05999999999995</v>
      </c>
      <c r="C433" s="1" t="s">
        <v>3200</v>
      </c>
    </row>
    <row r="434" spans="2:3" hidden="1" x14ac:dyDescent="0.25">
      <c r="B434" s="2">
        <f t="shared" si="9"/>
        <v>575.07000000000005</v>
      </c>
      <c r="C434" s="1" t="s">
        <v>3201</v>
      </c>
    </row>
    <row r="435" spans="2:3" hidden="1" x14ac:dyDescent="0.25">
      <c r="B435" s="2">
        <f t="shared" si="9"/>
        <v>575.08000000000004</v>
      </c>
      <c r="C435" s="1" t="s">
        <v>3202</v>
      </c>
    </row>
    <row r="436" spans="2:3" hidden="1" x14ac:dyDescent="0.25">
      <c r="B436" s="2">
        <f t="shared" si="9"/>
        <v>575.09</v>
      </c>
      <c r="C436" s="1" t="s">
        <v>3203</v>
      </c>
    </row>
    <row r="437" spans="2:3" hidden="1" x14ac:dyDescent="0.25">
      <c r="B437" s="2">
        <f t="shared" si="9"/>
        <v>575.1</v>
      </c>
      <c r="C437" s="1" t="s">
        <v>3204</v>
      </c>
    </row>
    <row r="438" spans="2:3" hidden="1" x14ac:dyDescent="0.25">
      <c r="B438" s="2">
        <f t="shared" si="9"/>
        <v>575.11</v>
      </c>
      <c r="C438" s="1" t="s">
        <v>3205</v>
      </c>
    </row>
    <row r="439" spans="2:3" hidden="1" x14ac:dyDescent="0.25">
      <c r="B439" s="2">
        <f t="shared" si="9"/>
        <v>576.01</v>
      </c>
      <c r="C439" s="1" t="s">
        <v>3206</v>
      </c>
    </row>
    <row r="440" spans="2:3" hidden="1" x14ac:dyDescent="0.25">
      <c r="B440" s="2">
        <f t="shared" si="9"/>
        <v>576.02</v>
      </c>
      <c r="C440" s="1" t="s">
        <v>3207</v>
      </c>
    </row>
    <row r="441" spans="2:3" hidden="1" x14ac:dyDescent="0.25">
      <c r="B441" s="2">
        <f t="shared" si="9"/>
        <v>576.03</v>
      </c>
      <c r="C441" s="1" t="s">
        <v>3208</v>
      </c>
    </row>
    <row r="442" spans="2:3" hidden="1" x14ac:dyDescent="0.25">
      <c r="B442" s="2">
        <f t="shared" si="9"/>
        <v>576.04</v>
      </c>
      <c r="C442" s="1" t="s">
        <v>3209</v>
      </c>
    </row>
    <row r="443" spans="2:3" hidden="1" x14ac:dyDescent="0.25">
      <c r="B443" s="2">
        <f t="shared" si="9"/>
        <v>576.04999999999995</v>
      </c>
      <c r="C443" s="1" t="s">
        <v>3210</v>
      </c>
    </row>
    <row r="444" spans="2:3" hidden="1" x14ac:dyDescent="0.25">
      <c r="B444" s="2">
        <f t="shared" si="9"/>
        <v>576.05999999999995</v>
      </c>
      <c r="C444" s="1" t="s">
        <v>3211</v>
      </c>
    </row>
    <row r="445" spans="2:3" hidden="1" x14ac:dyDescent="0.25">
      <c r="B445" s="2">
        <f t="shared" si="9"/>
        <v>576.07000000000005</v>
      </c>
      <c r="C445" s="1" t="s">
        <v>3212</v>
      </c>
    </row>
    <row r="446" spans="2:3" hidden="1" x14ac:dyDescent="0.25">
      <c r="B446" s="2">
        <f t="shared" si="9"/>
        <v>576.08000000000004</v>
      </c>
      <c r="C446" s="1" t="s">
        <v>3213</v>
      </c>
    </row>
    <row r="447" spans="2:3" hidden="1" x14ac:dyDescent="0.25">
      <c r="B447" s="2">
        <f t="shared" si="9"/>
        <v>576.09</v>
      </c>
      <c r="C447" s="1" t="s">
        <v>3214</v>
      </c>
    </row>
    <row r="448" spans="2:3" hidden="1" x14ac:dyDescent="0.25">
      <c r="B448" s="2">
        <f t="shared" si="9"/>
        <v>576.1</v>
      </c>
      <c r="C448" s="1" t="s">
        <v>3215</v>
      </c>
    </row>
    <row r="449" spans="2:3" hidden="1" x14ac:dyDescent="0.25">
      <c r="B449" s="2">
        <f t="shared" si="9"/>
        <v>576.11</v>
      </c>
      <c r="C449" s="1" t="s">
        <v>3216</v>
      </c>
    </row>
    <row r="450" spans="2:3" hidden="1" x14ac:dyDescent="0.25">
      <c r="B450" s="2">
        <f t="shared" si="9"/>
        <v>576.12</v>
      </c>
      <c r="C450" s="1" t="s">
        <v>3217</v>
      </c>
    </row>
    <row r="451" spans="2:3" hidden="1" x14ac:dyDescent="0.25">
      <c r="B451" s="2">
        <f t="shared" ref="B451:B514" si="10">MID(C451,1,7)*1</f>
        <v>576.13</v>
      </c>
      <c r="C451" s="1" t="s">
        <v>3218</v>
      </c>
    </row>
    <row r="452" spans="2:3" hidden="1" x14ac:dyDescent="0.25">
      <c r="B452" s="2">
        <f t="shared" si="10"/>
        <v>576.14</v>
      </c>
      <c r="C452" s="1" t="s">
        <v>3219</v>
      </c>
    </row>
    <row r="453" spans="2:3" hidden="1" x14ac:dyDescent="0.25">
      <c r="B453" s="2">
        <f t="shared" si="10"/>
        <v>576.15</v>
      </c>
      <c r="C453" s="1" t="s">
        <v>3220</v>
      </c>
    </row>
    <row r="454" spans="2:3" hidden="1" x14ac:dyDescent="0.25">
      <c r="B454" s="2">
        <f t="shared" si="10"/>
        <v>580.01</v>
      </c>
      <c r="C454" s="1" t="s">
        <v>3221</v>
      </c>
    </row>
    <row r="455" spans="2:3" hidden="1" x14ac:dyDescent="0.25">
      <c r="B455" s="2">
        <f t="shared" si="10"/>
        <v>580.02</v>
      </c>
      <c r="C455" s="1" t="s">
        <v>3222</v>
      </c>
    </row>
    <row r="456" spans="2:3" hidden="1" x14ac:dyDescent="0.25">
      <c r="B456" s="2">
        <f t="shared" si="10"/>
        <v>580.03</v>
      </c>
      <c r="C456" s="1" t="s">
        <v>3223</v>
      </c>
    </row>
    <row r="457" spans="2:3" hidden="1" x14ac:dyDescent="0.25">
      <c r="B457" s="2">
        <f t="shared" si="10"/>
        <v>580.04</v>
      </c>
      <c r="C457" s="1" t="s">
        <v>3224</v>
      </c>
    </row>
    <row r="458" spans="2:3" hidden="1" x14ac:dyDescent="0.25">
      <c r="B458" s="2">
        <f t="shared" si="10"/>
        <v>580.04999999999995</v>
      </c>
      <c r="C458" s="1" t="s">
        <v>3225</v>
      </c>
    </row>
    <row r="459" spans="2:3" hidden="1" x14ac:dyDescent="0.25">
      <c r="B459" s="2">
        <f t="shared" si="10"/>
        <v>580.05999999999995</v>
      </c>
      <c r="C459" s="1" t="s">
        <v>3226</v>
      </c>
    </row>
    <row r="460" spans="2:3" hidden="1" x14ac:dyDescent="0.25">
      <c r="B460" s="2">
        <f t="shared" si="10"/>
        <v>580.07000000000005</v>
      </c>
      <c r="C460" s="1" t="s">
        <v>3227</v>
      </c>
    </row>
    <row r="461" spans="2:3" hidden="1" x14ac:dyDescent="0.25">
      <c r="B461" s="2">
        <f t="shared" si="10"/>
        <v>580.08000000000004</v>
      </c>
      <c r="C461" s="1" t="s">
        <v>3228</v>
      </c>
    </row>
    <row r="462" spans="2:3" hidden="1" x14ac:dyDescent="0.25">
      <c r="B462" s="2">
        <f t="shared" si="10"/>
        <v>580.09</v>
      </c>
      <c r="C462" s="1" t="s">
        <v>3229</v>
      </c>
    </row>
    <row r="463" spans="2:3" hidden="1" x14ac:dyDescent="0.25">
      <c r="B463" s="2">
        <f t="shared" si="10"/>
        <v>590.01</v>
      </c>
      <c r="C463" s="1" t="s">
        <v>3230</v>
      </c>
    </row>
    <row r="464" spans="2:3" hidden="1" x14ac:dyDescent="0.25">
      <c r="B464" s="2">
        <f t="shared" si="10"/>
        <v>590.02</v>
      </c>
      <c r="C464" s="1" t="s">
        <v>3231</v>
      </c>
    </row>
    <row r="465" spans="2:3" hidden="1" x14ac:dyDescent="0.25">
      <c r="B465" s="2">
        <f t="shared" si="10"/>
        <v>590.03</v>
      </c>
      <c r="C465" s="1" t="s">
        <v>3232</v>
      </c>
    </row>
    <row r="466" spans="2:3" hidden="1" x14ac:dyDescent="0.25">
      <c r="B466" s="2">
        <f t="shared" si="10"/>
        <v>590.04</v>
      </c>
      <c r="C466" s="1" t="s">
        <v>3233</v>
      </c>
    </row>
    <row r="467" spans="2:3" hidden="1" x14ac:dyDescent="0.25">
      <c r="B467" s="2">
        <f t="shared" si="10"/>
        <v>590.04999999999995</v>
      </c>
      <c r="C467" s="1" t="s">
        <v>1101</v>
      </c>
    </row>
    <row r="468" spans="2:3" hidden="1" x14ac:dyDescent="0.25">
      <c r="B468" s="2">
        <f t="shared" si="10"/>
        <v>590.05999999999995</v>
      </c>
      <c r="C468" s="1" t="s">
        <v>3234</v>
      </c>
    </row>
    <row r="469" spans="2:3" hidden="1" x14ac:dyDescent="0.25">
      <c r="B469" s="2">
        <f t="shared" si="10"/>
        <v>590.07000000000005</v>
      </c>
      <c r="C469" s="1" t="s">
        <v>3235</v>
      </c>
    </row>
    <row r="470" spans="2:3" hidden="1" x14ac:dyDescent="0.25">
      <c r="B470" s="2">
        <f t="shared" si="10"/>
        <v>590.08000000000004</v>
      </c>
      <c r="C470" s="1" t="s">
        <v>3236</v>
      </c>
    </row>
    <row r="471" spans="2:3" hidden="1" x14ac:dyDescent="0.25">
      <c r="B471" s="2">
        <f t="shared" si="10"/>
        <v>590.09</v>
      </c>
      <c r="C471" s="1" t="s">
        <v>3237</v>
      </c>
    </row>
    <row r="472" spans="2:3" hidden="1" x14ac:dyDescent="0.25">
      <c r="B472" s="2">
        <f t="shared" si="10"/>
        <v>590.1</v>
      </c>
      <c r="C472" s="1" t="s">
        <v>3238</v>
      </c>
    </row>
    <row r="473" spans="2:3" hidden="1" x14ac:dyDescent="0.25">
      <c r="B473" s="2">
        <f t="shared" si="10"/>
        <v>590.11</v>
      </c>
      <c r="C473" s="1" t="s">
        <v>3239</v>
      </c>
    </row>
    <row r="474" spans="2:3" hidden="1" x14ac:dyDescent="0.25">
      <c r="B474" s="2">
        <f t="shared" si="10"/>
        <v>600.01</v>
      </c>
      <c r="C474" s="1" t="s">
        <v>3240</v>
      </c>
    </row>
    <row r="475" spans="2:3" hidden="1" x14ac:dyDescent="0.25">
      <c r="B475" s="2">
        <f t="shared" si="10"/>
        <v>600.02</v>
      </c>
      <c r="C475" s="1" t="s">
        <v>3241</v>
      </c>
    </row>
    <row r="476" spans="2:3" hidden="1" x14ac:dyDescent="0.25">
      <c r="B476" s="2">
        <f t="shared" si="10"/>
        <v>610.01</v>
      </c>
      <c r="C476" s="1" t="s">
        <v>3242</v>
      </c>
    </row>
    <row r="477" spans="2:3" hidden="1" x14ac:dyDescent="0.25">
      <c r="B477" s="2">
        <f t="shared" si="10"/>
        <v>610.02</v>
      </c>
      <c r="C477" s="1" t="s">
        <v>3243</v>
      </c>
    </row>
    <row r="478" spans="2:3" hidden="1" x14ac:dyDescent="0.25">
      <c r="B478" s="2">
        <f t="shared" si="10"/>
        <v>610.03</v>
      </c>
      <c r="C478" s="1" t="s">
        <v>3244</v>
      </c>
    </row>
    <row r="479" spans="2:3" hidden="1" x14ac:dyDescent="0.25">
      <c r="B479" s="2">
        <f t="shared" si="10"/>
        <v>610.04</v>
      </c>
      <c r="C479" s="1" t="s">
        <v>3245</v>
      </c>
    </row>
    <row r="480" spans="2:3" hidden="1" x14ac:dyDescent="0.25">
      <c r="B480" s="2">
        <f t="shared" si="10"/>
        <v>610.04999999999995</v>
      </c>
      <c r="C480" s="1" t="s">
        <v>3246</v>
      </c>
    </row>
    <row r="481" spans="2:3" hidden="1" x14ac:dyDescent="0.25">
      <c r="B481" s="2">
        <f t="shared" si="10"/>
        <v>620.01</v>
      </c>
      <c r="C481" s="1" t="s">
        <v>3247</v>
      </c>
    </row>
    <row r="482" spans="2:3" hidden="1" x14ac:dyDescent="0.25">
      <c r="B482" s="2">
        <f t="shared" si="10"/>
        <v>620.02</v>
      </c>
      <c r="C482" s="1" t="s">
        <v>3248</v>
      </c>
    </row>
    <row r="483" spans="2:3" hidden="1" x14ac:dyDescent="0.25">
      <c r="B483" s="2">
        <f t="shared" si="10"/>
        <v>620.03</v>
      </c>
      <c r="C483" s="1" t="s">
        <v>3249</v>
      </c>
    </row>
    <row r="484" spans="2:3" hidden="1" x14ac:dyDescent="0.25">
      <c r="B484" s="2">
        <f t="shared" si="10"/>
        <v>630.01</v>
      </c>
      <c r="C484" s="1" t="s">
        <v>3250</v>
      </c>
    </row>
    <row r="485" spans="2:3" hidden="1" x14ac:dyDescent="0.25">
      <c r="B485" s="2">
        <f t="shared" si="10"/>
        <v>630.02</v>
      </c>
      <c r="C485" s="1" t="s">
        <v>3251</v>
      </c>
    </row>
    <row r="486" spans="2:3" hidden="1" x14ac:dyDescent="0.25">
      <c r="B486" s="2">
        <f t="shared" si="10"/>
        <v>630.03</v>
      </c>
      <c r="C486" s="1" t="s">
        <v>3252</v>
      </c>
    </row>
    <row r="487" spans="2:3" hidden="1" x14ac:dyDescent="0.25">
      <c r="B487" s="2">
        <f t="shared" si="10"/>
        <v>630.04</v>
      </c>
      <c r="C487" s="1" t="s">
        <v>3253</v>
      </c>
    </row>
    <row r="488" spans="2:3" hidden="1" x14ac:dyDescent="0.25">
      <c r="B488" s="2">
        <f t="shared" si="10"/>
        <v>630.04999999999995</v>
      </c>
      <c r="C488" s="1" t="s">
        <v>3254</v>
      </c>
    </row>
    <row r="489" spans="2:3" hidden="1" x14ac:dyDescent="0.25">
      <c r="B489" s="2">
        <f t="shared" si="10"/>
        <v>640.01</v>
      </c>
      <c r="C489" s="1" t="s">
        <v>3255</v>
      </c>
    </row>
    <row r="490" spans="2:3" hidden="1" x14ac:dyDescent="0.25">
      <c r="B490" s="2">
        <f t="shared" si="10"/>
        <v>640.02</v>
      </c>
      <c r="C490" s="1" t="s">
        <v>3256</v>
      </c>
    </row>
    <row r="491" spans="2:3" hidden="1" x14ac:dyDescent="0.25">
      <c r="B491" s="2">
        <f t="shared" si="10"/>
        <v>640.03</v>
      </c>
      <c r="C491" s="1" t="s">
        <v>3257</v>
      </c>
    </row>
    <row r="492" spans="2:3" hidden="1" x14ac:dyDescent="0.25">
      <c r="B492" s="2">
        <f t="shared" si="10"/>
        <v>640.04</v>
      </c>
      <c r="C492" s="1" t="s">
        <v>3258</v>
      </c>
    </row>
    <row r="493" spans="2:3" hidden="1" x14ac:dyDescent="0.25">
      <c r="B493" s="2">
        <f t="shared" si="10"/>
        <v>650.01</v>
      </c>
      <c r="C493" s="1" t="s">
        <v>3259</v>
      </c>
    </row>
    <row r="494" spans="2:3" hidden="1" x14ac:dyDescent="0.25">
      <c r="B494" s="2">
        <f t="shared" si="10"/>
        <v>650.02</v>
      </c>
      <c r="C494" s="1" t="s">
        <v>3260</v>
      </c>
    </row>
    <row r="495" spans="2:3" hidden="1" x14ac:dyDescent="0.25">
      <c r="B495" s="2">
        <f t="shared" si="10"/>
        <v>650.03</v>
      </c>
      <c r="C495" s="1" t="s">
        <v>3261</v>
      </c>
    </row>
    <row r="496" spans="2:3" hidden="1" x14ac:dyDescent="0.25">
      <c r="B496" s="2">
        <f t="shared" si="10"/>
        <v>660.01</v>
      </c>
      <c r="C496" s="1" t="s">
        <v>3262</v>
      </c>
    </row>
    <row r="497" spans="2:3" hidden="1" x14ac:dyDescent="0.25">
      <c r="B497" s="2">
        <f t="shared" si="10"/>
        <v>660.02</v>
      </c>
      <c r="C497" s="1" t="s">
        <v>3263</v>
      </c>
    </row>
    <row r="498" spans="2:3" hidden="1" x14ac:dyDescent="0.25">
      <c r="B498" s="2">
        <f t="shared" si="10"/>
        <v>660.03</v>
      </c>
      <c r="C498" s="1" t="s">
        <v>3264</v>
      </c>
    </row>
    <row r="499" spans="2:3" hidden="1" x14ac:dyDescent="0.25">
      <c r="B499" s="2">
        <f t="shared" si="10"/>
        <v>660.04</v>
      </c>
      <c r="C499" s="1" t="s">
        <v>3265</v>
      </c>
    </row>
    <row r="500" spans="2:3" hidden="1" x14ac:dyDescent="0.25">
      <c r="B500" s="2">
        <f t="shared" si="10"/>
        <v>660.05</v>
      </c>
      <c r="C500" s="1" t="s">
        <v>3266</v>
      </c>
    </row>
    <row r="501" spans="2:3" hidden="1" x14ac:dyDescent="0.25">
      <c r="B501" s="2">
        <f t="shared" si="10"/>
        <v>660.06</v>
      </c>
      <c r="C501" s="1" t="s">
        <v>3267</v>
      </c>
    </row>
    <row r="502" spans="2:3" hidden="1" x14ac:dyDescent="0.25">
      <c r="B502" s="2">
        <f t="shared" si="10"/>
        <v>660.07</v>
      </c>
      <c r="C502" s="1" t="s">
        <v>3268</v>
      </c>
    </row>
    <row r="503" spans="2:3" hidden="1" x14ac:dyDescent="0.25">
      <c r="B503" s="2">
        <f t="shared" si="10"/>
        <v>660.08</v>
      </c>
      <c r="C503" s="1" t="s">
        <v>3269</v>
      </c>
    </row>
    <row r="504" spans="2:3" hidden="1" x14ac:dyDescent="0.25">
      <c r="B504" s="2">
        <f t="shared" si="10"/>
        <v>660.09</v>
      </c>
      <c r="C504" s="1" t="s">
        <v>3270</v>
      </c>
    </row>
    <row r="505" spans="2:3" hidden="1" x14ac:dyDescent="0.25">
      <c r="B505" s="2">
        <f t="shared" si="10"/>
        <v>660.1</v>
      </c>
      <c r="C505" s="1" t="s">
        <v>3271</v>
      </c>
    </row>
    <row r="506" spans="2:3" hidden="1" x14ac:dyDescent="0.25">
      <c r="B506" s="2">
        <f t="shared" si="10"/>
        <v>670.01</v>
      </c>
      <c r="C506" s="1" t="s">
        <v>3272</v>
      </c>
    </row>
    <row r="507" spans="2:3" hidden="1" x14ac:dyDescent="0.25">
      <c r="B507" s="2">
        <f t="shared" si="10"/>
        <v>670.02</v>
      </c>
      <c r="C507" s="1" t="s">
        <v>3273</v>
      </c>
    </row>
    <row r="508" spans="2:3" hidden="1" x14ac:dyDescent="0.25">
      <c r="B508" s="2">
        <f t="shared" si="10"/>
        <v>670.03</v>
      </c>
      <c r="C508" s="1" t="s">
        <v>3274</v>
      </c>
    </row>
    <row r="509" spans="2:3" hidden="1" x14ac:dyDescent="0.25">
      <c r="B509" s="2">
        <f t="shared" si="10"/>
        <v>680.01</v>
      </c>
      <c r="C509" s="1" t="s">
        <v>3275</v>
      </c>
    </row>
    <row r="510" spans="2:3" hidden="1" x14ac:dyDescent="0.25">
      <c r="B510" s="2">
        <f t="shared" si="10"/>
        <v>680.02</v>
      </c>
      <c r="C510" s="1" t="s">
        <v>3276</v>
      </c>
    </row>
    <row r="511" spans="2:3" hidden="1" x14ac:dyDescent="0.25">
      <c r="B511" s="2">
        <f t="shared" si="10"/>
        <v>690.01</v>
      </c>
      <c r="C511" s="1" t="s">
        <v>3277</v>
      </c>
    </row>
    <row r="512" spans="2:3" hidden="1" x14ac:dyDescent="0.25">
      <c r="B512" s="2">
        <f t="shared" si="10"/>
        <v>690.02</v>
      </c>
      <c r="C512" s="1" t="s">
        <v>3278</v>
      </c>
    </row>
    <row r="513" spans="2:3" hidden="1" x14ac:dyDescent="0.25">
      <c r="B513" s="2">
        <f t="shared" si="10"/>
        <v>690.03</v>
      </c>
      <c r="C513" s="1" t="s">
        <v>3279</v>
      </c>
    </row>
    <row r="514" spans="2:3" hidden="1" x14ac:dyDescent="0.25">
      <c r="B514" s="2">
        <f t="shared" si="10"/>
        <v>690.03</v>
      </c>
      <c r="C514" s="1" t="s">
        <v>3280</v>
      </c>
    </row>
    <row r="515" spans="2:3" hidden="1" x14ac:dyDescent="0.25">
      <c r="B515" s="2">
        <f t="shared" ref="B515:B578" si="11">MID(C515,1,7)*1</f>
        <v>700.01</v>
      </c>
      <c r="C515" s="1" t="s">
        <v>3281</v>
      </c>
    </row>
    <row r="516" spans="2:3" hidden="1" x14ac:dyDescent="0.25">
      <c r="B516" s="2">
        <f t="shared" si="11"/>
        <v>700.02</v>
      </c>
      <c r="C516" s="1" t="s">
        <v>3282</v>
      </c>
    </row>
    <row r="517" spans="2:3" hidden="1" x14ac:dyDescent="0.25">
      <c r="B517" s="2">
        <f t="shared" si="11"/>
        <v>700.03</v>
      </c>
      <c r="C517" s="1" t="s">
        <v>3283</v>
      </c>
    </row>
    <row r="518" spans="2:3" hidden="1" x14ac:dyDescent="0.25">
      <c r="B518" s="2">
        <f t="shared" si="11"/>
        <v>710.01</v>
      </c>
      <c r="C518" s="1" t="s">
        <v>3284</v>
      </c>
    </row>
    <row r="519" spans="2:3" hidden="1" x14ac:dyDescent="0.25">
      <c r="B519" s="2">
        <f t="shared" si="11"/>
        <v>710.02</v>
      </c>
      <c r="C519" s="1" t="s">
        <v>3285</v>
      </c>
    </row>
    <row r="520" spans="2:3" hidden="1" x14ac:dyDescent="0.25">
      <c r="B520" s="2">
        <f t="shared" si="11"/>
        <v>710.03</v>
      </c>
      <c r="C520" s="1" t="s">
        <v>3286</v>
      </c>
    </row>
    <row r="521" spans="2:3" hidden="1" x14ac:dyDescent="0.25">
      <c r="B521" s="2">
        <f t="shared" si="11"/>
        <v>710.04</v>
      </c>
      <c r="C521" s="1" t="s">
        <v>3287</v>
      </c>
    </row>
    <row r="522" spans="2:3" hidden="1" x14ac:dyDescent="0.25">
      <c r="B522" s="2">
        <f t="shared" si="11"/>
        <v>710.05</v>
      </c>
      <c r="C522" s="1" t="s">
        <v>3288</v>
      </c>
    </row>
    <row r="523" spans="2:3" hidden="1" x14ac:dyDescent="0.25">
      <c r="B523" s="2">
        <f t="shared" si="11"/>
        <v>710.06</v>
      </c>
      <c r="C523" s="1" t="s">
        <v>3289</v>
      </c>
    </row>
    <row r="524" spans="2:3" hidden="1" x14ac:dyDescent="0.25">
      <c r="B524" s="2">
        <f t="shared" si="11"/>
        <v>710.07</v>
      </c>
      <c r="C524" s="1" t="s">
        <v>3290</v>
      </c>
    </row>
    <row r="525" spans="2:3" hidden="1" x14ac:dyDescent="0.25">
      <c r="B525" s="2">
        <f t="shared" si="11"/>
        <v>710.08</v>
      </c>
      <c r="C525" s="1" t="s">
        <v>3291</v>
      </c>
    </row>
    <row r="526" spans="2:3" hidden="1" x14ac:dyDescent="0.25">
      <c r="B526" s="2">
        <f t="shared" si="11"/>
        <v>710.09</v>
      </c>
      <c r="C526" s="1" t="s">
        <v>3292</v>
      </c>
    </row>
    <row r="527" spans="2:3" hidden="1" x14ac:dyDescent="0.25">
      <c r="B527" s="2">
        <f t="shared" si="11"/>
        <v>710.1</v>
      </c>
      <c r="C527" s="1" t="s">
        <v>3293</v>
      </c>
    </row>
    <row r="528" spans="2:3" hidden="1" x14ac:dyDescent="0.25">
      <c r="B528" s="2">
        <f t="shared" si="11"/>
        <v>710.11</v>
      </c>
      <c r="C528" s="1" t="s">
        <v>3294</v>
      </c>
    </row>
    <row r="529" spans="2:3" hidden="1" x14ac:dyDescent="0.25">
      <c r="B529" s="2">
        <f t="shared" si="11"/>
        <v>720.01</v>
      </c>
      <c r="C529" s="1" t="s">
        <v>3295</v>
      </c>
    </row>
    <row r="530" spans="2:3" hidden="1" x14ac:dyDescent="0.25">
      <c r="B530" s="2">
        <f t="shared" si="11"/>
        <v>720.02</v>
      </c>
      <c r="C530" s="1" t="s">
        <v>3296</v>
      </c>
    </row>
    <row r="531" spans="2:3" hidden="1" x14ac:dyDescent="0.25">
      <c r="B531" s="2">
        <f t="shared" si="11"/>
        <v>720.03</v>
      </c>
      <c r="C531" s="1" t="s">
        <v>3297</v>
      </c>
    </row>
    <row r="532" spans="2:3" hidden="1" x14ac:dyDescent="0.25">
      <c r="B532" s="2">
        <f t="shared" si="11"/>
        <v>720.04</v>
      </c>
      <c r="C532" s="1" t="s">
        <v>3298</v>
      </c>
    </row>
    <row r="533" spans="2:3" hidden="1" x14ac:dyDescent="0.25">
      <c r="B533" s="2">
        <f t="shared" si="11"/>
        <v>720.05</v>
      </c>
      <c r="C533" s="1" t="s">
        <v>3299</v>
      </c>
    </row>
    <row r="534" spans="2:3" hidden="1" x14ac:dyDescent="0.25">
      <c r="B534" s="2">
        <f t="shared" si="11"/>
        <v>730.01</v>
      </c>
      <c r="C534" s="1" t="s">
        <v>3300</v>
      </c>
    </row>
    <row r="535" spans="2:3" hidden="1" x14ac:dyDescent="0.25">
      <c r="B535" s="2">
        <f t="shared" si="11"/>
        <v>730.02</v>
      </c>
      <c r="C535" s="1" t="s">
        <v>3301</v>
      </c>
    </row>
    <row r="536" spans="2:3" hidden="1" x14ac:dyDescent="0.25">
      <c r="B536" s="2">
        <f t="shared" si="11"/>
        <v>730.03</v>
      </c>
      <c r="C536" s="1" t="s">
        <v>3302</v>
      </c>
    </row>
    <row r="537" spans="2:3" hidden="1" x14ac:dyDescent="0.25">
      <c r="B537" s="2">
        <f t="shared" si="11"/>
        <v>730.04</v>
      </c>
      <c r="C537" s="1" t="s">
        <v>3303</v>
      </c>
    </row>
    <row r="538" spans="2:3" hidden="1" x14ac:dyDescent="0.25">
      <c r="B538" s="2">
        <f t="shared" si="11"/>
        <v>730.05</v>
      </c>
      <c r="C538" s="1" t="s">
        <v>3304</v>
      </c>
    </row>
    <row r="539" spans="2:3" hidden="1" x14ac:dyDescent="0.25">
      <c r="B539" s="2">
        <f t="shared" si="11"/>
        <v>740.01</v>
      </c>
      <c r="C539" s="1" t="s">
        <v>3305</v>
      </c>
    </row>
    <row r="540" spans="2:3" hidden="1" x14ac:dyDescent="0.25">
      <c r="B540" s="2">
        <f t="shared" si="11"/>
        <v>740.02</v>
      </c>
      <c r="C540" s="1" t="s">
        <v>3306</v>
      </c>
    </row>
    <row r="541" spans="2:3" hidden="1" x14ac:dyDescent="0.25">
      <c r="B541" s="2">
        <f t="shared" si="11"/>
        <v>740.03</v>
      </c>
      <c r="C541" s="1" t="s">
        <v>3307</v>
      </c>
    </row>
    <row r="542" spans="2:3" hidden="1" x14ac:dyDescent="0.25">
      <c r="B542" s="2">
        <f t="shared" si="11"/>
        <v>740.04</v>
      </c>
      <c r="C542" s="1" t="s">
        <v>3308</v>
      </c>
    </row>
    <row r="543" spans="2:3" hidden="1" x14ac:dyDescent="0.25">
      <c r="B543" s="2">
        <f t="shared" si="11"/>
        <v>740.05</v>
      </c>
      <c r="C543" s="1" t="s">
        <v>3309</v>
      </c>
    </row>
    <row r="544" spans="2:3" hidden="1" x14ac:dyDescent="0.25">
      <c r="B544" s="2">
        <f t="shared" si="11"/>
        <v>740.06</v>
      </c>
      <c r="C544" s="1" t="s">
        <v>3310</v>
      </c>
    </row>
    <row r="545" spans="2:3" hidden="1" x14ac:dyDescent="0.25">
      <c r="B545" s="2">
        <f t="shared" si="11"/>
        <v>740.07</v>
      </c>
      <c r="C545" s="1" t="s">
        <v>3311</v>
      </c>
    </row>
    <row r="546" spans="2:3" hidden="1" x14ac:dyDescent="0.25">
      <c r="B546" s="2">
        <f t="shared" si="11"/>
        <v>740.08</v>
      </c>
      <c r="C546" s="1" t="s">
        <v>3312</v>
      </c>
    </row>
    <row r="547" spans="2:3" hidden="1" x14ac:dyDescent="0.25">
      <c r="B547" s="2">
        <f t="shared" si="11"/>
        <v>740.09</v>
      </c>
      <c r="C547" s="1" t="s">
        <v>3313</v>
      </c>
    </row>
    <row r="548" spans="2:3" hidden="1" x14ac:dyDescent="0.25">
      <c r="B548" s="2">
        <f t="shared" si="11"/>
        <v>740.1</v>
      </c>
      <c r="C548" s="1" t="s">
        <v>3314</v>
      </c>
    </row>
    <row r="549" spans="2:3" hidden="1" x14ac:dyDescent="0.25">
      <c r="B549" s="2">
        <f t="shared" si="11"/>
        <v>740.11</v>
      </c>
      <c r="C549" s="1" t="s">
        <v>3315</v>
      </c>
    </row>
    <row r="550" spans="2:3" hidden="1" x14ac:dyDescent="0.25">
      <c r="B550" s="2">
        <f t="shared" si="11"/>
        <v>740.12</v>
      </c>
      <c r="C550" s="1" t="s">
        <v>3316</v>
      </c>
    </row>
    <row r="551" spans="2:3" hidden="1" x14ac:dyDescent="0.25">
      <c r="B551" s="2">
        <f t="shared" si="11"/>
        <v>750.01</v>
      </c>
      <c r="C551" s="1" t="s">
        <v>3317</v>
      </c>
    </row>
    <row r="552" spans="2:3" hidden="1" x14ac:dyDescent="0.25">
      <c r="B552" s="2">
        <f t="shared" si="11"/>
        <v>750.02</v>
      </c>
      <c r="C552" s="1" t="s">
        <v>3318</v>
      </c>
    </row>
    <row r="553" spans="2:3" hidden="1" x14ac:dyDescent="0.25">
      <c r="B553" s="2">
        <f t="shared" si="11"/>
        <v>750.03</v>
      </c>
      <c r="C553" s="1" t="s">
        <v>3319</v>
      </c>
    </row>
    <row r="554" spans="2:3" hidden="1" x14ac:dyDescent="0.25">
      <c r="B554" s="2">
        <f t="shared" si="11"/>
        <v>750.04</v>
      </c>
      <c r="C554" s="1" t="s">
        <v>3320</v>
      </c>
    </row>
    <row r="555" spans="2:3" hidden="1" x14ac:dyDescent="0.25">
      <c r="B555" s="2">
        <f t="shared" si="11"/>
        <v>750.05</v>
      </c>
      <c r="C555" s="1" t="s">
        <v>3321</v>
      </c>
    </row>
    <row r="556" spans="2:3" hidden="1" x14ac:dyDescent="0.25">
      <c r="B556" s="2">
        <f t="shared" si="11"/>
        <v>750.06</v>
      </c>
      <c r="C556" s="1" t="s">
        <v>3322</v>
      </c>
    </row>
    <row r="557" spans="2:3" hidden="1" x14ac:dyDescent="0.25">
      <c r="B557" s="2">
        <f t="shared" si="11"/>
        <v>750.07</v>
      </c>
      <c r="C557" s="1" t="s">
        <v>3323</v>
      </c>
    </row>
    <row r="558" spans="2:3" hidden="1" x14ac:dyDescent="0.25">
      <c r="B558" s="2">
        <f t="shared" si="11"/>
        <v>750.08</v>
      </c>
      <c r="C558" s="1" t="s">
        <v>3324</v>
      </c>
    </row>
    <row r="559" spans="2:3" hidden="1" x14ac:dyDescent="0.25">
      <c r="B559" s="2">
        <f t="shared" si="11"/>
        <v>750.09</v>
      </c>
      <c r="C559" s="1" t="s">
        <v>3325</v>
      </c>
    </row>
    <row r="560" spans="2:3" hidden="1" x14ac:dyDescent="0.25">
      <c r="B560" s="2">
        <f t="shared" si="11"/>
        <v>750.1</v>
      </c>
      <c r="C560" s="1" t="s">
        <v>3326</v>
      </c>
    </row>
    <row r="561" spans="2:3" hidden="1" x14ac:dyDescent="0.25">
      <c r="B561" s="2">
        <f t="shared" si="11"/>
        <v>750.11</v>
      </c>
      <c r="C561" s="1" t="s">
        <v>3327</v>
      </c>
    </row>
    <row r="562" spans="2:3" hidden="1" x14ac:dyDescent="0.25">
      <c r="B562" s="2">
        <f t="shared" si="11"/>
        <v>750.12</v>
      </c>
      <c r="C562" s="1" t="s">
        <v>3328</v>
      </c>
    </row>
    <row r="563" spans="2:3" hidden="1" x14ac:dyDescent="0.25">
      <c r="B563" s="2">
        <f t="shared" si="11"/>
        <v>750.13</v>
      </c>
      <c r="C563" s="1" t="s">
        <v>3329</v>
      </c>
    </row>
    <row r="564" spans="2:3" hidden="1" x14ac:dyDescent="0.25">
      <c r="B564" s="2">
        <f t="shared" si="11"/>
        <v>750.14</v>
      </c>
      <c r="C564" s="1" t="s">
        <v>3330</v>
      </c>
    </row>
    <row r="565" spans="2:3" hidden="1" x14ac:dyDescent="0.25">
      <c r="B565" s="2">
        <f t="shared" si="11"/>
        <v>750.15</v>
      </c>
      <c r="C565" s="1" t="s">
        <v>3331</v>
      </c>
    </row>
    <row r="566" spans="2:3" hidden="1" x14ac:dyDescent="0.25">
      <c r="B566" s="2">
        <f t="shared" si="11"/>
        <v>750.17</v>
      </c>
      <c r="C566" s="1" t="s">
        <v>3332</v>
      </c>
    </row>
    <row r="567" spans="2:3" hidden="1" x14ac:dyDescent="0.25">
      <c r="B567" s="2">
        <f t="shared" si="11"/>
        <v>750.18</v>
      </c>
      <c r="C567" s="1" t="s">
        <v>3333</v>
      </c>
    </row>
    <row r="568" spans="2:3" hidden="1" x14ac:dyDescent="0.25">
      <c r="B568" s="2">
        <f t="shared" si="11"/>
        <v>750.19</v>
      </c>
      <c r="C568" s="1" t="s">
        <v>3334</v>
      </c>
    </row>
    <row r="569" spans="2:3" hidden="1" x14ac:dyDescent="0.25">
      <c r="B569" s="2">
        <f t="shared" si="11"/>
        <v>750.2</v>
      </c>
      <c r="C569" s="1" t="s">
        <v>3335</v>
      </c>
    </row>
    <row r="570" spans="2:3" hidden="1" x14ac:dyDescent="0.25">
      <c r="B570" s="2">
        <f t="shared" si="11"/>
        <v>750.21</v>
      </c>
      <c r="C570" s="1" t="s">
        <v>3336</v>
      </c>
    </row>
    <row r="571" spans="2:3" hidden="1" x14ac:dyDescent="0.25">
      <c r="B571" s="2">
        <f t="shared" si="11"/>
        <v>750.22</v>
      </c>
      <c r="C571" s="1" t="s">
        <v>3337</v>
      </c>
    </row>
    <row r="572" spans="2:3" hidden="1" x14ac:dyDescent="0.25">
      <c r="B572" s="2">
        <f t="shared" si="11"/>
        <v>750.23</v>
      </c>
      <c r="C572" s="1" t="s">
        <v>3338</v>
      </c>
    </row>
    <row r="573" spans="2:3" hidden="1" x14ac:dyDescent="0.25">
      <c r="B573" s="2">
        <f t="shared" si="11"/>
        <v>750.24</v>
      </c>
      <c r="C573" s="1" t="s">
        <v>3339</v>
      </c>
    </row>
    <row r="574" spans="2:3" hidden="1" x14ac:dyDescent="0.25">
      <c r="B574" s="2">
        <f t="shared" si="11"/>
        <v>750.25</v>
      </c>
      <c r="C574" s="1" t="s">
        <v>3340</v>
      </c>
    </row>
    <row r="575" spans="2:3" hidden="1" x14ac:dyDescent="0.25">
      <c r="B575" s="2">
        <f t="shared" si="11"/>
        <v>750.26</v>
      </c>
      <c r="C575" s="1" t="s">
        <v>3341</v>
      </c>
    </row>
    <row r="576" spans="2:3" hidden="1" x14ac:dyDescent="0.25">
      <c r="B576" s="2">
        <f t="shared" si="11"/>
        <v>750.27</v>
      </c>
      <c r="C576" s="1" t="s">
        <v>3342</v>
      </c>
    </row>
    <row r="577" spans="2:3" hidden="1" x14ac:dyDescent="0.25">
      <c r="B577" s="2">
        <f t="shared" si="11"/>
        <v>750.28</v>
      </c>
      <c r="C577" s="1" t="s">
        <v>3343</v>
      </c>
    </row>
    <row r="578" spans="2:3" hidden="1" x14ac:dyDescent="0.25">
      <c r="B578" s="2">
        <f t="shared" si="11"/>
        <v>750.29</v>
      </c>
      <c r="C578" s="1" t="s">
        <v>3344</v>
      </c>
    </row>
    <row r="579" spans="2:3" hidden="1" x14ac:dyDescent="0.25">
      <c r="B579" s="2">
        <f t="shared" ref="B579:B642" si="12">MID(C579,1,7)*1</f>
        <v>750.3</v>
      </c>
      <c r="C579" s="1" t="s">
        <v>3345</v>
      </c>
    </row>
    <row r="580" spans="2:3" hidden="1" x14ac:dyDescent="0.25">
      <c r="B580" s="2">
        <f t="shared" si="12"/>
        <v>750.31</v>
      </c>
      <c r="C580" s="1" t="s">
        <v>3346</v>
      </c>
    </row>
    <row r="581" spans="2:3" hidden="1" x14ac:dyDescent="0.25">
      <c r="B581" s="2">
        <f t="shared" si="12"/>
        <v>750.32</v>
      </c>
      <c r="C581" s="1" t="s">
        <v>3347</v>
      </c>
    </row>
    <row r="582" spans="2:3" hidden="1" x14ac:dyDescent="0.25">
      <c r="B582" s="2">
        <f t="shared" si="12"/>
        <v>750.33</v>
      </c>
      <c r="C582" s="1" t="s">
        <v>3348</v>
      </c>
    </row>
    <row r="583" spans="2:3" hidden="1" x14ac:dyDescent="0.25">
      <c r="B583" s="2">
        <f t="shared" si="12"/>
        <v>750.34</v>
      </c>
      <c r="C583" s="1" t="s">
        <v>3349</v>
      </c>
    </row>
    <row r="584" spans="2:3" hidden="1" x14ac:dyDescent="0.25">
      <c r="B584" s="2">
        <f t="shared" si="12"/>
        <v>750.35</v>
      </c>
      <c r="C584" s="1" t="s">
        <v>3350</v>
      </c>
    </row>
    <row r="585" spans="2:3" hidden="1" x14ac:dyDescent="0.25">
      <c r="B585" s="2">
        <f t="shared" si="12"/>
        <v>750.36</v>
      </c>
      <c r="C585" s="1" t="s">
        <v>3351</v>
      </c>
    </row>
    <row r="586" spans="2:3" hidden="1" x14ac:dyDescent="0.25">
      <c r="B586" s="2">
        <f t="shared" si="12"/>
        <v>750.37</v>
      </c>
      <c r="C586" s="1" t="s">
        <v>3352</v>
      </c>
    </row>
    <row r="587" spans="2:3" hidden="1" x14ac:dyDescent="0.25">
      <c r="B587" s="2">
        <f t="shared" si="12"/>
        <v>750.38</v>
      </c>
      <c r="C587" s="1" t="s">
        <v>3353</v>
      </c>
    </row>
    <row r="588" spans="2:3" hidden="1" x14ac:dyDescent="0.25">
      <c r="B588" s="2">
        <f t="shared" si="12"/>
        <v>750.39</v>
      </c>
      <c r="C588" s="1" t="s">
        <v>3354</v>
      </c>
    </row>
    <row r="589" spans="2:3" hidden="1" x14ac:dyDescent="0.25">
      <c r="B589" s="2">
        <f t="shared" si="12"/>
        <v>750.4</v>
      </c>
      <c r="C589" s="1" t="s">
        <v>3355</v>
      </c>
    </row>
    <row r="590" spans="2:3" hidden="1" x14ac:dyDescent="0.25">
      <c r="B590" s="2">
        <f t="shared" si="12"/>
        <v>750.41</v>
      </c>
      <c r="C590" s="1" t="s">
        <v>3356</v>
      </c>
    </row>
    <row r="591" spans="2:3" hidden="1" x14ac:dyDescent="0.25">
      <c r="B591" s="2">
        <f t="shared" si="12"/>
        <v>750.42</v>
      </c>
      <c r="C591" s="1" t="s">
        <v>3357</v>
      </c>
    </row>
    <row r="592" spans="2:3" hidden="1" x14ac:dyDescent="0.25">
      <c r="B592" s="2">
        <f t="shared" si="12"/>
        <v>750.43</v>
      </c>
      <c r="C592" s="1" t="s">
        <v>3358</v>
      </c>
    </row>
    <row r="593" spans="2:3" hidden="1" x14ac:dyDescent="0.25">
      <c r="B593" s="2">
        <f t="shared" si="12"/>
        <v>750.44</v>
      </c>
      <c r="C593" s="1" t="s">
        <v>3359</v>
      </c>
    </row>
    <row r="594" spans="2:3" hidden="1" x14ac:dyDescent="0.25">
      <c r="B594" s="2">
        <f t="shared" si="12"/>
        <v>750.45</v>
      </c>
      <c r="C594" s="1" t="s">
        <v>3360</v>
      </c>
    </row>
    <row r="595" spans="2:3" hidden="1" x14ac:dyDescent="0.25">
      <c r="B595" s="2">
        <f t="shared" si="12"/>
        <v>750.46</v>
      </c>
      <c r="C595" s="1" t="s">
        <v>3361</v>
      </c>
    </row>
    <row r="596" spans="2:3" hidden="1" x14ac:dyDescent="0.25">
      <c r="B596" s="2">
        <f t="shared" si="12"/>
        <v>750.47</v>
      </c>
      <c r="C596" s="1" t="s">
        <v>3362</v>
      </c>
    </row>
    <row r="597" spans="2:3" hidden="1" x14ac:dyDescent="0.25">
      <c r="B597" s="2">
        <f t="shared" si="12"/>
        <v>750.48</v>
      </c>
      <c r="C597" s="1" t="s">
        <v>3363</v>
      </c>
    </row>
    <row r="598" spans="2:3" hidden="1" x14ac:dyDescent="0.25">
      <c r="B598" s="2">
        <f t="shared" si="12"/>
        <v>750.49</v>
      </c>
      <c r="C598" s="1" t="s">
        <v>3364</v>
      </c>
    </row>
    <row r="599" spans="2:3" hidden="1" x14ac:dyDescent="0.25">
      <c r="B599" s="2">
        <f t="shared" si="12"/>
        <v>750.5</v>
      </c>
      <c r="C599" s="1" t="s">
        <v>3365</v>
      </c>
    </row>
    <row r="600" spans="2:3" hidden="1" x14ac:dyDescent="0.25">
      <c r="B600" s="2">
        <f t="shared" si="12"/>
        <v>750.51</v>
      </c>
      <c r="C600" s="1" t="s">
        <v>3366</v>
      </c>
    </row>
    <row r="601" spans="2:3" hidden="1" x14ac:dyDescent="0.25">
      <c r="B601" s="2">
        <f t="shared" si="12"/>
        <v>750.52</v>
      </c>
      <c r="C601" s="1" t="s">
        <v>3367</v>
      </c>
    </row>
    <row r="602" spans="2:3" hidden="1" x14ac:dyDescent="0.25">
      <c r="B602" s="2">
        <f t="shared" si="12"/>
        <v>750.53</v>
      </c>
      <c r="C602" s="1" t="s">
        <v>3368</v>
      </c>
    </row>
    <row r="603" spans="2:3" hidden="1" x14ac:dyDescent="0.25">
      <c r="B603" s="2">
        <f t="shared" si="12"/>
        <v>750.54</v>
      </c>
      <c r="C603" s="1" t="s">
        <v>3369</v>
      </c>
    </row>
    <row r="604" spans="2:3" hidden="1" x14ac:dyDescent="0.25">
      <c r="B604" s="2">
        <f t="shared" si="12"/>
        <v>750.55</v>
      </c>
      <c r="C604" s="1" t="s">
        <v>3370</v>
      </c>
    </row>
    <row r="605" spans="2:3" hidden="1" x14ac:dyDescent="0.25">
      <c r="B605" s="2">
        <f t="shared" si="12"/>
        <v>750.56</v>
      </c>
      <c r="C605" s="1" t="s">
        <v>3371</v>
      </c>
    </row>
    <row r="606" spans="2:3" hidden="1" x14ac:dyDescent="0.25">
      <c r="B606" s="2">
        <f t="shared" si="12"/>
        <v>750.57</v>
      </c>
      <c r="C606" s="1" t="s">
        <v>3372</v>
      </c>
    </row>
    <row r="607" spans="2:3" hidden="1" x14ac:dyDescent="0.25">
      <c r="B607" s="2">
        <f t="shared" si="12"/>
        <v>750.58</v>
      </c>
      <c r="C607" s="1" t="s">
        <v>3373</v>
      </c>
    </row>
    <row r="608" spans="2:3" hidden="1" x14ac:dyDescent="0.25">
      <c r="B608" s="2">
        <f t="shared" si="12"/>
        <v>750.59</v>
      </c>
      <c r="C608" s="1" t="s">
        <v>3374</v>
      </c>
    </row>
    <row r="609" spans="2:3" hidden="1" x14ac:dyDescent="0.25">
      <c r="B609" s="2">
        <f t="shared" si="12"/>
        <v>750.6</v>
      </c>
      <c r="C609" s="1" t="s">
        <v>3375</v>
      </c>
    </row>
    <row r="610" spans="2:3" hidden="1" x14ac:dyDescent="0.25">
      <c r="B610" s="2">
        <f t="shared" si="12"/>
        <v>750.61</v>
      </c>
      <c r="C610" s="1" t="s">
        <v>3376</v>
      </c>
    </row>
    <row r="611" spans="2:3" hidden="1" x14ac:dyDescent="0.25">
      <c r="B611" s="2">
        <f t="shared" si="12"/>
        <v>750.62</v>
      </c>
      <c r="C611" s="1" t="s">
        <v>3377</v>
      </c>
    </row>
    <row r="612" spans="2:3" hidden="1" x14ac:dyDescent="0.25">
      <c r="B612" s="2">
        <f t="shared" si="12"/>
        <v>750.63</v>
      </c>
      <c r="C612" s="1" t="s">
        <v>3378</v>
      </c>
    </row>
    <row r="613" spans="2:3" hidden="1" x14ac:dyDescent="0.25">
      <c r="B613" s="2">
        <f t="shared" si="12"/>
        <v>750.64</v>
      </c>
      <c r="C613" s="1" t="s">
        <v>3379</v>
      </c>
    </row>
    <row r="614" spans="2:3" hidden="1" x14ac:dyDescent="0.25">
      <c r="B614" s="2">
        <f t="shared" si="12"/>
        <v>750.65</v>
      </c>
      <c r="C614" s="1" t="s">
        <v>3380</v>
      </c>
    </row>
    <row r="615" spans="2:3" hidden="1" x14ac:dyDescent="0.25">
      <c r="B615" s="2">
        <f t="shared" si="12"/>
        <v>750.66</v>
      </c>
      <c r="C615" s="1" t="s">
        <v>3381</v>
      </c>
    </row>
    <row r="616" spans="2:3" hidden="1" x14ac:dyDescent="0.25">
      <c r="B616" s="2">
        <f t="shared" si="12"/>
        <v>750.67</v>
      </c>
      <c r="C616" s="1" t="s">
        <v>3382</v>
      </c>
    </row>
    <row r="617" spans="2:3" hidden="1" x14ac:dyDescent="0.25">
      <c r="B617" s="2">
        <f t="shared" si="12"/>
        <v>750.68</v>
      </c>
      <c r="C617" s="1" t="s">
        <v>3383</v>
      </c>
    </row>
    <row r="618" spans="2:3" hidden="1" x14ac:dyDescent="0.25">
      <c r="B618" s="2">
        <f t="shared" si="12"/>
        <v>750.69</v>
      </c>
      <c r="C618" s="1" t="s">
        <v>3384</v>
      </c>
    </row>
    <row r="619" spans="2:3" hidden="1" x14ac:dyDescent="0.25">
      <c r="B619" s="2">
        <f t="shared" si="12"/>
        <v>750.7</v>
      </c>
      <c r="C619" s="1" t="s">
        <v>3385</v>
      </c>
    </row>
    <row r="620" spans="2:3" hidden="1" x14ac:dyDescent="0.25">
      <c r="B620" s="2">
        <f t="shared" si="12"/>
        <v>750.71</v>
      </c>
      <c r="C620" s="1" t="s">
        <v>3386</v>
      </c>
    </row>
    <row r="621" spans="2:3" hidden="1" x14ac:dyDescent="0.25">
      <c r="B621" s="2">
        <f t="shared" si="12"/>
        <v>755.01</v>
      </c>
      <c r="C621" s="1" t="s">
        <v>1467</v>
      </c>
    </row>
    <row r="622" spans="2:3" hidden="1" x14ac:dyDescent="0.25">
      <c r="B622" s="2">
        <f t="shared" si="12"/>
        <v>755.02</v>
      </c>
      <c r="C622" s="1" t="s">
        <v>3387</v>
      </c>
    </row>
    <row r="623" spans="2:3" hidden="1" x14ac:dyDescent="0.25">
      <c r="B623" s="2">
        <f t="shared" si="12"/>
        <v>755.03</v>
      </c>
      <c r="C623" s="1" t="s">
        <v>3388</v>
      </c>
    </row>
    <row r="624" spans="2:3" hidden="1" x14ac:dyDescent="0.25">
      <c r="B624" s="2">
        <f t="shared" si="12"/>
        <v>755.04</v>
      </c>
      <c r="C624" s="1" t="s">
        <v>3389</v>
      </c>
    </row>
    <row r="625" spans="2:3" hidden="1" x14ac:dyDescent="0.25">
      <c r="B625" s="2">
        <f t="shared" si="12"/>
        <v>755.05</v>
      </c>
      <c r="C625" s="1" t="s">
        <v>3390</v>
      </c>
    </row>
    <row r="626" spans="2:3" hidden="1" x14ac:dyDescent="0.25">
      <c r="B626" s="2">
        <f t="shared" si="12"/>
        <v>755.06</v>
      </c>
      <c r="C626" s="1" t="s">
        <v>3391</v>
      </c>
    </row>
    <row r="627" spans="2:3" hidden="1" x14ac:dyDescent="0.25">
      <c r="B627" s="2">
        <f t="shared" si="12"/>
        <v>755.07</v>
      </c>
      <c r="C627" s="1" t="s">
        <v>3392</v>
      </c>
    </row>
    <row r="628" spans="2:3" hidden="1" x14ac:dyDescent="0.25">
      <c r="B628" s="2">
        <f t="shared" si="12"/>
        <v>755.08</v>
      </c>
      <c r="C628" s="1" t="s">
        <v>3393</v>
      </c>
    </row>
    <row r="629" spans="2:3" hidden="1" x14ac:dyDescent="0.25">
      <c r="B629" s="2">
        <f t="shared" si="12"/>
        <v>755.09</v>
      </c>
      <c r="C629" s="1" t="s">
        <v>3394</v>
      </c>
    </row>
    <row r="630" spans="2:3" hidden="1" x14ac:dyDescent="0.25">
      <c r="B630" s="2">
        <f t="shared" si="12"/>
        <v>755.1</v>
      </c>
      <c r="C630" s="1" t="s">
        <v>3395</v>
      </c>
    </row>
    <row r="631" spans="2:3" hidden="1" x14ac:dyDescent="0.25">
      <c r="B631" s="2">
        <f t="shared" si="12"/>
        <v>755.11</v>
      </c>
      <c r="C631" s="1" t="s">
        <v>3396</v>
      </c>
    </row>
    <row r="632" spans="2:3" hidden="1" x14ac:dyDescent="0.25">
      <c r="B632" s="2">
        <f t="shared" si="12"/>
        <v>755.12</v>
      </c>
      <c r="C632" s="1" t="s">
        <v>3397</v>
      </c>
    </row>
    <row r="633" spans="2:3" hidden="1" x14ac:dyDescent="0.25">
      <c r="B633" s="2">
        <f t="shared" si="12"/>
        <v>755.13</v>
      </c>
      <c r="C633" s="1" t="s">
        <v>3398</v>
      </c>
    </row>
    <row r="634" spans="2:3" hidden="1" x14ac:dyDescent="0.25">
      <c r="B634" s="2">
        <f t="shared" si="12"/>
        <v>755.14</v>
      </c>
      <c r="C634" s="1" t="s">
        <v>3399</v>
      </c>
    </row>
    <row r="635" spans="2:3" hidden="1" x14ac:dyDescent="0.25">
      <c r="B635" s="2">
        <f t="shared" si="12"/>
        <v>755.15</v>
      </c>
      <c r="C635" s="1" t="s">
        <v>3400</v>
      </c>
    </row>
    <row r="636" spans="2:3" hidden="1" x14ac:dyDescent="0.25">
      <c r="B636" s="2">
        <f t="shared" si="12"/>
        <v>755.16</v>
      </c>
      <c r="C636" s="1" t="s">
        <v>3401</v>
      </c>
    </row>
    <row r="637" spans="2:3" hidden="1" x14ac:dyDescent="0.25">
      <c r="B637" s="2">
        <f t="shared" si="12"/>
        <v>755.17</v>
      </c>
      <c r="C637" s="1" t="s">
        <v>3402</v>
      </c>
    </row>
    <row r="638" spans="2:3" hidden="1" x14ac:dyDescent="0.25">
      <c r="B638" s="2">
        <f t="shared" si="12"/>
        <v>755.18</v>
      </c>
      <c r="C638" s="1" t="s">
        <v>3403</v>
      </c>
    </row>
    <row r="639" spans="2:3" hidden="1" x14ac:dyDescent="0.25">
      <c r="B639" s="2">
        <f t="shared" si="12"/>
        <v>755.19</v>
      </c>
      <c r="C639" s="1" t="s">
        <v>3404</v>
      </c>
    </row>
    <row r="640" spans="2:3" hidden="1" x14ac:dyDescent="0.25">
      <c r="B640" s="2">
        <f t="shared" si="12"/>
        <v>755.2</v>
      </c>
      <c r="C640" s="1" t="s">
        <v>3405</v>
      </c>
    </row>
    <row r="641" spans="2:3" hidden="1" x14ac:dyDescent="0.25">
      <c r="B641" s="2">
        <f t="shared" si="12"/>
        <v>755.21</v>
      </c>
      <c r="C641" s="1" t="s">
        <v>3406</v>
      </c>
    </row>
    <row r="642" spans="2:3" hidden="1" x14ac:dyDescent="0.25">
      <c r="B642" s="2">
        <f t="shared" si="12"/>
        <v>755.22</v>
      </c>
      <c r="C642" s="1" t="s">
        <v>3407</v>
      </c>
    </row>
    <row r="643" spans="2:3" hidden="1" x14ac:dyDescent="0.25">
      <c r="B643" s="2">
        <f t="shared" ref="B643:B706" si="13">MID(C643,1,7)*1</f>
        <v>755.23</v>
      </c>
      <c r="C643" s="1" t="s">
        <v>3408</v>
      </c>
    </row>
    <row r="644" spans="2:3" hidden="1" x14ac:dyDescent="0.25">
      <c r="B644" s="2">
        <f t="shared" si="13"/>
        <v>755.24</v>
      </c>
      <c r="C644" s="1" t="s">
        <v>3409</v>
      </c>
    </row>
    <row r="645" spans="2:3" hidden="1" x14ac:dyDescent="0.25">
      <c r="B645" s="2">
        <f t="shared" si="13"/>
        <v>755.25</v>
      </c>
      <c r="C645" s="1" t="s">
        <v>3410</v>
      </c>
    </row>
    <row r="646" spans="2:3" hidden="1" x14ac:dyDescent="0.25">
      <c r="B646" s="2">
        <f t="shared" si="13"/>
        <v>755.26</v>
      </c>
      <c r="C646" s="1" t="s">
        <v>3411</v>
      </c>
    </row>
    <row r="647" spans="2:3" hidden="1" x14ac:dyDescent="0.25">
      <c r="B647" s="2">
        <f t="shared" si="13"/>
        <v>755.27</v>
      </c>
      <c r="C647" s="1" t="s">
        <v>3412</v>
      </c>
    </row>
    <row r="648" spans="2:3" hidden="1" x14ac:dyDescent="0.25">
      <c r="B648" s="2">
        <f t="shared" si="13"/>
        <v>755.28</v>
      </c>
      <c r="C648" s="1" t="s">
        <v>3413</v>
      </c>
    </row>
    <row r="649" spans="2:3" hidden="1" x14ac:dyDescent="0.25">
      <c r="B649" s="2">
        <f t="shared" si="13"/>
        <v>755.29</v>
      </c>
      <c r="C649" s="1" t="s">
        <v>3414</v>
      </c>
    </row>
    <row r="650" spans="2:3" hidden="1" x14ac:dyDescent="0.25">
      <c r="B650" s="2">
        <f t="shared" si="13"/>
        <v>755.3</v>
      </c>
      <c r="C650" s="1" t="s">
        <v>3415</v>
      </c>
    </row>
    <row r="651" spans="2:3" hidden="1" x14ac:dyDescent="0.25">
      <c r="B651" s="2">
        <f t="shared" si="13"/>
        <v>755.31</v>
      </c>
      <c r="C651" s="1" t="s">
        <v>3416</v>
      </c>
    </row>
    <row r="652" spans="2:3" hidden="1" x14ac:dyDescent="0.25">
      <c r="B652" s="2">
        <f t="shared" si="13"/>
        <v>755.32</v>
      </c>
      <c r="C652" s="1" t="s">
        <v>3417</v>
      </c>
    </row>
    <row r="653" spans="2:3" hidden="1" x14ac:dyDescent="0.25">
      <c r="B653" s="2">
        <f t="shared" si="13"/>
        <v>755.33</v>
      </c>
      <c r="C653" s="1" t="s">
        <v>3418</v>
      </c>
    </row>
    <row r="654" spans="2:3" hidden="1" x14ac:dyDescent="0.25">
      <c r="B654" s="2">
        <f t="shared" si="13"/>
        <v>755.34</v>
      </c>
      <c r="C654" s="1" t="s">
        <v>3419</v>
      </c>
    </row>
    <row r="655" spans="2:3" hidden="1" x14ac:dyDescent="0.25">
      <c r="B655" s="2">
        <f t="shared" si="13"/>
        <v>755.35</v>
      </c>
      <c r="C655" s="1" t="s">
        <v>3420</v>
      </c>
    </row>
    <row r="656" spans="2:3" hidden="1" x14ac:dyDescent="0.25">
      <c r="B656" s="2">
        <f t="shared" si="13"/>
        <v>755.36</v>
      </c>
      <c r="C656" s="1" t="s">
        <v>3421</v>
      </c>
    </row>
    <row r="657" spans="2:3" hidden="1" x14ac:dyDescent="0.25">
      <c r="B657" s="2">
        <f t="shared" si="13"/>
        <v>755.37</v>
      </c>
      <c r="C657" s="1" t="s">
        <v>3422</v>
      </c>
    </row>
    <row r="658" spans="2:3" hidden="1" x14ac:dyDescent="0.25">
      <c r="B658" s="2">
        <f t="shared" si="13"/>
        <v>755.38</v>
      </c>
      <c r="C658" s="1" t="s">
        <v>3423</v>
      </c>
    </row>
    <row r="659" spans="2:3" hidden="1" x14ac:dyDescent="0.25">
      <c r="B659" s="2">
        <f t="shared" si="13"/>
        <v>755.39</v>
      </c>
      <c r="C659" s="1" t="s">
        <v>3424</v>
      </c>
    </row>
    <row r="660" spans="2:3" hidden="1" x14ac:dyDescent="0.25">
      <c r="B660" s="2">
        <f t="shared" si="13"/>
        <v>755.4</v>
      </c>
      <c r="C660" s="1" t="s">
        <v>3425</v>
      </c>
    </row>
    <row r="661" spans="2:3" hidden="1" x14ac:dyDescent="0.25">
      <c r="B661" s="2">
        <f t="shared" si="13"/>
        <v>755.41</v>
      </c>
      <c r="C661" s="1" t="s">
        <v>3426</v>
      </c>
    </row>
    <row r="662" spans="2:3" hidden="1" x14ac:dyDescent="0.25">
      <c r="B662" s="2">
        <f t="shared" si="13"/>
        <v>755.42</v>
      </c>
      <c r="C662" s="1" t="s">
        <v>3427</v>
      </c>
    </row>
    <row r="663" spans="2:3" hidden="1" x14ac:dyDescent="0.25">
      <c r="B663" s="2">
        <f t="shared" si="13"/>
        <v>755.43</v>
      </c>
      <c r="C663" s="1" t="s">
        <v>3428</v>
      </c>
    </row>
    <row r="664" spans="2:3" hidden="1" x14ac:dyDescent="0.25">
      <c r="B664" s="2">
        <f t="shared" si="13"/>
        <v>755.44</v>
      </c>
      <c r="C664" s="1" t="s">
        <v>3429</v>
      </c>
    </row>
    <row r="665" spans="2:3" hidden="1" x14ac:dyDescent="0.25">
      <c r="B665" s="2">
        <f t="shared" si="13"/>
        <v>755.45</v>
      </c>
      <c r="C665" s="1" t="s">
        <v>3430</v>
      </c>
    </row>
    <row r="666" spans="2:3" hidden="1" x14ac:dyDescent="0.25">
      <c r="B666" s="2">
        <f t="shared" si="13"/>
        <v>755.46</v>
      </c>
      <c r="C666" s="1" t="s">
        <v>3431</v>
      </c>
    </row>
    <row r="667" spans="2:3" hidden="1" x14ac:dyDescent="0.25">
      <c r="B667" s="2">
        <f t="shared" si="13"/>
        <v>755.47</v>
      </c>
      <c r="C667" s="1" t="s">
        <v>3432</v>
      </c>
    </row>
    <row r="668" spans="2:3" hidden="1" x14ac:dyDescent="0.25">
      <c r="B668" s="2">
        <f t="shared" si="13"/>
        <v>755.48</v>
      </c>
      <c r="C668" s="1" t="s">
        <v>3433</v>
      </c>
    </row>
    <row r="669" spans="2:3" hidden="1" x14ac:dyDescent="0.25">
      <c r="B669" s="2">
        <f t="shared" si="13"/>
        <v>755.49</v>
      </c>
      <c r="C669" s="1" t="s">
        <v>3434</v>
      </c>
    </row>
    <row r="670" spans="2:3" hidden="1" x14ac:dyDescent="0.25">
      <c r="B670" s="2">
        <f t="shared" si="13"/>
        <v>760.01</v>
      </c>
      <c r="C670" s="1" t="s">
        <v>3435</v>
      </c>
    </row>
    <row r="671" spans="2:3" hidden="1" x14ac:dyDescent="0.25">
      <c r="B671" s="2">
        <f t="shared" si="13"/>
        <v>760.02</v>
      </c>
      <c r="C671" s="1" t="s">
        <v>3436</v>
      </c>
    </row>
    <row r="672" spans="2:3" hidden="1" x14ac:dyDescent="0.25">
      <c r="B672" s="2">
        <f t="shared" si="13"/>
        <v>760.03</v>
      </c>
      <c r="C672" s="1" t="s">
        <v>3437</v>
      </c>
    </row>
    <row r="673" spans="2:3" hidden="1" x14ac:dyDescent="0.25">
      <c r="B673" s="2">
        <f t="shared" si="13"/>
        <v>760.04</v>
      </c>
      <c r="C673" s="1" t="s">
        <v>3438</v>
      </c>
    </row>
    <row r="674" spans="2:3" hidden="1" x14ac:dyDescent="0.25">
      <c r="B674" s="2">
        <f t="shared" si="13"/>
        <v>760.05</v>
      </c>
      <c r="C674" s="1" t="s">
        <v>3439</v>
      </c>
    </row>
    <row r="675" spans="2:3" hidden="1" x14ac:dyDescent="0.25">
      <c r="B675" s="2">
        <f t="shared" si="13"/>
        <v>760.06</v>
      </c>
      <c r="C675" s="1" t="s">
        <v>3440</v>
      </c>
    </row>
    <row r="676" spans="2:3" hidden="1" x14ac:dyDescent="0.25">
      <c r="B676" s="2">
        <f t="shared" si="13"/>
        <v>760.07</v>
      </c>
      <c r="C676" s="1" t="s">
        <v>3441</v>
      </c>
    </row>
    <row r="677" spans="2:3" hidden="1" x14ac:dyDescent="0.25">
      <c r="B677" s="2">
        <f t="shared" si="13"/>
        <v>770.01</v>
      </c>
      <c r="C677" s="1" t="s">
        <v>3442</v>
      </c>
    </row>
    <row r="678" spans="2:3" hidden="1" x14ac:dyDescent="0.25">
      <c r="B678" s="2">
        <f t="shared" si="13"/>
        <v>770.02</v>
      </c>
      <c r="C678" s="1" t="s">
        <v>3443</v>
      </c>
    </row>
    <row r="679" spans="2:3" hidden="1" x14ac:dyDescent="0.25">
      <c r="B679" s="2">
        <f t="shared" si="13"/>
        <v>780.01</v>
      </c>
      <c r="C679" s="1" t="s">
        <v>3444</v>
      </c>
    </row>
    <row r="680" spans="2:3" hidden="1" x14ac:dyDescent="0.25">
      <c r="B680" s="2">
        <f t="shared" si="13"/>
        <v>790.01</v>
      </c>
      <c r="C680" s="1" t="s">
        <v>3445</v>
      </c>
    </row>
    <row r="681" spans="2:3" hidden="1" x14ac:dyDescent="0.25">
      <c r="B681" s="2">
        <f t="shared" si="13"/>
        <v>790.02</v>
      </c>
      <c r="C681" s="1" t="s">
        <v>3446</v>
      </c>
    </row>
    <row r="682" spans="2:3" hidden="1" x14ac:dyDescent="0.25">
      <c r="B682" s="2">
        <f t="shared" si="13"/>
        <v>790.03</v>
      </c>
      <c r="C682" s="1" t="s">
        <v>3447</v>
      </c>
    </row>
    <row r="683" spans="2:3" hidden="1" x14ac:dyDescent="0.25">
      <c r="B683" s="2">
        <f t="shared" si="13"/>
        <v>790.04</v>
      </c>
      <c r="C683" s="1" t="s">
        <v>3448</v>
      </c>
    </row>
    <row r="684" spans="2:3" hidden="1" x14ac:dyDescent="0.25">
      <c r="B684" s="2">
        <f t="shared" si="13"/>
        <v>800.01</v>
      </c>
      <c r="C684" s="1" t="s">
        <v>3449</v>
      </c>
    </row>
    <row r="685" spans="2:3" hidden="1" x14ac:dyDescent="0.25">
      <c r="B685" s="2">
        <f t="shared" si="13"/>
        <v>800.02</v>
      </c>
      <c r="C685" s="1" t="s">
        <v>3450</v>
      </c>
    </row>
    <row r="686" spans="2:3" hidden="1" x14ac:dyDescent="0.25">
      <c r="B686" s="2">
        <f t="shared" si="13"/>
        <v>800.03</v>
      </c>
      <c r="C686" s="1" t="s">
        <v>3451</v>
      </c>
    </row>
    <row r="687" spans="2:3" hidden="1" x14ac:dyDescent="0.25">
      <c r="B687" s="2">
        <f t="shared" si="13"/>
        <v>800.04</v>
      </c>
      <c r="C687" s="1" t="s">
        <v>3452</v>
      </c>
    </row>
    <row r="688" spans="2:3" hidden="1" x14ac:dyDescent="0.25">
      <c r="B688" s="2">
        <f t="shared" si="13"/>
        <v>805.01</v>
      </c>
      <c r="C688" s="1" t="s">
        <v>3453</v>
      </c>
    </row>
    <row r="689" spans="2:3" hidden="1" x14ac:dyDescent="0.25">
      <c r="B689" s="2">
        <f t="shared" si="13"/>
        <v>805.02</v>
      </c>
      <c r="C689" s="1" t="s">
        <v>3454</v>
      </c>
    </row>
    <row r="690" spans="2:3" hidden="1" x14ac:dyDescent="0.25">
      <c r="B690" s="2">
        <f t="shared" si="13"/>
        <v>810.01</v>
      </c>
      <c r="C690" s="1" t="s">
        <v>3455</v>
      </c>
    </row>
    <row r="691" spans="2:3" hidden="1" x14ac:dyDescent="0.25">
      <c r="B691" s="2">
        <f t="shared" si="13"/>
        <v>810.02</v>
      </c>
      <c r="C691" s="1" t="s">
        <v>3456</v>
      </c>
    </row>
    <row r="692" spans="2:3" hidden="1" x14ac:dyDescent="0.25">
      <c r="B692" s="2">
        <f t="shared" si="13"/>
        <v>810.03</v>
      </c>
      <c r="C692" s="1" t="s">
        <v>3457</v>
      </c>
    </row>
    <row r="693" spans="2:3" hidden="1" x14ac:dyDescent="0.25">
      <c r="B693" s="2">
        <f t="shared" si="13"/>
        <v>820.01</v>
      </c>
      <c r="C693" s="1" t="s">
        <v>3458</v>
      </c>
    </row>
    <row r="694" spans="2:3" hidden="1" x14ac:dyDescent="0.25">
      <c r="B694" s="2">
        <f t="shared" si="13"/>
        <v>830.01</v>
      </c>
      <c r="C694" s="1" t="s">
        <v>3459</v>
      </c>
    </row>
    <row r="695" spans="2:3" hidden="1" x14ac:dyDescent="0.25">
      <c r="B695" s="2">
        <f t="shared" si="13"/>
        <v>830.02</v>
      </c>
      <c r="C695" s="1" t="s">
        <v>3460</v>
      </c>
    </row>
    <row r="696" spans="2:3" hidden="1" x14ac:dyDescent="0.25">
      <c r="B696" s="2">
        <f t="shared" si="13"/>
        <v>830.03</v>
      </c>
      <c r="C696" s="1" t="s">
        <v>3461</v>
      </c>
    </row>
    <row r="697" spans="2:3" hidden="1" x14ac:dyDescent="0.25">
      <c r="B697" s="2">
        <f t="shared" si="13"/>
        <v>830.04</v>
      </c>
      <c r="C697" s="1" t="s">
        <v>3462</v>
      </c>
    </row>
    <row r="698" spans="2:3" hidden="1" x14ac:dyDescent="0.25">
      <c r="B698" s="2">
        <f t="shared" si="13"/>
        <v>840.01</v>
      </c>
      <c r="C698" s="1" t="s">
        <v>3463</v>
      </c>
    </row>
    <row r="699" spans="2:3" hidden="1" x14ac:dyDescent="0.25">
      <c r="B699" s="2">
        <f t="shared" si="13"/>
        <v>840.02</v>
      </c>
      <c r="C699" s="1" t="s">
        <v>3464</v>
      </c>
    </row>
    <row r="700" spans="2:3" hidden="1" x14ac:dyDescent="0.25">
      <c r="B700" s="2">
        <f t="shared" si="13"/>
        <v>840.03</v>
      </c>
      <c r="C700" s="1" t="s">
        <v>3465</v>
      </c>
    </row>
    <row r="701" spans="2:3" hidden="1" x14ac:dyDescent="0.25">
      <c r="B701" s="2">
        <f t="shared" si="13"/>
        <v>840.04</v>
      </c>
      <c r="C701" s="1" t="s">
        <v>3466</v>
      </c>
    </row>
    <row r="702" spans="2:3" hidden="1" x14ac:dyDescent="0.25">
      <c r="B702" s="2">
        <f t="shared" si="13"/>
        <v>850.01</v>
      </c>
      <c r="C702" s="1" t="s">
        <v>3467</v>
      </c>
    </row>
    <row r="703" spans="2:3" hidden="1" x14ac:dyDescent="0.25">
      <c r="B703" s="2">
        <f t="shared" si="13"/>
        <v>850.02</v>
      </c>
      <c r="C703" s="1" t="s">
        <v>3468</v>
      </c>
    </row>
    <row r="704" spans="2:3" hidden="1" x14ac:dyDescent="0.25">
      <c r="B704" s="2">
        <f t="shared" si="13"/>
        <v>850.03</v>
      </c>
      <c r="C704" s="1" t="s">
        <v>3469</v>
      </c>
    </row>
    <row r="705" spans="2:3" hidden="1" x14ac:dyDescent="0.25">
      <c r="B705" s="2">
        <f t="shared" si="13"/>
        <v>860.01</v>
      </c>
      <c r="C705" s="1" t="s">
        <v>3470</v>
      </c>
    </row>
    <row r="706" spans="2:3" hidden="1" x14ac:dyDescent="0.25">
      <c r="B706" s="2">
        <f t="shared" si="13"/>
        <v>860.02</v>
      </c>
      <c r="C706" s="1" t="s">
        <v>3471</v>
      </c>
    </row>
    <row r="707" spans="2:3" hidden="1" x14ac:dyDescent="0.25">
      <c r="B707" s="2">
        <f t="shared" ref="B707:B770" si="14">MID(C707,1,7)*1</f>
        <v>860.03</v>
      </c>
      <c r="C707" s="1" t="s">
        <v>3472</v>
      </c>
    </row>
    <row r="708" spans="2:3" hidden="1" x14ac:dyDescent="0.25">
      <c r="B708" s="2">
        <f t="shared" si="14"/>
        <v>860.04</v>
      </c>
      <c r="C708" s="1" t="s">
        <v>3473</v>
      </c>
    </row>
    <row r="709" spans="2:3" hidden="1" x14ac:dyDescent="0.25">
      <c r="B709" s="2">
        <f t="shared" si="14"/>
        <v>860.05</v>
      </c>
      <c r="C709" s="1" t="s">
        <v>3474</v>
      </c>
    </row>
    <row r="710" spans="2:3" hidden="1" x14ac:dyDescent="0.25">
      <c r="B710" s="2">
        <f t="shared" si="14"/>
        <v>860.06</v>
      </c>
      <c r="C710" s="1" t="s">
        <v>3475</v>
      </c>
    </row>
    <row r="711" spans="2:3" hidden="1" x14ac:dyDescent="0.25">
      <c r="B711" s="2">
        <f t="shared" si="14"/>
        <v>860.07</v>
      </c>
      <c r="C711" s="1" t="s">
        <v>3476</v>
      </c>
    </row>
    <row r="712" spans="2:3" hidden="1" x14ac:dyDescent="0.25">
      <c r="B712" s="2">
        <f t="shared" si="14"/>
        <v>860.08</v>
      </c>
      <c r="C712" s="1" t="s">
        <v>3477</v>
      </c>
    </row>
    <row r="713" spans="2:3" hidden="1" x14ac:dyDescent="0.25">
      <c r="B713" s="2">
        <f t="shared" si="14"/>
        <v>860.09</v>
      </c>
      <c r="C713" s="1" t="s">
        <v>3478</v>
      </c>
    </row>
    <row r="714" spans="2:3" hidden="1" x14ac:dyDescent="0.25">
      <c r="B714" s="2">
        <f t="shared" si="14"/>
        <v>870.01</v>
      </c>
      <c r="C714" s="1" t="s">
        <v>3479</v>
      </c>
    </row>
    <row r="715" spans="2:3" hidden="1" x14ac:dyDescent="0.25">
      <c r="B715" s="2">
        <f t="shared" si="14"/>
        <v>870.02</v>
      </c>
      <c r="C715" s="1" t="s">
        <v>3480</v>
      </c>
    </row>
    <row r="716" spans="2:3" hidden="1" x14ac:dyDescent="0.25">
      <c r="B716" s="2">
        <f t="shared" si="14"/>
        <v>870.03</v>
      </c>
      <c r="C716" s="1" t="s">
        <v>3481</v>
      </c>
    </row>
    <row r="717" spans="2:3" hidden="1" x14ac:dyDescent="0.25">
      <c r="B717" s="2">
        <f t="shared" si="14"/>
        <v>870.04</v>
      </c>
      <c r="C717" s="1" t="s">
        <v>3482</v>
      </c>
    </row>
    <row r="718" spans="2:3" hidden="1" x14ac:dyDescent="0.25">
      <c r="B718" s="2">
        <f t="shared" si="14"/>
        <v>870.04</v>
      </c>
      <c r="C718" s="1" t="s">
        <v>3483</v>
      </c>
    </row>
    <row r="719" spans="2:3" hidden="1" x14ac:dyDescent="0.25">
      <c r="B719" s="2">
        <f t="shared" si="14"/>
        <v>870.05</v>
      </c>
      <c r="C719" s="1" t="s">
        <v>3484</v>
      </c>
    </row>
    <row r="720" spans="2:3" hidden="1" x14ac:dyDescent="0.25">
      <c r="B720" s="2">
        <f t="shared" si="14"/>
        <v>870.06</v>
      </c>
      <c r="C720" s="1" t="s">
        <v>3485</v>
      </c>
    </row>
    <row r="721" spans="2:3" hidden="1" x14ac:dyDescent="0.25">
      <c r="B721" s="2">
        <f t="shared" si="14"/>
        <v>870.07</v>
      </c>
      <c r="C721" s="1" t="s">
        <v>3486</v>
      </c>
    </row>
    <row r="722" spans="2:3" hidden="1" x14ac:dyDescent="0.25">
      <c r="B722" s="2">
        <f t="shared" si="14"/>
        <v>870.08</v>
      </c>
      <c r="C722" s="1" t="s">
        <v>3487</v>
      </c>
    </row>
    <row r="723" spans="2:3" hidden="1" x14ac:dyDescent="0.25">
      <c r="B723" s="2">
        <f t="shared" si="14"/>
        <v>870.09</v>
      </c>
      <c r="C723" s="1" t="s">
        <v>3488</v>
      </c>
    </row>
    <row r="724" spans="2:3" hidden="1" x14ac:dyDescent="0.25">
      <c r="B724" s="2">
        <f t="shared" si="14"/>
        <v>870.1</v>
      </c>
      <c r="C724" s="1" t="s">
        <v>3489</v>
      </c>
    </row>
    <row r="725" spans="2:3" hidden="1" x14ac:dyDescent="0.25">
      <c r="B725" s="2">
        <f t="shared" si="14"/>
        <v>870.11</v>
      </c>
      <c r="C725" s="1" t="s">
        <v>3490</v>
      </c>
    </row>
    <row r="726" spans="2:3" hidden="1" x14ac:dyDescent="0.25">
      <c r="B726" s="2">
        <f t="shared" si="14"/>
        <v>870.12</v>
      </c>
      <c r="C726" s="1" t="s">
        <v>3491</v>
      </c>
    </row>
    <row r="727" spans="2:3" hidden="1" x14ac:dyDescent="0.25">
      <c r="B727" s="2">
        <f t="shared" si="14"/>
        <v>870.13</v>
      </c>
      <c r="C727" s="1" t="s">
        <v>3492</v>
      </c>
    </row>
    <row r="728" spans="2:3" hidden="1" x14ac:dyDescent="0.25">
      <c r="B728" s="2">
        <f t="shared" si="14"/>
        <v>870.14</v>
      </c>
      <c r="C728" s="1" t="s">
        <v>3493</v>
      </c>
    </row>
    <row r="729" spans="2:3" hidden="1" x14ac:dyDescent="0.25">
      <c r="B729" s="2">
        <f t="shared" si="14"/>
        <v>870.15</v>
      </c>
      <c r="C729" s="1" t="s">
        <v>3494</v>
      </c>
    </row>
    <row r="730" spans="2:3" hidden="1" x14ac:dyDescent="0.25">
      <c r="B730" s="2">
        <f t="shared" si="14"/>
        <v>870.16</v>
      </c>
      <c r="C730" s="1" t="s">
        <v>3495</v>
      </c>
    </row>
    <row r="731" spans="2:3" hidden="1" x14ac:dyDescent="0.25">
      <c r="B731" s="2">
        <f t="shared" si="14"/>
        <v>870.17</v>
      </c>
      <c r="C731" s="1" t="s">
        <v>3496</v>
      </c>
    </row>
    <row r="732" spans="2:3" hidden="1" x14ac:dyDescent="0.25">
      <c r="B732" s="2">
        <f t="shared" si="14"/>
        <v>870.18</v>
      </c>
      <c r="C732" s="1" t="s">
        <v>3497</v>
      </c>
    </row>
    <row r="733" spans="2:3" hidden="1" x14ac:dyDescent="0.25">
      <c r="B733" s="2">
        <f t="shared" si="14"/>
        <v>870.19</v>
      </c>
      <c r="C733" s="1" t="s">
        <v>3498</v>
      </c>
    </row>
    <row r="734" spans="2:3" hidden="1" x14ac:dyDescent="0.25">
      <c r="B734" s="2">
        <f t="shared" si="14"/>
        <v>870.2</v>
      </c>
      <c r="C734" s="1" t="s">
        <v>3499</v>
      </c>
    </row>
    <row r="735" spans="2:3" hidden="1" x14ac:dyDescent="0.25">
      <c r="B735" s="2">
        <f t="shared" si="14"/>
        <v>870.21</v>
      </c>
      <c r="C735" s="1" t="s">
        <v>3500</v>
      </c>
    </row>
    <row r="736" spans="2:3" hidden="1" x14ac:dyDescent="0.25">
      <c r="B736" s="2">
        <f t="shared" si="14"/>
        <v>870.22</v>
      </c>
      <c r="C736" s="1" t="s">
        <v>3501</v>
      </c>
    </row>
    <row r="737" spans="2:3" hidden="1" x14ac:dyDescent="0.25">
      <c r="B737" s="2">
        <f t="shared" si="14"/>
        <v>870.23</v>
      </c>
      <c r="C737" s="1" t="s">
        <v>3502</v>
      </c>
    </row>
    <row r="738" spans="2:3" hidden="1" x14ac:dyDescent="0.25">
      <c r="B738" s="2">
        <f t="shared" si="14"/>
        <v>870.24</v>
      </c>
      <c r="C738" s="1" t="s">
        <v>3503</v>
      </c>
    </row>
    <row r="739" spans="2:3" hidden="1" x14ac:dyDescent="0.25">
      <c r="B739" s="2">
        <f t="shared" si="14"/>
        <v>870.25</v>
      </c>
      <c r="C739" s="1" t="s">
        <v>3504</v>
      </c>
    </row>
    <row r="740" spans="2:3" hidden="1" x14ac:dyDescent="0.25">
      <c r="B740" s="2">
        <f t="shared" si="14"/>
        <v>870.26</v>
      </c>
      <c r="C740" s="1" t="s">
        <v>3505</v>
      </c>
    </row>
    <row r="741" spans="2:3" hidden="1" x14ac:dyDescent="0.25">
      <c r="B741" s="2">
        <f t="shared" si="14"/>
        <v>870.27</v>
      </c>
      <c r="C741" s="1" t="s">
        <v>3506</v>
      </c>
    </row>
    <row r="742" spans="2:3" hidden="1" x14ac:dyDescent="0.25">
      <c r="B742" s="2">
        <f t="shared" si="14"/>
        <v>870.28</v>
      </c>
      <c r="C742" s="1" t="s">
        <v>3507</v>
      </c>
    </row>
    <row r="743" spans="2:3" hidden="1" x14ac:dyDescent="0.25">
      <c r="B743" s="2">
        <f t="shared" si="14"/>
        <v>870.29</v>
      </c>
      <c r="C743" s="1" t="s">
        <v>3508</v>
      </c>
    </row>
    <row r="744" spans="2:3" hidden="1" x14ac:dyDescent="0.25">
      <c r="B744" s="2">
        <f t="shared" si="14"/>
        <v>870.3</v>
      </c>
      <c r="C744" s="1" t="s">
        <v>3509</v>
      </c>
    </row>
    <row r="745" spans="2:3" hidden="1" x14ac:dyDescent="0.25">
      <c r="B745" s="2">
        <f t="shared" si="14"/>
        <v>870.31</v>
      </c>
      <c r="C745" s="1" t="s">
        <v>3510</v>
      </c>
    </row>
    <row r="746" spans="2:3" hidden="1" x14ac:dyDescent="0.25">
      <c r="B746" s="2">
        <f t="shared" si="14"/>
        <v>870.32</v>
      </c>
      <c r="C746" s="1" t="s">
        <v>3511</v>
      </c>
    </row>
    <row r="747" spans="2:3" hidden="1" x14ac:dyDescent="0.25">
      <c r="B747" s="2">
        <f t="shared" si="14"/>
        <v>870.33</v>
      </c>
      <c r="C747" s="1" t="s">
        <v>3512</v>
      </c>
    </row>
    <row r="748" spans="2:3" hidden="1" x14ac:dyDescent="0.25">
      <c r="B748" s="2">
        <f t="shared" si="14"/>
        <v>870.34</v>
      </c>
      <c r="C748" s="1" t="s">
        <v>3513</v>
      </c>
    </row>
    <row r="749" spans="2:3" hidden="1" x14ac:dyDescent="0.25">
      <c r="B749" s="2">
        <f t="shared" si="14"/>
        <v>880.01</v>
      </c>
      <c r="C749" s="1" t="s">
        <v>3514</v>
      </c>
    </row>
    <row r="750" spans="2:3" hidden="1" x14ac:dyDescent="0.25">
      <c r="B750" s="2">
        <f t="shared" si="14"/>
        <v>880.02</v>
      </c>
      <c r="C750" s="1" t="s">
        <v>3515</v>
      </c>
    </row>
    <row r="751" spans="2:3" hidden="1" x14ac:dyDescent="0.25">
      <c r="B751" s="2">
        <f t="shared" si="14"/>
        <v>880.03</v>
      </c>
      <c r="C751" s="1" t="s">
        <v>3516</v>
      </c>
    </row>
    <row r="752" spans="2:3" hidden="1" x14ac:dyDescent="0.25">
      <c r="B752" s="2">
        <f t="shared" si="14"/>
        <v>880.04</v>
      </c>
      <c r="C752" s="1" t="s">
        <v>3517</v>
      </c>
    </row>
    <row r="753" spans="2:3" hidden="1" x14ac:dyDescent="0.25">
      <c r="B753" s="2">
        <f t="shared" si="14"/>
        <v>880.1</v>
      </c>
      <c r="C753" s="1" t="s">
        <v>3518</v>
      </c>
    </row>
    <row r="754" spans="2:3" hidden="1" x14ac:dyDescent="0.25">
      <c r="B754" s="2">
        <f t="shared" si="14"/>
        <v>890.01</v>
      </c>
      <c r="C754" s="1" t="s">
        <v>3519</v>
      </c>
    </row>
    <row r="755" spans="2:3" hidden="1" x14ac:dyDescent="0.25">
      <c r="B755" s="2">
        <f t="shared" si="14"/>
        <v>895.01</v>
      </c>
      <c r="C755" s="1" t="s">
        <v>3520</v>
      </c>
    </row>
    <row r="756" spans="2:3" hidden="1" x14ac:dyDescent="0.25">
      <c r="B756" s="2">
        <f t="shared" si="14"/>
        <v>895.02</v>
      </c>
      <c r="C756" s="1" t="s">
        <v>3521</v>
      </c>
    </row>
    <row r="757" spans="2:3" hidden="1" x14ac:dyDescent="0.25">
      <c r="B757" s="2">
        <f t="shared" si="14"/>
        <v>895.03</v>
      </c>
      <c r="C757" s="1" t="s">
        <v>3522</v>
      </c>
    </row>
    <row r="758" spans="2:3" hidden="1" x14ac:dyDescent="0.25">
      <c r="B758" s="2">
        <f t="shared" si="14"/>
        <v>895.04</v>
      </c>
      <c r="C758" s="1" t="s">
        <v>3523</v>
      </c>
    </row>
    <row r="759" spans="2:3" hidden="1" x14ac:dyDescent="0.25">
      <c r="B759" s="2">
        <f t="shared" si="14"/>
        <v>895.05</v>
      </c>
      <c r="C759" s="1" t="s">
        <v>3524</v>
      </c>
    </row>
    <row r="760" spans="2:3" hidden="1" x14ac:dyDescent="0.25">
      <c r="B760" s="2">
        <f t="shared" si="14"/>
        <v>895.06</v>
      </c>
      <c r="C760" s="1" t="s">
        <v>3525</v>
      </c>
    </row>
    <row r="761" spans="2:3" hidden="1" x14ac:dyDescent="0.25">
      <c r="B761" s="2">
        <f t="shared" si="14"/>
        <v>895.07</v>
      </c>
      <c r="C761" s="1" t="s">
        <v>3526</v>
      </c>
    </row>
    <row r="762" spans="2:3" hidden="1" x14ac:dyDescent="0.25">
      <c r="B762" s="2">
        <f t="shared" si="14"/>
        <v>895.08</v>
      </c>
      <c r="C762" s="1" t="s">
        <v>3527</v>
      </c>
    </row>
    <row r="763" spans="2:3" hidden="1" x14ac:dyDescent="0.25">
      <c r="B763" s="2">
        <f t="shared" si="14"/>
        <v>895.09</v>
      </c>
      <c r="C763" s="1" t="s">
        <v>3528</v>
      </c>
    </row>
    <row r="764" spans="2:3" hidden="1" x14ac:dyDescent="0.25">
      <c r="B764" s="2">
        <f t="shared" si="14"/>
        <v>895.1</v>
      </c>
      <c r="C764" s="1" t="s">
        <v>3529</v>
      </c>
    </row>
    <row r="765" spans="2:3" hidden="1" x14ac:dyDescent="0.25">
      <c r="B765" s="2">
        <f t="shared" si="14"/>
        <v>895.11</v>
      </c>
      <c r="C765" s="1" t="s">
        <v>3530</v>
      </c>
    </row>
    <row r="766" spans="2:3" hidden="1" x14ac:dyDescent="0.25">
      <c r="B766" s="2">
        <f t="shared" si="14"/>
        <v>895.12</v>
      </c>
      <c r="C766" s="1" t="s">
        <v>3531</v>
      </c>
    </row>
    <row r="767" spans="2:3" hidden="1" x14ac:dyDescent="0.25">
      <c r="B767" s="2">
        <f t="shared" si="14"/>
        <v>895.13</v>
      </c>
      <c r="C767" s="1" t="s">
        <v>3532</v>
      </c>
    </row>
    <row r="768" spans="2:3" hidden="1" x14ac:dyDescent="0.25">
      <c r="B768" s="2">
        <f t="shared" si="14"/>
        <v>895.14</v>
      </c>
      <c r="C768" s="1" t="s">
        <v>3533</v>
      </c>
    </row>
    <row r="769" spans="2:3" hidden="1" x14ac:dyDescent="0.25">
      <c r="B769" s="2">
        <f t="shared" si="14"/>
        <v>900.01</v>
      </c>
      <c r="C769" s="1" t="s">
        <v>3534</v>
      </c>
    </row>
    <row r="770" spans="2:3" hidden="1" x14ac:dyDescent="0.25">
      <c r="B770" s="2">
        <f t="shared" si="14"/>
        <v>900.02</v>
      </c>
      <c r="C770" s="1" t="s">
        <v>3535</v>
      </c>
    </row>
    <row r="771" spans="2:3" hidden="1" x14ac:dyDescent="0.25">
      <c r="B771" s="2">
        <f t="shared" ref="B771:B834" si="15">MID(C771,1,7)*1</f>
        <v>900.03</v>
      </c>
      <c r="C771" s="1" t="s">
        <v>3536</v>
      </c>
    </row>
    <row r="772" spans="2:3" hidden="1" x14ac:dyDescent="0.25">
      <c r="B772" s="2">
        <f t="shared" si="15"/>
        <v>900.04</v>
      </c>
      <c r="C772" s="1" t="s">
        <v>3537</v>
      </c>
    </row>
    <row r="773" spans="2:3" hidden="1" x14ac:dyDescent="0.25">
      <c r="B773" s="2">
        <f t="shared" si="15"/>
        <v>900.05</v>
      </c>
      <c r="C773" s="1" t="s">
        <v>3538</v>
      </c>
    </row>
    <row r="774" spans="2:3" hidden="1" x14ac:dyDescent="0.25">
      <c r="B774" s="2">
        <f t="shared" si="15"/>
        <v>900.06</v>
      </c>
      <c r="C774" s="1" t="s">
        <v>3539</v>
      </c>
    </row>
    <row r="775" spans="2:3" hidden="1" x14ac:dyDescent="0.25">
      <c r="B775" s="2">
        <f t="shared" si="15"/>
        <v>900.07</v>
      </c>
      <c r="C775" s="1" t="s">
        <v>3540</v>
      </c>
    </row>
    <row r="776" spans="2:3" hidden="1" x14ac:dyDescent="0.25">
      <c r="B776" s="2">
        <f t="shared" si="15"/>
        <v>900.08</v>
      </c>
      <c r="C776" s="1" t="s">
        <v>3541</v>
      </c>
    </row>
    <row r="777" spans="2:3" hidden="1" x14ac:dyDescent="0.25">
      <c r="B777" s="2">
        <f t="shared" si="15"/>
        <v>900.09</v>
      </c>
      <c r="C777" s="1" t="s">
        <v>3542</v>
      </c>
    </row>
    <row r="778" spans="2:3" hidden="1" x14ac:dyDescent="0.25">
      <c r="B778" s="2">
        <f t="shared" si="15"/>
        <v>900.1</v>
      </c>
      <c r="C778" s="1" t="s">
        <v>3543</v>
      </c>
    </row>
    <row r="779" spans="2:3" hidden="1" x14ac:dyDescent="0.25">
      <c r="B779" s="2">
        <f t="shared" si="15"/>
        <v>900.11</v>
      </c>
      <c r="C779" s="1" t="s">
        <v>3544</v>
      </c>
    </row>
    <row r="780" spans="2:3" hidden="1" x14ac:dyDescent="0.25">
      <c r="B780" s="2">
        <f t="shared" si="15"/>
        <v>900.12</v>
      </c>
      <c r="C780" s="1" t="s">
        <v>3545</v>
      </c>
    </row>
    <row r="781" spans="2:3" hidden="1" x14ac:dyDescent="0.25">
      <c r="B781" s="2">
        <f t="shared" si="15"/>
        <v>900.13</v>
      </c>
      <c r="C781" s="1" t="s">
        <v>3546</v>
      </c>
    </row>
    <row r="782" spans="2:3" hidden="1" x14ac:dyDescent="0.25">
      <c r="B782" s="2">
        <f t="shared" si="15"/>
        <v>900.14</v>
      </c>
      <c r="C782" s="1" t="s">
        <v>3547</v>
      </c>
    </row>
    <row r="783" spans="2:3" hidden="1" x14ac:dyDescent="0.25">
      <c r="B783" s="2">
        <f t="shared" si="15"/>
        <v>900.15</v>
      </c>
      <c r="C783" s="1" t="s">
        <v>3548</v>
      </c>
    </row>
    <row r="784" spans="2:3" hidden="1" x14ac:dyDescent="0.25">
      <c r="B784" s="2">
        <f t="shared" si="15"/>
        <v>900.16</v>
      </c>
      <c r="C784" s="1" t="s">
        <v>3549</v>
      </c>
    </row>
    <row r="785" spans="2:3" hidden="1" x14ac:dyDescent="0.25">
      <c r="B785" s="2">
        <f t="shared" si="15"/>
        <v>900.17</v>
      </c>
      <c r="C785" s="1" t="s">
        <v>3550</v>
      </c>
    </row>
    <row r="786" spans="2:3" hidden="1" x14ac:dyDescent="0.25">
      <c r="B786" s="2">
        <f t="shared" si="15"/>
        <v>900.18</v>
      </c>
      <c r="C786" s="1" t="s">
        <v>3551</v>
      </c>
    </row>
    <row r="787" spans="2:3" hidden="1" x14ac:dyDescent="0.25">
      <c r="B787" s="2">
        <f t="shared" si="15"/>
        <v>900.19</v>
      </c>
      <c r="C787" s="1" t="s">
        <v>3552</v>
      </c>
    </row>
    <row r="788" spans="2:3" hidden="1" x14ac:dyDescent="0.25">
      <c r="B788" s="2">
        <f t="shared" si="15"/>
        <v>900.2</v>
      </c>
      <c r="C788" s="1" t="s">
        <v>3553</v>
      </c>
    </row>
    <row r="789" spans="2:3" hidden="1" x14ac:dyDescent="0.25">
      <c r="B789" s="2">
        <f t="shared" si="15"/>
        <v>910.01</v>
      </c>
      <c r="C789" s="1" t="s">
        <v>3554</v>
      </c>
    </row>
    <row r="790" spans="2:3" hidden="1" x14ac:dyDescent="0.25">
      <c r="B790" s="2">
        <f t="shared" si="15"/>
        <v>910.02</v>
      </c>
      <c r="C790" s="1" t="s">
        <v>3555</v>
      </c>
    </row>
    <row r="791" spans="2:3" hidden="1" x14ac:dyDescent="0.25">
      <c r="B791" s="2">
        <f t="shared" si="15"/>
        <v>910.03</v>
      </c>
      <c r="C791" s="1" t="s">
        <v>3556</v>
      </c>
    </row>
    <row r="792" spans="2:3" hidden="1" x14ac:dyDescent="0.25">
      <c r="B792" s="2">
        <f t="shared" si="15"/>
        <v>920.01</v>
      </c>
      <c r="C792" s="1" t="s">
        <v>3557</v>
      </c>
    </row>
    <row r="793" spans="2:3" hidden="1" x14ac:dyDescent="0.25">
      <c r="B793" s="2">
        <f t="shared" si="15"/>
        <v>920.02</v>
      </c>
      <c r="C793" s="1" t="s">
        <v>3558</v>
      </c>
    </row>
    <row r="794" spans="2:3" hidden="1" x14ac:dyDescent="0.25">
      <c r="B794" s="2">
        <f t="shared" si="15"/>
        <v>920.03</v>
      </c>
      <c r="C794" s="1" t="s">
        <v>3559</v>
      </c>
    </row>
    <row r="795" spans="2:3" hidden="1" x14ac:dyDescent="0.25">
      <c r="B795" s="2">
        <f t="shared" si="15"/>
        <v>920.04</v>
      </c>
      <c r="C795" s="1" t="s">
        <v>3560</v>
      </c>
    </row>
    <row r="796" spans="2:3" hidden="1" x14ac:dyDescent="0.25">
      <c r="B796" s="2">
        <f t="shared" si="15"/>
        <v>920.05</v>
      </c>
      <c r="C796" s="1" t="s">
        <v>3561</v>
      </c>
    </row>
    <row r="797" spans="2:3" hidden="1" x14ac:dyDescent="0.25">
      <c r="B797" s="2">
        <f t="shared" si="15"/>
        <v>920.06</v>
      </c>
      <c r="C797" s="1" t="s">
        <v>3562</v>
      </c>
    </row>
    <row r="798" spans="2:3" hidden="1" x14ac:dyDescent="0.25">
      <c r="B798" s="2">
        <f t="shared" si="15"/>
        <v>925.01</v>
      </c>
      <c r="C798" s="1" t="s">
        <v>3563</v>
      </c>
    </row>
    <row r="799" spans="2:3" hidden="1" x14ac:dyDescent="0.25">
      <c r="B799" s="2">
        <f t="shared" si="15"/>
        <v>925.02</v>
      </c>
      <c r="C799" s="1" t="s">
        <v>3564</v>
      </c>
    </row>
    <row r="800" spans="2:3" hidden="1" x14ac:dyDescent="0.25">
      <c r="B800" s="2">
        <f t="shared" si="15"/>
        <v>925.03</v>
      </c>
      <c r="C800" s="1" t="s">
        <v>3565</v>
      </c>
    </row>
    <row r="801" spans="2:3" hidden="1" x14ac:dyDescent="0.25">
      <c r="B801" s="2">
        <f t="shared" si="15"/>
        <v>925.04</v>
      </c>
      <c r="C801" s="1" t="s">
        <v>3566</v>
      </c>
    </row>
    <row r="802" spans="2:3" hidden="1" x14ac:dyDescent="0.25">
      <c r="B802" s="2">
        <f t="shared" si="15"/>
        <v>925.05</v>
      </c>
      <c r="C802" s="1" t="s">
        <v>3567</v>
      </c>
    </row>
    <row r="803" spans="2:3" hidden="1" x14ac:dyDescent="0.25">
      <c r="B803" s="2">
        <f t="shared" si="15"/>
        <v>925.06</v>
      </c>
      <c r="C803" s="1" t="s">
        <v>3568</v>
      </c>
    </row>
    <row r="804" spans="2:3" hidden="1" x14ac:dyDescent="0.25">
      <c r="B804" s="2">
        <f t="shared" si="15"/>
        <v>925.07</v>
      </c>
      <c r="C804" s="1" t="s">
        <v>3569</v>
      </c>
    </row>
    <row r="805" spans="2:3" hidden="1" x14ac:dyDescent="0.25">
      <c r="B805" s="2">
        <f t="shared" si="15"/>
        <v>925.08</v>
      </c>
      <c r="C805" s="1" t="s">
        <v>3570</v>
      </c>
    </row>
    <row r="806" spans="2:3" hidden="1" x14ac:dyDescent="0.25">
      <c r="B806" s="2">
        <f t="shared" si="15"/>
        <v>930.01</v>
      </c>
      <c r="C806" s="1" t="s">
        <v>3571</v>
      </c>
    </row>
    <row r="807" spans="2:3" hidden="1" x14ac:dyDescent="0.25">
      <c r="B807" s="2">
        <f t="shared" si="15"/>
        <v>930.02</v>
      </c>
      <c r="C807" s="1" t="s">
        <v>3572</v>
      </c>
    </row>
    <row r="808" spans="2:3" hidden="1" x14ac:dyDescent="0.25">
      <c r="B808" s="2">
        <f t="shared" si="15"/>
        <v>930.03</v>
      </c>
      <c r="C808" s="1" t="s">
        <v>3573</v>
      </c>
    </row>
    <row r="809" spans="2:3" hidden="1" x14ac:dyDescent="0.25">
      <c r="B809" s="2">
        <f t="shared" si="15"/>
        <v>930.04</v>
      </c>
      <c r="C809" s="1" t="s">
        <v>3574</v>
      </c>
    </row>
    <row r="810" spans="2:3" hidden="1" x14ac:dyDescent="0.25">
      <c r="B810" s="2">
        <f t="shared" si="15"/>
        <v>930.05</v>
      </c>
      <c r="C810" s="1" t="s">
        <v>3575</v>
      </c>
    </row>
    <row r="811" spans="2:3" hidden="1" x14ac:dyDescent="0.25">
      <c r="B811" s="2">
        <f t="shared" si="15"/>
        <v>930.06</v>
      </c>
      <c r="C811" s="1" t="s">
        <v>3576</v>
      </c>
    </row>
    <row r="812" spans="2:3" hidden="1" x14ac:dyDescent="0.25">
      <c r="B812" s="2">
        <f t="shared" si="15"/>
        <v>935.01</v>
      </c>
      <c r="C812" s="1" t="s">
        <v>3577</v>
      </c>
    </row>
    <row r="813" spans="2:3" hidden="1" x14ac:dyDescent="0.25">
      <c r="B813" s="2">
        <f t="shared" si="15"/>
        <v>935.02</v>
      </c>
      <c r="C813" s="1" t="s">
        <v>3578</v>
      </c>
    </row>
    <row r="814" spans="2:3" hidden="1" x14ac:dyDescent="0.25">
      <c r="B814" s="2">
        <f t="shared" si="15"/>
        <v>935.03</v>
      </c>
      <c r="C814" s="1" t="s">
        <v>3579</v>
      </c>
    </row>
    <row r="815" spans="2:3" hidden="1" x14ac:dyDescent="0.25">
      <c r="B815" s="2">
        <f t="shared" si="15"/>
        <v>935.04</v>
      </c>
      <c r="C815" s="1" t="s">
        <v>3580</v>
      </c>
    </row>
    <row r="816" spans="2:3" hidden="1" x14ac:dyDescent="0.25">
      <c r="B816" s="2">
        <f t="shared" si="15"/>
        <v>935.05</v>
      </c>
      <c r="C816" s="1" t="s">
        <v>3581</v>
      </c>
    </row>
    <row r="817" spans="2:3" hidden="1" x14ac:dyDescent="0.25">
      <c r="B817" s="2">
        <f t="shared" si="15"/>
        <v>940.01</v>
      </c>
      <c r="C817" s="1" t="s">
        <v>3582</v>
      </c>
    </row>
    <row r="818" spans="2:3" hidden="1" x14ac:dyDescent="0.25">
      <c r="B818" s="2">
        <f t="shared" si="15"/>
        <v>940.02</v>
      </c>
      <c r="C818" s="1" t="s">
        <v>3583</v>
      </c>
    </row>
    <row r="819" spans="2:3" hidden="1" x14ac:dyDescent="0.25">
      <c r="B819" s="2">
        <f t="shared" si="15"/>
        <v>940.03</v>
      </c>
      <c r="C819" s="1" t="s">
        <v>3584</v>
      </c>
    </row>
    <row r="820" spans="2:3" hidden="1" x14ac:dyDescent="0.25">
      <c r="B820" s="2">
        <f t="shared" si="15"/>
        <v>940.04</v>
      </c>
      <c r="C820" s="1" t="s">
        <v>3585</v>
      </c>
    </row>
    <row r="821" spans="2:3" hidden="1" x14ac:dyDescent="0.25">
      <c r="B821" s="2">
        <f t="shared" si="15"/>
        <v>940.05</v>
      </c>
      <c r="C821" s="1" t="s">
        <v>3586</v>
      </c>
    </row>
    <row r="822" spans="2:3" hidden="1" x14ac:dyDescent="0.25">
      <c r="B822" s="2">
        <f t="shared" si="15"/>
        <v>940.06</v>
      </c>
      <c r="C822" s="1" t="s">
        <v>3587</v>
      </c>
    </row>
    <row r="823" spans="2:3" hidden="1" x14ac:dyDescent="0.25">
      <c r="B823" s="2">
        <f t="shared" si="15"/>
        <v>940.07</v>
      </c>
      <c r="C823" s="1" t="s">
        <v>3588</v>
      </c>
    </row>
    <row r="824" spans="2:3" hidden="1" x14ac:dyDescent="0.25">
      <c r="B824" s="2">
        <f t="shared" si="15"/>
        <v>950.01</v>
      </c>
      <c r="C824" s="1" t="s">
        <v>3589</v>
      </c>
    </row>
    <row r="825" spans="2:3" hidden="1" x14ac:dyDescent="0.25">
      <c r="B825" s="2">
        <f t="shared" si="15"/>
        <v>950.02</v>
      </c>
      <c r="C825" s="1" t="s">
        <v>3590</v>
      </c>
    </row>
    <row r="826" spans="2:3" hidden="1" x14ac:dyDescent="0.25">
      <c r="B826" s="2">
        <f t="shared" si="15"/>
        <v>950.03</v>
      </c>
      <c r="C826" s="1" t="s">
        <v>3591</v>
      </c>
    </row>
    <row r="827" spans="2:3" hidden="1" x14ac:dyDescent="0.25">
      <c r="B827" s="2">
        <f t="shared" si="15"/>
        <v>950.04</v>
      </c>
      <c r="C827" s="1" t="s">
        <v>3592</v>
      </c>
    </row>
    <row r="828" spans="2:3" hidden="1" x14ac:dyDescent="0.25">
      <c r="B828" s="2">
        <f t="shared" si="15"/>
        <v>950.05</v>
      </c>
      <c r="C828" s="1" t="s">
        <v>3593</v>
      </c>
    </row>
    <row r="829" spans="2:3" hidden="1" x14ac:dyDescent="0.25">
      <c r="B829" s="2">
        <f t="shared" si="15"/>
        <v>950.06</v>
      </c>
      <c r="C829" s="1" t="s">
        <v>3594</v>
      </c>
    </row>
    <row r="830" spans="2:3" hidden="1" x14ac:dyDescent="0.25">
      <c r="B830" s="2">
        <f t="shared" si="15"/>
        <v>950.07</v>
      </c>
      <c r="C830" s="1" t="s">
        <v>3595</v>
      </c>
    </row>
    <row r="831" spans="2:3" hidden="1" x14ac:dyDescent="0.25">
      <c r="B831" s="2">
        <f t="shared" si="15"/>
        <v>950.08</v>
      </c>
      <c r="C831" s="1" t="s">
        <v>3596</v>
      </c>
    </row>
    <row r="832" spans="2:3" hidden="1" x14ac:dyDescent="0.25">
      <c r="B832" s="2">
        <f t="shared" si="15"/>
        <v>950.09</v>
      </c>
      <c r="C832" s="1" t="s">
        <v>3597</v>
      </c>
    </row>
    <row r="833" spans="2:3" hidden="1" x14ac:dyDescent="0.25">
      <c r="B833" s="2">
        <f t="shared" si="15"/>
        <v>950.1</v>
      </c>
      <c r="C833" s="1" t="s">
        <v>3598</v>
      </c>
    </row>
    <row r="834" spans="2:3" hidden="1" x14ac:dyDescent="0.25">
      <c r="B834" s="2">
        <f t="shared" si="15"/>
        <v>950.11</v>
      </c>
      <c r="C834" s="1" t="s">
        <v>3599</v>
      </c>
    </row>
    <row r="835" spans="2:3" hidden="1" x14ac:dyDescent="0.25">
      <c r="B835" s="2">
        <f t="shared" ref="B835:B898" si="16">MID(C835,1,7)*1</f>
        <v>950.12</v>
      </c>
      <c r="C835" s="1" t="s">
        <v>3600</v>
      </c>
    </row>
    <row r="836" spans="2:3" hidden="1" x14ac:dyDescent="0.25">
      <c r="B836" s="2">
        <f t="shared" si="16"/>
        <v>950.13</v>
      </c>
      <c r="C836" s="1" t="s">
        <v>3601</v>
      </c>
    </row>
    <row r="837" spans="2:3" hidden="1" x14ac:dyDescent="0.25">
      <c r="B837" s="2">
        <f t="shared" si="16"/>
        <v>955.01</v>
      </c>
      <c r="C837" s="1" t="s">
        <v>3602</v>
      </c>
    </row>
    <row r="838" spans="2:3" hidden="1" x14ac:dyDescent="0.25">
      <c r="B838" s="2">
        <f t="shared" si="16"/>
        <v>955.02</v>
      </c>
      <c r="C838" s="1" t="s">
        <v>3603</v>
      </c>
    </row>
    <row r="839" spans="2:3" hidden="1" x14ac:dyDescent="0.25">
      <c r="B839" s="2">
        <f t="shared" si="16"/>
        <v>955.03</v>
      </c>
      <c r="C839" s="1" t="s">
        <v>3604</v>
      </c>
    </row>
    <row r="840" spans="2:3" hidden="1" x14ac:dyDescent="0.25">
      <c r="B840" s="2">
        <f t="shared" si="16"/>
        <v>955.04</v>
      </c>
      <c r="C840" s="1" t="s">
        <v>3605</v>
      </c>
    </row>
    <row r="841" spans="2:3" hidden="1" x14ac:dyDescent="0.25">
      <c r="B841" s="2">
        <f t="shared" si="16"/>
        <v>955.05</v>
      </c>
      <c r="C841" s="1" t="s">
        <v>3606</v>
      </c>
    </row>
    <row r="842" spans="2:3" hidden="1" x14ac:dyDescent="0.25">
      <c r="B842" s="2">
        <f t="shared" si="16"/>
        <v>955.06</v>
      </c>
      <c r="C842" s="1" t="s">
        <v>3607</v>
      </c>
    </row>
    <row r="843" spans="2:3" hidden="1" x14ac:dyDescent="0.25">
      <c r="B843" s="2">
        <f t="shared" si="16"/>
        <v>955.07</v>
      </c>
      <c r="C843" s="1" t="s">
        <v>3608</v>
      </c>
    </row>
    <row r="844" spans="2:3" hidden="1" x14ac:dyDescent="0.25">
      <c r="B844" s="2">
        <f t="shared" si="16"/>
        <v>955.08</v>
      </c>
      <c r="C844" s="1" t="s">
        <v>3609</v>
      </c>
    </row>
    <row r="845" spans="2:3" hidden="1" x14ac:dyDescent="0.25">
      <c r="B845" s="2">
        <f t="shared" si="16"/>
        <v>955.09</v>
      </c>
      <c r="C845" s="1" t="s">
        <v>3610</v>
      </c>
    </row>
    <row r="846" spans="2:3" hidden="1" x14ac:dyDescent="0.25">
      <c r="B846" s="2">
        <f t="shared" si="16"/>
        <v>955.1</v>
      </c>
      <c r="C846" s="1" t="s">
        <v>3611</v>
      </c>
    </row>
    <row r="847" spans="2:3" hidden="1" x14ac:dyDescent="0.25">
      <c r="B847" s="2">
        <f t="shared" si="16"/>
        <v>955.11</v>
      </c>
      <c r="C847" s="1" t="s">
        <v>3612</v>
      </c>
    </row>
    <row r="848" spans="2:3" hidden="1" x14ac:dyDescent="0.25">
      <c r="B848" s="2">
        <f t="shared" si="16"/>
        <v>955.12</v>
      </c>
      <c r="C848" s="1" t="s">
        <v>3613</v>
      </c>
    </row>
    <row r="849" spans="2:3" hidden="1" x14ac:dyDescent="0.25">
      <c r="B849" s="2">
        <f t="shared" si="16"/>
        <v>955.13</v>
      </c>
      <c r="C849" s="1" t="s">
        <v>3614</v>
      </c>
    </row>
    <row r="850" spans="2:3" hidden="1" x14ac:dyDescent="0.25">
      <c r="B850" s="2">
        <f t="shared" si="16"/>
        <v>955.14</v>
      </c>
      <c r="C850" s="1" t="s">
        <v>3615</v>
      </c>
    </row>
    <row r="851" spans="2:3" hidden="1" x14ac:dyDescent="0.25">
      <c r="B851" s="2">
        <f t="shared" si="16"/>
        <v>955.15</v>
      </c>
      <c r="C851" s="1" t="s">
        <v>3616</v>
      </c>
    </row>
    <row r="852" spans="2:3" hidden="1" x14ac:dyDescent="0.25">
      <c r="B852" s="2">
        <f t="shared" si="16"/>
        <v>955.16</v>
      </c>
      <c r="C852" s="1" t="s">
        <v>3617</v>
      </c>
    </row>
    <row r="853" spans="2:3" hidden="1" x14ac:dyDescent="0.25">
      <c r="B853" s="2">
        <f t="shared" si="16"/>
        <v>955.17</v>
      </c>
      <c r="C853" s="1" t="s">
        <v>3618</v>
      </c>
    </row>
    <row r="854" spans="2:3" hidden="1" x14ac:dyDescent="0.25">
      <c r="B854" s="2">
        <f t="shared" si="16"/>
        <v>955.18</v>
      </c>
      <c r="C854" s="1" t="s">
        <v>3619</v>
      </c>
    </row>
    <row r="855" spans="2:3" hidden="1" x14ac:dyDescent="0.25">
      <c r="B855" s="2">
        <f t="shared" si="16"/>
        <v>955.19</v>
      </c>
      <c r="C855" s="1" t="s">
        <v>3620</v>
      </c>
    </row>
    <row r="856" spans="2:3" hidden="1" x14ac:dyDescent="0.25">
      <c r="B856" s="2">
        <f t="shared" si="16"/>
        <v>955.2</v>
      </c>
      <c r="C856" s="1" t="s">
        <v>3621</v>
      </c>
    </row>
    <row r="857" spans="2:3" hidden="1" x14ac:dyDescent="0.25">
      <c r="B857" s="2">
        <f t="shared" si="16"/>
        <v>955.21</v>
      </c>
      <c r="C857" s="1" t="s">
        <v>3622</v>
      </c>
    </row>
    <row r="858" spans="2:3" hidden="1" x14ac:dyDescent="0.25">
      <c r="B858" s="2">
        <f t="shared" si="16"/>
        <v>955.22</v>
      </c>
      <c r="C858" s="1" t="s">
        <v>3623</v>
      </c>
    </row>
    <row r="859" spans="2:3" hidden="1" x14ac:dyDescent="0.25">
      <c r="B859" s="2">
        <f t="shared" si="16"/>
        <v>955.23</v>
      </c>
      <c r="C859" s="1" t="s">
        <v>3624</v>
      </c>
    </row>
    <row r="860" spans="2:3" hidden="1" x14ac:dyDescent="0.25">
      <c r="B860" s="2">
        <f t="shared" si="16"/>
        <v>955.24</v>
      </c>
      <c r="C860" s="1" t="s">
        <v>3625</v>
      </c>
    </row>
    <row r="861" spans="2:3" hidden="1" x14ac:dyDescent="0.25">
      <c r="B861" s="2">
        <f t="shared" si="16"/>
        <v>955.25</v>
      </c>
      <c r="C861" s="1" t="s">
        <v>3626</v>
      </c>
    </row>
    <row r="862" spans="2:3" hidden="1" x14ac:dyDescent="0.25">
      <c r="B862" s="2">
        <f t="shared" si="16"/>
        <v>955.26</v>
      </c>
      <c r="C862" s="1" t="s">
        <v>3627</v>
      </c>
    </row>
    <row r="863" spans="2:3" hidden="1" x14ac:dyDescent="0.25">
      <c r="B863" s="2">
        <f t="shared" si="16"/>
        <v>955.27</v>
      </c>
      <c r="C863" s="1" t="s">
        <v>3628</v>
      </c>
    </row>
    <row r="864" spans="2:3" hidden="1" x14ac:dyDescent="0.25">
      <c r="B864" s="2">
        <f t="shared" si="16"/>
        <v>955.28</v>
      </c>
      <c r="C864" s="1" t="s">
        <v>3629</v>
      </c>
    </row>
    <row r="865" spans="2:3" hidden="1" x14ac:dyDescent="0.25">
      <c r="B865" s="2">
        <f t="shared" si="16"/>
        <v>955.29</v>
      </c>
      <c r="C865" s="1" t="s">
        <v>3630</v>
      </c>
    </row>
    <row r="866" spans="2:3" hidden="1" x14ac:dyDescent="0.25">
      <c r="B866" s="2">
        <f t="shared" si="16"/>
        <v>955.3</v>
      </c>
      <c r="C866" s="1" t="s">
        <v>3631</v>
      </c>
    </row>
    <row r="867" spans="2:3" hidden="1" x14ac:dyDescent="0.25">
      <c r="B867" s="2">
        <f t="shared" si="16"/>
        <v>955.31</v>
      </c>
      <c r="C867" s="1" t="s">
        <v>3632</v>
      </c>
    </row>
    <row r="868" spans="2:3" hidden="1" x14ac:dyDescent="0.25">
      <c r="B868" s="2">
        <f t="shared" si="16"/>
        <v>955.32</v>
      </c>
      <c r="C868" s="1" t="s">
        <v>3633</v>
      </c>
    </row>
    <row r="869" spans="2:3" hidden="1" x14ac:dyDescent="0.25">
      <c r="B869" s="2">
        <f t="shared" si="16"/>
        <v>955.33</v>
      </c>
      <c r="C869" s="1" t="s">
        <v>3634</v>
      </c>
    </row>
    <row r="870" spans="2:3" hidden="1" x14ac:dyDescent="0.25">
      <c r="B870" s="2">
        <f t="shared" si="16"/>
        <v>955.34</v>
      </c>
      <c r="C870" s="1" t="s">
        <v>3635</v>
      </c>
    </row>
    <row r="871" spans="2:3" hidden="1" x14ac:dyDescent="0.25">
      <c r="B871" s="2">
        <f t="shared" si="16"/>
        <v>955.35</v>
      </c>
      <c r="C871" s="1" t="s">
        <v>3636</v>
      </c>
    </row>
    <row r="872" spans="2:3" hidden="1" x14ac:dyDescent="0.25">
      <c r="B872" s="2">
        <f t="shared" si="16"/>
        <v>955.36</v>
      </c>
      <c r="C872" s="1" t="s">
        <v>3637</v>
      </c>
    </row>
    <row r="873" spans="2:3" hidden="1" x14ac:dyDescent="0.25">
      <c r="B873" s="2">
        <f t="shared" si="16"/>
        <v>955.37</v>
      </c>
      <c r="C873" s="1" t="s">
        <v>3638</v>
      </c>
    </row>
    <row r="874" spans="2:3" hidden="1" x14ac:dyDescent="0.25">
      <c r="B874" s="2">
        <f t="shared" si="16"/>
        <v>955.38</v>
      </c>
      <c r="C874" s="1" t="s">
        <v>3639</v>
      </c>
    </row>
    <row r="875" spans="2:3" hidden="1" x14ac:dyDescent="0.25">
      <c r="B875" s="2">
        <f t="shared" si="16"/>
        <v>955.39</v>
      </c>
      <c r="C875" s="1" t="s">
        <v>3640</v>
      </c>
    </row>
    <row r="876" spans="2:3" hidden="1" x14ac:dyDescent="0.25">
      <c r="B876" s="2">
        <f t="shared" si="16"/>
        <v>955.4</v>
      </c>
      <c r="C876" s="1" t="s">
        <v>3641</v>
      </c>
    </row>
    <row r="877" spans="2:3" hidden="1" x14ac:dyDescent="0.25">
      <c r="B877" s="2">
        <f t="shared" si="16"/>
        <v>960.01</v>
      </c>
      <c r="C877" s="1" t="s">
        <v>3642</v>
      </c>
    </row>
    <row r="878" spans="2:3" hidden="1" x14ac:dyDescent="0.25">
      <c r="B878" s="2">
        <f t="shared" si="16"/>
        <v>960.02</v>
      </c>
      <c r="C878" s="1" t="s">
        <v>3643</v>
      </c>
    </row>
    <row r="879" spans="2:3" hidden="1" x14ac:dyDescent="0.25">
      <c r="B879" s="2">
        <f t="shared" si="16"/>
        <v>960.03</v>
      </c>
      <c r="C879" s="1" t="s">
        <v>3644</v>
      </c>
    </row>
    <row r="880" spans="2:3" hidden="1" x14ac:dyDescent="0.25">
      <c r="B880" s="2">
        <f t="shared" si="16"/>
        <v>960.04</v>
      </c>
      <c r="C880" s="1" t="s">
        <v>3645</v>
      </c>
    </row>
    <row r="881" spans="2:3" hidden="1" x14ac:dyDescent="0.25">
      <c r="B881" s="2">
        <f t="shared" si="16"/>
        <v>970.01</v>
      </c>
      <c r="C881" s="1" t="s">
        <v>3646</v>
      </c>
    </row>
    <row r="882" spans="2:3" hidden="1" x14ac:dyDescent="0.25">
      <c r="B882" s="2">
        <f t="shared" si="16"/>
        <v>970.02</v>
      </c>
      <c r="C882" s="1" t="s">
        <v>3647</v>
      </c>
    </row>
    <row r="883" spans="2:3" hidden="1" x14ac:dyDescent="0.25">
      <c r="B883" s="2">
        <f t="shared" si="16"/>
        <v>970.03</v>
      </c>
      <c r="C883" s="1" t="s">
        <v>3648</v>
      </c>
    </row>
    <row r="884" spans="2:3" hidden="1" x14ac:dyDescent="0.25">
      <c r="B884" s="2">
        <f t="shared" si="16"/>
        <v>980.01</v>
      </c>
      <c r="C884" s="1" t="s">
        <v>3649</v>
      </c>
    </row>
    <row r="885" spans="2:3" hidden="1" x14ac:dyDescent="0.25">
      <c r="B885" s="2">
        <f t="shared" si="16"/>
        <v>980.02</v>
      </c>
      <c r="C885" s="1" t="s">
        <v>3650</v>
      </c>
    </row>
    <row r="886" spans="2:3" hidden="1" x14ac:dyDescent="0.25">
      <c r="B886" s="2">
        <f t="shared" si="16"/>
        <v>990.01</v>
      </c>
      <c r="C886" s="1" t="s">
        <v>3651</v>
      </c>
    </row>
    <row r="887" spans="2:3" hidden="1" x14ac:dyDescent="0.25">
      <c r="B887" s="2">
        <f t="shared" si="16"/>
        <v>990.02</v>
      </c>
      <c r="C887" s="1" t="s">
        <v>3652</v>
      </c>
    </row>
    <row r="888" spans="2:3" hidden="1" x14ac:dyDescent="0.25">
      <c r="B888" s="2">
        <f t="shared" si="16"/>
        <v>990.03</v>
      </c>
      <c r="C888" s="1" t="s">
        <v>3653</v>
      </c>
    </row>
    <row r="889" spans="2:3" hidden="1" x14ac:dyDescent="0.25">
      <c r="B889" s="2">
        <f t="shared" si="16"/>
        <v>990.04</v>
      </c>
      <c r="C889" s="1" t="s">
        <v>3654</v>
      </c>
    </row>
    <row r="890" spans="2:3" hidden="1" x14ac:dyDescent="0.25">
      <c r="B890" s="2">
        <f t="shared" si="16"/>
        <v>990.05</v>
      </c>
      <c r="C890" s="1" t="s">
        <v>3655</v>
      </c>
    </row>
    <row r="891" spans="2:3" hidden="1" x14ac:dyDescent="0.25">
      <c r="B891" s="2">
        <f t="shared" si="16"/>
        <v>1000.01</v>
      </c>
      <c r="C891" s="1" t="s">
        <v>3656</v>
      </c>
    </row>
    <row r="892" spans="2:3" hidden="1" x14ac:dyDescent="0.25">
      <c r="B892" s="2">
        <f t="shared" si="16"/>
        <v>1000.02</v>
      </c>
      <c r="C892" s="1" t="s">
        <v>3657</v>
      </c>
    </row>
    <row r="893" spans="2:3" hidden="1" x14ac:dyDescent="0.25">
      <c r="B893" s="2">
        <f t="shared" si="16"/>
        <v>1000.03</v>
      </c>
      <c r="C893" s="1" t="s">
        <v>3658</v>
      </c>
    </row>
    <row r="894" spans="2:3" hidden="1" x14ac:dyDescent="0.25">
      <c r="B894" s="2">
        <f t="shared" si="16"/>
        <v>1000.04</v>
      </c>
      <c r="C894" s="1" t="s">
        <v>3659</v>
      </c>
    </row>
    <row r="895" spans="2:3" hidden="1" x14ac:dyDescent="0.25">
      <c r="B895" s="2">
        <f t="shared" si="16"/>
        <v>1000.05</v>
      </c>
      <c r="C895" s="1" t="s">
        <v>3660</v>
      </c>
    </row>
    <row r="896" spans="2:3" hidden="1" x14ac:dyDescent="0.25">
      <c r="B896" s="2">
        <f t="shared" si="16"/>
        <v>1000.06</v>
      </c>
      <c r="C896" s="1" t="s">
        <v>3661</v>
      </c>
    </row>
    <row r="897" spans="2:3" hidden="1" x14ac:dyDescent="0.25">
      <c r="B897" s="2">
        <f t="shared" si="16"/>
        <v>1000.07</v>
      </c>
      <c r="C897" s="1" t="s">
        <v>3662</v>
      </c>
    </row>
    <row r="898" spans="2:3" hidden="1" x14ac:dyDescent="0.25">
      <c r="B898" s="2">
        <f t="shared" si="16"/>
        <v>1000.08</v>
      </c>
      <c r="C898" s="1" t="s">
        <v>3663</v>
      </c>
    </row>
    <row r="899" spans="2:3" hidden="1" x14ac:dyDescent="0.25">
      <c r="B899" s="2">
        <f t="shared" ref="B899:B962" si="17">MID(C899,1,7)*1</f>
        <v>1000.09</v>
      </c>
      <c r="C899" s="1" t="s">
        <v>3664</v>
      </c>
    </row>
    <row r="900" spans="2:3" hidden="1" x14ac:dyDescent="0.25">
      <c r="B900" s="2">
        <f t="shared" si="17"/>
        <v>1000.1</v>
      </c>
      <c r="C900" s="1" t="s">
        <v>3665</v>
      </c>
    </row>
    <row r="901" spans="2:3" hidden="1" x14ac:dyDescent="0.25">
      <c r="B901" s="2">
        <f t="shared" si="17"/>
        <v>1100.01</v>
      </c>
      <c r="C901" s="1" t="s">
        <v>3666</v>
      </c>
    </row>
    <row r="902" spans="2:3" hidden="1" x14ac:dyDescent="0.25">
      <c r="B902" s="2">
        <f t="shared" si="17"/>
        <v>1100.02</v>
      </c>
      <c r="C902" s="1" t="s">
        <v>3667</v>
      </c>
    </row>
    <row r="903" spans="2:3" hidden="1" x14ac:dyDescent="0.25">
      <c r="B903" s="2">
        <f t="shared" si="17"/>
        <v>1100.03</v>
      </c>
      <c r="C903" s="1" t="s">
        <v>3668</v>
      </c>
    </row>
    <row r="904" spans="2:3" hidden="1" x14ac:dyDescent="0.25">
      <c r="B904" s="2">
        <f t="shared" si="17"/>
        <v>1110.01</v>
      </c>
      <c r="C904" s="1" t="s">
        <v>3669</v>
      </c>
    </row>
    <row r="905" spans="2:3" hidden="1" x14ac:dyDescent="0.25">
      <c r="B905" s="2">
        <f t="shared" si="17"/>
        <v>1110.02</v>
      </c>
      <c r="C905" s="1" t="s">
        <v>3670</v>
      </c>
    </row>
    <row r="906" spans="2:3" hidden="1" x14ac:dyDescent="0.25">
      <c r="B906" s="2">
        <f t="shared" si="17"/>
        <v>1110.03</v>
      </c>
      <c r="C906" s="1" t="s">
        <v>3671</v>
      </c>
    </row>
    <row r="907" spans="2:3" hidden="1" x14ac:dyDescent="0.25">
      <c r="B907" s="2">
        <f t="shared" si="17"/>
        <v>1110.04</v>
      </c>
      <c r="C907" s="1" t="s">
        <v>3672</v>
      </c>
    </row>
    <row r="908" spans="2:3" hidden="1" x14ac:dyDescent="0.25">
      <c r="B908" s="2">
        <f t="shared" si="17"/>
        <v>1110.05</v>
      </c>
      <c r="C908" s="1" t="s">
        <v>3673</v>
      </c>
    </row>
    <row r="909" spans="2:3" hidden="1" x14ac:dyDescent="0.25">
      <c r="B909" s="2">
        <f t="shared" si="17"/>
        <v>1110.06</v>
      </c>
      <c r="C909" s="1" t="s">
        <v>3674</v>
      </c>
    </row>
    <row r="910" spans="2:3" hidden="1" x14ac:dyDescent="0.25">
      <c r="B910" s="2">
        <f t="shared" si="17"/>
        <v>1120.01</v>
      </c>
      <c r="C910" s="1" t="s">
        <v>3675</v>
      </c>
    </row>
    <row r="911" spans="2:3" hidden="1" x14ac:dyDescent="0.25">
      <c r="B911" s="2">
        <f t="shared" si="17"/>
        <v>1130.01</v>
      </c>
      <c r="C911" s="1" t="s">
        <v>3676</v>
      </c>
    </row>
    <row r="912" spans="2:3" hidden="1" x14ac:dyDescent="0.25">
      <c r="B912" s="2">
        <f t="shared" si="17"/>
        <v>1130.02</v>
      </c>
      <c r="C912" s="1" t="s">
        <v>3677</v>
      </c>
    </row>
    <row r="913" spans="2:3" hidden="1" x14ac:dyDescent="0.25">
      <c r="B913" s="2">
        <f t="shared" si="17"/>
        <v>1130.03</v>
      </c>
      <c r="C913" s="1" t="s">
        <v>3678</v>
      </c>
    </row>
    <row r="914" spans="2:3" hidden="1" x14ac:dyDescent="0.25">
      <c r="B914" s="2">
        <f t="shared" si="17"/>
        <v>1130.04</v>
      </c>
      <c r="C914" s="1" t="s">
        <v>3679</v>
      </c>
    </row>
    <row r="915" spans="2:3" hidden="1" x14ac:dyDescent="0.25">
      <c r="B915" s="2">
        <f t="shared" si="17"/>
        <v>1140.01</v>
      </c>
      <c r="C915" s="1" t="s">
        <v>3680</v>
      </c>
    </row>
    <row r="916" spans="2:3" hidden="1" x14ac:dyDescent="0.25">
      <c r="B916" s="2">
        <f t="shared" si="17"/>
        <v>1150.01</v>
      </c>
      <c r="C916" s="1" t="s">
        <v>3681</v>
      </c>
    </row>
    <row r="917" spans="2:3" hidden="1" x14ac:dyDescent="0.25">
      <c r="B917" s="2">
        <f t="shared" si="17"/>
        <v>1160.01</v>
      </c>
      <c r="C917" s="1" t="s">
        <v>3682</v>
      </c>
    </row>
    <row r="918" spans="2:3" hidden="1" x14ac:dyDescent="0.25">
      <c r="B918" s="2">
        <f t="shared" si="17"/>
        <v>1160.02</v>
      </c>
      <c r="C918" s="1" t="s">
        <v>3683</v>
      </c>
    </row>
    <row r="919" spans="2:3" hidden="1" x14ac:dyDescent="0.25">
      <c r="B919" s="2">
        <f t="shared" si="17"/>
        <v>1160.03</v>
      </c>
      <c r="C919" s="1" t="s">
        <v>3684</v>
      </c>
    </row>
    <row r="920" spans="2:3" hidden="1" x14ac:dyDescent="0.25">
      <c r="B920" s="2">
        <f t="shared" si="17"/>
        <v>1160.04</v>
      </c>
      <c r="C920" s="1" t="s">
        <v>3685</v>
      </c>
    </row>
    <row r="921" spans="2:3" hidden="1" x14ac:dyDescent="0.25">
      <c r="B921" s="2">
        <f t="shared" si="17"/>
        <v>1160.05</v>
      </c>
      <c r="C921" s="1" t="s">
        <v>3686</v>
      </c>
    </row>
    <row r="922" spans="2:3" hidden="1" x14ac:dyDescent="0.25">
      <c r="B922" s="2">
        <f t="shared" si="17"/>
        <v>1170.01</v>
      </c>
      <c r="C922" s="1" t="s">
        <v>3687</v>
      </c>
    </row>
    <row r="923" spans="2:3" hidden="1" x14ac:dyDescent="0.25">
      <c r="B923" s="2">
        <f t="shared" si="17"/>
        <v>1170.02</v>
      </c>
      <c r="C923" s="1" t="s">
        <v>3688</v>
      </c>
    </row>
    <row r="924" spans="2:3" hidden="1" x14ac:dyDescent="0.25">
      <c r="B924" s="2">
        <f t="shared" si="17"/>
        <v>1170.03</v>
      </c>
      <c r="C924" s="1" t="s">
        <v>3689</v>
      </c>
    </row>
    <row r="925" spans="2:3" hidden="1" x14ac:dyDescent="0.25">
      <c r="B925" s="2">
        <f t="shared" si="17"/>
        <v>1170.04</v>
      </c>
      <c r="C925" s="1" t="s">
        <v>3690</v>
      </c>
    </row>
    <row r="926" spans="2:3" hidden="1" x14ac:dyDescent="0.25">
      <c r="B926" s="2">
        <f t="shared" si="17"/>
        <v>1170.05</v>
      </c>
      <c r="C926" s="1" t="s">
        <v>3691</v>
      </c>
    </row>
    <row r="927" spans="2:3" hidden="1" x14ac:dyDescent="0.25">
      <c r="B927" s="2">
        <f t="shared" si="17"/>
        <v>1170.06</v>
      </c>
      <c r="C927" s="1" t="s">
        <v>3692</v>
      </c>
    </row>
    <row r="928" spans="2:3" hidden="1" x14ac:dyDescent="0.25">
      <c r="B928" s="2">
        <f t="shared" si="17"/>
        <v>1170.07</v>
      </c>
      <c r="C928" s="1" t="s">
        <v>3693</v>
      </c>
    </row>
    <row r="929" spans="2:3" hidden="1" x14ac:dyDescent="0.25">
      <c r="B929" s="2">
        <f t="shared" si="17"/>
        <v>1170.08</v>
      </c>
      <c r="C929" s="1" t="s">
        <v>3694</v>
      </c>
    </row>
    <row r="930" spans="2:3" hidden="1" x14ac:dyDescent="0.25">
      <c r="B930" s="2">
        <f t="shared" si="17"/>
        <v>1170.0899999999999</v>
      </c>
      <c r="C930" s="1" t="s">
        <v>3695</v>
      </c>
    </row>
    <row r="931" spans="2:3" hidden="1" x14ac:dyDescent="0.25">
      <c r="B931" s="2">
        <f t="shared" si="17"/>
        <v>1180.01</v>
      </c>
      <c r="C931" s="1" t="s">
        <v>3696</v>
      </c>
    </row>
    <row r="932" spans="2:3" hidden="1" x14ac:dyDescent="0.25">
      <c r="B932" s="2">
        <f t="shared" si="17"/>
        <v>1190.01</v>
      </c>
      <c r="C932" s="1" t="s">
        <v>3697</v>
      </c>
    </row>
    <row r="933" spans="2:3" hidden="1" x14ac:dyDescent="0.25">
      <c r="B933" s="2">
        <f t="shared" si="17"/>
        <v>1200.01</v>
      </c>
      <c r="C933" s="1" t="s">
        <v>3698</v>
      </c>
    </row>
    <row r="934" spans="2:3" hidden="1" x14ac:dyDescent="0.25">
      <c r="B934" s="2">
        <f t="shared" si="17"/>
        <v>1200.02</v>
      </c>
      <c r="C934" s="1" t="s">
        <v>3699</v>
      </c>
    </row>
    <row r="935" spans="2:3" hidden="1" x14ac:dyDescent="0.25">
      <c r="B935" s="2">
        <f t="shared" si="17"/>
        <v>1200.03</v>
      </c>
      <c r="C935" s="1" t="s">
        <v>3700</v>
      </c>
    </row>
    <row r="936" spans="2:3" hidden="1" x14ac:dyDescent="0.25">
      <c r="B936" s="2">
        <f t="shared" si="17"/>
        <v>1210.01</v>
      </c>
      <c r="C936" s="1" t="s">
        <v>3701</v>
      </c>
    </row>
    <row r="937" spans="2:3" hidden="1" x14ac:dyDescent="0.25">
      <c r="B937" s="2">
        <f t="shared" si="17"/>
        <v>1210.02</v>
      </c>
      <c r="C937" s="1" t="s">
        <v>3702</v>
      </c>
    </row>
    <row r="938" spans="2:3" hidden="1" x14ac:dyDescent="0.25">
      <c r="B938" s="2">
        <f t="shared" si="17"/>
        <v>1210.03</v>
      </c>
      <c r="C938" s="1" t="s">
        <v>3703</v>
      </c>
    </row>
    <row r="939" spans="2:3" hidden="1" x14ac:dyDescent="0.25">
      <c r="B939" s="2">
        <f t="shared" si="17"/>
        <v>1210.04</v>
      </c>
      <c r="C939" s="1" t="s">
        <v>3704</v>
      </c>
    </row>
    <row r="940" spans="2:3" hidden="1" x14ac:dyDescent="0.25">
      <c r="B940" s="2">
        <f t="shared" si="17"/>
        <v>1220.01</v>
      </c>
      <c r="C940" s="1" t="s">
        <v>3705</v>
      </c>
    </row>
    <row r="941" spans="2:3" hidden="1" x14ac:dyDescent="0.25">
      <c r="B941" s="2">
        <f t="shared" si="17"/>
        <v>1220.02</v>
      </c>
      <c r="C941" s="1" t="s">
        <v>3706</v>
      </c>
    </row>
    <row r="942" spans="2:3" hidden="1" x14ac:dyDescent="0.25">
      <c r="B942" s="2">
        <f t="shared" si="17"/>
        <v>1220.03</v>
      </c>
      <c r="C942" s="1" t="s">
        <v>3707</v>
      </c>
    </row>
    <row r="943" spans="2:3" hidden="1" x14ac:dyDescent="0.25">
      <c r="B943" s="2">
        <f t="shared" si="17"/>
        <v>1230.01</v>
      </c>
      <c r="C943" s="1" t="s">
        <v>3708</v>
      </c>
    </row>
    <row r="944" spans="2:3" hidden="1" x14ac:dyDescent="0.25">
      <c r="B944" s="2">
        <f t="shared" si="17"/>
        <v>1230.02</v>
      </c>
      <c r="C944" s="1" t="s">
        <v>3709</v>
      </c>
    </row>
    <row r="945" spans="2:3" hidden="1" x14ac:dyDescent="0.25">
      <c r="B945" s="2">
        <f t="shared" si="17"/>
        <v>1230.03</v>
      </c>
      <c r="C945" s="1" t="s">
        <v>3710</v>
      </c>
    </row>
    <row r="946" spans="2:3" hidden="1" x14ac:dyDescent="0.25">
      <c r="B946" s="2">
        <f t="shared" si="17"/>
        <v>1230.04</v>
      </c>
      <c r="C946" s="1" t="s">
        <v>3711</v>
      </c>
    </row>
    <row r="947" spans="2:3" hidden="1" x14ac:dyDescent="0.25">
      <c r="B947" s="2">
        <f t="shared" si="17"/>
        <v>1240.01</v>
      </c>
      <c r="C947" s="1" t="s">
        <v>3712</v>
      </c>
    </row>
    <row r="948" spans="2:3" hidden="1" x14ac:dyDescent="0.25">
      <c r="B948" s="2">
        <f t="shared" si="17"/>
        <v>1240.02</v>
      </c>
      <c r="C948" s="1" t="s">
        <v>3713</v>
      </c>
    </row>
    <row r="949" spans="2:3" hidden="1" x14ac:dyDescent="0.25">
      <c r="B949" s="2">
        <f t="shared" si="17"/>
        <v>1240.03</v>
      </c>
      <c r="C949" s="1" t="s">
        <v>3714</v>
      </c>
    </row>
    <row r="950" spans="2:3" hidden="1" x14ac:dyDescent="0.25">
      <c r="B950" s="2">
        <f t="shared" si="17"/>
        <v>1240.04</v>
      </c>
      <c r="C950" s="1" t="s">
        <v>3715</v>
      </c>
    </row>
    <row r="951" spans="2:3" hidden="1" x14ac:dyDescent="0.25">
      <c r="B951" s="2">
        <f t="shared" si="17"/>
        <v>1250.01</v>
      </c>
      <c r="C951" s="1" t="s">
        <v>3716</v>
      </c>
    </row>
    <row r="952" spans="2:3" hidden="1" x14ac:dyDescent="0.25">
      <c r="B952" s="2">
        <f t="shared" si="17"/>
        <v>1260.01</v>
      </c>
      <c r="C952" s="1" t="s">
        <v>3717</v>
      </c>
    </row>
    <row r="953" spans="2:3" hidden="1" x14ac:dyDescent="0.25">
      <c r="B953" s="2">
        <f t="shared" si="17"/>
        <v>1260.02</v>
      </c>
      <c r="C953" s="1" t="s">
        <v>3718</v>
      </c>
    </row>
    <row r="954" spans="2:3" hidden="1" x14ac:dyDescent="0.25">
      <c r="B954" s="2">
        <f t="shared" si="17"/>
        <v>1260.03</v>
      </c>
      <c r="C954" s="1" t="s">
        <v>3719</v>
      </c>
    </row>
    <row r="955" spans="2:3" hidden="1" x14ac:dyDescent="0.25">
      <c r="B955" s="2">
        <f t="shared" si="17"/>
        <v>1260.04</v>
      </c>
      <c r="C955" s="1" t="s">
        <v>3720</v>
      </c>
    </row>
    <row r="956" spans="2:3" hidden="1" x14ac:dyDescent="0.25">
      <c r="B956" s="2">
        <f t="shared" si="17"/>
        <v>1260.05</v>
      </c>
      <c r="C956" s="1" t="s">
        <v>3721</v>
      </c>
    </row>
    <row r="957" spans="2:3" hidden="1" x14ac:dyDescent="0.25">
      <c r="B957" s="2">
        <f t="shared" si="17"/>
        <v>1270.01</v>
      </c>
      <c r="C957" s="1" t="s">
        <v>3722</v>
      </c>
    </row>
    <row r="958" spans="2:3" hidden="1" x14ac:dyDescent="0.25">
      <c r="B958" s="2">
        <f t="shared" si="17"/>
        <v>1270.02</v>
      </c>
      <c r="C958" s="1" t="s">
        <v>3723</v>
      </c>
    </row>
    <row r="959" spans="2:3" hidden="1" x14ac:dyDescent="0.25">
      <c r="B959" s="2">
        <f t="shared" si="17"/>
        <v>1270.03</v>
      </c>
      <c r="C959" s="1" t="s">
        <v>3724</v>
      </c>
    </row>
    <row r="960" spans="2:3" hidden="1" x14ac:dyDescent="0.25">
      <c r="B960" s="2">
        <f t="shared" si="17"/>
        <v>1270.04</v>
      </c>
      <c r="C960" s="1" t="s">
        <v>3725</v>
      </c>
    </row>
    <row r="961" spans="2:3" hidden="1" x14ac:dyDescent="0.25">
      <c r="B961" s="2">
        <f t="shared" si="17"/>
        <v>1280.01</v>
      </c>
      <c r="C961" s="1" t="s">
        <v>3726</v>
      </c>
    </row>
    <row r="962" spans="2:3" hidden="1" x14ac:dyDescent="0.25">
      <c r="B962" s="2">
        <f t="shared" si="17"/>
        <v>1280.02</v>
      </c>
      <c r="C962" s="1" t="s">
        <v>3727</v>
      </c>
    </row>
    <row r="963" spans="2:3" hidden="1" x14ac:dyDescent="0.25">
      <c r="B963" s="2">
        <f t="shared" ref="B963:B1026" si="18">MID(C963,1,7)*1</f>
        <v>1280.03</v>
      </c>
      <c r="C963" s="1" t="s">
        <v>3728</v>
      </c>
    </row>
    <row r="964" spans="2:3" hidden="1" x14ac:dyDescent="0.25">
      <c r="B964" s="2">
        <f t="shared" si="18"/>
        <v>1280.04</v>
      </c>
      <c r="C964" s="1" t="s">
        <v>3729</v>
      </c>
    </row>
    <row r="965" spans="2:3" hidden="1" x14ac:dyDescent="0.25">
      <c r="B965" s="2">
        <f t="shared" si="18"/>
        <v>1280.05</v>
      </c>
      <c r="C965" s="1" t="s">
        <v>3730</v>
      </c>
    </row>
    <row r="966" spans="2:3" hidden="1" x14ac:dyDescent="0.25">
      <c r="B966" s="2">
        <f t="shared" si="18"/>
        <v>1280.06</v>
      </c>
      <c r="C966" s="1" t="s">
        <v>3731</v>
      </c>
    </row>
    <row r="967" spans="2:3" hidden="1" x14ac:dyDescent="0.25">
      <c r="B967" s="2">
        <f t="shared" si="18"/>
        <v>1280.07</v>
      </c>
      <c r="C967" s="1" t="s">
        <v>3732</v>
      </c>
    </row>
    <row r="968" spans="2:3" hidden="1" x14ac:dyDescent="0.25">
      <c r="B968" s="2">
        <f t="shared" si="18"/>
        <v>1280.08</v>
      </c>
      <c r="C968" s="1" t="s">
        <v>3733</v>
      </c>
    </row>
    <row r="969" spans="2:3" hidden="1" x14ac:dyDescent="0.25">
      <c r="B969" s="2">
        <f t="shared" si="18"/>
        <v>1280.0899999999999</v>
      </c>
      <c r="C969" s="1" t="s">
        <v>3734</v>
      </c>
    </row>
    <row r="970" spans="2:3" hidden="1" x14ac:dyDescent="0.25">
      <c r="B970" s="2">
        <f t="shared" si="18"/>
        <v>1280.0999999999999</v>
      </c>
      <c r="C970" s="1" t="s">
        <v>3735</v>
      </c>
    </row>
    <row r="971" spans="2:3" hidden="1" x14ac:dyDescent="0.25">
      <c r="B971" s="2">
        <f t="shared" si="18"/>
        <v>1280.1099999999999</v>
      </c>
      <c r="C971" s="1" t="s">
        <v>3736</v>
      </c>
    </row>
    <row r="972" spans="2:3" hidden="1" x14ac:dyDescent="0.25">
      <c r="B972" s="2">
        <f t="shared" si="18"/>
        <v>1280.1199999999999</v>
      </c>
      <c r="C972" s="1" t="s">
        <v>3737</v>
      </c>
    </row>
    <row r="973" spans="2:3" hidden="1" x14ac:dyDescent="0.25">
      <c r="B973" s="2">
        <f t="shared" si="18"/>
        <v>1280.1300000000001</v>
      </c>
      <c r="C973" s="1" t="s">
        <v>3738</v>
      </c>
    </row>
    <row r="974" spans="2:3" hidden="1" x14ac:dyDescent="0.25">
      <c r="B974" s="2">
        <f t="shared" si="18"/>
        <v>1280.1400000000001</v>
      </c>
      <c r="C974" s="1" t="s">
        <v>3739</v>
      </c>
    </row>
    <row r="975" spans="2:3" hidden="1" x14ac:dyDescent="0.25">
      <c r="B975" s="2">
        <f t="shared" si="18"/>
        <v>1280.1500000000001</v>
      </c>
      <c r="C975" s="1" t="s">
        <v>3740</v>
      </c>
    </row>
    <row r="976" spans="2:3" hidden="1" x14ac:dyDescent="0.25">
      <c r="B976" s="2">
        <f t="shared" si="18"/>
        <v>1290.01</v>
      </c>
      <c r="C976" s="1" t="s">
        <v>3741</v>
      </c>
    </row>
    <row r="977" spans="2:3" hidden="1" x14ac:dyDescent="0.25">
      <c r="B977" s="2">
        <f t="shared" si="18"/>
        <v>1290.02</v>
      </c>
      <c r="C977" s="1" t="s">
        <v>3742</v>
      </c>
    </row>
    <row r="978" spans="2:3" hidden="1" x14ac:dyDescent="0.25">
      <c r="B978" s="2">
        <f t="shared" si="18"/>
        <v>1290.03</v>
      </c>
      <c r="C978" s="1" t="s">
        <v>3743</v>
      </c>
    </row>
    <row r="979" spans="2:3" hidden="1" x14ac:dyDescent="0.25">
      <c r="B979" s="2">
        <f t="shared" si="18"/>
        <v>1290.04</v>
      </c>
      <c r="C979" s="1" t="s">
        <v>3744</v>
      </c>
    </row>
    <row r="980" spans="2:3" hidden="1" x14ac:dyDescent="0.25">
      <c r="B980" s="2">
        <f t="shared" si="18"/>
        <v>1290.05</v>
      </c>
      <c r="C980" s="1" t="s">
        <v>3745</v>
      </c>
    </row>
    <row r="981" spans="2:3" hidden="1" x14ac:dyDescent="0.25">
      <c r="B981" s="2">
        <f t="shared" si="18"/>
        <v>1290.06</v>
      </c>
      <c r="C981" s="1" t="s">
        <v>3746</v>
      </c>
    </row>
    <row r="982" spans="2:3" hidden="1" x14ac:dyDescent="0.25">
      <c r="B982" s="2">
        <f t="shared" si="18"/>
        <v>1290.07</v>
      </c>
      <c r="C982" s="1" t="s">
        <v>3747</v>
      </c>
    </row>
    <row r="983" spans="2:3" hidden="1" x14ac:dyDescent="0.25">
      <c r="B983" s="2">
        <f t="shared" si="18"/>
        <v>1290.08</v>
      </c>
      <c r="C983" s="1" t="s">
        <v>3748</v>
      </c>
    </row>
    <row r="984" spans="2:3" hidden="1" x14ac:dyDescent="0.25">
      <c r="B984" s="2">
        <f t="shared" si="18"/>
        <v>1290.0899999999999</v>
      </c>
      <c r="C984" s="1" t="s">
        <v>3749</v>
      </c>
    </row>
    <row r="985" spans="2:3" hidden="1" x14ac:dyDescent="0.25">
      <c r="B985" s="2">
        <f t="shared" si="18"/>
        <v>1290.0999999999999</v>
      </c>
      <c r="C985" s="1" t="s">
        <v>3750</v>
      </c>
    </row>
    <row r="986" spans="2:3" hidden="1" x14ac:dyDescent="0.25">
      <c r="B986" s="2">
        <f t="shared" si="18"/>
        <v>1290.1099999999999</v>
      </c>
      <c r="C986" s="1" t="s">
        <v>3751</v>
      </c>
    </row>
    <row r="987" spans="2:3" hidden="1" x14ac:dyDescent="0.25">
      <c r="B987" s="2">
        <f t="shared" si="18"/>
        <v>1290.1199999999999</v>
      </c>
      <c r="C987" s="1" t="s">
        <v>3752</v>
      </c>
    </row>
    <row r="988" spans="2:3" hidden="1" x14ac:dyDescent="0.25">
      <c r="B988" s="2">
        <f t="shared" si="18"/>
        <v>1290.1300000000001</v>
      </c>
      <c r="C988" s="1" t="s">
        <v>3753</v>
      </c>
    </row>
    <row r="989" spans="2:3" hidden="1" x14ac:dyDescent="0.25">
      <c r="B989" s="2">
        <f t="shared" si="18"/>
        <v>1290.1400000000001</v>
      </c>
      <c r="C989" s="1" t="s">
        <v>3754</v>
      </c>
    </row>
    <row r="990" spans="2:3" hidden="1" x14ac:dyDescent="0.25">
      <c r="B990" s="2">
        <f t="shared" si="18"/>
        <v>1290.1500000000001</v>
      </c>
      <c r="C990" s="1" t="s">
        <v>3755</v>
      </c>
    </row>
    <row r="991" spans="2:3" hidden="1" x14ac:dyDescent="0.25">
      <c r="B991" s="2">
        <f t="shared" si="18"/>
        <v>1290.1600000000001</v>
      </c>
      <c r="C991" s="1" t="s">
        <v>3756</v>
      </c>
    </row>
    <row r="992" spans="2:3" hidden="1" x14ac:dyDescent="0.25">
      <c r="B992" s="2">
        <f t="shared" si="18"/>
        <v>1290.17</v>
      </c>
      <c r="C992" s="1" t="s">
        <v>3757</v>
      </c>
    </row>
    <row r="993" spans="2:3" hidden="1" x14ac:dyDescent="0.25">
      <c r="B993" s="2">
        <f t="shared" si="18"/>
        <v>1290.18</v>
      </c>
      <c r="C993" s="1" t="s">
        <v>3758</v>
      </c>
    </row>
    <row r="994" spans="2:3" hidden="1" x14ac:dyDescent="0.25">
      <c r="B994" s="2">
        <f t="shared" si="18"/>
        <v>1290.19</v>
      </c>
      <c r="C994" s="1" t="s">
        <v>3759</v>
      </c>
    </row>
    <row r="995" spans="2:3" hidden="1" x14ac:dyDescent="0.25">
      <c r="B995" s="2">
        <f t="shared" si="18"/>
        <v>1290.2</v>
      </c>
      <c r="C995" s="1" t="s">
        <v>3760</v>
      </c>
    </row>
    <row r="996" spans="2:3" hidden="1" x14ac:dyDescent="0.25">
      <c r="B996" s="2">
        <f t="shared" si="18"/>
        <v>1290.21</v>
      </c>
      <c r="C996" s="1" t="s">
        <v>3761</v>
      </c>
    </row>
    <row r="997" spans="2:3" hidden="1" x14ac:dyDescent="0.25">
      <c r="B997" s="2">
        <f t="shared" si="18"/>
        <v>1290.22</v>
      </c>
      <c r="C997" s="1" t="s">
        <v>3762</v>
      </c>
    </row>
    <row r="998" spans="2:3" hidden="1" x14ac:dyDescent="0.25">
      <c r="B998" s="2">
        <f t="shared" si="18"/>
        <v>1290.23</v>
      </c>
      <c r="C998" s="1" t="s">
        <v>3763</v>
      </c>
    </row>
    <row r="999" spans="2:3" hidden="1" x14ac:dyDescent="0.25">
      <c r="B999" s="2">
        <f t="shared" si="18"/>
        <v>1295.01</v>
      </c>
      <c r="C999" s="1" t="s">
        <v>3764</v>
      </c>
    </row>
    <row r="1000" spans="2:3" hidden="1" x14ac:dyDescent="0.25">
      <c r="B1000" s="2">
        <f t="shared" si="18"/>
        <v>1295.02</v>
      </c>
      <c r="C1000" s="1" t="s">
        <v>3765</v>
      </c>
    </row>
    <row r="1001" spans="2:3" hidden="1" x14ac:dyDescent="0.25">
      <c r="B1001" s="2">
        <f t="shared" si="18"/>
        <v>1295.03</v>
      </c>
      <c r="C1001" s="1" t="s">
        <v>3766</v>
      </c>
    </row>
    <row r="1002" spans="2:3" hidden="1" x14ac:dyDescent="0.25">
      <c r="B1002" s="2">
        <f t="shared" si="18"/>
        <v>1295.04</v>
      </c>
      <c r="C1002" s="1" t="s">
        <v>3767</v>
      </c>
    </row>
    <row r="1003" spans="2:3" hidden="1" x14ac:dyDescent="0.25">
      <c r="B1003" s="2">
        <f t="shared" si="18"/>
        <v>1295.05</v>
      </c>
      <c r="C1003" s="1" t="s">
        <v>3768</v>
      </c>
    </row>
    <row r="1004" spans="2:3" hidden="1" x14ac:dyDescent="0.25">
      <c r="B1004" s="2">
        <f t="shared" si="18"/>
        <v>1295.06</v>
      </c>
      <c r="C1004" s="1" t="s">
        <v>3769</v>
      </c>
    </row>
    <row r="1005" spans="2:3" hidden="1" x14ac:dyDescent="0.25">
      <c r="B1005" s="2">
        <f t="shared" si="18"/>
        <v>1295.07</v>
      </c>
      <c r="C1005" s="1" t="s">
        <v>3770</v>
      </c>
    </row>
    <row r="1006" spans="2:3" hidden="1" x14ac:dyDescent="0.25">
      <c r="B1006" s="2">
        <f t="shared" si="18"/>
        <v>1295.08</v>
      </c>
      <c r="C1006" s="1" t="s">
        <v>3771</v>
      </c>
    </row>
    <row r="1007" spans="2:3" hidden="1" x14ac:dyDescent="0.25">
      <c r="B1007" s="2">
        <f t="shared" si="18"/>
        <v>1295.0899999999999</v>
      </c>
      <c r="C1007" s="1" t="s">
        <v>3772</v>
      </c>
    </row>
    <row r="1008" spans="2:3" hidden="1" x14ac:dyDescent="0.25">
      <c r="B1008" s="2">
        <f t="shared" si="18"/>
        <v>1300.01</v>
      </c>
      <c r="C1008" s="1" t="s">
        <v>3773</v>
      </c>
    </row>
    <row r="1009" spans="2:3" hidden="1" x14ac:dyDescent="0.25">
      <c r="B1009" s="2">
        <f t="shared" si="18"/>
        <v>1310.01</v>
      </c>
      <c r="C1009" s="1" t="s">
        <v>3774</v>
      </c>
    </row>
    <row r="1010" spans="2:3" hidden="1" x14ac:dyDescent="0.25">
      <c r="B1010" s="2">
        <f t="shared" si="18"/>
        <v>1310.02</v>
      </c>
      <c r="C1010" s="1" t="s">
        <v>3775</v>
      </c>
    </row>
    <row r="1011" spans="2:3" hidden="1" x14ac:dyDescent="0.25">
      <c r="B1011" s="2">
        <f t="shared" si="18"/>
        <v>1320.01</v>
      </c>
      <c r="C1011" s="1" t="s">
        <v>3776</v>
      </c>
    </row>
    <row r="1012" spans="2:3" hidden="1" x14ac:dyDescent="0.25">
      <c r="B1012" s="2">
        <f t="shared" si="18"/>
        <v>1320.02</v>
      </c>
      <c r="C1012" s="1" t="s">
        <v>3777</v>
      </c>
    </row>
    <row r="1013" spans="2:3" hidden="1" x14ac:dyDescent="0.25">
      <c r="B1013" s="2">
        <f t="shared" si="18"/>
        <v>1320.03</v>
      </c>
      <c r="C1013" s="1" t="s">
        <v>3778</v>
      </c>
    </row>
    <row r="1014" spans="2:3" hidden="1" x14ac:dyDescent="0.25">
      <c r="B1014" s="2">
        <f t="shared" si="18"/>
        <v>1320.04</v>
      </c>
      <c r="C1014" s="1" t="s">
        <v>3779</v>
      </c>
    </row>
    <row r="1015" spans="2:3" hidden="1" x14ac:dyDescent="0.25">
      <c r="B1015" s="2">
        <f t="shared" si="18"/>
        <v>1320.05</v>
      </c>
      <c r="C1015" s="1" t="s">
        <v>3780</v>
      </c>
    </row>
    <row r="1016" spans="2:3" hidden="1" x14ac:dyDescent="0.25">
      <c r="B1016" s="2">
        <f t="shared" si="18"/>
        <v>1320.06</v>
      </c>
      <c r="C1016" s="1" t="s">
        <v>3781</v>
      </c>
    </row>
    <row r="1017" spans="2:3" hidden="1" x14ac:dyDescent="0.25">
      <c r="B1017" s="2">
        <f t="shared" si="18"/>
        <v>1320.07</v>
      </c>
      <c r="C1017" s="1" t="s">
        <v>3782</v>
      </c>
    </row>
    <row r="1018" spans="2:3" hidden="1" x14ac:dyDescent="0.25">
      <c r="B1018" s="2">
        <f t="shared" si="18"/>
        <v>1320.08</v>
      </c>
      <c r="C1018" s="1" t="s">
        <v>3783</v>
      </c>
    </row>
    <row r="1019" spans="2:3" hidden="1" x14ac:dyDescent="0.25">
      <c r="B1019" s="2">
        <f t="shared" si="18"/>
        <v>1320.09</v>
      </c>
      <c r="C1019" s="1" t="s">
        <v>3784</v>
      </c>
    </row>
    <row r="1020" spans="2:3" hidden="1" x14ac:dyDescent="0.25">
      <c r="B1020" s="2">
        <f t="shared" si="18"/>
        <v>1320.1</v>
      </c>
      <c r="C1020" s="1" t="s">
        <v>3785</v>
      </c>
    </row>
    <row r="1021" spans="2:3" hidden="1" x14ac:dyDescent="0.25">
      <c r="B1021" s="2">
        <f t="shared" si="18"/>
        <v>1320.11</v>
      </c>
      <c r="C1021" s="1" t="s">
        <v>3786</v>
      </c>
    </row>
    <row r="1022" spans="2:3" hidden="1" x14ac:dyDescent="0.25">
      <c r="B1022" s="2">
        <f t="shared" si="18"/>
        <v>1320.12</v>
      </c>
      <c r="C1022" s="1" t="s">
        <v>3787</v>
      </c>
    </row>
    <row r="1023" spans="2:3" hidden="1" x14ac:dyDescent="0.25">
      <c r="B1023" s="2">
        <f t="shared" si="18"/>
        <v>1320.13</v>
      </c>
      <c r="C1023" s="1" t="s">
        <v>3788</v>
      </c>
    </row>
    <row r="1024" spans="2:3" hidden="1" x14ac:dyDescent="0.25">
      <c r="B1024" s="2">
        <f t="shared" si="18"/>
        <v>1320.14</v>
      </c>
      <c r="C1024" s="1" t="s">
        <v>3789</v>
      </c>
    </row>
    <row r="1025" spans="2:3" hidden="1" x14ac:dyDescent="0.25">
      <c r="B1025" s="2">
        <f t="shared" si="18"/>
        <v>1320.15</v>
      </c>
      <c r="C1025" s="1" t="s">
        <v>3790</v>
      </c>
    </row>
    <row r="1026" spans="2:3" hidden="1" x14ac:dyDescent="0.25">
      <c r="B1026" s="2">
        <f t="shared" si="18"/>
        <v>1320.16</v>
      </c>
      <c r="C1026" s="1" t="s">
        <v>3791</v>
      </c>
    </row>
    <row r="1027" spans="2:3" hidden="1" x14ac:dyDescent="0.25">
      <c r="B1027" s="2">
        <f t="shared" ref="B1027:B1048" si="19">MID(C1027,1,7)*1</f>
        <v>1320.17</v>
      </c>
      <c r="C1027" s="1" t="s">
        <v>3792</v>
      </c>
    </row>
    <row r="1028" spans="2:3" hidden="1" x14ac:dyDescent="0.25">
      <c r="B1028" s="2">
        <f t="shared" si="19"/>
        <v>1320.18</v>
      </c>
      <c r="C1028" s="1" t="s">
        <v>3793</v>
      </c>
    </row>
    <row r="1029" spans="2:3" hidden="1" x14ac:dyDescent="0.25">
      <c r="B1029" s="2">
        <f t="shared" si="19"/>
        <v>1320.19</v>
      </c>
      <c r="C1029" s="1" t="s">
        <v>3794</v>
      </c>
    </row>
    <row r="1030" spans="2:3" hidden="1" x14ac:dyDescent="0.25">
      <c r="B1030" s="2">
        <f t="shared" si="19"/>
        <v>1320.2</v>
      </c>
      <c r="C1030" s="1" t="s">
        <v>3795</v>
      </c>
    </row>
    <row r="1031" spans="2:3" hidden="1" x14ac:dyDescent="0.25">
      <c r="B1031" s="2">
        <f t="shared" si="19"/>
        <v>1320.21</v>
      </c>
      <c r="C1031" s="1" t="s">
        <v>3796</v>
      </c>
    </row>
    <row r="1032" spans="2:3" hidden="1" x14ac:dyDescent="0.25">
      <c r="B1032" s="2">
        <f t="shared" si="19"/>
        <v>1320.22</v>
      </c>
      <c r="C1032" s="1" t="s">
        <v>3797</v>
      </c>
    </row>
    <row r="1033" spans="2:3" hidden="1" x14ac:dyDescent="0.25">
      <c r="B1033" s="2">
        <f t="shared" si="19"/>
        <v>1320.23</v>
      </c>
      <c r="C1033" s="1" t="s">
        <v>3798</v>
      </c>
    </row>
    <row r="1034" spans="2:3" hidden="1" x14ac:dyDescent="0.25">
      <c r="B1034" s="2">
        <f t="shared" si="19"/>
        <v>1320.24</v>
      </c>
      <c r="C1034" s="1" t="s">
        <v>3799</v>
      </c>
    </row>
    <row r="1035" spans="2:3" hidden="1" x14ac:dyDescent="0.25">
      <c r="B1035" s="2">
        <f t="shared" si="19"/>
        <v>1320.25</v>
      </c>
      <c r="C1035" s="1" t="s">
        <v>3800</v>
      </c>
    </row>
    <row r="1036" spans="2:3" hidden="1" x14ac:dyDescent="0.25">
      <c r="B1036" s="2">
        <f t="shared" si="19"/>
        <v>1320.26</v>
      </c>
      <c r="C1036" s="1" t="s">
        <v>3801</v>
      </c>
    </row>
    <row r="1037" spans="2:3" hidden="1" x14ac:dyDescent="0.25">
      <c r="B1037" s="2">
        <f t="shared" si="19"/>
        <v>1320.27</v>
      </c>
      <c r="C1037" s="1" t="s">
        <v>3802</v>
      </c>
    </row>
    <row r="1038" spans="2:3" hidden="1" x14ac:dyDescent="0.25">
      <c r="B1038" s="2">
        <f t="shared" si="19"/>
        <v>1320.28</v>
      </c>
      <c r="C1038" s="1" t="s">
        <v>3803</v>
      </c>
    </row>
    <row r="1039" spans="2:3" hidden="1" x14ac:dyDescent="0.25">
      <c r="B1039" s="2">
        <f t="shared" si="19"/>
        <v>1320.29</v>
      </c>
      <c r="C1039" s="1" t="s">
        <v>3804</v>
      </c>
    </row>
    <row r="1040" spans="2:3" hidden="1" x14ac:dyDescent="0.25">
      <c r="B1040" s="2">
        <f t="shared" si="19"/>
        <v>1320.3</v>
      </c>
      <c r="C1040" s="1" t="s">
        <v>3805</v>
      </c>
    </row>
    <row r="1041" spans="2:3" hidden="1" x14ac:dyDescent="0.25">
      <c r="B1041" s="2">
        <f t="shared" si="19"/>
        <v>1320.31</v>
      </c>
      <c r="C1041" s="1" t="s">
        <v>3806</v>
      </c>
    </row>
    <row r="1042" spans="2:3" hidden="1" x14ac:dyDescent="0.25">
      <c r="B1042" s="2">
        <f t="shared" si="19"/>
        <v>1320.32</v>
      </c>
      <c r="C1042" s="1" t="s">
        <v>3807</v>
      </c>
    </row>
    <row r="1043" spans="2:3" hidden="1" x14ac:dyDescent="0.25">
      <c r="B1043" s="2">
        <f t="shared" si="19"/>
        <v>1320.33</v>
      </c>
      <c r="C1043" s="1" t="s">
        <v>3808</v>
      </c>
    </row>
    <row r="1044" spans="2:3" hidden="1" x14ac:dyDescent="0.25">
      <c r="B1044" s="2">
        <f t="shared" si="19"/>
        <v>1320.34</v>
      </c>
      <c r="C1044" s="1" t="s">
        <v>3809</v>
      </c>
    </row>
    <row r="1045" spans="2:3" hidden="1" x14ac:dyDescent="0.25">
      <c r="B1045" s="2">
        <f t="shared" si="19"/>
        <v>1320.35</v>
      </c>
      <c r="C1045" s="1" t="s">
        <v>3810</v>
      </c>
    </row>
    <row r="1046" spans="2:3" hidden="1" x14ac:dyDescent="0.25">
      <c r="B1046" s="2">
        <f t="shared" si="19"/>
        <v>1320.36</v>
      </c>
      <c r="C1046" s="1" t="s">
        <v>3811</v>
      </c>
    </row>
    <row r="1047" spans="2:3" hidden="1" x14ac:dyDescent="0.25">
      <c r="B1047" s="2">
        <f t="shared" si="19"/>
        <v>1320.37</v>
      </c>
      <c r="C1047" s="1" t="s">
        <v>3812</v>
      </c>
    </row>
    <row r="1048" spans="2:3" hidden="1" x14ac:dyDescent="0.25">
      <c r="B1048" s="2">
        <f t="shared" si="19"/>
        <v>1320.38</v>
      </c>
      <c r="C1048" s="1" t="s">
        <v>3813</v>
      </c>
    </row>
    <row r="1049" spans="2:3" hidden="1" x14ac:dyDescent="0.25"/>
    <row r="1050" spans="2:3" hidden="1" x14ac:dyDescent="0.25"/>
    <row r="1051" spans="2:3" hidden="1" x14ac:dyDescent="0.25"/>
    <row r="1052" spans="2:3" hidden="1" x14ac:dyDescent="0.25"/>
    <row r="1053" spans="2:3" hidden="1" x14ac:dyDescent="0.25"/>
    <row r="1054" spans="2:3" hidden="1" x14ac:dyDescent="0.25"/>
    <row r="1055" spans="2:3" hidden="1" x14ac:dyDescent="0.25"/>
    <row r="1056" spans="2:3" hidden="1" x14ac:dyDescent="0.25"/>
    <row r="1057" hidden="1" x14ac:dyDescent="0.25"/>
    <row r="1058" hidden="1" x14ac:dyDescent="0.25"/>
    <row r="1059" hidden="1" x14ac:dyDescent="0.25"/>
    <row r="1060" hidden="1" x14ac:dyDescent="0.25"/>
    <row r="1061" hidden="1" x14ac:dyDescent="0.25"/>
    <row r="1062" hidden="1" x14ac:dyDescent="0.25"/>
    <row r="1063" hidden="1" x14ac:dyDescent="0.25"/>
    <row r="1064" hidden="1" x14ac:dyDescent="0.25"/>
    <row r="1065" hidden="1" x14ac:dyDescent="0.25"/>
    <row r="1066" hidden="1" x14ac:dyDescent="0.25"/>
    <row r="1067" hidden="1" x14ac:dyDescent="0.25"/>
    <row r="1068" hidden="1" x14ac:dyDescent="0.25"/>
    <row r="1069" hidden="1" x14ac:dyDescent="0.25"/>
    <row r="1070" hidden="1" x14ac:dyDescent="0.25"/>
    <row r="1071" hidden="1" x14ac:dyDescent="0.25"/>
    <row r="1072" hidden="1" x14ac:dyDescent="0.25"/>
    <row r="1073" hidden="1" x14ac:dyDescent="0.25"/>
    <row r="1074" hidden="1" x14ac:dyDescent="0.25"/>
    <row r="1075" hidden="1" x14ac:dyDescent="0.25"/>
    <row r="1076" hidden="1" x14ac:dyDescent="0.25"/>
    <row r="1077" hidden="1" x14ac:dyDescent="0.25"/>
    <row r="1078" hidden="1" x14ac:dyDescent="0.25"/>
    <row r="1079" hidden="1" x14ac:dyDescent="0.25"/>
    <row r="1080" hidden="1" x14ac:dyDescent="0.25"/>
    <row r="1081" hidden="1" x14ac:dyDescent="0.25"/>
    <row r="1082" hidden="1" x14ac:dyDescent="0.25"/>
    <row r="1083" hidden="1" x14ac:dyDescent="0.25"/>
    <row r="1084" hidden="1" x14ac:dyDescent="0.25"/>
    <row r="1085" hidden="1" x14ac:dyDescent="0.25"/>
    <row r="1086" hidden="1" x14ac:dyDescent="0.25"/>
    <row r="1087" hidden="1" x14ac:dyDescent="0.25"/>
    <row r="1088" hidden="1" x14ac:dyDescent="0.25"/>
    <row r="1089" hidden="1" x14ac:dyDescent="0.25"/>
    <row r="1090" hidden="1" x14ac:dyDescent="0.25"/>
    <row r="1091" hidden="1" x14ac:dyDescent="0.25"/>
    <row r="1092" hidden="1" x14ac:dyDescent="0.25"/>
    <row r="1093" hidden="1" x14ac:dyDescent="0.25"/>
    <row r="1094" hidden="1" x14ac:dyDescent="0.25"/>
    <row r="1095" hidden="1" x14ac:dyDescent="0.25"/>
    <row r="1096" hidden="1" x14ac:dyDescent="0.25"/>
    <row r="1097" hidden="1" x14ac:dyDescent="0.25"/>
    <row r="1098" hidden="1" x14ac:dyDescent="0.25"/>
    <row r="1099" hidden="1" x14ac:dyDescent="0.25"/>
    <row r="1100" hidden="1" x14ac:dyDescent="0.25"/>
    <row r="1101" hidden="1" x14ac:dyDescent="0.25"/>
    <row r="1102" hidden="1" x14ac:dyDescent="0.25"/>
    <row r="1103" hidden="1" x14ac:dyDescent="0.25"/>
    <row r="1104" hidden="1" x14ac:dyDescent="0.25"/>
    <row r="1105" hidden="1" x14ac:dyDescent="0.25"/>
    <row r="1106" hidden="1" x14ac:dyDescent="0.25"/>
    <row r="1107" hidden="1" x14ac:dyDescent="0.25"/>
    <row r="1108" hidden="1" x14ac:dyDescent="0.25"/>
    <row r="1109" hidden="1" x14ac:dyDescent="0.25"/>
    <row r="1110" hidden="1" x14ac:dyDescent="0.25"/>
    <row r="1111" hidden="1" x14ac:dyDescent="0.25"/>
    <row r="1112" hidden="1" x14ac:dyDescent="0.25"/>
    <row r="1113" hidden="1" x14ac:dyDescent="0.25"/>
    <row r="1114" hidden="1" x14ac:dyDescent="0.25"/>
    <row r="1115" hidden="1" x14ac:dyDescent="0.25"/>
    <row r="1116" hidden="1" x14ac:dyDescent="0.25"/>
    <row r="1117" hidden="1" x14ac:dyDescent="0.25"/>
    <row r="1118" hidden="1" x14ac:dyDescent="0.25"/>
    <row r="1119" hidden="1" x14ac:dyDescent="0.25"/>
    <row r="1120" hidden="1" x14ac:dyDescent="0.25"/>
    <row r="1121" hidden="1" x14ac:dyDescent="0.25"/>
    <row r="1122" hidden="1" x14ac:dyDescent="0.25"/>
    <row r="1123" hidden="1" x14ac:dyDescent="0.25"/>
    <row r="1124" hidden="1" x14ac:dyDescent="0.25"/>
    <row r="1125" hidden="1" x14ac:dyDescent="0.25"/>
    <row r="1126" hidden="1" x14ac:dyDescent="0.25"/>
    <row r="1127" hidden="1" x14ac:dyDescent="0.25"/>
    <row r="1128" hidden="1" x14ac:dyDescent="0.25"/>
    <row r="1129" hidden="1" x14ac:dyDescent="0.25"/>
    <row r="1130" hidden="1" x14ac:dyDescent="0.25"/>
    <row r="1131" hidden="1" x14ac:dyDescent="0.25"/>
    <row r="1132" hidden="1" x14ac:dyDescent="0.25"/>
    <row r="1133" hidden="1" x14ac:dyDescent="0.25"/>
    <row r="1134" hidden="1" x14ac:dyDescent="0.25"/>
    <row r="1135" hidden="1" x14ac:dyDescent="0.25"/>
    <row r="1136" hidden="1" x14ac:dyDescent="0.25"/>
    <row r="1137" hidden="1" x14ac:dyDescent="0.25"/>
    <row r="1138" hidden="1" x14ac:dyDescent="0.25"/>
    <row r="1139" hidden="1" x14ac:dyDescent="0.25"/>
    <row r="1140" hidden="1" x14ac:dyDescent="0.25"/>
    <row r="1141" hidden="1" x14ac:dyDescent="0.25"/>
    <row r="1142" hidden="1" x14ac:dyDescent="0.25"/>
    <row r="1143" hidden="1" x14ac:dyDescent="0.25"/>
    <row r="1144" hidden="1" x14ac:dyDescent="0.25"/>
    <row r="1145" hidden="1" x14ac:dyDescent="0.25"/>
    <row r="1146" hidden="1" x14ac:dyDescent="0.25"/>
    <row r="1147" hidden="1" x14ac:dyDescent="0.25"/>
    <row r="1148" hidden="1" x14ac:dyDescent="0.25"/>
    <row r="1149" hidden="1" x14ac:dyDescent="0.25"/>
    <row r="1150" hidden="1" x14ac:dyDescent="0.25"/>
    <row r="1151" hidden="1" x14ac:dyDescent="0.25"/>
    <row r="1152" hidden="1" x14ac:dyDescent="0.25"/>
    <row r="1153" hidden="1" x14ac:dyDescent="0.25"/>
    <row r="1154" hidden="1" x14ac:dyDescent="0.25"/>
    <row r="1155" hidden="1" x14ac:dyDescent="0.25"/>
    <row r="1156" hidden="1" x14ac:dyDescent="0.25"/>
    <row r="1157" hidden="1" x14ac:dyDescent="0.25"/>
    <row r="1158" hidden="1" x14ac:dyDescent="0.25"/>
    <row r="1159" hidden="1" x14ac:dyDescent="0.25"/>
    <row r="1160" hidden="1" x14ac:dyDescent="0.25"/>
    <row r="1161" hidden="1" x14ac:dyDescent="0.25"/>
    <row r="1162" hidden="1" x14ac:dyDescent="0.25"/>
    <row r="1163" hidden="1" x14ac:dyDescent="0.25"/>
    <row r="1164" hidden="1" x14ac:dyDescent="0.25"/>
    <row r="1165" hidden="1" x14ac:dyDescent="0.25"/>
    <row r="1166" hidden="1" x14ac:dyDescent="0.25"/>
    <row r="1167" hidden="1" x14ac:dyDescent="0.25"/>
    <row r="1168" hidden="1" x14ac:dyDescent="0.25"/>
    <row r="1169" hidden="1" x14ac:dyDescent="0.25"/>
    <row r="1170" hidden="1" x14ac:dyDescent="0.25"/>
    <row r="1171" hidden="1" x14ac:dyDescent="0.25"/>
    <row r="1172" hidden="1" x14ac:dyDescent="0.25"/>
    <row r="1173" hidden="1" x14ac:dyDescent="0.25"/>
    <row r="1174" hidden="1" x14ac:dyDescent="0.25"/>
    <row r="1175" hidden="1" x14ac:dyDescent="0.25"/>
    <row r="1176" hidden="1" x14ac:dyDescent="0.25"/>
    <row r="1177" hidden="1" x14ac:dyDescent="0.25"/>
    <row r="1178" hidden="1" x14ac:dyDescent="0.25"/>
    <row r="1179" hidden="1" x14ac:dyDescent="0.25"/>
    <row r="1180" hidden="1" x14ac:dyDescent="0.25"/>
    <row r="1181" hidden="1" x14ac:dyDescent="0.25"/>
    <row r="1182" hidden="1" x14ac:dyDescent="0.25"/>
    <row r="1183" hidden="1" x14ac:dyDescent="0.25"/>
    <row r="1184" hidden="1" x14ac:dyDescent="0.25"/>
    <row r="1185" hidden="1" x14ac:dyDescent="0.25"/>
    <row r="1186" hidden="1" x14ac:dyDescent="0.25"/>
    <row r="1187" hidden="1" x14ac:dyDescent="0.25"/>
    <row r="1188" hidden="1" x14ac:dyDescent="0.25"/>
    <row r="1189" hidden="1" x14ac:dyDescent="0.25"/>
    <row r="1190" hidden="1" x14ac:dyDescent="0.25"/>
    <row r="1191" hidden="1" x14ac:dyDescent="0.25"/>
    <row r="1192" hidden="1" x14ac:dyDescent="0.25"/>
    <row r="1193" hidden="1" x14ac:dyDescent="0.25"/>
    <row r="1194" hidden="1" x14ac:dyDescent="0.25"/>
    <row r="1195" hidden="1" x14ac:dyDescent="0.25"/>
    <row r="1196" hidden="1" x14ac:dyDescent="0.25"/>
    <row r="1197" hidden="1" x14ac:dyDescent="0.25"/>
    <row r="1198" hidden="1" x14ac:dyDescent="0.25"/>
    <row r="1199" hidden="1" x14ac:dyDescent="0.25"/>
    <row r="1200" hidden="1" x14ac:dyDescent="0.25"/>
    <row r="1201" hidden="1" x14ac:dyDescent="0.25"/>
    <row r="1202" hidden="1" x14ac:dyDescent="0.25"/>
    <row r="1203" hidden="1" x14ac:dyDescent="0.25"/>
    <row r="1204" hidden="1" x14ac:dyDescent="0.25"/>
    <row r="1205" hidden="1" x14ac:dyDescent="0.25"/>
    <row r="1206" hidden="1" x14ac:dyDescent="0.25"/>
    <row r="1207" hidden="1" x14ac:dyDescent="0.25"/>
    <row r="1208" hidden="1" x14ac:dyDescent="0.25"/>
    <row r="1209" hidden="1" x14ac:dyDescent="0.25"/>
    <row r="1210" hidden="1" x14ac:dyDescent="0.25"/>
    <row r="1211" hidden="1" x14ac:dyDescent="0.25"/>
    <row r="1212" hidden="1" x14ac:dyDescent="0.25"/>
    <row r="1213" hidden="1" x14ac:dyDescent="0.25"/>
    <row r="1214" hidden="1" x14ac:dyDescent="0.25"/>
    <row r="1215" hidden="1" x14ac:dyDescent="0.25"/>
    <row r="1216" hidden="1" x14ac:dyDescent="0.25"/>
    <row r="1217" hidden="1" x14ac:dyDescent="0.25"/>
    <row r="1218" hidden="1" x14ac:dyDescent="0.25"/>
    <row r="1219" hidden="1" x14ac:dyDescent="0.25"/>
    <row r="1220" hidden="1" x14ac:dyDescent="0.25"/>
    <row r="1221" hidden="1" x14ac:dyDescent="0.25"/>
    <row r="1222" hidden="1" x14ac:dyDescent="0.25"/>
    <row r="1223" hidden="1" x14ac:dyDescent="0.25"/>
    <row r="1224" hidden="1" x14ac:dyDescent="0.25"/>
    <row r="1225" hidden="1" x14ac:dyDescent="0.25"/>
    <row r="1226" hidden="1" x14ac:dyDescent="0.25"/>
    <row r="1227" hidden="1" x14ac:dyDescent="0.25"/>
    <row r="1228" hidden="1" x14ac:dyDescent="0.25"/>
    <row r="1229" hidden="1" x14ac:dyDescent="0.25"/>
    <row r="1230" hidden="1" x14ac:dyDescent="0.25"/>
    <row r="1231" hidden="1" x14ac:dyDescent="0.25"/>
    <row r="1232" hidden="1" x14ac:dyDescent="0.25"/>
    <row r="1233" hidden="1" x14ac:dyDescent="0.25"/>
    <row r="1234" hidden="1" x14ac:dyDescent="0.25"/>
    <row r="1235" hidden="1" x14ac:dyDescent="0.25"/>
    <row r="1236" hidden="1" x14ac:dyDescent="0.25"/>
    <row r="1237" hidden="1" x14ac:dyDescent="0.25"/>
    <row r="1238" hidden="1" x14ac:dyDescent="0.25"/>
    <row r="1239" hidden="1" x14ac:dyDescent="0.25"/>
    <row r="1240" hidden="1" x14ac:dyDescent="0.25"/>
    <row r="1241" hidden="1" x14ac:dyDescent="0.25"/>
    <row r="1242" hidden="1" x14ac:dyDescent="0.25"/>
    <row r="1243" hidden="1" x14ac:dyDescent="0.25"/>
    <row r="1244" hidden="1" x14ac:dyDescent="0.25"/>
    <row r="1245" hidden="1" x14ac:dyDescent="0.25"/>
    <row r="1246" hidden="1" x14ac:dyDescent="0.25"/>
    <row r="1247" hidden="1" x14ac:dyDescent="0.25"/>
    <row r="1248" hidden="1" x14ac:dyDescent="0.25"/>
    <row r="1249" hidden="1" x14ac:dyDescent="0.25"/>
    <row r="1250" hidden="1" x14ac:dyDescent="0.25"/>
    <row r="1251" hidden="1" x14ac:dyDescent="0.25"/>
    <row r="1252" hidden="1" x14ac:dyDescent="0.25"/>
    <row r="1253" hidden="1" x14ac:dyDescent="0.25"/>
    <row r="1254" hidden="1" x14ac:dyDescent="0.25"/>
    <row r="1255" hidden="1" x14ac:dyDescent="0.25"/>
    <row r="1256" hidden="1" x14ac:dyDescent="0.25"/>
    <row r="1257" hidden="1" x14ac:dyDescent="0.25"/>
    <row r="1258" hidden="1" x14ac:dyDescent="0.25"/>
    <row r="1259" hidden="1" x14ac:dyDescent="0.25"/>
    <row r="1260" hidden="1" x14ac:dyDescent="0.25"/>
    <row r="1261" hidden="1" x14ac:dyDescent="0.25"/>
    <row r="1262" hidden="1" x14ac:dyDescent="0.25"/>
    <row r="1263" hidden="1" x14ac:dyDescent="0.25"/>
    <row r="1264" hidden="1" x14ac:dyDescent="0.25"/>
    <row r="1265" hidden="1" x14ac:dyDescent="0.25"/>
    <row r="1266" hidden="1" x14ac:dyDescent="0.25"/>
    <row r="1267" hidden="1" x14ac:dyDescent="0.25"/>
    <row r="1268" hidden="1" x14ac:dyDescent="0.25"/>
    <row r="1269" hidden="1" x14ac:dyDescent="0.25"/>
    <row r="1270" hidden="1" x14ac:dyDescent="0.25"/>
    <row r="1271" hidden="1" x14ac:dyDescent="0.25"/>
    <row r="1272" hidden="1" x14ac:dyDescent="0.25"/>
    <row r="1273" hidden="1" x14ac:dyDescent="0.25"/>
    <row r="1274" hidden="1" x14ac:dyDescent="0.25"/>
    <row r="1275" hidden="1" x14ac:dyDescent="0.25"/>
    <row r="1276" hidden="1" x14ac:dyDescent="0.25"/>
    <row r="1277" hidden="1" x14ac:dyDescent="0.25"/>
    <row r="1278" hidden="1" x14ac:dyDescent="0.25"/>
    <row r="1279" hidden="1" x14ac:dyDescent="0.25"/>
    <row r="1280" hidden="1" x14ac:dyDescent="0.25"/>
    <row r="1281" hidden="1" x14ac:dyDescent="0.25"/>
    <row r="1282" hidden="1" x14ac:dyDescent="0.25"/>
    <row r="1283" hidden="1" x14ac:dyDescent="0.25"/>
    <row r="1284" hidden="1" x14ac:dyDescent="0.25"/>
    <row r="1285" hidden="1" x14ac:dyDescent="0.25"/>
    <row r="1286" hidden="1" x14ac:dyDescent="0.25"/>
    <row r="1287" hidden="1" x14ac:dyDescent="0.25"/>
    <row r="1288" hidden="1" x14ac:dyDescent="0.25"/>
    <row r="1289" hidden="1" x14ac:dyDescent="0.25"/>
    <row r="1290" hidden="1" x14ac:dyDescent="0.25"/>
    <row r="1291" hidden="1" x14ac:dyDescent="0.25"/>
    <row r="1292" hidden="1" x14ac:dyDescent="0.25"/>
    <row r="1293" hidden="1" x14ac:dyDescent="0.25"/>
    <row r="1294" hidden="1" x14ac:dyDescent="0.25"/>
    <row r="1295" hidden="1" x14ac:dyDescent="0.25"/>
    <row r="1296" hidden="1" x14ac:dyDescent="0.25"/>
    <row r="1297" hidden="1" x14ac:dyDescent="0.25"/>
    <row r="1298" hidden="1" x14ac:dyDescent="0.25"/>
  </sheetData>
  <sheetProtection password="D657" sheet="1" objects="1" scenarios="1"/>
  <sortState xmlns:xlrd2="http://schemas.microsoft.com/office/spreadsheetml/2017/richdata2" ref="B2:F36218">
    <sortCondition ref="D2:D36218"/>
  </sortState>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D136"/>
  <sheetViews>
    <sheetView topLeftCell="A34" workbookViewId="0">
      <selection activeCell="F48" sqref="F48:H88"/>
    </sheetView>
  </sheetViews>
  <sheetFormatPr baseColWidth="10" defaultColWidth="11.44140625" defaultRowHeight="13.8" x14ac:dyDescent="0.3"/>
  <cols>
    <col min="1" max="1" width="8" style="169" bestFit="1" customWidth="1"/>
    <col min="2" max="2" width="30" style="169" customWidth="1"/>
    <col min="3" max="4" width="5.33203125" style="169" bestFit="1" customWidth="1"/>
    <col min="5" max="5" width="6" style="169" customWidth="1"/>
    <col min="6" max="10" width="5.33203125" style="169" bestFit="1" customWidth="1"/>
    <col min="11" max="11" width="5.33203125" style="169" customWidth="1"/>
    <col min="12" max="27" width="5.33203125" style="169" bestFit="1" customWidth="1"/>
    <col min="28" max="29" width="5.33203125" style="169" customWidth="1"/>
    <col min="30" max="30" width="5" style="169" customWidth="1"/>
    <col min="31" max="16384" width="11.44140625" style="169"/>
  </cols>
  <sheetData>
    <row r="1" spans="1:30" ht="14.4" thickBot="1" x14ac:dyDescent="0.35">
      <c r="C1" s="170">
        <v>1</v>
      </c>
      <c r="D1" s="171">
        <v>4</v>
      </c>
      <c r="E1" s="171">
        <v>5</v>
      </c>
      <c r="F1" s="171">
        <v>9</v>
      </c>
      <c r="G1" s="171">
        <v>10</v>
      </c>
      <c r="H1" s="171">
        <v>11</v>
      </c>
      <c r="I1" s="171">
        <v>42</v>
      </c>
      <c r="J1" s="172">
        <v>47</v>
      </c>
      <c r="K1" s="203">
        <v>51</v>
      </c>
      <c r="L1" s="204">
        <v>52</v>
      </c>
      <c r="M1" s="203">
        <v>53</v>
      </c>
      <c r="N1" s="171">
        <v>58</v>
      </c>
      <c r="O1" s="171">
        <v>59</v>
      </c>
      <c r="P1" s="171">
        <v>60</v>
      </c>
      <c r="Q1" s="171">
        <v>61</v>
      </c>
      <c r="R1" s="171">
        <v>62</v>
      </c>
      <c r="S1" s="171">
        <v>63</v>
      </c>
      <c r="T1" s="171">
        <v>64</v>
      </c>
      <c r="U1" s="171">
        <v>65</v>
      </c>
      <c r="V1" s="171">
        <v>66</v>
      </c>
      <c r="W1" s="171">
        <v>67</v>
      </c>
      <c r="X1" s="171">
        <v>68</v>
      </c>
      <c r="Y1" s="171">
        <v>69</v>
      </c>
      <c r="Z1" s="172">
        <v>74</v>
      </c>
      <c r="AA1" s="172">
        <v>75</v>
      </c>
      <c r="AB1" s="172">
        <v>76</v>
      </c>
      <c r="AC1" s="172">
        <v>77</v>
      </c>
      <c r="AD1" s="173" t="s">
        <v>3814</v>
      </c>
    </row>
    <row r="2" spans="1:30" x14ac:dyDescent="0.3">
      <c r="A2" s="174">
        <v>139</v>
      </c>
      <c r="B2" s="175" t="s">
        <v>1296</v>
      </c>
      <c r="C2" s="176">
        <v>0.25</v>
      </c>
      <c r="D2" s="176">
        <v>0.25</v>
      </c>
      <c r="E2" s="176">
        <v>0.25</v>
      </c>
      <c r="F2" s="176">
        <v>0.25</v>
      </c>
      <c r="G2" s="176">
        <v>0.25</v>
      </c>
      <c r="H2" s="176">
        <v>0.25</v>
      </c>
      <c r="I2" s="176">
        <v>0.25</v>
      </c>
      <c r="J2" s="176">
        <v>0.6</v>
      </c>
      <c r="K2" s="176">
        <v>0.1</v>
      </c>
      <c r="L2" s="176">
        <v>0.2</v>
      </c>
      <c r="M2" s="176">
        <v>0.1</v>
      </c>
      <c r="N2" s="176">
        <v>0.05</v>
      </c>
      <c r="O2" s="176">
        <v>0.15</v>
      </c>
      <c r="P2" s="176">
        <v>0.15</v>
      </c>
      <c r="Q2" s="176">
        <v>0.15</v>
      </c>
      <c r="R2" s="176">
        <v>0.05</v>
      </c>
      <c r="S2" s="176">
        <v>0.1</v>
      </c>
      <c r="T2" s="176">
        <v>0.05</v>
      </c>
      <c r="U2" s="176">
        <v>0.05</v>
      </c>
      <c r="V2" s="176">
        <v>0.05</v>
      </c>
      <c r="W2" s="176">
        <v>0.05</v>
      </c>
      <c r="X2" s="176">
        <v>0.15</v>
      </c>
      <c r="Y2" s="176">
        <v>0.05</v>
      </c>
      <c r="Z2" s="176">
        <v>0.3</v>
      </c>
      <c r="AA2" s="176">
        <v>0.1</v>
      </c>
      <c r="AB2" s="176">
        <v>0.4</v>
      </c>
      <c r="AC2" s="177">
        <v>0.4</v>
      </c>
      <c r="AD2" s="177">
        <v>0</v>
      </c>
    </row>
    <row r="3" spans="1:30" x14ac:dyDescent="0.3">
      <c r="A3" s="178">
        <v>140</v>
      </c>
      <c r="B3" s="179" t="s">
        <v>1297</v>
      </c>
      <c r="C3" s="176">
        <v>0.03</v>
      </c>
      <c r="D3" s="176">
        <v>0.05</v>
      </c>
      <c r="E3" s="176">
        <v>0.05</v>
      </c>
      <c r="F3" s="176">
        <v>0.03</v>
      </c>
      <c r="G3" s="176">
        <v>0.03</v>
      </c>
      <c r="H3" s="176">
        <v>0.03</v>
      </c>
      <c r="I3" s="176">
        <v>0.05</v>
      </c>
      <c r="J3" s="180">
        <v>0</v>
      </c>
      <c r="K3" s="180">
        <v>0.05</v>
      </c>
      <c r="L3" s="180">
        <v>0.05</v>
      </c>
      <c r="M3" s="180">
        <v>0.05</v>
      </c>
      <c r="N3" s="180">
        <v>0.01</v>
      </c>
      <c r="O3" s="180">
        <v>0.05</v>
      </c>
      <c r="P3" s="180">
        <v>0.05</v>
      </c>
      <c r="Q3" s="180">
        <v>0.05</v>
      </c>
      <c r="R3" s="180">
        <v>0.05</v>
      </c>
      <c r="S3" s="180">
        <v>0.05</v>
      </c>
      <c r="T3" s="180">
        <v>0.05</v>
      </c>
      <c r="U3" s="180">
        <v>0.05</v>
      </c>
      <c r="V3" s="180">
        <v>0.05</v>
      </c>
      <c r="W3" s="180">
        <v>0.05</v>
      </c>
      <c r="X3" s="180">
        <v>0.1</v>
      </c>
      <c r="Y3" s="180">
        <v>0.02</v>
      </c>
      <c r="Z3" s="180">
        <v>0</v>
      </c>
      <c r="AA3" s="180">
        <v>0</v>
      </c>
      <c r="AB3" s="180">
        <v>0</v>
      </c>
      <c r="AC3" s="181">
        <v>0</v>
      </c>
      <c r="AD3" s="181">
        <v>0</v>
      </c>
    </row>
    <row r="4" spans="1:30" x14ac:dyDescent="0.3">
      <c r="A4" s="178">
        <v>141</v>
      </c>
      <c r="B4" s="179" t="s">
        <v>1302</v>
      </c>
      <c r="C4" s="176">
        <v>0.03</v>
      </c>
      <c r="D4" s="176">
        <v>0.03</v>
      </c>
      <c r="E4" s="176">
        <v>0.03</v>
      </c>
      <c r="F4" s="176">
        <v>0.03</v>
      </c>
      <c r="G4" s="176">
        <v>0.03</v>
      </c>
      <c r="H4" s="176">
        <v>0.03</v>
      </c>
      <c r="I4" s="176">
        <v>0.03</v>
      </c>
      <c r="J4" s="180">
        <v>0</v>
      </c>
      <c r="K4" s="180">
        <v>0</v>
      </c>
      <c r="L4" s="180">
        <v>0</v>
      </c>
      <c r="M4" s="180">
        <v>0</v>
      </c>
      <c r="N4" s="180">
        <v>0.01</v>
      </c>
      <c r="O4" s="180">
        <v>0</v>
      </c>
      <c r="P4" s="180">
        <v>0</v>
      </c>
      <c r="Q4" s="180">
        <v>0</v>
      </c>
      <c r="R4" s="180">
        <v>0</v>
      </c>
      <c r="S4" s="180">
        <v>0</v>
      </c>
      <c r="T4" s="180">
        <v>0</v>
      </c>
      <c r="U4" s="180">
        <v>0</v>
      </c>
      <c r="V4" s="180">
        <v>0</v>
      </c>
      <c r="W4" s="180">
        <v>0</v>
      </c>
      <c r="X4" s="180">
        <v>0</v>
      </c>
      <c r="Y4" s="180">
        <v>0</v>
      </c>
      <c r="Z4" s="180">
        <v>0.1</v>
      </c>
      <c r="AA4" s="182">
        <v>0</v>
      </c>
      <c r="AB4" s="182">
        <v>0</v>
      </c>
      <c r="AC4" s="181">
        <v>0</v>
      </c>
      <c r="AD4" s="181">
        <v>0</v>
      </c>
    </row>
    <row r="5" spans="1:30" x14ac:dyDescent="0.3">
      <c r="A5" s="178">
        <v>142</v>
      </c>
      <c r="B5" s="179" t="s">
        <v>1303</v>
      </c>
      <c r="C5" s="176">
        <v>0.03</v>
      </c>
      <c r="D5" s="176">
        <v>0.03</v>
      </c>
      <c r="E5" s="176">
        <v>0.03</v>
      </c>
      <c r="F5" s="176">
        <v>0.03</v>
      </c>
      <c r="G5" s="176">
        <v>0.03</v>
      </c>
      <c r="H5" s="176">
        <v>0.03</v>
      </c>
      <c r="I5" s="176">
        <v>0.03</v>
      </c>
      <c r="J5" s="182">
        <v>0</v>
      </c>
      <c r="K5" s="182">
        <v>0</v>
      </c>
      <c r="L5" s="180">
        <v>0</v>
      </c>
      <c r="M5" s="182">
        <v>0</v>
      </c>
      <c r="N5" s="180">
        <v>0.01</v>
      </c>
      <c r="O5" s="180">
        <v>0</v>
      </c>
      <c r="P5" s="180">
        <v>0</v>
      </c>
      <c r="Q5" s="180">
        <v>0</v>
      </c>
      <c r="R5" s="180">
        <v>0</v>
      </c>
      <c r="S5" s="180">
        <v>0</v>
      </c>
      <c r="T5" s="180">
        <v>0</v>
      </c>
      <c r="U5" s="180">
        <v>0</v>
      </c>
      <c r="V5" s="180">
        <v>0</v>
      </c>
      <c r="W5" s="180">
        <v>0</v>
      </c>
      <c r="X5" s="180">
        <v>0</v>
      </c>
      <c r="Y5" s="180">
        <v>0</v>
      </c>
      <c r="Z5" s="182">
        <v>0</v>
      </c>
      <c r="AA5" s="182">
        <v>0</v>
      </c>
      <c r="AB5" s="182">
        <v>0</v>
      </c>
      <c r="AC5" s="181">
        <v>0</v>
      </c>
      <c r="AD5" s="181">
        <v>0</v>
      </c>
    </row>
    <row r="6" spans="1:30" x14ac:dyDescent="0.3">
      <c r="A6" s="178">
        <v>143</v>
      </c>
      <c r="B6" s="179" t="s">
        <v>1304</v>
      </c>
      <c r="C6" s="176">
        <v>0.03</v>
      </c>
      <c r="D6" s="176">
        <v>0.03</v>
      </c>
      <c r="E6" s="176">
        <v>0.03</v>
      </c>
      <c r="F6" s="176">
        <v>0.03</v>
      </c>
      <c r="G6" s="176">
        <v>0.03</v>
      </c>
      <c r="H6" s="176">
        <v>0.03</v>
      </c>
      <c r="I6" s="176">
        <v>0.03</v>
      </c>
      <c r="J6" s="180">
        <v>0</v>
      </c>
      <c r="K6" s="180">
        <v>0</v>
      </c>
      <c r="L6" s="180">
        <v>0</v>
      </c>
      <c r="M6" s="180">
        <v>0</v>
      </c>
      <c r="N6" s="180">
        <v>0</v>
      </c>
      <c r="O6" s="180">
        <v>0</v>
      </c>
      <c r="P6" s="180">
        <v>0</v>
      </c>
      <c r="Q6" s="180">
        <v>0</v>
      </c>
      <c r="R6" s="180">
        <v>0</v>
      </c>
      <c r="S6" s="180">
        <v>0</v>
      </c>
      <c r="T6" s="180">
        <v>0</v>
      </c>
      <c r="U6" s="180">
        <v>0</v>
      </c>
      <c r="V6" s="180">
        <v>0</v>
      </c>
      <c r="W6" s="180">
        <v>0</v>
      </c>
      <c r="X6" s="180">
        <v>0</v>
      </c>
      <c r="Y6" s="180">
        <v>0</v>
      </c>
      <c r="Z6" s="180">
        <v>0.1</v>
      </c>
      <c r="AA6" s="182">
        <v>0</v>
      </c>
      <c r="AB6" s="182">
        <v>0.1</v>
      </c>
      <c r="AC6" s="181">
        <v>0.1</v>
      </c>
      <c r="AD6" s="181">
        <v>0</v>
      </c>
    </row>
    <row r="7" spans="1:30" x14ac:dyDescent="0.3">
      <c r="A7" s="178">
        <v>144</v>
      </c>
      <c r="B7" s="179" t="s">
        <v>1305</v>
      </c>
      <c r="C7" s="176">
        <v>0.03</v>
      </c>
      <c r="D7" s="176">
        <v>0.03</v>
      </c>
      <c r="E7" s="176">
        <v>0.03</v>
      </c>
      <c r="F7" s="176">
        <v>0.03</v>
      </c>
      <c r="G7" s="176">
        <v>0.03</v>
      </c>
      <c r="H7" s="176">
        <v>0.03</v>
      </c>
      <c r="I7" s="176">
        <v>0.03</v>
      </c>
      <c r="J7" s="180">
        <v>0</v>
      </c>
      <c r="K7" s="180">
        <v>0</v>
      </c>
      <c r="L7" s="180">
        <v>0</v>
      </c>
      <c r="M7" s="180">
        <v>0</v>
      </c>
      <c r="N7" s="180">
        <v>0</v>
      </c>
      <c r="O7" s="180">
        <v>0</v>
      </c>
      <c r="P7" s="180">
        <v>0</v>
      </c>
      <c r="Q7" s="180">
        <v>0</v>
      </c>
      <c r="R7" s="180">
        <v>0</v>
      </c>
      <c r="S7" s="180">
        <v>0</v>
      </c>
      <c r="T7" s="180">
        <v>0</v>
      </c>
      <c r="U7" s="180">
        <v>0</v>
      </c>
      <c r="V7" s="180">
        <v>0</v>
      </c>
      <c r="W7" s="180">
        <v>0</v>
      </c>
      <c r="X7" s="180">
        <v>0</v>
      </c>
      <c r="Y7" s="180">
        <v>0</v>
      </c>
      <c r="Z7" s="180">
        <v>0.1</v>
      </c>
      <c r="AA7" s="182">
        <v>0</v>
      </c>
      <c r="AB7" s="182">
        <v>0</v>
      </c>
      <c r="AC7" s="181">
        <v>0</v>
      </c>
      <c r="AD7" s="181">
        <v>0</v>
      </c>
    </row>
    <row r="8" spans="1:30" x14ac:dyDescent="0.3">
      <c r="A8" s="178">
        <v>145</v>
      </c>
      <c r="B8" s="179" t="s">
        <v>1306</v>
      </c>
      <c r="C8" s="176">
        <v>0.03</v>
      </c>
      <c r="D8" s="176">
        <v>0.03</v>
      </c>
      <c r="E8" s="176">
        <v>0.03</v>
      </c>
      <c r="F8" s="176">
        <v>0.03</v>
      </c>
      <c r="G8" s="176">
        <v>0.03</v>
      </c>
      <c r="H8" s="176">
        <v>0.03</v>
      </c>
      <c r="I8" s="176">
        <v>0.03</v>
      </c>
      <c r="J8" s="180">
        <v>0</v>
      </c>
      <c r="K8" s="180">
        <v>0</v>
      </c>
      <c r="L8" s="180">
        <v>0</v>
      </c>
      <c r="M8" s="180">
        <v>0</v>
      </c>
      <c r="N8" s="180">
        <v>0</v>
      </c>
      <c r="O8" s="180">
        <v>0</v>
      </c>
      <c r="P8" s="180">
        <v>0</v>
      </c>
      <c r="Q8" s="180">
        <v>0</v>
      </c>
      <c r="R8" s="180">
        <v>0</v>
      </c>
      <c r="S8" s="180">
        <v>0</v>
      </c>
      <c r="T8" s="180">
        <v>0</v>
      </c>
      <c r="U8" s="180">
        <v>0</v>
      </c>
      <c r="V8" s="180">
        <v>0</v>
      </c>
      <c r="W8" s="180">
        <v>0</v>
      </c>
      <c r="X8" s="180">
        <v>0</v>
      </c>
      <c r="Y8" s="180">
        <v>0</v>
      </c>
      <c r="Z8" s="180">
        <v>0.1</v>
      </c>
      <c r="AA8" s="182">
        <v>0</v>
      </c>
      <c r="AB8" s="182">
        <v>0</v>
      </c>
      <c r="AC8" s="181">
        <v>0</v>
      </c>
      <c r="AD8" s="181">
        <v>0</v>
      </c>
    </row>
    <row r="9" spans="1:30" x14ac:dyDescent="0.3">
      <c r="A9" s="178">
        <v>146</v>
      </c>
      <c r="B9" s="179" t="s">
        <v>1307</v>
      </c>
      <c r="C9" s="176" t="s">
        <v>3815</v>
      </c>
      <c r="D9" s="176">
        <v>0</v>
      </c>
      <c r="E9" s="176">
        <v>0</v>
      </c>
      <c r="F9" s="176">
        <v>0</v>
      </c>
      <c r="G9" s="176">
        <v>0</v>
      </c>
      <c r="H9" s="176">
        <v>0</v>
      </c>
      <c r="I9" s="176">
        <v>0</v>
      </c>
      <c r="J9" s="182">
        <v>0</v>
      </c>
      <c r="K9" s="182">
        <v>0</v>
      </c>
      <c r="L9" s="180">
        <v>0</v>
      </c>
      <c r="M9" s="182">
        <v>0</v>
      </c>
      <c r="N9" s="180">
        <v>0.02</v>
      </c>
      <c r="O9" s="180">
        <v>0</v>
      </c>
      <c r="P9" s="180">
        <v>0</v>
      </c>
      <c r="Q9" s="180">
        <v>0</v>
      </c>
      <c r="R9" s="180">
        <v>0.05</v>
      </c>
      <c r="S9" s="180">
        <v>0.05</v>
      </c>
      <c r="T9" s="180">
        <v>0.05</v>
      </c>
      <c r="U9" s="180">
        <v>0.05</v>
      </c>
      <c r="V9" s="180">
        <v>0.05</v>
      </c>
      <c r="W9" s="180">
        <v>0.05</v>
      </c>
      <c r="X9" s="180">
        <v>0.05</v>
      </c>
      <c r="Y9" s="180">
        <v>0</v>
      </c>
      <c r="Z9" s="182">
        <v>0</v>
      </c>
      <c r="AA9" s="182">
        <v>0</v>
      </c>
      <c r="AB9" s="182">
        <v>0</v>
      </c>
      <c r="AC9" s="181">
        <v>0</v>
      </c>
      <c r="AD9" s="181">
        <v>0</v>
      </c>
    </row>
    <row r="10" spans="1:30" x14ac:dyDescent="0.3">
      <c r="A10" s="178">
        <v>147</v>
      </c>
      <c r="B10" s="179" t="s">
        <v>1308</v>
      </c>
      <c r="C10" s="176">
        <v>0</v>
      </c>
      <c r="D10" s="176">
        <v>0</v>
      </c>
      <c r="E10" s="176">
        <v>0</v>
      </c>
      <c r="F10" s="176">
        <v>0</v>
      </c>
      <c r="G10" s="176">
        <v>0</v>
      </c>
      <c r="H10" s="176">
        <v>0</v>
      </c>
      <c r="I10" s="176">
        <v>0</v>
      </c>
      <c r="J10" s="182">
        <v>0</v>
      </c>
      <c r="K10" s="182">
        <v>0</v>
      </c>
      <c r="L10" s="180">
        <v>0</v>
      </c>
      <c r="M10" s="182">
        <v>0</v>
      </c>
      <c r="N10" s="180">
        <v>0.01</v>
      </c>
      <c r="O10" s="180">
        <v>0</v>
      </c>
      <c r="P10" s="180">
        <v>0</v>
      </c>
      <c r="Q10" s="180">
        <v>0</v>
      </c>
      <c r="R10" s="180">
        <v>0</v>
      </c>
      <c r="S10" s="180">
        <v>0</v>
      </c>
      <c r="T10" s="180">
        <v>0</v>
      </c>
      <c r="U10" s="180">
        <v>0</v>
      </c>
      <c r="V10" s="180">
        <v>0</v>
      </c>
      <c r="W10" s="180">
        <v>0</v>
      </c>
      <c r="X10" s="180">
        <v>0</v>
      </c>
      <c r="Y10" s="180">
        <v>0</v>
      </c>
      <c r="Z10" s="182">
        <v>0</v>
      </c>
      <c r="AA10" s="182">
        <v>0</v>
      </c>
      <c r="AB10" s="182">
        <v>0</v>
      </c>
      <c r="AC10" s="181">
        <v>0</v>
      </c>
      <c r="AD10" s="181">
        <v>0</v>
      </c>
    </row>
    <row r="11" spans="1:30" x14ac:dyDescent="0.3">
      <c r="A11" s="178">
        <v>148</v>
      </c>
      <c r="B11" s="179" t="s">
        <v>1309</v>
      </c>
      <c r="C11" s="176">
        <v>0.1</v>
      </c>
      <c r="D11" s="176">
        <v>0.1</v>
      </c>
      <c r="E11" s="176">
        <v>0.1</v>
      </c>
      <c r="F11" s="176">
        <v>0.1</v>
      </c>
      <c r="G11" s="176">
        <v>0.05</v>
      </c>
      <c r="H11" s="176">
        <v>0.05</v>
      </c>
      <c r="I11" s="176">
        <v>0.1</v>
      </c>
      <c r="J11" s="182">
        <v>0</v>
      </c>
      <c r="K11" s="182">
        <v>0</v>
      </c>
      <c r="L11" s="180">
        <v>0</v>
      </c>
      <c r="M11" s="182">
        <v>0</v>
      </c>
      <c r="N11" s="180">
        <v>0.05</v>
      </c>
      <c r="O11" s="180">
        <v>0</v>
      </c>
      <c r="P11" s="180">
        <v>0</v>
      </c>
      <c r="Q11" s="180">
        <v>0</v>
      </c>
      <c r="R11" s="180">
        <v>0</v>
      </c>
      <c r="S11" s="180">
        <v>0</v>
      </c>
      <c r="T11" s="180">
        <v>0</v>
      </c>
      <c r="U11" s="180">
        <v>0</v>
      </c>
      <c r="V11" s="180">
        <v>0</v>
      </c>
      <c r="W11" s="180">
        <v>0</v>
      </c>
      <c r="X11" s="180">
        <v>0</v>
      </c>
      <c r="Y11" s="180">
        <v>0.02</v>
      </c>
      <c r="Z11" s="182">
        <v>0</v>
      </c>
      <c r="AA11" s="182">
        <v>0</v>
      </c>
      <c r="AB11" s="182">
        <v>0</v>
      </c>
      <c r="AC11" s="181">
        <v>0</v>
      </c>
      <c r="AD11" s="181">
        <v>0</v>
      </c>
    </row>
    <row r="12" spans="1:30" x14ac:dyDescent="0.3">
      <c r="A12" s="178">
        <v>149</v>
      </c>
      <c r="B12" s="179" t="s">
        <v>1322</v>
      </c>
      <c r="C12" s="176">
        <v>0</v>
      </c>
      <c r="D12" s="176">
        <v>0</v>
      </c>
      <c r="E12" s="176">
        <v>0</v>
      </c>
      <c r="F12" s="176">
        <v>0</v>
      </c>
      <c r="G12" s="176">
        <v>0</v>
      </c>
      <c r="H12" s="176">
        <v>0</v>
      </c>
      <c r="I12" s="176">
        <v>0</v>
      </c>
      <c r="J12" s="182">
        <v>0</v>
      </c>
      <c r="K12" s="182">
        <v>0</v>
      </c>
      <c r="L12" s="180">
        <v>0</v>
      </c>
      <c r="M12" s="182">
        <v>0</v>
      </c>
      <c r="N12" s="180">
        <v>0</v>
      </c>
      <c r="O12" s="180">
        <v>0</v>
      </c>
      <c r="P12" s="180">
        <v>0</v>
      </c>
      <c r="Q12" s="180">
        <v>0</v>
      </c>
      <c r="R12" s="180">
        <v>0.05</v>
      </c>
      <c r="S12" s="180">
        <v>0.05</v>
      </c>
      <c r="T12" s="180">
        <v>0.05</v>
      </c>
      <c r="U12" s="180">
        <v>0.05</v>
      </c>
      <c r="V12" s="180">
        <v>0.05</v>
      </c>
      <c r="W12" s="180">
        <v>0.05</v>
      </c>
      <c r="X12" s="180">
        <v>0</v>
      </c>
      <c r="Y12" s="180">
        <v>0</v>
      </c>
      <c r="Z12" s="182">
        <v>0</v>
      </c>
      <c r="AA12" s="182">
        <v>0</v>
      </c>
      <c r="AB12" s="182">
        <v>0</v>
      </c>
      <c r="AC12" s="181">
        <v>0</v>
      </c>
      <c r="AD12" s="181">
        <v>0</v>
      </c>
    </row>
    <row r="13" spans="1:30" x14ac:dyDescent="0.3">
      <c r="A13" s="178">
        <v>150</v>
      </c>
      <c r="B13" s="179" t="s">
        <v>1323</v>
      </c>
      <c r="C13" s="176">
        <v>0</v>
      </c>
      <c r="D13" s="176">
        <v>0</v>
      </c>
      <c r="E13" s="176">
        <v>0</v>
      </c>
      <c r="F13" s="176">
        <v>0</v>
      </c>
      <c r="G13" s="176">
        <v>0</v>
      </c>
      <c r="H13" s="176">
        <v>0</v>
      </c>
      <c r="I13" s="176">
        <v>0</v>
      </c>
      <c r="J13" s="182">
        <v>0</v>
      </c>
      <c r="K13" s="182">
        <v>0</v>
      </c>
      <c r="L13" s="180">
        <v>0</v>
      </c>
      <c r="M13" s="182">
        <v>0</v>
      </c>
      <c r="N13" s="180">
        <v>0</v>
      </c>
      <c r="O13" s="180">
        <v>0</v>
      </c>
      <c r="P13" s="180">
        <v>0</v>
      </c>
      <c r="Q13" s="180">
        <v>0</v>
      </c>
      <c r="R13" s="180">
        <v>0</v>
      </c>
      <c r="S13" s="180">
        <v>0</v>
      </c>
      <c r="T13" s="180">
        <v>0</v>
      </c>
      <c r="U13" s="180">
        <v>0</v>
      </c>
      <c r="V13" s="180">
        <v>0</v>
      </c>
      <c r="W13" s="180">
        <v>0</v>
      </c>
      <c r="X13" s="180">
        <v>0</v>
      </c>
      <c r="Y13" s="180">
        <v>0</v>
      </c>
      <c r="Z13" s="182">
        <v>0</v>
      </c>
      <c r="AA13" s="182">
        <v>0</v>
      </c>
      <c r="AB13" s="182">
        <v>0</v>
      </c>
      <c r="AC13" s="181">
        <v>0</v>
      </c>
      <c r="AD13" s="181">
        <v>0</v>
      </c>
    </row>
    <row r="14" spans="1:30" x14ac:dyDescent="0.3">
      <c r="A14" s="178">
        <v>151</v>
      </c>
      <c r="B14" s="179" t="s">
        <v>1301</v>
      </c>
      <c r="C14" s="176">
        <v>0.1</v>
      </c>
      <c r="D14" s="176">
        <v>0.1</v>
      </c>
      <c r="E14" s="176">
        <v>0.1</v>
      </c>
      <c r="F14" s="176">
        <v>0.1</v>
      </c>
      <c r="G14" s="176">
        <v>0.1</v>
      </c>
      <c r="H14" s="176">
        <v>0.1</v>
      </c>
      <c r="I14" s="176">
        <v>0.1</v>
      </c>
      <c r="J14" s="182">
        <v>0</v>
      </c>
      <c r="K14" s="182">
        <v>0</v>
      </c>
      <c r="L14" s="180">
        <v>0</v>
      </c>
      <c r="M14" s="182">
        <v>0</v>
      </c>
      <c r="N14" s="180">
        <v>0.05</v>
      </c>
      <c r="O14" s="180">
        <v>0</v>
      </c>
      <c r="P14" s="180">
        <v>0</v>
      </c>
      <c r="Q14" s="180">
        <v>0</v>
      </c>
      <c r="R14" s="180">
        <v>0</v>
      </c>
      <c r="S14" s="180">
        <v>0</v>
      </c>
      <c r="T14" s="180">
        <v>0</v>
      </c>
      <c r="U14" s="180">
        <v>0</v>
      </c>
      <c r="V14" s="180">
        <v>0</v>
      </c>
      <c r="W14" s="180">
        <v>0</v>
      </c>
      <c r="X14" s="180">
        <v>0</v>
      </c>
      <c r="Y14" s="180">
        <v>0</v>
      </c>
      <c r="Z14" s="182">
        <v>0</v>
      </c>
      <c r="AA14" s="182">
        <v>0</v>
      </c>
      <c r="AB14" s="182">
        <v>0</v>
      </c>
      <c r="AC14" s="181">
        <v>0</v>
      </c>
      <c r="AD14" s="181">
        <v>0</v>
      </c>
    </row>
    <row r="15" spans="1:30" x14ac:dyDescent="0.3">
      <c r="A15" s="178">
        <v>152</v>
      </c>
      <c r="B15" s="179" t="s">
        <v>1300</v>
      </c>
      <c r="C15" s="176">
        <v>0</v>
      </c>
      <c r="D15" s="176">
        <v>0</v>
      </c>
      <c r="E15" s="176">
        <v>0</v>
      </c>
      <c r="F15" s="176">
        <v>0</v>
      </c>
      <c r="G15" s="176">
        <v>0</v>
      </c>
      <c r="H15" s="176">
        <v>0</v>
      </c>
      <c r="I15" s="176">
        <v>0</v>
      </c>
      <c r="J15" s="180">
        <v>0</v>
      </c>
      <c r="K15" s="180">
        <v>0</v>
      </c>
      <c r="L15" s="180">
        <v>0</v>
      </c>
      <c r="M15" s="180">
        <v>0</v>
      </c>
      <c r="N15" s="180">
        <v>0</v>
      </c>
      <c r="O15" s="180">
        <v>0</v>
      </c>
      <c r="P15" s="180">
        <v>0</v>
      </c>
      <c r="Q15" s="180">
        <v>0</v>
      </c>
      <c r="R15" s="180">
        <v>0</v>
      </c>
      <c r="S15" s="180">
        <v>0</v>
      </c>
      <c r="T15" s="180">
        <v>0</v>
      </c>
      <c r="U15" s="180">
        <v>0</v>
      </c>
      <c r="V15" s="180">
        <v>0</v>
      </c>
      <c r="W15" s="180">
        <v>0</v>
      </c>
      <c r="X15" s="180">
        <v>0</v>
      </c>
      <c r="Y15" s="180">
        <v>0</v>
      </c>
      <c r="Z15" s="180">
        <v>0</v>
      </c>
      <c r="AA15" s="180">
        <v>0.1</v>
      </c>
      <c r="AB15" s="182">
        <v>0</v>
      </c>
      <c r="AC15" s="181">
        <v>0</v>
      </c>
      <c r="AD15" s="181">
        <v>0</v>
      </c>
    </row>
    <row r="16" spans="1:30" x14ac:dyDescent="0.3">
      <c r="A16" s="178">
        <v>153</v>
      </c>
      <c r="B16" s="179" t="s">
        <v>1298</v>
      </c>
      <c r="C16" s="176">
        <v>0</v>
      </c>
      <c r="D16" s="176">
        <v>0</v>
      </c>
      <c r="E16" s="176">
        <v>0</v>
      </c>
      <c r="F16" s="176">
        <v>0</v>
      </c>
      <c r="G16" s="176">
        <v>0</v>
      </c>
      <c r="H16" s="176">
        <v>0</v>
      </c>
      <c r="I16" s="176">
        <v>0</v>
      </c>
      <c r="J16" s="180">
        <v>0</v>
      </c>
      <c r="K16" s="180">
        <v>0</v>
      </c>
      <c r="L16" s="180">
        <v>0</v>
      </c>
      <c r="M16" s="180">
        <v>0</v>
      </c>
      <c r="N16" s="180">
        <v>0</v>
      </c>
      <c r="O16" s="180">
        <v>0</v>
      </c>
      <c r="P16" s="180">
        <v>0</v>
      </c>
      <c r="Q16" s="180">
        <v>0</v>
      </c>
      <c r="R16" s="180">
        <v>0</v>
      </c>
      <c r="S16" s="180">
        <v>0</v>
      </c>
      <c r="T16" s="180">
        <v>0</v>
      </c>
      <c r="U16" s="180">
        <v>0</v>
      </c>
      <c r="V16" s="180">
        <v>0</v>
      </c>
      <c r="W16" s="180">
        <v>0</v>
      </c>
      <c r="X16" s="180">
        <v>0</v>
      </c>
      <c r="Y16" s="180">
        <v>0</v>
      </c>
      <c r="Z16" s="180">
        <v>0</v>
      </c>
      <c r="AA16" s="180">
        <v>0.25</v>
      </c>
      <c r="AB16" s="182">
        <v>0</v>
      </c>
      <c r="AC16" s="181">
        <v>0</v>
      </c>
      <c r="AD16" s="181">
        <v>0</v>
      </c>
    </row>
    <row r="17" spans="1:30" x14ac:dyDescent="0.3">
      <c r="A17" s="178">
        <v>154</v>
      </c>
      <c r="B17" s="179" t="s">
        <v>1299</v>
      </c>
      <c r="C17" s="176">
        <v>0</v>
      </c>
      <c r="D17" s="176">
        <v>0</v>
      </c>
      <c r="E17" s="176">
        <v>0</v>
      </c>
      <c r="F17" s="176">
        <v>0</v>
      </c>
      <c r="G17" s="176">
        <v>0</v>
      </c>
      <c r="H17" s="176">
        <v>0</v>
      </c>
      <c r="I17" s="176">
        <v>0</v>
      </c>
      <c r="J17" s="180">
        <v>0</v>
      </c>
      <c r="K17" s="180">
        <v>0</v>
      </c>
      <c r="L17" s="180">
        <v>0</v>
      </c>
      <c r="M17" s="180">
        <v>0</v>
      </c>
      <c r="N17" s="180">
        <v>0</v>
      </c>
      <c r="O17" s="180">
        <v>0</v>
      </c>
      <c r="P17" s="180">
        <v>0</v>
      </c>
      <c r="Q17" s="180">
        <v>0</v>
      </c>
      <c r="R17" s="180">
        <v>0</v>
      </c>
      <c r="S17" s="180">
        <v>0</v>
      </c>
      <c r="T17" s="180">
        <v>0</v>
      </c>
      <c r="U17" s="180">
        <v>0</v>
      </c>
      <c r="V17" s="180">
        <v>0</v>
      </c>
      <c r="W17" s="180">
        <v>0</v>
      </c>
      <c r="X17" s="180">
        <v>0</v>
      </c>
      <c r="Y17" s="180">
        <v>0</v>
      </c>
      <c r="Z17" s="180">
        <v>0</v>
      </c>
      <c r="AA17" s="180">
        <v>0.1</v>
      </c>
      <c r="AB17" s="182">
        <v>0</v>
      </c>
      <c r="AC17" s="181">
        <v>0</v>
      </c>
      <c r="AD17" s="181">
        <v>0</v>
      </c>
    </row>
    <row r="18" spans="1:30" x14ac:dyDescent="0.3">
      <c r="A18" s="178">
        <v>155</v>
      </c>
      <c r="B18" s="179" t="s">
        <v>1321</v>
      </c>
      <c r="C18" s="176">
        <v>0</v>
      </c>
      <c r="D18" s="176">
        <v>0</v>
      </c>
      <c r="E18" s="176">
        <v>0</v>
      </c>
      <c r="F18" s="176">
        <v>0</v>
      </c>
      <c r="G18" s="176">
        <v>0</v>
      </c>
      <c r="H18" s="176">
        <v>0</v>
      </c>
      <c r="I18" s="176">
        <v>0</v>
      </c>
      <c r="J18" s="176">
        <v>0</v>
      </c>
      <c r="K18" s="176">
        <v>0</v>
      </c>
      <c r="L18" s="176">
        <v>0</v>
      </c>
      <c r="M18" s="176">
        <v>0</v>
      </c>
      <c r="N18" s="176">
        <v>0</v>
      </c>
      <c r="O18" s="176">
        <v>0</v>
      </c>
      <c r="P18" s="176">
        <v>0</v>
      </c>
      <c r="Q18" s="176">
        <v>0</v>
      </c>
      <c r="R18" s="176">
        <v>0</v>
      </c>
      <c r="S18" s="176">
        <v>0</v>
      </c>
      <c r="T18" s="176">
        <v>0</v>
      </c>
      <c r="U18" s="176">
        <v>0</v>
      </c>
      <c r="V18" s="176">
        <v>0</v>
      </c>
      <c r="W18" s="176">
        <v>0</v>
      </c>
      <c r="X18" s="176">
        <v>0</v>
      </c>
      <c r="Y18" s="176">
        <v>0</v>
      </c>
      <c r="Z18" s="176">
        <v>0</v>
      </c>
      <c r="AA18" s="176">
        <v>0</v>
      </c>
      <c r="AB18" s="176">
        <v>0</v>
      </c>
      <c r="AC18" s="176">
        <v>0</v>
      </c>
      <c r="AD18" s="181">
        <v>0</v>
      </c>
    </row>
    <row r="19" spans="1:30" x14ac:dyDescent="0.3">
      <c r="A19" s="178">
        <v>156</v>
      </c>
      <c r="B19" s="179" t="s">
        <v>1310</v>
      </c>
      <c r="C19" s="176">
        <v>7.0000000000000007E-2</v>
      </c>
      <c r="D19" s="176">
        <v>0.05</v>
      </c>
      <c r="E19" s="176">
        <v>0.05</v>
      </c>
      <c r="F19" s="176">
        <v>7.0000000000000007E-2</v>
      </c>
      <c r="G19" s="176">
        <v>7.0000000000000007E-2</v>
      </c>
      <c r="H19" s="176">
        <v>0.04</v>
      </c>
      <c r="I19" s="176">
        <v>0.05</v>
      </c>
      <c r="J19" s="182">
        <v>0</v>
      </c>
      <c r="K19" s="182">
        <v>0</v>
      </c>
      <c r="L19" s="180">
        <v>0</v>
      </c>
      <c r="M19" s="182">
        <v>0</v>
      </c>
      <c r="N19" s="180">
        <v>0.02</v>
      </c>
      <c r="O19" s="180">
        <v>0</v>
      </c>
      <c r="P19" s="180">
        <v>0</v>
      </c>
      <c r="Q19" s="180">
        <v>0</v>
      </c>
      <c r="R19" s="180">
        <v>0</v>
      </c>
      <c r="S19" s="180">
        <v>0</v>
      </c>
      <c r="T19" s="180">
        <v>0</v>
      </c>
      <c r="U19" s="180">
        <v>0</v>
      </c>
      <c r="V19" s="180">
        <v>0</v>
      </c>
      <c r="W19" s="180">
        <v>0</v>
      </c>
      <c r="X19" s="180">
        <v>0</v>
      </c>
      <c r="Y19" s="180">
        <v>0</v>
      </c>
      <c r="Z19" s="182">
        <v>0</v>
      </c>
      <c r="AA19" s="182">
        <v>0</v>
      </c>
      <c r="AB19" s="182">
        <v>0</v>
      </c>
      <c r="AC19" s="181">
        <v>0</v>
      </c>
      <c r="AD19" s="181">
        <v>0</v>
      </c>
    </row>
    <row r="20" spans="1:30" x14ac:dyDescent="0.3">
      <c r="A20" s="178">
        <v>157</v>
      </c>
      <c r="B20" s="179" t="s">
        <v>1324</v>
      </c>
      <c r="C20" s="176">
        <v>0</v>
      </c>
      <c r="D20" s="176">
        <v>0</v>
      </c>
      <c r="E20" s="176">
        <v>0</v>
      </c>
      <c r="F20" s="176">
        <v>0</v>
      </c>
      <c r="G20" s="176">
        <v>0</v>
      </c>
      <c r="H20" s="176">
        <v>0</v>
      </c>
      <c r="I20" s="176">
        <v>0</v>
      </c>
      <c r="J20" s="182">
        <v>0</v>
      </c>
      <c r="K20" s="182">
        <v>0</v>
      </c>
      <c r="L20" s="180">
        <v>0</v>
      </c>
      <c r="M20" s="182">
        <v>0</v>
      </c>
      <c r="N20" s="180">
        <v>0</v>
      </c>
      <c r="O20" s="180">
        <v>0</v>
      </c>
      <c r="P20" s="180">
        <v>0</v>
      </c>
      <c r="Q20" s="180">
        <v>0</v>
      </c>
      <c r="R20" s="180">
        <v>0</v>
      </c>
      <c r="S20" s="180">
        <v>0</v>
      </c>
      <c r="T20" s="180">
        <v>0</v>
      </c>
      <c r="U20" s="180">
        <v>0</v>
      </c>
      <c r="V20" s="180">
        <v>0</v>
      </c>
      <c r="W20" s="180">
        <v>0</v>
      </c>
      <c r="X20" s="180">
        <v>0</v>
      </c>
      <c r="Y20" s="180">
        <v>0</v>
      </c>
      <c r="Z20" s="182">
        <v>0</v>
      </c>
      <c r="AA20" s="182">
        <v>0</v>
      </c>
      <c r="AB20" s="182">
        <v>0</v>
      </c>
      <c r="AC20" s="181">
        <v>0</v>
      </c>
      <c r="AD20" s="181">
        <v>0</v>
      </c>
    </row>
    <row r="21" spans="1:30" x14ac:dyDescent="0.3">
      <c r="A21" s="178">
        <v>158</v>
      </c>
      <c r="B21" s="179" t="s">
        <v>1328</v>
      </c>
      <c r="C21" s="176">
        <v>0</v>
      </c>
      <c r="D21" s="176">
        <v>0</v>
      </c>
      <c r="E21" s="176">
        <v>0</v>
      </c>
      <c r="F21" s="176">
        <v>0</v>
      </c>
      <c r="G21" s="176">
        <v>0</v>
      </c>
      <c r="H21" s="176">
        <v>0</v>
      </c>
      <c r="I21" s="176">
        <v>0</v>
      </c>
      <c r="J21" s="182">
        <v>0</v>
      </c>
      <c r="K21" s="182">
        <v>0</v>
      </c>
      <c r="L21" s="180">
        <v>0</v>
      </c>
      <c r="M21" s="182">
        <v>0</v>
      </c>
      <c r="N21" s="180">
        <v>0</v>
      </c>
      <c r="O21" s="180">
        <v>0</v>
      </c>
      <c r="P21" s="180">
        <v>0</v>
      </c>
      <c r="Q21" s="180">
        <v>0</v>
      </c>
      <c r="R21" s="180">
        <v>0.05</v>
      </c>
      <c r="S21" s="180">
        <v>0.05</v>
      </c>
      <c r="T21" s="180">
        <v>0</v>
      </c>
      <c r="U21" s="180">
        <v>0</v>
      </c>
      <c r="V21" s="180">
        <v>0.05</v>
      </c>
      <c r="W21" s="180">
        <v>0.05</v>
      </c>
      <c r="X21" s="180">
        <v>0</v>
      </c>
      <c r="Y21" s="180">
        <v>0</v>
      </c>
      <c r="Z21" s="182">
        <v>0</v>
      </c>
      <c r="AA21" s="182">
        <v>0</v>
      </c>
      <c r="AB21" s="182">
        <v>0</v>
      </c>
      <c r="AC21" s="181">
        <v>0</v>
      </c>
      <c r="AD21" s="181">
        <v>0</v>
      </c>
    </row>
    <row r="22" spans="1:30" x14ac:dyDescent="0.3">
      <c r="A22" s="178">
        <v>159</v>
      </c>
      <c r="B22" s="179" t="s">
        <v>1327</v>
      </c>
      <c r="C22" s="176">
        <v>0</v>
      </c>
      <c r="D22" s="176">
        <v>0</v>
      </c>
      <c r="E22" s="176">
        <v>0</v>
      </c>
      <c r="F22" s="176">
        <v>0</v>
      </c>
      <c r="G22" s="176">
        <v>0</v>
      </c>
      <c r="H22" s="176">
        <v>0</v>
      </c>
      <c r="I22" s="176">
        <v>0</v>
      </c>
      <c r="J22" s="182">
        <v>0</v>
      </c>
      <c r="K22" s="182">
        <v>0</v>
      </c>
      <c r="L22" s="180">
        <v>0</v>
      </c>
      <c r="M22" s="182">
        <v>0</v>
      </c>
      <c r="N22" s="180">
        <v>0</v>
      </c>
      <c r="O22" s="180">
        <v>0.05</v>
      </c>
      <c r="P22" s="180">
        <v>0.05</v>
      </c>
      <c r="Q22" s="180">
        <v>0.05</v>
      </c>
      <c r="R22" s="180">
        <v>0.45</v>
      </c>
      <c r="S22" s="180">
        <v>0.45</v>
      </c>
      <c r="T22" s="180">
        <v>0</v>
      </c>
      <c r="U22" s="180">
        <v>0</v>
      </c>
      <c r="V22" s="180">
        <v>0.45</v>
      </c>
      <c r="W22" s="180">
        <v>0.45</v>
      </c>
      <c r="X22" s="180">
        <v>0</v>
      </c>
      <c r="Y22" s="180">
        <v>0</v>
      </c>
      <c r="Z22" s="182">
        <v>0</v>
      </c>
      <c r="AA22" s="182">
        <v>0</v>
      </c>
      <c r="AB22" s="182">
        <v>0</v>
      </c>
      <c r="AC22" s="181">
        <v>0</v>
      </c>
      <c r="AD22" s="181">
        <v>0</v>
      </c>
    </row>
    <row r="23" spans="1:30" x14ac:dyDescent="0.3">
      <c r="A23" s="178">
        <v>160</v>
      </c>
      <c r="B23" s="179" t="s">
        <v>1331</v>
      </c>
      <c r="C23" s="176">
        <v>0</v>
      </c>
      <c r="D23" s="176">
        <v>0</v>
      </c>
      <c r="E23" s="176">
        <v>0</v>
      </c>
      <c r="F23" s="176">
        <v>0</v>
      </c>
      <c r="G23" s="176">
        <v>0</v>
      </c>
      <c r="H23" s="176">
        <v>0</v>
      </c>
      <c r="I23" s="176">
        <v>0</v>
      </c>
      <c r="J23" s="176">
        <v>0</v>
      </c>
      <c r="K23" s="176">
        <v>0</v>
      </c>
      <c r="L23" s="176">
        <v>0</v>
      </c>
      <c r="M23" s="176">
        <v>0</v>
      </c>
      <c r="N23" s="180">
        <v>0.05</v>
      </c>
      <c r="O23" s="183">
        <v>0</v>
      </c>
      <c r="P23" s="183">
        <v>0</v>
      </c>
      <c r="Q23" s="183">
        <v>0</v>
      </c>
      <c r="R23" s="183">
        <v>0</v>
      </c>
      <c r="S23" s="183">
        <v>0</v>
      </c>
      <c r="T23" s="183">
        <v>0</v>
      </c>
      <c r="U23" s="183">
        <v>0</v>
      </c>
      <c r="V23" s="183">
        <v>0</v>
      </c>
      <c r="W23" s="183">
        <v>0</v>
      </c>
      <c r="X23" s="180">
        <v>0.03</v>
      </c>
      <c r="Y23" s="180">
        <v>0.05</v>
      </c>
      <c r="Z23" s="182">
        <v>0</v>
      </c>
      <c r="AA23" s="182">
        <v>0</v>
      </c>
      <c r="AB23" s="182">
        <v>0</v>
      </c>
      <c r="AC23" s="182">
        <v>0</v>
      </c>
      <c r="AD23" s="182">
        <v>0</v>
      </c>
    </row>
    <row r="24" spans="1:30" x14ac:dyDescent="0.3">
      <c r="A24" s="178">
        <v>161</v>
      </c>
      <c r="B24" s="179" t="s">
        <v>1332</v>
      </c>
      <c r="C24" s="176">
        <v>0</v>
      </c>
      <c r="D24" s="176">
        <v>0</v>
      </c>
      <c r="E24" s="176">
        <v>0</v>
      </c>
      <c r="F24" s="176">
        <v>0</v>
      </c>
      <c r="G24" s="176">
        <v>0</v>
      </c>
      <c r="H24" s="176">
        <v>0</v>
      </c>
      <c r="I24" s="176">
        <v>0</v>
      </c>
      <c r="J24" s="176">
        <v>0</v>
      </c>
      <c r="K24" s="176">
        <v>0</v>
      </c>
      <c r="L24" s="176">
        <v>0</v>
      </c>
      <c r="M24" s="176">
        <v>0</v>
      </c>
      <c r="N24" s="180">
        <v>0.05</v>
      </c>
      <c r="O24" s="183">
        <v>0</v>
      </c>
      <c r="P24" s="183">
        <v>0</v>
      </c>
      <c r="Q24" s="183">
        <v>0</v>
      </c>
      <c r="R24" s="183">
        <v>0</v>
      </c>
      <c r="S24" s="183">
        <v>0</v>
      </c>
      <c r="T24" s="183">
        <v>0</v>
      </c>
      <c r="U24" s="183">
        <v>0</v>
      </c>
      <c r="V24" s="183">
        <v>0</v>
      </c>
      <c r="W24" s="183">
        <v>0</v>
      </c>
      <c r="X24" s="180">
        <v>0.03</v>
      </c>
      <c r="Y24" s="180">
        <v>0.05</v>
      </c>
      <c r="Z24" s="182">
        <v>0</v>
      </c>
      <c r="AA24" s="182">
        <v>0</v>
      </c>
      <c r="AB24" s="182">
        <v>0</v>
      </c>
      <c r="AC24" s="182">
        <v>0</v>
      </c>
      <c r="AD24" s="182">
        <v>0</v>
      </c>
    </row>
    <row r="25" spans="1:30" x14ac:dyDescent="0.3">
      <c r="A25" s="178">
        <v>162</v>
      </c>
      <c r="B25" s="179" t="s">
        <v>1330</v>
      </c>
      <c r="C25" s="176">
        <v>0</v>
      </c>
      <c r="D25" s="176">
        <v>0</v>
      </c>
      <c r="E25" s="176">
        <v>0</v>
      </c>
      <c r="F25" s="176">
        <v>0</v>
      </c>
      <c r="G25" s="176">
        <v>0</v>
      </c>
      <c r="H25" s="176">
        <v>0</v>
      </c>
      <c r="I25" s="176">
        <v>0</v>
      </c>
      <c r="J25" s="176">
        <v>0</v>
      </c>
      <c r="K25" s="176">
        <v>0</v>
      </c>
      <c r="L25" s="176">
        <v>0</v>
      </c>
      <c r="M25" s="176">
        <v>0</v>
      </c>
      <c r="N25" s="180">
        <v>0.35</v>
      </c>
      <c r="O25" s="183">
        <v>0</v>
      </c>
      <c r="P25" s="183">
        <v>0</v>
      </c>
      <c r="Q25" s="183">
        <v>0</v>
      </c>
      <c r="R25" s="183">
        <v>0</v>
      </c>
      <c r="S25" s="183">
        <v>0</v>
      </c>
      <c r="T25" s="183">
        <v>0</v>
      </c>
      <c r="U25" s="183">
        <v>0</v>
      </c>
      <c r="V25" s="183">
        <v>0</v>
      </c>
      <c r="W25" s="183">
        <v>0</v>
      </c>
      <c r="X25" s="180">
        <v>0.4</v>
      </c>
      <c r="Y25" s="180">
        <v>0.6</v>
      </c>
      <c r="Z25" s="182">
        <v>0</v>
      </c>
      <c r="AA25" s="182">
        <v>0</v>
      </c>
      <c r="AB25" s="182">
        <v>0</v>
      </c>
      <c r="AC25" s="182">
        <v>0</v>
      </c>
      <c r="AD25" s="182">
        <v>0</v>
      </c>
    </row>
    <row r="26" spans="1:30" x14ac:dyDescent="0.3">
      <c r="A26" s="178">
        <v>169</v>
      </c>
      <c r="B26" s="179" t="s">
        <v>1339</v>
      </c>
      <c r="C26" s="176">
        <v>0</v>
      </c>
      <c r="D26" s="176">
        <v>0</v>
      </c>
      <c r="E26" s="176">
        <v>0</v>
      </c>
      <c r="F26" s="176">
        <v>0</v>
      </c>
      <c r="G26" s="176">
        <v>0</v>
      </c>
      <c r="H26" s="176">
        <v>0</v>
      </c>
      <c r="I26" s="176">
        <v>0</v>
      </c>
      <c r="J26" s="182">
        <v>0</v>
      </c>
      <c r="K26" s="182">
        <v>0</v>
      </c>
      <c r="L26" s="180">
        <v>0.55000000000000004</v>
      </c>
      <c r="M26" s="182">
        <v>0</v>
      </c>
      <c r="N26" s="180">
        <v>0</v>
      </c>
      <c r="O26" s="183">
        <v>0</v>
      </c>
      <c r="P26" s="183">
        <v>0</v>
      </c>
      <c r="Q26" s="183">
        <v>0</v>
      </c>
      <c r="R26" s="180">
        <v>0</v>
      </c>
      <c r="S26" s="180">
        <v>0</v>
      </c>
      <c r="T26" s="180">
        <v>0</v>
      </c>
      <c r="U26" s="180">
        <v>0</v>
      </c>
      <c r="V26" s="180">
        <v>0</v>
      </c>
      <c r="W26" s="180">
        <v>0</v>
      </c>
      <c r="X26" s="180">
        <v>0</v>
      </c>
      <c r="Y26" s="180">
        <v>0</v>
      </c>
      <c r="Z26" s="182">
        <v>0</v>
      </c>
      <c r="AA26" s="182">
        <v>0</v>
      </c>
      <c r="AB26" s="182">
        <v>0</v>
      </c>
      <c r="AC26" s="181">
        <v>0</v>
      </c>
      <c r="AD26" s="181">
        <v>0</v>
      </c>
    </row>
    <row r="27" spans="1:30" x14ac:dyDescent="0.3">
      <c r="A27" s="178">
        <v>177</v>
      </c>
      <c r="B27" s="179" t="s">
        <v>1347</v>
      </c>
      <c r="C27" s="176">
        <v>0</v>
      </c>
      <c r="D27" s="176">
        <v>0</v>
      </c>
      <c r="E27" s="176">
        <v>0</v>
      </c>
      <c r="F27" s="176">
        <v>0</v>
      </c>
      <c r="G27" s="176">
        <v>0</v>
      </c>
      <c r="H27" s="176">
        <v>0</v>
      </c>
      <c r="I27" s="176">
        <v>0</v>
      </c>
      <c r="J27" s="182">
        <v>0</v>
      </c>
      <c r="K27" s="182">
        <v>0</v>
      </c>
      <c r="L27" s="180">
        <v>0</v>
      </c>
      <c r="M27" s="182">
        <v>0</v>
      </c>
      <c r="N27" s="180">
        <v>0</v>
      </c>
      <c r="O27" s="183">
        <v>0.6</v>
      </c>
      <c r="P27" s="183">
        <v>0.6</v>
      </c>
      <c r="Q27" s="183">
        <v>0.6</v>
      </c>
      <c r="R27" s="180">
        <v>0</v>
      </c>
      <c r="S27" s="180">
        <v>0</v>
      </c>
      <c r="T27" s="180">
        <v>0</v>
      </c>
      <c r="U27" s="180">
        <v>0</v>
      </c>
      <c r="V27" s="180">
        <v>0</v>
      </c>
      <c r="W27" s="180">
        <v>0</v>
      </c>
      <c r="X27" s="180">
        <v>0</v>
      </c>
      <c r="Y27" s="180">
        <v>0</v>
      </c>
      <c r="Z27" s="182">
        <v>0</v>
      </c>
      <c r="AA27" s="182">
        <v>0</v>
      </c>
      <c r="AB27" s="182">
        <v>0</v>
      </c>
      <c r="AC27" s="181">
        <v>0</v>
      </c>
      <c r="AD27" s="181">
        <v>0</v>
      </c>
    </row>
    <row r="28" spans="1:30" x14ac:dyDescent="0.3">
      <c r="A28" s="178">
        <v>185</v>
      </c>
      <c r="B28" s="179" t="s">
        <v>1330</v>
      </c>
      <c r="C28" s="176">
        <v>0</v>
      </c>
      <c r="D28" s="176">
        <v>0</v>
      </c>
      <c r="E28" s="176">
        <v>0</v>
      </c>
      <c r="F28" s="176">
        <v>0</v>
      </c>
      <c r="G28" s="176">
        <v>0</v>
      </c>
      <c r="H28" s="176">
        <v>0</v>
      </c>
      <c r="I28" s="176">
        <v>0</v>
      </c>
      <c r="J28" s="180">
        <v>0</v>
      </c>
      <c r="K28" s="180">
        <v>0.65</v>
      </c>
      <c r="L28" s="180">
        <v>0</v>
      </c>
      <c r="M28" s="180">
        <v>0.65</v>
      </c>
      <c r="N28" s="180">
        <v>0</v>
      </c>
      <c r="O28" s="183">
        <v>0</v>
      </c>
      <c r="P28" s="183">
        <v>0</v>
      </c>
      <c r="Q28" s="183">
        <v>0</v>
      </c>
      <c r="R28" s="180">
        <v>0</v>
      </c>
      <c r="S28" s="180">
        <v>0</v>
      </c>
      <c r="T28" s="180">
        <v>0</v>
      </c>
      <c r="U28" s="180">
        <v>0</v>
      </c>
      <c r="V28" s="180">
        <v>0</v>
      </c>
      <c r="W28" s="180">
        <v>0</v>
      </c>
      <c r="X28" s="180">
        <v>0</v>
      </c>
      <c r="Y28" s="180">
        <v>0</v>
      </c>
      <c r="Z28" s="180">
        <v>0</v>
      </c>
      <c r="AA28" s="180"/>
      <c r="AB28" s="180">
        <v>0</v>
      </c>
      <c r="AC28" s="181">
        <v>0</v>
      </c>
      <c r="AD28" s="181">
        <v>0</v>
      </c>
    </row>
    <row r="29" spans="1:30" x14ac:dyDescent="0.3">
      <c r="A29" s="178">
        <v>187</v>
      </c>
      <c r="B29" s="179" t="s">
        <v>1354</v>
      </c>
      <c r="C29" s="176">
        <v>0</v>
      </c>
      <c r="D29" s="176">
        <v>0</v>
      </c>
      <c r="E29" s="176">
        <v>0</v>
      </c>
      <c r="F29" s="176">
        <v>0</v>
      </c>
      <c r="G29" s="176">
        <v>0</v>
      </c>
      <c r="H29" s="176">
        <v>0</v>
      </c>
      <c r="I29" s="176">
        <v>0</v>
      </c>
      <c r="J29" s="182">
        <v>0</v>
      </c>
      <c r="K29" s="182">
        <v>0</v>
      </c>
      <c r="L29" s="180">
        <v>0</v>
      </c>
      <c r="M29" s="182">
        <v>0</v>
      </c>
      <c r="N29" s="180">
        <v>0</v>
      </c>
      <c r="O29" s="183">
        <v>0</v>
      </c>
      <c r="P29" s="183">
        <v>0</v>
      </c>
      <c r="Q29" s="183">
        <v>0</v>
      </c>
      <c r="R29" s="180">
        <v>0</v>
      </c>
      <c r="S29" s="180">
        <v>0</v>
      </c>
      <c r="T29" s="180">
        <v>0.5</v>
      </c>
      <c r="U29" s="180">
        <v>0.5</v>
      </c>
      <c r="V29" s="180">
        <v>0</v>
      </c>
      <c r="W29" s="180">
        <v>0</v>
      </c>
      <c r="X29" s="180">
        <v>0</v>
      </c>
      <c r="Y29" s="180">
        <v>0</v>
      </c>
      <c r="Z29" s="182">
        <v>0</v>
      </c>
      <c r="AA29" s="182">
        <v>0</v>
      </c>
      <c r="AB29" s="182">
        <v>0</v>
      </c>
      <c r="AC29" s="181">
        <v>0</v>
      </c>
      <c r="AD29" s="181">
        <v>0</v>
      </c>
    </row>
    <row r="30" spans="1:30" x14ac:dyDescent="0.3">
      <c r="A30" s="178">
        <v>225</v>
      </c>
      <c r="B30" s="179" t="s">
        <v>1311</v>
      </c>
      <c r="C30" s="176">
        <v>7.0000000000000007E-2</v>
      </c>
      <c r="D30" s="176">
        <v>7.0000000000000007E-2</v>
      </c>
      <c r="E30" s="176">
        <v>7.0000000000000007E-2</v>
      </c>
      <c r="F30" s="176">
        <v>7.0000000000000007E-2</v>
      </c>
      <c r="G30" s="176">
        <v>7.0000000000000007E-2</v>
      </c>
      <c r="H30" s="176">
        <v>0.1</v>
      </c>
      <c r="I30" s="176">
        <v>7.0000000000000007E-2</v>
      </c>
      <c r="J30" s="180">
        <v>0</v>
      </c>
      <c r="K30" s="180">
        <v>0</v>
      </c>
      <c r="L30" s="180">
        <v>0</v>
      </c>
      <c r="M30" s="180">
        <v>0</v>
      </c>
      <c r="N30" s="180">
        <v>0.05</v>
      </c>
      <c r="O30" s="180">
        <v>0</v>
      </c>
      <c r="P30" s="180">
        <v>0</v>
      </c>
      <c r="Q30" s="180">
        <v>0</v>
      </c>
      <c r="R30" s="180">
        <v>0.05</v>
      </c>
      <c r="S30" s="180">
        <v>0.05</v>
      </c>
      <c r="T30" s="180">
        <v>0.05</v>
      </c>
      <c r="U30" s="180">
        <v>0.05</v>
      </c>
      <c r="V30" s="180">
        <v>0.05</v>
      </c>
      <c r="W30" s="180">
        <v>0.05</v>
      </c>
      <c r="X30" s="180">
        <v>0.05</v>
      </c>
      <c r="Y30" s="180">
        <v>0</v>
      </c>
      <c r="Z30" s="180">
        <v>0</v>
      </c>
      <c r="AA30" s="182">
        <v>0.1</v>
      </c>
      <c r="AB30" s="180">
        <v>0</v>
      </c>
      <c r="AC30" s="181">
        <v>0</v>
      </c>
      <c r="AD30" s="181">
        <v>0</v>
      </c>
    </row>
    <row r="31" spans="1:30" x14ac:dyDescent="0.3">
      <c r="A31" s="178">
        <v>226</v>
      </c>
      <c r="B31" s="179" t="s">
        <v>1312</v>
      </c>
      <c r="C31" s="176">
        <v>0.1</v>
      </c>
      <c r="D31" s="176">
        <v>0.1</v>
      </c>
      <c r="E31" s="176">
        <v>0.1</v>
      </c>
      <c r="F31" s="176">
        <v>0.1</v>
      </c>
      <c r="G31" s="176">
        <v>0.15</v>
      </c>
      <c r="H31" s="176">
        <v>0.15</v>
      </c>
      <c r="I31" s="176">
        <v>0.1</v>
      </c>
      <c r="J31" s="180">
        <v>0</v>
      </c>
      <c r="K31" s="180">
        <v>0</v>
      </c>
      <c r="L31" s="180">
        <v>0</v>
      </c>
      <c r="M31" s="180">
        <v>0</v>
      </c>
      <c r="N31" s="180">
        <v>0.1</v>
      </c>
      <c r="O31" s="180">
        <v>0</v>
      </c>
      <c r="P31" s="180">
        <v>0</v>
      </c>
      <c r="Q31" s="180">
        <v>0</v>
      </c>
      <c r="R31" s="180">
        <v>0.1</v>
      </c>
      <c r="S31" s="180">
        <v>0.05</v>
      </c>
      <c r="T31" s="180">
        <v>0.1</v>
      </c>
      <c r="U31" s="180">
        <v>0.1</v>
      </c>
      <c r="V31" s="180">
        <v>0.1</v>
      </c>
      <c r="W31" s="180">
        <v>0.1</v>
      </c>
      <c r="X31" s="180">
        <v>0.05</v>
      </c>
      <c r="Y31" s="180">
        <v>0</v>
      </c>
      <c r="Z31" s="180">
        <v>0</v>
      </c>
      <c r="AA31" s="182">
        <v>0.2</v>
      </c>
      <c r="AB31" s="180">
        <v>0</v>
      </c>
      <c r="AC31" s="181">
        <v>0</v>
      </c>
      <c r="AD31" s="181">
        <v>0</v>
      </c>
    </row>
    <row r="32" spans="1:30" x14ac:dyDescent="0.3">
      <c r="A32" s="178">
        <v>227</v>
      </c>
      <c r="B32" s="179" t="s">
        <v>1293</v>
      </c>
      <c r="C32" s="176">
        <v>0.05</v>
      </c>
      <c r="D32" s="176">
        <v>0.05</v>
      </c>
      <c r="E32" s="176">
        <v>0.05</v>
      </c>
      <c r="F32" s="176">
        <v>0.05</v>
      </c>
      <c r="G32" s="176">
        <v>0.05</v>
      </c>
      <c r="H32" s="176">
        <v>0.05</v>
      </c>
      <c r="I32" s="176">
        <v>0.05</v>
      </c>
      <c r="J32" s="180">
        <v>0.4</v>
      </c>
      <c r="K32" s="180">
        <v>0</v>
      </c>
      <c r="L32" s="180">
        <v>0</v>
      </c>
      <c r="M32" s="180">
        <v>0</v>
      </c>
      <c r="N32" s="180">
        <v>0</v>
      </c>
      <c r="O32" s="180">
        <v>0</v>
      </c>
      <c r="P32" s="180">
        <v>0</v>
      </c>
      <c r="Q32" s="180">
        <v>0</v>
      </c>
      <c r="R32" s="180">
        <v>0.15</v>
      </c>
      <c r="S32" s="180">
        <v>0.15</v>
      </c>
      <c r="T32" s="180">
        <v>0.15</v>
      </c>
      <c r="U32" s="180">
        <v>0.15</v>
      </c>
      <c r="V32" s="180">
        <v>0.15</v>
      </c>
      <c r="W32" s="180">
        <v>0.15</v>
      </c>
      <c r="X32" s="180">
        <v>0.05</v>
      </c>
      <c r="Y32" s="180">
        <v>0.05</v>
      </c>
      <c r="Z32" s="180">
        <v>0.2</v>
      </c>
      <c r="AA32" s="180">
        <v>0.1</v>
      </c>
      <c r="AB32" s="180">
        <v>0.1</v>
      </c>
      <c r="AC32" s="181">
        <v>0.1</v>
      </c>
      <c r="AD32" s="181">
        <v>0</v>
      </c>
    </row>
    <row r="33" spans="1:30" x14ac:dyDescent="0.3">
      <c r="A33" s="178">
        <v>228</v>
      </c>
      <c r="B33" s="179" t="s">
        <v>1313</v>
      </c>
      <c r="C33" s="176">
        <v>0.04</v>
      </c>
      <c r="D33" s="176">
        <v>0.04</v>
      </c>
      <c r="E33" s="176">
        <v>0.04</v>
      </c>
      <c r="F33" s="176">
        <v>0.04</v>
      </c>
      <c r="G33" s="176">
        <v>0.04</v>
      </c>
      <c r="H33" s="176">
        <v>0.04</v>
      </c>
      <c r="I33" s="176">
        <v>0.04</v>
      </c>
      <c r="J33" s="180">
        <v>0</v>
      </c>
      <c r="K33" s="180">
        <v>0</v>
      </c>
      <c r="L33" s="180">
        <v>0</v>
      </c>
      <c r="M33" s="180">
        <v>0</v>
      </c>
      <c r="N33" s="180">
        <v>0</v>
      </c>
      <c r="O33" s="180">
        <v>0</v>
      </c>
      <c r="P33" s="180">
        <v>0</v>
      </c>
      <c r="Q33" s="180">
        <v>0</v>
      </c>
      <c r="R33" s="180">
        <v>0</v>
      </c>
      <c r="S33" s="180">
        <v>0</v>
      </c>
      <c r="T33" s="180">
        <v>0</v>
      </c>
      <c r="U33" s="180">
        <v>0</v>
      </c>
      <c r="V33" s="180">
        <v>0</v>
      </c>
      <c r="W33" s="180">
        <v>0</v>
      </c>
      <c r="X33" s="180">
        <v>0</v>
      </c>
      <c r="Y33" s="180">
        <v>0</v>
      </c>
      <c r="Z33" s="180">
        <v>0</v>
      </c>
      <c r="AA33" s="180">
        <v>0</v>
      </c>
      <c r="AB33" s="180">
        <v>0</v>
      </c>
      <c r="AC33" s="181">
        <v>0</v>
      </c>
      <c r="AD33" s="181">
        <v>0</v>
      </c>
    </row>
    <row r="34" spans="1:30" x14ac:dyDescent="0.3">
      <c r="A34" s="178">
        <v>243</v>
      </c>
      <c r="B34" s="179" t="s">
        <v>1293</v>
      </c>
      <c r="C34" s="176">
        <v>0</v>
      </c>
      <c r="D34" s="176">
        <v>0</v>
      </c>
      <c r="E34" s="176">
        <v>0</v>
      </c>
      <c r="F34" s="176">
        <v>0</v>
      </c>
      <c r="G34" s="176">
        <v>0</v>
      </c>
      <c r="H34" s="176">
        <v>0</v>
      </c>
      <c r="I34" s="176">
        <v>0</v>
      </c>
      <c r="J34" s="180">
        <v>0</v>
      </c>
      <c r="K34" s="180">
        <v>0</v>
      </c>
      <c r="L34" s="180">
        <v>0</v>
      </c>
      <c r="M34" s="180">
        <v>0</v>
      </c>
      <c r="N34" s="180">
        <v>0.15</v>
      </c>
      <c r="O34" s="180">
        <v>0</v>
      </c>
      <c r="P34" s="180">
        <v>0</v>
      </c>
      <c r="Q34" s="180">
        <v>0</v>
      </c>
      <c r="R34" s="180">
        <v>0</v>
      </c>
      <c r="S34" s="180">
        <v>0</v>
      </c>
      <c r="T34" s="180">
        <v>0</v>
      </c>
      <c r="U34" s="180">
        <v>0</v>
      </c>
      <c r="V34" s="180">
        <v>0</v>
      </c>
      <c r="W34" s="180">
        <v>0</v>
      </c>
      <c r="X34" s="180">
        <v>0.09</v>
      </c>
      <c r="Y34" s="180">
        <v>0.14000000000000001</v>
      </c>
      <c r="Z34" s="180">
        <v>0</v>
      </c>
      <c r="AA34" s="180">
        <v>0</v>
      </c>
      <c r="AB34" s="180">
        <v>0</v>
      </c>
      <c r="AC34" s="181">
        <v>0</v>
      </c>
      <c r="AD34" s="181">
        <v>0</v>
      </c>
    </row>
    <row r="35" spans="1:30" x14ac:dyDescent="0.3">
      <c r="A35" s="206">
        <v>244</v>
      </c>
      <c r="B35" s="179" t="s">
        <v>1293</v>
      </c>
      <c r="C35" s="176">
        <v>0</v>
      </c>
      <c r="D35" s="176">
        <v>0</v>
      </c>
      <c r="E35" s="176">
        <v>0</v>
      </c>
      <c r="F35" s="176">
        <v>0</v>
      </c>
      <c r="G35" s="176">
        <v>0</v>
      </c>
      <c r="H35" s="176">
        <v>0</v>
      </c>
      <c r="I35" s="176">
        <v>0</v>
      </c>
      <c r="J35" s="180">
        <v>0</v>
      </c>
      <c r="K35" s="180">
        <v>0.2</v>
      </c>
      <c r="L35" s="180">
        <v>0.2</v>
      </c>
      <c r="M35" s="180">
        <v>0.2</v>
      </c>
      <c r="N35" s="180">
        <v>0</v>
      </c>
      <c r="O35" s="180">
        <v>0.15</v>
      </c>
      <c r="P35" s="180">
        <v>0.15</v>
      </c>
      <c r="Q35" s="180">
        <v>0.15</v>
      </c>
      <c r="R35" s="180">
        <v>0</v>
      </c>
      <c r="S35" s="180">
        <v>0</v>
      </c>
      <c r="T35" s="180">
        <v>0</v>
      </c>
      <c r="U35" s="180">
        <v>0</v>
      </c>
      <c r="V35" s="180">
        <v>0</v>
      </c>
      <c r="W35" s="180">
        <v>0</v>
      </c>
      <c r="X35" s="180">
        <v>0</v>
      </c>
      <c r="Y35" s="180">
        <v>0</v>
      </c>
      <c r="Z35" s="180">
        <v>0</v>
      </c>
      <c r="AA35" s="180">
        <v>0</v>
      </c>
      <c r="AB35" s="180">
        <v>0</v>
      </c>
      <c r="AC35" s="181">
        <v>0</v>
      </c>
      <c r="AD35" s="181">
        <v>0</v>
      </c>
    </row>
    <row r="36" spans="1:30" x14ac:dyDescent="0.3">
      <c r="A36" s="178">
        <v>281</v>
      </c>
      <c r="B36" s="179" t="s">
        <v>1314</v>
      </c>
      <c r="C36" s="176">
        <v>0.04</v>
      </c>
      <c r="D36" s="176">
        <v>0.04</v>
      </c>
      <c r="E36" s="176">
        <v>0.04</v>
      </c>
      <c r="F36" s="176">
        <v>0.04</v>
      </c>
      <c r="G36" s="176">
        <v>0.04</v>
      </c>
      <c r="H36" s="176">
        <v>0.04</v>
      </c>
      <c r="I36" s="176">
        <v>0.04</v>
      </c>
      <c r="J36" s="180">
        <v>0</v>
      </c>
      <c r="K36" s="180">
        <v>0</v>
      </c>
      <c r="L36" s="180">
        <v>0</v>
      </c>
      <c r="M36" s="180">
        <v>0</v>
      </c>
      <c r="N36" s="180">
        <v>0</v>
      </c>
      <c r="O36" s="180">
        <v>0</v>
      </c>
      <c r="P36" s="180">
        <v>0</v>
      </c>
      <c r="Q36" s="180">
        <v>0</v>
      </c>
      <c r="R36" s="180">
        <v>0</v>
      </c>
      <c r="S36" s="180">
        <v>0</v>
      </c>
      <c r="T36" s="180">
        <v>0</v>
      </c>
      <c r="U36" s="180">
        <v>0</v>
      </c>
      <c r="V36" s="180">
        <v>0</v>
      </c>
      <c r="W36" s="180">
        <v>0</v>
      </c>
      <c r="X36" s="180">
        <v>0</v>
      </c>
      <c r="Y36" s="180">
        <v>0</v>
      </c>
      <c r="Z36" s="180">
        <v>0.1</v>
      </c>
      <c r="AA36" s="180">
        <v>0</v>
      </c>
      <c r="AB36" s="180">
        <v>0</v>
      </c>
      <c r="AC36" s="181">
        <v>0</v>
      </c>
      <c r="AD36" s="181">
        <v>0</v>
      </c>
    </row>
    <row r="37" spans="1:30" x14ac:dyDescent="0.3">
      <c r="A37" s="178">
        <v>282</v>
      </c>
      <c r="B37" s="179" t="s">
        <v>1315</v>
      </c>
      <c r="C37" s="176">
        <v>0</v>
      </c>
      <c r="D37" s="176">
        <v>0</v>
      </c>
      <c r="E37" s="176">
        <v>0</v>
      </c>
      <c r="F37" s="176">
        <v>0</v>
      </c>
      <c r="G37" s="176">
        <v>0</v>
      </c>
      <c r="H37" s="176">
        <v>0</v>
      </c>
      <c r="I37" s="176">
        <v>0</v>
      </c>
      <c r="J37" s="182">
        <v>0</v>
      </c>
      <c r="K37" s="180">
        <v>0</v>
      </c>
      <c r="L37" s="180">
        <v>0</v>
      </c>
      <c r="M37" s="180">
        <v>0</v>
      </c>
      <c r="N37" s="180">
        <v>0</v>
      </c>
      <c r="O37" s="180">
        <v>0</v>
      </c>
      <c r="P37" s="180">
        <v>0</v>
      </c>
      <c r="Q37" s="180">
        <v>0</v>
      </c>
      <c r="R37" s="180">
        <v>0</v>
      </c>
      <c r="S37" s="180">
        <v>0</v>
      </c>
      <c r="T37" s="180">
        <v>0</v>
      </c>
      <c r="U37" s="180">
        <v>0</v>
      </c>
      <c r="V37" s="180">
        <v>0</v>
      </c>
      <c r="W37" s="180">
        <v>0</v>
      </c>
      <c r="X37" s="180">
        <v>0</v>
      </c>
      <c r="Y37" s="180">
        <v>0</v>
      </c>
      <c r="Z37" s="180">
        <v>0</v>
      </c>
      <c r="AA37" s="180">
        <v>0.05</v>
      </c>
      <c r="AB37" s="180">
        <v>0.1</v>
      </c>
      <c r="AC37" s="181">
        <v>0.1</v>
      </c>
      <c r="AD37" s="181">
        <v>0</v>
      </c>
    </row>
    <row r="38" spans="1:30" x14ac:dyDescent="0.3">
      <c r="A38" s="178">
        <v>283</v>
      </c>
      <c r="B38" s="179" t="s">
        <v>1316</v>
      </c>
      <c r="C38" s="176">
        <v>0</v>
      </c>
      <c r="D38" s="176">
        <v>0</v>
      </c>
      <c r="E38" s="176">
        <v>0</v>
      </c>
      <c r="F38" s="176">
        <v>0</v>
      </c>
      <c r="G38" s="176">
        <v>0</v>
      </c>
      <c r="H38" s="176">
        <v>0</v>
      </c>
      <c r="I38" s="176">
        <v>0</v>
      </c>
      <c r="J38" s="176">
        <v>0</v>
      </c>
      <c r="K38" s="176">
        <v>0</v>
      </c>
      <c r="L38" s="176">
        <v>0</v>
      </c>
      <c r="M38" s="176">
        <v>0</v>
      </c>
      <c r="N38" s="176">
        <v>0</v>
      </c>
      <c r="O38" s="176">
        <v>0</v>
      </c>
      <c r="P38" s="176">
        <v>0</v>
      </c>
      <c r="Q38" s="176">
        <v>0</v>
      </c>
      <c r="R38" s="176">
        <v>0</v>
      </c>
      <c r="S38" s="176">
        <v>0</v>
      </c>
      <c r="T38" s="176">
        <v>0</v>
      </c>
      <c r="U38" s="176">
        <v>0</v>
      </c>
      <c r="V38" s="176">
        <v>0</v>
      </c>
      <c r="W38" s="176">
        <v>0</v>
      </c>
      <c r="X38" s="176">
        <v>0</v>
      </c>
      <c r="Y38" s="176">
        <v>0</v>
      </c>
      <c r="Z38" s="176">
        <v>0</v>
      </c>
      <c r="AA38" s="176">
        <v>0</v>
      </c>
      <c r="AB38" s="176">
        <v>0</v>
      </c>
      <c r="AC38" s="176">
        <v>0</v>
      </c>
      <c r="AD38" s="181">
        <v>0</v>
      </c>
    </row>
    <row r="39" spans="1:30" x14ac:dyDescent="0.3">
      <c r="A39" s="178">
        <v>284</v>
      </c>
      <c r="B39" s="179" t="s">
        <v>1317</v>
      </c>
      <c r="C39" s="176">
        <v>0</v>
      </c>
      <c r="D39" s="176">
        <v>0</v>
      </c>
      <c r="E39" s="176">
        <v>0</v>
      </c>
      <c r="F39" s="176">
        <v>0</v>
      </c>
      <c r="G39" s="176">
        <v>0</v>
      </c>
      <c r="H39" s="176">
        <v>0</v>
      </c>
      <c r="I39" s="176">
        <v>0</v>
      </c>
      <c r="J39" s="176">
        <v>0</v>
      </c>
      <c r="K39" s="176">
        <v>0</v>
      </c>
      <c r="L39" s="176">
        <v>0</v>
      </c>
      <c r="M39" s="176">
        <v>0</v>
      </c>
      <c r="N39" s="176">
        <v>0</v>
      </c>
      <c r="O39" s="176">
        <v>0</v>
      </c>
      <c r="P39" s="176">
        <v>0</v>
      </c>
      <c r="Q39" s="176">
        <v>0</v>
      </c>
      <c r="R39" s="176">
        <v>0</v>
      </c>
      <c r="S39" s="176">
        <v>0</v>
      </c>
      <c r="T39" s="176">
        <v>0</v>
      </c>
      <c r="U39" s="176">
        <v>0</v>
      </c>
      <c r="V39" s="176">
        <v>0</v>
      </c>
      <c r="W39" s="176">
        <v>0</v>
      </c>
      <c r="X39" s="176">
        <v>0</v>
      </c>
      <c r="Y39" s="176">
        <v>0</v>
      </c>
      <c r="Z39" s="176">
        <v>0</v>
      </c>
      <c r="AA39" s="176">
        <v>0</v>
      </c>
      <c r="AB39" s="176">
        <v>0</v>
      </c>
      <c r="AC39" s="176">
        <v>0</v>
      </c>
      <c r="AD39" s="181">
        <v>0</v>
      </c>
    </row>
    <row r="40" spans="1:30" x14ac:dyDescent="0.3">
      <c r="A40" s="178">
        <v>285</v>
      </c>
      <c r="B40" s="179" t="s">
        <v>1318</v>
      </c>
      <c r="C40" s="176">
        <v>0</v>
      </c>
      <c r="D40" s="176">
        <v>0</v>
      </c>
      <c r="E40" s="176">
        <v>0</v>
      </c>
      <c r="F40" s="176">
        <v>0</v>
      </c>
      <c r="G40" s="176">
        <v>0</v>
      </c>
      <c r="H40" s="176">
        <v>0</v>
      </c>
      <c r="I40" s="176">
        <v>0</v>
      </c>
      <c r="J40" s="182">
        <v>0</v>
      </c>
      <c r="K40" s="180">
        <v>0</v>
      </c>
      <c r="L40" s="180">
        <v>0</v>
      </c>
      <c r="M40" s="180">
        <v>0</v>
      </c>
      <c r="N40" s="180">
        <v>0</v>
      </c>
      <c r="O40" s="180">
        <v>0</v>
      </c>
      <c r="P40" s="180">
        <v>0</v>
      </c>
      <c r="Q40" s="180">
        <v>0</v>
      </c>
      <c r="R40" s="180">
        <v>0</v>
      </c>
      <c r="S40" s="180">
        <v>0</v>
      </c>
      <c r="T40" s="180">
        <v>0</v>
      </c>
      <c r="U40" s="180">
        <v>0</v>
      </c>
      <c r="V40" s="180">
        <v>0</v>
      </c>
      <c r="W40" s="180">
        <v>0</v>
      </c>
      <c r="X40" s="180">
        <v>0</v>
      </c>
      <c r="Y40" s="180">
        <v>0</v>
      </c>
      <c r="Z40" s="180">
        <v>0</v>
      </c>
      <c r="AA40" s="180">
        <v>0</v>
      </c>
      <c r="AB40" s="180">
        <v>0.3</v>
      </c>
      <c r="AC40" s="181">
        <v>0.3</v>
      </c>
      <c r="AD40" s="181">
        <v>0</v>
      </c>
    </row>
    <row r="41" spans="1:30" x14ac:dyDescent="0.3">
      <c r="A41" s="184">
        <v>286</v>
      </c>
      <c r="B41" s="185" t="s">
        <v>1319</v>
      </c>
      <c r="C41" s="176">
        <v>0</v>
      </c>
      <c r="D41" s="176">
        <v>0</v>
      </c>
      <c r="E41" s="176">
        <v>0</v>
      </c>
      <c r="F41" s="176">
        <v>0</v>
      </c>
      <c r="G41" s="176">
        <v>0</v>
      </c>
      <c r="H41" s="176">
        <v>0</v>
      </c>
      <c r="I41" s="176">
        <v>0</v>
      </c>
      <c r="J41" s="176">
        <v>0</v>
      </c>
      <c r="K41" s="176">
        <v>0</v>
      </c>
      <c r="L41" s="176">
        <v>0</v>
      </c>
      <c r="M41" s="176">
        <v>0</v>
      </c>
      <c r="N41" s="176">
        <v>0</v>
      </c>
      <c r="O41" s="176">
        <v>0</v>
      </c>
      <c r="P41" s="176">
        <v>0</v>
      </c>
      <c r="Q41" s="176">
        <v>0</v>
      </c>
      <c r="R41" s="176">
        <v>0</v>
      </c>
      <c r="S41" s="176">
        <v>0</v>
      </c>
      <c r="T41" s="176">
        <v>0</v>
      </c>
      <c r="U41" s="176">
        <v>0</v>
      </c>
      <c r="V41" s="176">
        <v>0</v>
      </c>
      <c r="W41" s="176">
        <v>0</v>
      </c>
      <c r="X41" s="176">
        <v>0</v>
      </c>
      <c r="Y41" s="176">
        <v>0</v>
      </c>
      <c r="Z41" s="176">
        <v>0</v>
      </c>
      <c r="AA41" s="176">
        <v>0</v>
      </c>
      <c r="AB41" s="176">
        <v>0</v>
      </c>
      <c r="AC41" s="176">
        <v>0</v>
      </c>
      <c r="AD41" s="181">
        <v>0</v>
      </c>
    </row>
    <row r="42" spans="1:30" ht="14.4" thickBot="1" x14ac:dyDescent="0.35">
      <c r="A42" s="186">
        <v>303</v>
      </c>
      <c r="B42" s="187" t="s">
        <v>1320</v>
      </c>
      <c r="C42" s="176">
        <v>0</v>
      </c>
      <c r="D42" s="176">
        <v>0</v>
      </c>
      <c r="E42" s="176">
        <v>0</v>
      </c>
      <c r="F42" s="176">
        <v>0</v>
      </c>
      <c r="G42" s="176">
        <v>0</v>
      </c>
      <c r="H42" s="176">
        <v>0</v>
      </c>
      <c r="I42" s="176">
        <v>0</v>
      </c>
      <c r="J42" s="188">
        <v>0</v>
      </c>
      <c r="K42" s="188">
        <v>0</v>
      </c>
      <c r="L42" s="189">
        <v>0</v>
      </c>
      <c r="M42" s="188">
        <v>0</v>
      </c>
      <c r="N42" s="189">
        <v>0.02</v>
      </c>
      <c r="O42" s="189">
        <v>0</v>
      </c>
      <c r="P42" s="189">
        <v>0</v>
      </c>
      <c r="Q42" s="189">
        <v>0</v>
      </c>
      <c r="R42" s="189">
        <v>0</v>
      </c>
      <c r="S42" s="189">
        <v>0</v>
      </c>
      <c r="T42" s="189">
        <v>0</v>
      </c>
      <c r="U42" s="189">
        <v>0</v>
      </c>
      <c r="V42" s="189">
        <v>0</v>
      </c>
      <c r="W42" s="189">
        <v>0</v>
      </c>
      <c r="X42" s="189">
        <v>0</v>
      </c>
      <c r="Y42" s="189">
        <v>0.02</v>
      </c>
      <c r="Z42" s="188">
        <v>0</v>
      </c>
      <c r="AA42" s="188">
        <v>0</v>
      </c>
      <c r="AB42" s="188">
        <v>0</v>
      </c>
      <c r="AC42" s="190">
        <v>0</v>
      </c>
      <c r="AD42" s="181">
        <v>0</v>
      </c>
    </row>
    <row r="43" spans="1:30" ht="14.4" thickBot="1" x14ac:dyDescent="0.35">
      <c r="C43" s="191">
        <f t="shared" ref="C43:AD43" si="0">SUM(C2:C42)</f>
        <v>1.0000000000000002</v>
      </c>
      <c r="D43" s="191">
        <f t="shared" si="0"/>
        <v>1</v>
      </c>
      <c r="E43" s="191">
        <f t="shared" si="0"/>
        <v>1</v>
      </c>
      <c r="F43" s="191">
        <f t="shared" si="0"/>
        <v>1.0000000000000002</v>
      </c>
      <c r="G43" s="191">
        <f t="shared" si="0"/>
        <v>1.0000000000000002</v>
      </c>
      <c r="H43" s="191">
        <f t="shared" si="0"/>
        <v>1.0000000000000002</v>
      </c>
      <c r="I43" s="191">
        <f t="shared" si="0"/>
        <v>1</v>
      </c>
      <c r="J43" s="191">
        <f t="shared" si="0"/>
        <v>1</v>
      </c>
      <c r="K43" s="191">
        <f t="shared" si="0"/>
        <v>1</v>
      </c>
      <c r="L43" s="192">
        <f t="shared" si="0"/>
        <v>1</v>
      </c>
      <c r="M43" s="191">
        <f t="shared" si="0"/>
        <v>1</v>
      </c>
      <c r="N43" s="191">
        <f t="shared" si="0"/>
        <v>1</v>
      </c>
      <c r="O43" s="191">
        <f t="shared" si="0"/>
        <v>1</v>
      </c>
      <c r="P43" s="191">
        <f t="shared" si="0"/>
        <v>1</v>
      </c>
      <c r="Q43" s="191">
        <f t="shared" si="0"/>
        <v>1</v>
      </c>
      <c r="R43" s="191">
        <f t="shared" si="0"/>
        <v>1</v>
      </c>
      <c r="S43" s="191">
        <f t="shared" si="0"/>
        <v>1</v>
      </c>
      <c r="T43" s="191">
        <f t="shared" si="0"/>
        <v>1</v>
      </c>
      <c r="U43" s="191">
        <f t="shared" si="0"/>
        <v>1</v>
      </c>
      <c r="V43" s="191">
        <f t="shared" si="0"/>
        <v>1</v>
      </c>
      <c r="W43" s="191">
        <f t="shared" si="0"/>
        <v>1</v>
      </c>
      <c r="X43" s="191">
        <f t="shared" si="0"/>
        <v>1.0000000000000002</v>
      </c>
      <c r="Y43" s="191">
        <f t="shared" si="0"/>
        <v>1</v>
      </c>
      <c r="Z43" s="191">
        <f t="shared" si="0"/>
        <v>0.99999999999999989</v>
      </c>
      <c r="AA43" s="191">
        <f t="shared" si="0"/>
        <v>1</v>
      </c>
      <c r="AB43" s="191">
        <f t="shared" si="0"/>
        <v>1</v>
      </c>
      <c r="AC43" s="193">
        <f t="shared" si="0"/>
        <v>1</v>
      </c>
      <c r="AD43" s="193">
        <f t="shared" si="0"/>
        <v>0</v>
      </c>
    </row>
    <row r="45" spans="1:30" x14ac:dyDescent="0.3">
      <c r="A45" s="169">
        <v>1</v>
      </c>
      <c r="B45" s="169">
        <v>2</v>
      </c>
      <c r="C45" s="169">
        <v>3</v>
      </c>
      <c r="D45" s="169">
        <v>4</v>
      </c>
      <c r="E45" s="169">
        <v>5</v>
      </c>
      <c r="F45" s="169">
        <v>6</v>
      </c>
      <c r="G45" s="169">
        <v>7</v>
      </c>
      <c r="H45" s="169">
        <v>8</v>
      </c>
      <c r="I45" s="169">
        <v>9</v>
      </c>
      <c r="J45" s="169">
        <v>10</v>
      </c>
      <c r="K45" s="169">
        <v>11</v>
      </c>
      <c r="L45" s="169">
        <v>12</v>
      </c>
      <c r="M45" s="169">
        <v>13</v>
      </c>
      <c r="N45" s="169">
        <v>14</v>
      </c>
      <c r="O45" s="169">
        <v>15</v>
      </c>
      <c r="P45" s="169">
        <v>16</v>
      </c>
      <c r="Q45" s="169">
        <v>17</v>
      </c>
      <c r="R45" s="169">
        <v>18</v>
      </c>
      <c r="S45" s="169">
        <v>19</v>
      </c>
      <c r="T45" s="169">
        <v>20</v>
      </c>
      <c r="U45" s="169">
        <v>21</v>
      </c>
      <c r="V45" s="169">
        <v>22</v>
      </c>
      <c r="W45" s="169">
        <v>23</v>
      </c>
      <c r="X45" s="169">
        <v>24</v>
      </c>
      <c r="Y45" s="169">
        <v>25</v>
      </c>
      <c r="Z45" s="169">
        <v>26</v>
      </c>
      <c r="AA45" s="169">
        <v>27</v>
      </c>
      <c r="AB45" s="169">
        <v>28</v>
      </c>
      <c r="AC45" s="169">
        <v>29</v>
      </c>
      <c r="AD45" s="169">
        <v>30</v>
      </c>
    </row>
    <row r="46" spans="1:30" x14ac:dyDescent="0.3">
      <c r="A46" s="196" t="str">
        <f>MID('Hoja Contable'!C7,1,2)</f>
        <v>20</v>
      </c>
    </row>
    <row r="47" spans="1:30" x14ac:dyDescent="0.3">
      <c r="A47" s="198">
        <f>A46*1</f>
        <v>20</v>
      </c>
      <c r="B47" s="197" t="str">
        <f>'Hoja Contable'!C7</f>
        <v>20 - SME 1ER RIESGO - ESPARCIMIENTO</v>
      </c>
      <c r="C47" s="199">
        <f>VLOOKUP(A47,A48:B124,2,FALSE)</f>
        <v>4</v>
      </c>
    </row>
    <row r="48" spans="1:30" x14ac:dyDescent="0.3">
      <c r="A48" s="169">
        <v>1</v>
      </c>
      <c r="B48" s="169">
        <v>3</v>
      </c>
      <c r="D48" s="169">
        <v>0</v>
      </c>
      <c r="E48" s="169">
        <v>139</v>
      </c>
      <c r="F48" s="194">
        <f t="shared" ref="F48:F85" si="1">VLOOKUP(E48,$A$2:$AD$42,$C$47,FALSE)</f>
        <v>0.25</v>
      </c>
    </row>
    <row r="49" spans="1:6" x14ac:dyDescent="0.3">
      <c r="A49" s="169">
        <v>2</v>
      </c>
      <c r="B49" s="169">
        <v>28</v>
      </c>
      <c r="D49" s="169">
        <v>0</v>
      </c>
      <c r="E49" s="169">
        <v>140</v>
      </c>
      <c r="F49" s="194">
        <f t="shared" si="1"/>
        <v>0.05</v>
      </c>
    </row>
    <row r="50" spans="1:6" x14ac:dyDescent="0.3">
      <c r="A50" s="169">
        <v>3</v>
      </c>
      <c r="B50" s="169">
        <v>26</v>
      </c>
      <c r="D50" s="169">
        <v>0</v>
      </c>
      <c r="E50" s="169">
        <v>141</v>
      </c>
      <c r="F50" s="194">
        <f t="shared" si="1"/>
        <v>0.03</v>
      </c>
    </row>
    <row r="51" spans="1:6" x14ac:dyDescent="0.3">
      <c r="A51" s="169">
        <v>4</v>
      </c>
      <c r="B51" s="169">
        <v>4</v>
      </c>
      <c r="D51" s="169">
        <v>0</v>
      </c>
      <c r="E51" s="169">
        <v>142</v>
      </c>
      <c r="F51" s="194">
        <f t="shared" si="1"/>
        <v>0.03</v>
      </c>
    </row>
    <row r="52" spans="1:6" x14ac:dyDescent="0.3">
      <c r="A52" s="169">
        <v>5</v>
      </c>
      <c r="B52" s="169">
        <v>5</v>
      </c>
      <c r="D52" s="169">
        <v>0</v>
      </c>
      <c r="E52" s="169">
        <v>143</v>
      </c>
      <c r="F52" s="194">
        <f t="shared" si="1"/>
        <v>0.03</v>
      </c>
    </row>
    <row r="53" spans="1:6" x14ac:dyDescent="0.3">
      <c r="A53" s="169">
        <v>6</v>
      </c>
      <c r="B53" s="169">
        <v>14</v>
      </c>
      <c r="D53" s="169">
        <v>0</v>
      </c>
      <c r="E53" s="169">
        <v>144</v>
      </c>
      <c r="F53" s="194">
        <f t="shared" si="1"/>
        <v>0.03</v>
      </c>
    </row>
    <row r="54" spans="1:6" x14ac:dyDescent="0.3">
      <c r="A54" s="169">
        <v>7</v>
      </c>
      <c r="B54" s="169">
        <v>27</v>
      </c>
      <c r="D54" s="169">
        <v>0</v>
      </c>
      <c r="E54" s="169">
        <v>145</v>
      </c>
      <c r="F54" s="194">
        <f t="shared" si="1"/>
        <v>0.03</v>
      </c>
    </row>
    <row r="55" spans="1:6" x14ac:dyDescent="0.3">
      <c r="A55" s="169">
        <v>8</v>
      </c>
      <c r="B55" s="169">
        <v>28</v>
      </c>
      <c r="D55" s="169">
        <v>0</v>
      </c>
      <c r="E55" s="169">
        <v>146</v>
      </c>
      <c r="F55" s="194">
        <f t="shared" si="1"/>
        <v>0</v>
      </c>
    </row>
    <row r="56" spans="1:6" x14ac:dyDescent="0.3">
      <c r="A56" s="169">
        <v>9</v>
      </c>
      <c r="B56" s="169">
        <v>6</v>
      </c>
      <c r="D56" s="169">
        <v>0</v>
      </c>
      <c r="E56" s="169">
        <v>147</v>
      </c>
      <c r="F56" s="194">
        <f t="shared" si="1"/>
        <v>0</v>
      </c>
    </row>
    <row r="57" spans="1:6" x14ac:dyDescent="0.3">
      <c r="A57" s="169">
        <v>10</v>
      </c>
      <c r="B57" s="169">
        <v>7</v>
      </c>
      <c r="D57" s="169">
        <v>0</v>
      </c>
      <c r="E57" s="169">
        <v>148</v>
      </c>
      <c r="F57" s="194">
        <f t="shared" si="1"/>
        <v>0.1</v>
      </c>
    </row>
    <row r="58" spans="1:6" x14ac:dyDescent="0.3">
      <c r="A58" s="169">
        <v>11</v>
      </c>
      <c r="B58" s="169">
        <v>8</v>
      </c>
      <c r="D58" s="169">
        <v>0</v>
      </c>
      <c r="E58" s="169">
        <v>149</v>
      </c>
      <c r="F58" s="194">
        <f t="shared" si="1"/>
        <v>0</v>
      </c>
    </row>
    <row r="59" spans="1:6" x14ac:dyDescent="0.3">
      <c r="A59" s="169">
        <v>12</v>
      </c>
      <c r="B59" s="169">
        <v>29</v>
      </c>
      <c r="D59" s="169">
        <v>0</v>
      </c>
      <c r="E59" s="169">
        <v>150</v>
      </c>
      <c r="F59" s="194">
        <f t="shared" si="1"/>
        <v>0</v>
      </c>
    </row>
    <row r="60" spans="1:6" x14ac:dyDescent="0.3">
      <c r="A60" s="169">
        <v>13</v>
      </c>
      <c r="B60" s="169">
        <v>28</v>
      </c>
      <c r="D60" s="169">
        <v>0</v>
      </c>
      <c r="E60" s="169">
        <v>151</v>
      </c>
      <c r="F60" s="194">
        <f t="shared" si="1"/>
        <v>0.1</v>
      </c>
    </row>
    <row r="61" spans="1:6" x14ac:dyDescent="0.3">
      <c r="A61" s="169">
        <v>14</v>
      </c>
      <c r="B61" s="169">
        <v>19</v>
      </c>
      <c r="D61" s="169">
        <v>0</v>
      </c>
      <c r="E61" s="169">
        <v>152</v>
      </c>
      <c r="F61" s="194">
        <f t="shared" si="1"/>
        <v>0</v>
      </c>
    </row>
    <row r="62" spans="1:6" x14ac:dyDescent="0.3">
      <c r="A62" s="169">
        <v>15</v>
      </c>
      <c r="B62" s="169">
        <v>21</v>
      </c>
      <c r="D62" s="169">
        <v>0</v>
      </c>
      <c r="E62" s="169">
        <v>153</v>
      </c>
      <c r="F62" s="194">
        <f t="shared" si="1"/>
        <v>0</v>
      </c>
    </row>
    <row r="63" spans="1:6" x14ac:dyDescent="0.3">
      <c r="A63" s="169">
        <v>16</v>
      </c>
      <c r="B63" s="169">
        <v>22</v>
      </c>
      <c r="D63" s="169">
        <v>0</v>
      </c>
      <c r="E63" s="169">
        <v>154</v>
      </c>
      <c r="F63" s="194">
        <f t="shared" si="1"/>
        <v>0</v>
      </c>
    </row>
    <row r="64" spans="1:6" x14ac:dyDescent="0.3">
      <c r="A64" s="169">
        <v>17</v>
      </c>
      <c r="B64" s="169">
        <v>3</v>
      </c>
      <c r="D64" s="169">
        <v>0</v>
      </c>
      <c r="E64" s="169">
        <v>155</v>
      </c>
      <c r="F64" s="194">
        <f t="shared" si="1"/>
        <v>0</v>
      </c>
    </row>
    <row r="65" spans="1:6" x14ac:dyDescent="0.3">
      <c r="A65" s="169">
        <v>18</v>
      </c>
      <c r="B65" s="169">
        <v>28</v>
      </c>
      <c r="D65" s="169">
        <v>0</v>
      </c>
      <c r="E65" s="169">
        <v>156</v>
      </c>
      <c r="F65" s="194">
        <f t="shared" si="1"/>
        <v>0.05</v>
      </c>
    </row>
    <row r="66" spans="1:6" x14ac:dyDescent="0.3">
      <c r="A66" s="169">
        <v>19</v>
      </c>
      <c r="B66" s="169">
        <v>26</v>
      </c>
      <c r="D66" s="169">
        <v>0</v>
      </c>
      <c r="E66" s="169">
        <v>157</v>
      </c>
      <c r="F66" s="194">
        <f t="shared" si="1"/>
        <v>0</v>
      </c>
    </row>
    <row r="67" spans="1:6" x14ac:dyDescent="0.3">
      <c r="A67" s="169">
        <v>20</v>
      </c>
      <c r="B67" s="169">
        <v>4</v>
      </c>
      <c r="D67" s="169">
        <v>0</v>
      </c>
      <c r="E67" s="169">
        <v>158</v>
      </c>
      <c r="F67" s="194">
        <f t="shared" si="1"/>
        <v>0</v>
      </c>
    </row>
    <row r="68" spans="1:6" x14ac:dyDescent="0.3">
      <c r="A68" s="169">
        <v>21</v>
      </c>
      <c r="B68" s="169">
        <v>5</v>
      </c>
      <c r="D68" s="169">
        <v>0</v>
      </c>
      <c r="E68" s="169">
        <v>159</v>
      </c>
      <c r="F68" s="194">
        <f t="shared" si="1"/>
        <v>0</v>
      </c>
    </row>
    <row r="69" spans="1:6" x14ac:dyDescent="0.3">
      <c r="A69" s="169">
        <v>22</v>
      </c>
      <c r="B69" s="169">
        <v>14</v>
      </c>
      <c r="D69" s="169">
        <v>0</v>
      </c>
      <c r="E69" s="169">
        <v>160</v>
      </c>
      <c r="F69" s="194">
        <f t="shared" si="1"/>
        <v>0</v>
      </c>
    </row>
    <row r="70" spans="1:6" x14ac:dyDescent="0.3">
      <c r="A70" s="169">
        <v>23</v>
      </c>
      <c r="B70" s="169">
        <v>27</v>
      </c>
      <c r="D70" s="169">
        <v>0</v>
      </c>
      <c r="E70" s="169">
        <v>161</v>
      </c>
      <c r="F70" s="194">
        <f t="shared" si="1"/>
        <v>0</v>
      </c>
    </row>
    <row r="71" spans="1:6" x14ac:dyDescent="0.3">
      <c r="A71" s="169">
        <v>24</v>
      </c>
      <c r="B71" s="169">
        <v>28</v>
      </c>
      <c r="D71" s="169">
        <v>0</v>
      </c>
      <c r="E71" s="169">
        <v>162</v>
      </c>
      <c r="F71" s="194">
        <f t="shared" si="1"/>
        <v>0</v>
      </c>
    </row>
    <row r="72" spans="1:6" x14ac:dyDescent="0.3">
      <c r="A72" s="169">
        <v>25</v>
      </c>
      <c r="B72" s="169">
        <v>6</v>
      </c>
      <c r="D72" s="169">
        <v>0</v>
      </c>
      <c r="E72" s="169">
        <v>169</v>
      </c>
      <c r="F72" s="194">
        <f t="shared" si="1"/>
        <v>0</v>
      </c>
    </row>
    <row r="73" spans="1:6" x14ac:dyDescent="0.3">
      <c r="A73" s="169">
        <v>26</v>
      </c>
      <c r="B73" s="169">
        <v>7</v>
      </c>
      <c r="D73" s="169">
        <v>0</v>
      </c>
      <c r="E73" s="169">
        <v>177</v>
      </c>
      <c r="F73" s="194">
        <f t="shared" si="1"/>
        <v>0</v>
      </c>
    </row>
    <row r="74" spans="1:6" x14ac:dyDescent="0.3">
      <c r="A74" s="169">
        <v>27</v>
      </c>
      <c r="B74" s="169">
        <v>8</v>
      </c>
      <c r="D74" s="169">
        <v>0</v>
      </c>
      <c r="E74" s="169">
        <v>185</v>
      </c>
      <c r="F74" s="194">
        <f t="shared" si="1"/>
        <v>0</v>
      </c>
    </row>
    <row r="75" spans="1:6" x14ac:dyDescent="0.3">
      <c r="A75" s="169">
        <v>28</v>
      </c>
      <c r="B75" s="169">
        <v>29</v>
      </c>
      <c r="D75" s="169">
        <v>0</v>
      </c>
      <c r="E75" s="169">
        <v>187</v>
      </c>
      <c r="F75" s="194">
        <f t="shared" si="1"/>
        <v>0</v>
      </c>
    </row>
    <row r="76" spans="1:6" x14ac:dyDescent="0.3">
      <c r="A76" s="169">
        <v>29</v>
      </c>
      <c r="B76" s="169">
        <v>28</v>
      </c>
      <c r="D76" s="169">
        <v>0</v>
      </c>
      <c r="E76" s="169">
        <v>225</v>
      </c>
      <c r="F76" s="194">
        <f t="shared" si="1"/>
        <v>7.0000000000000007E-2</v>
      </c>
    </row>
    <row r="77" spans="1:6" x14ac:dyDescent="0.3">
      <c r="A77" s="169">
        <v>30</v>
      </c>
      <c r="B77" s="169">
        <v>30</v>
      </c>
      <c r="D77" s="169">
        <v>0</v>
      </c>
      <c r="E77" s="169">
        <v>226</v>
      </c>
      <c r="F77" s="194">
        <f t="shared" si="1"/>
        <v>0.1</v>
      </c>
    </row>
    <row r="78" spans="1:6" x14ac:dyDescent="0.3">
      <c r="A78" s="169">
        <v>31</v>
      </c>
      <c r="B78" s="169">
        <v>30</v>
      </c>
      <c r="D78" s="169">
        <v>0</v>
      </c>
      <c r="E78" s="169">
        <v>227</v>
      </c>
      <c r="F78" s="194">
        <f t="shared" si="1"/>
        <v>0.05</v>
      </c>
    </row>
    <row r="79" spans="1:6" x14ac:dyDescent="0.3">
      <c r="A79" s="169">
        <v>32</v>
      </c>
      <c r="B79" s="169">
        <v>30</v>
      </c>
      <c r="D79" s="169">
        <v>0</v>
      </c>
      <c r="E79" s="169">
        <v>228</v>
      </c>
      <c r="F79" s="194">
        <f t="shared" si="1"/>
        <v>0.04</v>
      </c>
    </row>
    <row r="80" spans="1:6" x14ac:dyDescent="0.3">
      <c r="A80" s="169">
        <v>33</v>
      </c>
      <c r="B80" s="169">
        <v>30</v>
      </c>
      <c r="D80" s="169">
        <v>0</v>
      </c>
      <c r="E80" s="169">
        <v>243</v>
      </c>
      <c r="F80" s="194">
        <f t="shared" si="1"/>
        <v>0</v>
      </c>
    </row>
    <row r="81" spans="1:6" x14ac:dyDescent="0.3">
      <c r="A81" s="169">
        <v>34</v>
      </c>
      <c r="B81" s="169">
        <v>30</v>
      </c>
      <c r="D81" s="169">
        <v>0</v>
      </c>
      <c r="E81" s="169">
        <v>244</v>
      </c>
      <c r="F81" s="194">
        <f t="shared" si="1"/>
        <v>0</v>
      </c>
    </row>
    <row r="82" spans="1:6" x14ac:dyDescent="0.3">
      <c r="A82" s="169">
        <v>35</v>
      </c>
      <c r="B82" s="169">
        <v>30</v>
      </c>
      <c r="D82" s="169">
        <v>0</v>
      </c>
      <c r="E82" s="169">
        <v>281</v>
      </c>
      <c r="F82" s="194">
        <f t="shared" si="1"/>
        <v>0.04</v>
      </c>
    </row>
    <row r="83" spans="1:6" x14ac:dyDescent="0.3">
      <c r="A83" s="169">
        <v>36</v>
      </c>
      <c r="B83" s="169">
        <v>30</v>
      </c>
      <c r="D83" s="169">
        <v>0</v>
      </c>
      <c r="E83" s="169">
        <v>282</v>
      </c>
      <c r="F83" s="194">
        <f t="shared" si="1"/>
        <v>0</v>
      </c>
    </row>
    <row r="84" spans="1:6" x14ac:dyDescent="0.3">
      <c r="A84" s="169">
        <v>37</v>
      </c>
      <c r="B84" s="169">
        <v>30</v>
      </c>
      <c r="D84" s="169">
        <v>0</v>
      </c>
      <c r="E84" s="169">
        <v>283</v>
      </c>
      <c r="F84" s="194">
        <f t="shared" si="1"/>
        <v>0</v>
      </c>
    </row>
    <row r="85" spans="1:6" x14ac:dyDescent="0.3">
      <c r="A85" s="169">
        <v>38</v>
      </c>
      <c r="B85" s="169">
        <v>30</v>
      </c>
      <c r="D85" s="169">
        <v>0</v>
      </c>
      <c r="E85" s="169">
        <v>284</v>
      </c>
      <c r="F85" s="194">
        <f t="shared" si="1"/>
        <v>0</v>
      </c>
    </row>
    <row r="86" spans="1:6" x14ac:dyDescent="0.3">
      <c r="A86" s="169">
        <v>39</v>
      </c>
      <c r="B86" s="169">
        <v>30</v>
      </c>
      <c r="D86" s="169">
        <v>0</v>
      </c>
      <c r="E86" s="169">
        <v>285</v>
      </c>
      <c r="F86" s="194">
        <f t="shared" ref="F86:F88" si="2">VLOOKUP(E86,$A$2:$AD$42,$C$47,FALSE)</f>
        <v>0</v>
      </c>
    </row>
    <row r="87" spans="1:6" x14ac:dyDescent="0.3">
      <c r="A87" s="169">
        <v>40</v>
      </c>
      <c r="B87" s="169">
        <v>30</v>
      </c>
      <c r="D87" s="169">
        <v>0</v>
      </c>
      <c r="E87" s="169">
        <v>286</v>
      </c>
      <c r="F87" s="194">
        <f t="shared" si="2"/>
        <v>0</v>
      </c>
    </row>
    <row r="88" spans="1:6" x14ac:dyDescent="0.3">
      <c r="A88" s="169">
        <v>41</v>
      </c>
      <c r="B88" s="169">
        <v>30</v>
      </c>
      <c r="D88" s="169">
        <v>0</v>
      </c>
      <c r="E88" s="169">
        <v>303</v>
      </c>
      <c r="F88" s="194">
        <f t="shared" si="2"/>
        <v>0</v>
      </c>
    </row>
    <row r="89" spans="1:6" x14ac:dyDescent="0.3">
      <c r="A89" s="169">
        <v>42</v>
      </c>
      <c r="B89" s="169">
        <v>9</v>
      </c>
      <c r="D89" s="169">
        <v>0</v>
      </c>
      <c r="F89" s="194">
        <f>SUM(F48:F88)</f>
        <v>1</v>
      </c>
    </row>
    <row r="90" spans="1:6" x14ac:dyDescent="0.3">
      <c r="A90" s="169">
        <v>43</v>
      </c>
      <c r="B90" s="169">
        <v>30</v>
      </c>
      <c r="D90" s="169">
        <v>0</v>
      </c>
      <c r="E90" s="194"/>
    </row>
    <row r="91" spans="1:6" x14ac:dyDescent="0.3">
      <c r="A91" s="169">
        <v>44</v>
      </c>
      <c r="B91" s="169">
        <v>30</v>
      </c>
      <c r="D91" s="169">
        <v>0</v>
      </c>
      <c r="E91" s="194"/>
    </row>
    <row r="92" spans="1:6" x14ac:dyDescent="0.3">
      <c r="A92" s="169">
        <v>45</v>
      </c>
      <c r="B92" s="169">
        <v>30</v>
      </c>
      <c r="D92" s="169">
        <v>0</v>
      </c>
      <c r="E92" s="194"/>
    </row>
    <row r="93" spans="1:6" x14ac:dyDescent="0.3">
      <c r="A93" s="169">
        <v>46</v>
      </c>
      <c r="B93" s="169">
        <v>30</v>
      </c>
      <c r="D93" s="169">
        <v>0</v>
      </c>
      <c r="E93" s="194"/>
    </row>
    <row r="94" spans="1:6" x14ac:dyDescent="0.3">
      <c r="A94" s="169">
        <v>47</v>
      </c>
      <c r="B94" s="169">
        <v>10</v>
      </c>
      <c r="D94" s="169">
        <v>0</v>
      </c>
      <c r="E94" s="194"/>
    </row>
    <row r="95" spans="1:6" x14ac:dyDescent="0.3">
      <c r="A95" s="169">
        <v>48</v>
      </c>
      <c r="B95" s="169">
        <v>30</v>
      </c>
      <c r="D95" s="169">
        <v>0</v>
      </c>
      <c r="E95" s="194"/>
    </row>
    <row r="96" spans="1:6" x14ac:dyDescent="0.3">
      <c r="A96" s="169">
        <v>49</v>
      </c>
      <c r="B96" s="169">
        <v>30</v>
      </c>
      <c r="D96" s="169">
        <v>0</v>
      </c>
      <c r="E96" s="194"/>
    </row>
    <row r="97" spans="1:5" x14ac:dyDescent="0.3">
      <c r="A97" s="169">
        <v>50</v>
      </c>
      <c r="B97" s="169">
        <v>30</v>
      </c>
      <c r="D97" s="169">
        <v>0</v>
      </c>
      <c r="E97" s="194"/>
    </row>
    <row r="98" spans="1:5" x14ac:dyDescent="0.3">
      <c r="A98" s="169">
        <v>51</v>
      </c>
      <c r="B98" s="169">
        <v>11</v>
      </c>
      <c r="D98" s="169">
        <v>1</v>
      </c>
      <c r="E98" s="194"/>
    </row>
    <row r="99" spans="1:5" x14ac:dyDescent="0.3">
      <c r="A99" s="169">
        <v>52</v>
      </c>
      <c r="B99" s="169">
        <v>12</v>
      </c>
      <c r="D99" s="169">
        <v>1</v>
      </c>
      <c r="E99" s="194"/>
    </row>
    <row r="100" spans="1:5" x14ac:dyDescent="0.3">
      <c r="A100" s="169">
        <v>53</v>
      </c>
      <c r="B100" s="169">
        <v>13</v>
      </c>
      <c r="D100" s="169">
        <v>1</v>
      </c>
      <c r="E100" s="194"/>
    </row>
    <row r="101" spans="1:5" x14ac:dyDescent="0.3">
      <c r="A101" s="169">
        <v>54</v>
      </c>
      <c r="B101" s="169">
        <v>30</v>
      </c>
      <c r="D101" s="169">
        <v>1</v>
      </c>
      <c r="E101" s="194"/>
    </row>
    <row r="102" spans="1:5" x14ac:dyDescent="0.3">
      <c r="A102" s="169">
        <v>55</v>
      </c>
      <c r="B102" s="169">
        <v>30</v>
      </c>
      <c r="D102" s="169">
        <v>1</v>
      </c>
      <c r="E102" s="194"/>
    </row>
    <row r="103" spans="1:5" x14ac:dyDescent="0.3">
      <c r="A103" s="169">
        <v>56</v>
      </c>
      <c r="B103" s="169">
        <v>30</v>
      </c>
      <c r="D103" s="169">
        <v>1</v>
      </c>
      <c r="E103" s="194"/>
    </row>
    <row r="104" spans="1:5" x14ac:dyDescent="0.3">
      <c r="A104" s="169">
        <v>57</v>
      </c>
      <c r="B104" s="169">
        <v>30</v>
      </c>
      <c r="D104" s="169">
        <v>0</v>
      </c>
      <c r="E104" s="194"/>
    </row>
    <row r="105" spans="1:5" x14ac:dyDescent="0.3">
      <c r="A105" s="169">
        <v>58</v>
      </c>
      <c r="B105" s="169">
        <v>14</v>
      </c>
      <c r="D105" s="169">
        <v>0</v>
      </c>
      <c r="E105" s="194"/>
    </row>
    <row r="106" spans="1:5" x14ac:dyDescent="0.3">
      <c r="A106" s="169">
        <v>59</v>
      </c>
      <c r="B106" s="169">
        <v>15</v>
      </c>
      <c r="D106" s="169">
        <v>1</v>
      </c>
      <c r="E106" s="194"/>
    </row>
    <row r="107" spans="1:5" x14ac:dyDescent="0.3">
      <c r="A107" s="169">
        <v>60</v>
      </c>
      <c r="B107" s="169">
        <v>16</v>
      </c>
      <c r="D107" s="169">
        <v>1</v>
      </c>
      <c r="E107" s="194"/>
    </row>
    <row r="108" spans="1:5" x14ac:dyDescent="0.3">
      <c r="A108" s="169">
        <v>61</v>
      </c>
      <c r="B108" s="169">
        <v>17</v>
      </c>
      <c r="D108" s="169">
        <v>1</v>
      </c>
      <c r="E108" s="194"/>
    </row>
    <row r="109" spans="1:5" x14ac:dyDescent="0.3">
      <c r="A109" s="169">
        <v>62</v>
      </c>
      <c r="B109" s="169">
        <v>18</v>
      </c>
      <c r="D109" s="169">
        <v>1</v>
      </c>
      <c r="E109" s="194"/>
    </row>
    <row r="110" spans="1:5" x14ac:dyDescent="0.3">
      <c r="A110" s="169">
        <v>63</v>
      </c>
      <c r="B110" s="169">
        <v>19</v>
      </c>
      <c r="D110" s="169">
        <v>1</v>
      </c>
      <c r="E110" s="194"/>
    </row>
    <row r="111" spans="1:5" x14ac:dyDescent="0.3">
      <c r="A111" s="169">
        <v>64</v>
      </c>
      <c r="B111" s="169">
        <v>20</v>
      </c>
      <c r="D111" s="169">
        <v>1</v>
      </c>
      <c r="E111" s="194"/>
    </row>
    <row r="112" spans="1:5" x14ac:dyDescent="0.3">
      <c r="A112" s="169">
        <v>65</v>
      </c>
      <c r="B112" s="169">
        <v>21</v>
      </c>
      <c r="D112" s="169">
        <v>1</v>
      </c>
      <c r="E112" s="194"/>
    </row>
    <row r="113" spans="1:5" x14ac:dyDescent="0.3">
      <c r="A113" s="169">
        <v>66</v>
      </c>
      <c r="B113" s="169">
        <v>22</v>
      </c>
      <c r="D113" s="169">
        <v>1</v>
      </c>
      <c r="E113" s="194"/>
    </row>
    <row r="114" spans="1:5" x14ac:dyDescent="0.3">
      <c r="A114" s="169">
        <v>67</v>
      </c>
      <c r="B114" s="169">
        <v>23</v>
      </c>
      <c r="D114" s="169">
        <v>1</v>
      </c>
      <c r="E114" s="194"/>
    </row>
    <row r="115" spans="1:5" x14ac:dyDescent="0.3">
      <c r="A115" s="169">
        <v>68</v>
      </c>
      <c r="B115" s="169">
        <v>24</v>
      </c>
      <c r="D115" s="169">
        <v>1</v>
      </c>
      <c r="E115" s="194"/>
    </row>
    <row r="116" spans="1:5" x14ac:dyDescent="0.3">
      <c r="A116" s="169">
        <v>69</v>
      </c>
      <c r="B116" s="169">
        <v>25</v>
      </c>
      <c r="D116" s="169">
        <v>1</v>
      </c>
      <c r="E116" s="194"/>
    </row>
    <row r="117" spans="1:5" x14ac:dyDescent="0.3">
      <c r="A117" s="169">
        <v>70</v>
      </c>
      <c r="B117" s="169">
        <v>30</v>
      </c>
      <c r="D117" s="169">
        <v>0</v>
      </c>
      <c r="E117" s="194"/>
    </row>
    <row r="118" spans="1:5" x14ac:dyDescent="0.3">
      <c r="A118" s="169">
        <v>71</v>
      </c>
      <c r="B118" s="169">
        <v>14</v>
      </c>
      <c r="D118" s="169">
        <v>0</v>
      </c>
      <c r="E118" s="194"/>
    </row>
    <row r="119" spans="1:5" x14ac:dyDescent="0.3">
      <c r="A119" s="169">
        <v>72</v>
      </c>
      <c r="B119" s="169">
        <v>28</v>
      </c>
      <c r="D119" s="169">
        <v>0</v>
      </c>
      <c r="E119" s="194"/>
    </row>
    <row r="120" spans="1:5" x14ac:dyDescent="0.3">
      <c r="A120" s="169">
        <v>73</v>
      </c>
      <c r="B120" s="169">
        <v>29</v>
      </c>
      <c r="D120" s="169">
        <v>0</v>
      </c>
      <c r="E120" s="194"/>
    </row>
    <row r="121" spans="1:5" x14ac:dyDescent="0.3">
      <c r="A121" s="169">
        <v>74</v>
      </c>
      <c r="B121" s="169">
        <v>26</v>
      </c>
      <c r="D121" s="169">
        <v>0</v>
      </c>
      <c r="E121" s="194"/>
    </row>
    <row r="122" spans="1:5" x14ac:dyDescent="0.3">
      <c r="A122" s="169">
        <v>75</v>
      </c>
      <c r="B122" s="169">
        <v>27</v>
      </c>
      <c r="D122" s="169">
        <v>0</v>
      </c>
      <c r="E122" s="194"/>
    </row>
    <row r="123" spans="1:5" x14ac:dyDescent="0.3">
      <c r="A123" s="169">
        <v>76</v>
      </c>
      <c r="B123" s="169">
        <v>28</v>
      </c>
      <c r="D123" s="169">
        <v>0</v>
      </c>
      <c r="E123" s="194"/>
    </row>
    <row r="124" spans="1:5" x14ac:dyDescent="0.3">
      <c r="A124" s="169">
        <v>77</v>
      </c>
      <c r="B124" s="169">
        <v>29</v>
      </c>
      <c r="D124" s="169">
        <v>0</v>
      </c>
      <c r="E124" s="194"/>
    </row>
    <row r="125" spans="1:5" x14ac:dyDescent="0.3">
      <c r="E125" s="194"/>
    </row>
    <row r="126" spans="1:5" x14ac:dyDescent="0.3">
      <c r="E126" s="194"/>
    </row>
    <row r="127" spans="1:5" x14ac:dyDescent="0.3">
      <c r="E127" s="194"/>
    </row>
    <row r="128" spans="1:5" x14ac:dyDescent="0.3">
      <c r="E128" s="194"/>
    </row>
    <row r="129" spans="5:5" x14ac:dyDescent="0.3">
      <c r="E129" s="194"/>
    </row>
    <row r="130" spans="5:5" x14ac:dyDescent="0.3">
      <c r="E130" s="194"/>
    </row>
    <row r="131" spans="5:5" x14ac:dyDescent="0.3">
      <c r="E131" s="194"/>
    </row>
    <row r="132" spans="5:5" x14ac:dyDescent="0.3">
      <c r="E132" s="194"/>
    </row>
    <row r="133" spans="5:5" x14ac:dyDescent="0.3">
      <c r="E133" s="194"/>
    </row>
    <row r="134" spans="5:5" x14ac:dyDescent="0.3">
      <c r="E134" s="194"/>
    </row>
    <row r="135" spans="5:5" x14ac:dyDescent="0.3">
      <c r="E135" s="194"/>
    </row>
    <row r="136" spans="5:5" x14ac:dyDescent="0.3">
      <c r="E136" s="195"/>
    </row>
  </sheetData>
  <conditionalFormatting sqref="J2:J17 M1 K1:K17 L2:AC17 J40:AC40 J42:AC42 J19:AC22 AD2:AD22 J26:AC37 AD26:AD42 N23:AD25">
    <cfRule type="cellIs" dxfId="2119" priority="3" stopIfTrue="1" operator="equal">
      <formula>0</formula>
    </cfRule>
  </conditionalFormatting>
  <conditionalFormatting sqref="J1">
    <cfRule type="cellIs" dxfId="2118" priority="2" stopIfTrue="1" operator="equal">
      <formula>0</formula>
    </cfRule>
  </conditionalFormatting>
  <conditionalFormatting sqref="C2:I17 C40:I40 C38:AC39 C42:I42 C41:AC41 C18:AC18 C19:I22 C26:I37 C23:M25">
    <cfRule type="cellIs" dxfId="2117" priority="1" operator="equal">
      <formula>0</formula>
    </cfRule>
  </conditionalFormatting>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28</vt:i4>
      </vt:variant>
      <vt:variant>
        <vt:lpstr>Rangos con nombre</vt:lpstr>
      </vt:variant>
      <vt:variant>
        <vt:i4>14</vt:i4>
      </vt:variant>
    </vt:vector>
  </HeadingPairs>
  <TitlesOfParts>
    <vt:vector size="42" baseType="lpstr">
      <vt:lpstr>COASEGURP</vt:lpstr>
      <vt:lpstr>Hoja4</vt:lpstr>
      <vt:lpstr>DESGLOSE DE RECIBOS</vt:lpstr>
      <vt:lpstr>Ubicaciones total (2)</vt:lpstr>
      <vt:lpstr>COTIZACIÓN M.N.</vt:lpstr>
      <vt:lpstr>HOJA PRIMER RIESGO</vt:lpstr>
      <vt:lpstr>Hoja Contable</vt:lpstr>
      <vt:lpstr>CANCELACION</vt:lpstr>
      <vt:lpstr>UB (1)</vt:lpstr>
      <vt:lpstr>TEV y FHM</vt:lpstr>
      <vt:lpstr>UB (2)</vt:lpstr>
      <vt:lpstr>TEV y FHM (2)</vt:lpstr>
      <vt:lpstr>UB (3)</vt:lpstr>
      <vt:lpstr>TEV y FHM (3)</vt:lpstr>
      <vt:lpstr>D TEV y FHM</vt:lpstr>
      <vt:lpstr>Aviones</vt:lpstr>
      <vt:lpstr>D Aviones</vt:lpstr>
      <vt:lpstr>Embarcaciones</vt:lpstr>
      <vt:lpstr>D Embarcaciones</vt:lpstr>
      <vt:lpstr>Transportes</vt:lpstr>
      <vt:lpstr>D Transporte</vt:lpstr>
      <vt:lpstr>Obra Civil - Montaje</vt:lpstr>
      <vt:lpstr>D Obra Civil</vt:lpstr>
      <vt:lpstr>Ramo Comercial</vt:lpstr>
      <vt:lpstr>RamoTec</vt:lpstr>
      <vt:lpstr>Hoja1</vt:lpstr>
      <vt:lpstr>Hoja3</vt:lpstr>
      <vt:lpstr>DesgloseRC</vt:lpstr>
      <vt:lpstr>CANCELACION!Área_de_impresión</vt:lpstr>
      <vt:lpstr>'COTIZACIÓN M.N.'!Área_de_impresión</vt:lpstr>
      <vt:lpstr>'Hoja Contable'!Área_de_impresión</vt:lpstr>
      <vt:lpstr>'HOJA PRIMER RIESGO'!Área_de_impresión</vt:lpstr>
      <vt:lpstr>'UB (1)'!Área_de_impresión</vt:lpstr>
      <vt:lpstr>'UB (2)'!Área_de_impresión</vt:lpstr>
      <vt:lpstr>'UB (3)'!Área_de_impresión</vt:lpstr>
      <vt:lpstr>CANCELACION!Títulos_a_imprimir</vt:lpstr>
      <vt:lpstr>'Hoja Contable'!Títulos_a_imprimir</vt:lpstr>
      <vt:lpstr>'HOJA PRIMER RIESGO'!Títulos_a_imprimir</vt:lpstr>
      <vt:lpstr>'UB (1)'!Títulos_a_imprimir</vt:lpstr>
      <vt:lpstr>'UB (2)'!Títulos_a_imprimir</vt:lpstr>
      <vt:lpstr>'UB (3)'!Títulos_a_imprimir</vt:lpstr>
      <vt:lpstr>UBCINEMEX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Ricardo Baltazar</dc:creator>
  <cp:keywords/>
  <dc:description/>
  <cp:lastModifiedBy>Jorge Ayala</cp:lastModifiedBy>
  <cp:revision/>
  <dcterms:created xsi:type="dcterms:W3CDTF">2013-12-25T20:14:33Z</dcterms:created>
  <dcterms:modified xsi:type="dcterms:W3CDTF">2023-12-27T20:53:05Z</dcterms:modified>
  <cp:category/>
  <cp:contentStatus/>
</cp:coreProperties>
</file>